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62FBA852-30BF-4CC2-8D65-2E549673C359}" xr6:coauthVersionLast="47" xr6:coauthVersionMax="47" xr10:uidLastSave="{00000000-0000-0000-0000-000000000000}"/>
  <bookViews>
    <workbookView xWindow="28680" yWindow="-120" windowWidth="29040" windowHeight="15840" tabRatio="945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60" r:id="rId38"/>
    <pivotCache cacheId="161" r:id="rId39"/>
    <pivotCache cacheId="162" r:id="rId40"/>
    <pivotCache cacheId="163" r:id="rId41"/>
    <pivotCache cacheId="164" r:id="rId42"/>
    <pivotCache cacheId="165" r:id="rId43"/>
    <pivotCache cacheId="166" r:id="rId44"/>
    <pivotCache cacheId="167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9" l="1"/>
  <c r="E23" i="17"/>
  <c r="D4" i="9"/>
  <c r="D3" i="9"/>
  <c r="C4" i="9"/>
  <c r="C3" i="9"/>
  <c r="C5" i="17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E45" i="17" l="1"/>
  <c r="D45" i="17"/>
  <c r="C60" i="26"/>
  <c r="D60" i="26" s="1"/>
  <c r="B61" i="26"/>
  <c r="D59" i="26" l="1"/>
  <c r="D61" i="26" s="1"/>
  <c r="C61" i="26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A5" i="34"/>
  <c r="A6" i="34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B26" i="6"/>
  <c r="D17" i="34" l="1"/>
  <c r="E17" i="34" s="1"/>
  <c r="E13" i="34"/>
  <c r="D13" i="34"/>
  <c r="D10" i="34"/>
  <c r="E10" i="34" s="1"/>
  <c r="D11" i="34"/>
  <c r="E11" i="34" s="1"/>
  <c r="D12" i="34"/>
  <c r="E12" i="34" s="1"/>
  <c r="E7" i="34"/>
  <c r="D7" i="34"/>
  <c r="C191" i="38"/>
  <c r="C6" i="34"/>
  <c r="C190" i="38"/>
  <c r="C5" i="34"/>
  <c r="C201" i="38"/>
  <c r="C16" i="34"/>
  <c r="C189" i="38"/>
  <c r="C4" i="34"/>
  <c r="C198" i="38"/>
  <c r="C197" i="38"/>
  <c r="E14" i="34"/>
  <c r="C196" i="38"/>
  <c r="C200" i="38"/>
  <c r="C199" i="38"/>
  <c r="C195" i="38"/>
  <c r="C194" i="38"/>
  <c r="C193" i="38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E6" i="34" l="1"/>
  <c r="D6" i="34"/>
  <c r="E4" i="34"/>
  <c r="D4" i="34"/>
  <c r="D16" i="34"/>
  <c r="E16" i="34" s="1"/>
  <c r="D5" i="34"/>
  <c r="E5" i="34" s="1"/>
  <c r="A227" i="66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D18" i="34" l="1"/>
  <c r="A275" i="66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D22" i="17" s="1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6" i="70"/>
  <c r="Q37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D5" i="17" s="1"/>
  <c r="G6" i="17" s="1"/>
  <c r="D35" i="17" s="1"/>
  <c r="D46" i="17" s="1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D7" i="17" l="1"/>
  <c r="E7" i="17" s="1"/>
  <c r="D8" i="17"/>
  <c r="E8" i="17" s="1"/>
  <c r="E5" i="17"/>
  <c r="H6" i="17" s="1"/>
  <c r="E35" i="17" s="1"/>
  <c r="E46" i="17" s="1"/>
  <c r="E188" i="72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18" i="34" l="1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O12" i="39" l="1"/>
  <c r="H460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R7" i="9" l="1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0" i="9" l="1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O10" i="20" l="1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R7" i="20" l="1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Q44" i="66" l="1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I69" i="18"/>
  <c r="H61" i="18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I464" i="58" l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F20" i="39" l="1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189" i="72" l="1"/>
  <c r="G220" i="72"/>
  <c r="G34" i="72"/>
  <c r="G3" i="72"/>
  <c r="G251" i="72"/>
  <c r="G282" i="72"/>
  <c r="G65" i="72"/>
  <c r="G96" i="72"/>
  <c r="G127" i="72"/>
  <c r="G158" i="72"/>
  <c r="H159" i="72" l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G252" i="72" l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E159" i="72" l="1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97" i="72"/>
  <c r="F97" i="72" s="1"/>
  <c r="I4" i="58"/>
  <c r="I4" i="37"/>
  <c r="E221" i="72"/>
  <c r="F221" i="72" s="1"/>
  <c r="J4" i="37"/>
  <c r="J4" i="58"/>
  <c r="E66" i="72"/>
  <c r="F66" i="72" s="1"/>
  <c r="E4" i="72"/>
  <c r="F4" i="72" s="1"/>
  <c r="E190" i="72"/>
  <c r="F190" i="72" s="1"/>
  <c r="E128" i="72"/>
  <c r="F128" i="72" s="1"/>
  <c r="E283" i="72"/>
  <c r="F283" i="72" s="1"/>
  <c r="E35" i="72"/>
  <c r="F35" i="72" s="1"/>
  <c r="E252" i="72"/>
  <c r="F252" i="72" s="1"/>
  <c r="G191" i="72" l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F245" i="66"/>
  <c r="E37" i="53"/>
  <c r="O4" i="58"/>
  <c r="J4" i="41"/>
  <c r="E45" i="39" s="1"/>
  <c r="E31" i="53"/>
  <c r="F101" i="66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19" i="53"/>
  <c r="I4" i="41"/>
  <c r="D45" i="39" s="1"/>
  <c r="F53" i="66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5" i="53"/>
  <c r="N4" i="58"/>
  <c r="F197" i="66"/>
  <c r="H4" i="58"/>
  <c r="H4" i="37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160" i="72"/>
  <c r="F160" i="72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L45" i="39" l="1"/>
  <c r="E158" i="38" s="1"/>
  <c r="M45" i="39"/>
  <c r="E175" i="38" s="1"/>
  <c r="E129" i="72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253" i="72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36" i="72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284" i="72"/>
  <c r="F284" i="72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D56" i="39"/>
  <c r="D59" i="39"/>
  <c r="D60" i="39" s="1"/>
  <c r="E107" i="38"/>
  <c r="E222" i="72"/>
  <c r="F222" i="72" s="1"/>
  <c r="F5" i="66"/>
  <c r="H4" i="41"/>
  <c r="K45" i="39" s="1"/>
  <c r="E7" i="53"/>
  <c r="M4" i="58"/>
  <c r="F149" i="66"/>
  <c r="E13" i="53"/>
  <c r="E5" i="72"/>
  <c r="F5" i="72" s="1"/>
  <c r="E98" i="72"/>
  <c r="F98" i="72" s="1"/>
  <c r="E124" i="38"/>
  <c r="E56" i="39"/>
  <c r="E59" i="39"/>
  <c r="E60" i="39" s="1"/>
  <c r="E191" i="72"/>
  <c r="F191" i="72" s="1"/>
  <c r="L59" i="39" l="1"/>
  <c r="L60" i="39" s="1"/>
  <c r="L56" i="39"/>
  <c r="L57" i="39" s="1"/>
  <c r="M56" i="39"/>
  <c r="M57" i="39" s="1"/>
  <c r="M59" i="39"/>
  <c r="M60" i="39" s="1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C45" i="39"/>
  <c r="C59" i="39" s="1"/>
  <c r="C60" i="39" s="1"/>
  <c r="K59" i="39"/>
  <c r="K60" i="39" s="1"/>
  <c r="K56" i="39"/>
  <c r="E141" i="38"/>
  <c r="E58" i="39"/>
  <c r="E57" i="39"/>
  <c r="E130" i="72"/>
  <c r="F130" i="72" s="1"/>
  <c r="D31" i="53"/>
  <c r="F31" i="53" s="1"/>
  <c r="H37" i="53" s="1"/>
  <c r="J101" i="66"/>
  <c r="J474" i="37"/>
  <c r="J466" i="37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37" i="72"/>
  <c r="F37" i="72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J53" i="66"/>
  <c r="I474" i="37"/>
  <c r="I466" i="37"/>
  <c r="D19" i="53"/>
  <c r="F19" i="53" s="1"/>
  <c r="H25" i="53" s="1"/>
  <c r="D57" i="39"/>
  <c r="D58" i="39"/>
  <c r="E254" i="72"/>
  <c r="F254" i="72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M58" i="39"/>
  <c r="E68" i="72"/>
  <c r="F68" i="72" s="1"/>
  <c r="L58" i="39"/>
  <c r="J474" i="58"/>
  <c r="J466" i="58"/>
  <c r="J245" i="66"/>
  <c r="D37" i="53"/>
  <c r="F37" i="53" s="1"/>
  <c r="D25" i="53"/>
  <c r="F25" i="53" s="1"/>
  <c r="I466" i="58"/>
  <c r="J197" i="66"/>
  <c r="I474" i="58"/>
  <c r="C56" i="39" l="1"/>
  <c r="E90" i="38"/>
  <c r="D7" i="53" s="1"/>
  <c r="F7" i="53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S197" i="66"/>
  <c r="W197" i="66"/>
  <c r="F198" i="66"/>
  <c r="I489" i="58"/>
  <c r="I474" i="41"/>
  <c r="I479" i="37"/>
  <c r="F55" i="66"/>
  <c r="G25" i="53"/>
  <c r="H19" i="53"/>
  <c r="G19" i="53" s="1"/>
  <c r="S53" i="66"/>
  <c r="W53" i="66"/>
  <c r="H31" i="53"/>
  <c r="G31" i="53" s="1"/>
  <c r="G37" i="53"/>
  <c r="E162" i="72"/>
  <c r="F162" i="72" s="1"/>
  <c r="E285" i="72"/>
  <c r="F285" i="72" s="1"/>
  <c r="I466" i="41"/>
  <c r="I489" i="37"/>
  <c r="F54" i="66"/>
  <c r="W245" i="66"/>
  <c r="S245" i="66"/>
  <c r="F102" i="66"/>
  <c r="J489" i="37"/>
  <c r="J466" i="41"/>
  <c r="J474" i="41"/>
  <c r="J479" i="37"/>
  <c r="F103" i="66"/>
  <c r="J489" i="58"/>
  <c r="F246" i="66"/>
  <c r="J479" i="58"/>
  <c r="F247" i="66"/>
  <c r="E192" i="72"/>
  <c r="F192" i="72" s="1"/>
  <c r="S101" i="66"/>
  <c r="W101" i="66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C57" i="39"/>
  <c r="C58" i="39"/>
  <c r="F199" i="66"/>
  <c r="I479" i="58"/>
  <c r="H466" i="37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D13" i="53"/>
  <c r="F13" i="53" s="1"/>
  <c r="H7" i="53" s="1"/>
  <c r="H466" i="58"/>
  <c r="J149" i="66"/>
  <c r="H474" i="58"/>
  <c r="K57" i="39"/>
  <c r="K58" i="39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23" i="72"/>
  <c r="F223" i="72" s="1"/>
  <c r="H474" i="37" l="1"/>
  <c r="F7" i="66" s="1"/>
  <c r="J5" i="66"/>
  <c r="E255" i="72"/>
  <c r="F255" i="72" s="1"/>
  <c r="E131" i="72"/>
  <c r="F131" i="72" s="1"/>
  <c r="G132" i="72" s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I489" i="4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38" i="72"/>
  <c r="F38" i="72" s="1"/>
  <c r="G39" i="72" s="1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384" i="38"/>
  <c r="K247" i="66" s="1"/>
  <c r="N247" i="66" s="1"/>
  <c r="J480" i="58"/>
  <c r="E385" i="38" s="1"/>
  <c r="K266" i="66" s="1"/>
  <c r="N266" i="66" s="1"/>
  <c r="E69" i="72"/>
  <c r="F69" i="72" s="1"/>
  <c r="E313" i="38"/>
  <c r="E307" i="38"/>
  <c r="L246" i="66"/>
  <c r="P246" i="66" s="1"/>
  <c r="L54" i="66"/>
  <c r="P54" i="66" s="1"/>
  <c r="E325" i="38"/>
  <c r="M197" i="66" s="1"/>
  <c r="E319" i="38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H479" i="37"/>
  <c r="E360" i="38"/>
  <c r="K55" i="66" s="1"/>
  <c r="N55" i="66" s="1"/>
  <c r="I480" i="37"/>
  <c r="I479" i="41"/>
  <c r="H466" i="41"/>
  <c r="F6" i="66"/>
  <c r="H489" i="37"/>
  <c r="E366" i="38"/>
  <c r="K103" i="66" s="1"/>
  <c r="N103" i="66" s="1"/>
  <c r="J480" i="37"/>
  <c r="J479" i="41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S5" i="66"/>
  <c r="W5" i="66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7" i="53"/>
  <c r="H13" i="53"/>
  <c r="G13" i="53" s="1"/>
  <c r="E349" i="38"/>
  <c r="M245" i="66" s="1"/>
  <c r="E343" i="38"/>
  <c r="L198" i="66"/>
  <c r="P198" i="66" s="1"/>
  <c r="H479" i="58"/>
  <c r="F151" i="66"/>
  <c r="E378" i="38"/>
  <c r="K199" i="66" s="1"/>
  <c r="N199" i="66" s="1"/>
  <c r="I480" i="58"/>
  <c r="E379" i="38" s="1"/>
  <c r="K218" i="66" s="1"/>
  <c r="N218" i="66" s="1"/>
  <c r="J489" i="41"/>
  <c r="E337" i="38"/>
  <c r="E331" i="38"/>
  <c r="W149" i="66"/>
  <c r="S149" i="66"/>
  <c r="L102" i="66"/>
  <c r="P102" i="66" s="1"/>
  <c r="F150" i="66"/>
  <c r="H489" i="58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H474" i="41" l="1"/>
  <c r="N198" i="66"/>
  <c r="E256" i="72"/>
  <c r="F256" i="72" s="1"/>
  <c r="N102" i="66"/>
  <c r="N246" i="66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E132" i="72"/>
  <c r="F132" i="72" s="1"/>
  <c r="G133" i="72" s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N54" i="66"/>
  <c r="O54" i="66" s="1"/>
  <c r="H480" i="58"/>
  <c r="E373" i="38" s="1"/>
  <c r="K170" i="66" s="1"/>
  <c r="N170" i="66" s="1"/>
  <c r="E372" i="38"/>
  <c r="K151" i="66" s="1"/>
  <c r="N151" i="66" s="1"/>
  <c r="E193" i="72"/>
  <c r="F193" i="72" s="1"/>
  <c r="M101" i="66"/>
  <c r="G18" i="39" s="1"/>
  <c r="D20" i="8"/>
  <c r="E163" i="72"/>
  <c r="F163" i="72" s="1"/>
  <c r="H489" i="41"/>
  <c r="L6" i="66"/>
  <c r="P6" i="66" s="1"/>
  <c r="V6" i="66" s="1"/>
  <c r="X6" i="66" s="1"/>
  <c r="L150" i="66"/>
  <c r="P150" i="66" s="1"/>
  <c r="V150" i="66" s="1"/>
  <c r="X150" i="66" s="1"/>
  <c r="E39" i="72"/>
  <c r="F39" i="72" s="1"/>
  <c r="E7" i="72"/>
  <c r="F7" i="72" s="1"/>
  <c r="I486" i="37"/>
  <c r="L53" i="66"/>
  <c r="I480" i="41"/>
  <c r="E361" i="38"/>
  <c r="K74" i="66" s="1"/>
  <c r="N74" i="66" s="1"/>
  <c r="C20" i="8"/>
  <c r="M53" i="66"/>
  <c r="F18" i="39" s="1"/>
  <c r="E224" i="72"/>
  <c r="F224" i="72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J486" i="58"/>
  <c r="L245" i="66"/>
  <c r="H480" i="37"/>
  <c r="E354" i="38"/>
  <c r="K7" i="66" s="1"/>
  <c r="N7" i="66" s="1"/>
  <c r="H479" i="41"/>
  <c r="I486" i="58"/>
  <c r="L197" i="66"/>
  <c r="E295" i="38"/>
  <c r="E301" i="38"/>
  <c r="M149" i="66" s="1"/>
  <c r="E367" i="38"/>
  <c r="K122" i="66" s="1"/>
  <c r="N122" i="66" s="1"/>
  <c r="J480" i="41"/>
  <c r="E101" i="72"/>
  <c r="F101" i="72" s="1"/>
  <c r="Y55" i="66"/>
  <c r="Y199" i="66"/>
  <c r="Z55" i="66"/>
  <c r="Z199" i="66"/>
  <c r="L101" i="66"/>
  <c r="J486" i="37"/>
  <c r="E289" i="38"/>
  <c r="E283" i="38"/>
  <c r="Y103" i="66"/>
  <c r="Z103" i="66"/>
  <c r="Y247" i="66"/>
  <c r="Z247" i="66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O102" i="66" l="1"/>
  <c r="O246" i="66"/>
  <c r="Y246" i="66"/>
  <c r="J486" i="41"/>
  <c r="Z246" i="66"/>
  <c r="Y102" i="66"/>
  <c r="Z102" i="66"/>
  <c r="Z198" i="66"/>
  <c r="Y198" i="66"/>
  <c r="O198" i="66"/>
  <c r="Q198" i="66" s="1"/>
  <c r="E257" i="72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Y54" i="66"/>
  <c r="Z54" i="66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L5" i="66"/>
  <c r="H486" i="37"/>
  <c r="H486" i="58"/>
  <c r="L149" i="66"/>
  <c r="I486" i="41"/>
  <c r="B20" i="8"/>
  <c r="M5" i="66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P197" i="66"/>
  <c r="N197" i="66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P101" i="66"/>
  <c r="N101" i="66"/>
  <c r="N150" i="66"/>
  <c r="E133" i="72"/>
  <c r="F133" i="72" s="1"/>
  <c r="Y218" i="66"/>
  <c r="Z218" i="66"/>
  <c r="Y74" i="66"/>
  <c r="Z74" i="66"/>
  <c r="Q54" i="66"/>
  <c r="U54" i="66"/>
  <c r="V54" i="66"/>
  <c r="X54" i="66" s="1"/>
  <c r="Z151" i="66"/>
  <c r="Y151" i="66"/>
  <c r="Z7" i="66"/>
  <c r="Y7" i="66"/>
  <c r="H480" i="41"/>
  <c r="E355" i="38"/>
  <c r="K26" i="66" s="1"/>
  <c r="N26" i="66" s="1"/>
  <c r="Q246" i="66"/>
  <c r="U246" i="66"/>
  <c r="V246" i="66"/>
  <c r="X246" i="66" s="1"/>
  <c r="P245" i="66"/>
  <c r="N245" i="66"/>
  <c r="N6" i="66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U102" i="66"/>
  <c r="Q102" i="66"/>
  <c r="V102" i="66"/>
  <c r="X102" i="66" s="1"/>
  <c r="Z266" i="66"/>
  <c r="Z122" i="66"/>
  <c r="Y122" i="66"/>
  <c r="Y266" i="66"/>
  <c r="E70" i="72"/>
  <c r="F70" i="72" s="1"/>
  <c r="P53" i="66"/>
  <c r="N53" i="66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O245" i="66" l="1"/>
  <c r="V198" i="66"/>
  <c r="X198" i="66" s="1"/>
  <c r="U198" i="66"/>
  <c r="E164" i="72"/>
  <c r="F164" i="72" s="1"/>
  <c r="G165" i="72" s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O197" i="66"/>
  <c r="V197" i="66" s="1"/>
  <c r="X197" i="66" s="1"/>
  <c r="O101" i="66"/>
  <c r="Y101" i="66"/>
  <c r="Z245" i="66"/>
  <c r="Y245" i="66"/>
  <c r="Z101" i="66"/>
  <c r="E8" i="72"/>
  <c r="F8" i="72" s="1"/>
  <c r="Z150" i="66"/>
  <c r="O6" i="66"/>
  <c r="Y6" i="66"/>
  <c r="Z6" i="66"/>
  <c r="Y150" i="66"/>
  <c r="E194" i="72"/>
  <c r="F194" i="72" s="1"/>
  <c r="E225" i="72"/>
  <c r="F225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Z26" i="66"/>
  <c r="Y170" i="66"/>
  <c r="Z170" i="66"/>
  <c r="Y26" i="66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40" i="72"/>
  <c r="F40" i="72" s="1"/>
  <c r="Z53" i="66"/>
  <c r="Y53" i="66"/>
  <c r="Y197" i="66"/>
  <c r="O53" i="66"/>
  <c r="Z197" i="66"/>
  <c r="E102" i="72"/>
  <c r="F102" i="72" s="1"/>
  <c r="E258" i="72"/>
  <c r="F258" i="72" s="1"/>
  <c r="N149" i="66"/>
  <c r="R149" i="66"/>
  <c r="T149" i="66" s="1"/>
  <c r="P149" i="66"/>
  <c r="V149" i="66" s="1"/>
  <c r="X149" i="66" s="1"/>
  <c r="H486" i="41"/>
  <c r="U245" i="66"/>
  <c r="V245" i="66"/>
  <c r="X245" i="66" s="1"/>
  <c r="Q245" i="66"/>
  <c r="R245" i="66" s="1"/>
  <c r="T245" i="66" s="1"/>
  <c r="O150" i="66"/>
  <c r="P5" i="66"/>
  <c r="V5" i="66" s="1"/>
  <c r="X5" i="66" s="1"/>
  <c r="N5" i="66"/>
  <c r="R5" i="66"/>
  <c r="T5" i="66" s="1"/>
  <c r="E71" i="72" l="1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U197" i="66"/>
  <c r="Q197" i="66"/>
  <c r="R197" i="66" s="1"/>
  <c r="T197" i="66" s="1"/>
  <c r="E289" i="72"/>
  <c r="F289" i="72" s="1"/>
  <c r="U150" i="66"/>
  <c r="Q150" i="66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34" i="72"/>
  <c r="F134" i="72" s="1"/>
  <c r="Q6" i="66"/>
  <c r="U6" i="66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U101" i="66"/>
  <c r="V101" i="66"/>
  <c r="X101" i="66" s="1"/>
  <c r="Q101" i="66"/>
  <c r="R101" i="66" s="1"/>
  <c r="T101" i="66" s="1"/>
  <c r="O149" i="66"/>
  <c r="Q53" i="66"/>
  <c r="R53" i="66" s="1"/>
  <c r="T53" i="66" s="1"/>
  <c r="V53" i="66"/>
  <c r="X53" i="66" s="1"/>
  <c r="U53" i="66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Z149" i="66"/>
  <c r="Y5" i="66"/>
  <c r="Z5" i="66"/>
  <c r="O5" i="66"/>
  <c r="Y149" i="66"/>
  <c r="E165" i="72"/>
  <c r="F165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U5" i="66" l="1"/>
  <c r="Q5" i="66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41" i="72"/>
  <c r="F41" i="72" s="1"/>
  <c r="E9" i="72"/>
  <c r="F9" i="72" s="1"/>
  <c r="E195" i="72"/>
  <c r="F195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Q149" i="66"/>
  <c r="U149" i="66"/>
  <c r="E103" i="72"/>
  <c r="F103" i="72" s="1"/>
  <c r="E259" i="72"/>
  <c r="F259" i="72" s="1"/>
  <c r="E72" i="72"/>
  <c r="F72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226" i="72"/>
  <c r="F226" i="72" s="1"/>
  <c r="G104" i="72" l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290" i="72"/>
  <c r="F290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E135" i="72"/>
  <c r="F135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42" i="72"/>
  <c r="F42" i="72" s="1"/>
  <c r="G43" i="72" s="1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0" i="72"/>
  <c r="F10" i="72" s="1"/>
  <c r="E196" i="72"/>
  <c r="F196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104" i="72"/>
  <c r="F104" i="72" s="1"/>
  <c r="E136" i="72" l="1"/>
  <c r="F136" i="72" s="1"/>
  <c r="E74" i="72"/>
  <c r="F74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261" i="72"/>
  <c r="F261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291" i="72"/>
  <c r="F291" i="72" s="1"/>
  <c r="E228" i="72"/>
  <c r="F228" i="72" s="1"/>
  <c r="E167" i="72"/>
  <c r="F167" i="72" s="1"/>
  <c r="E43" i="72"/>
  <c r="F43" i="72" s="1"/>
  <c r="E105" i="72" l="1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11" i="72"/>
  <c r="F11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197" i="72"/>
  <c r="F197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37" i="72" l="1"/>
  <c r="F137" i="72" s="1"/>
  <c r="G138" i="72" s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262" i="72"/>
  <c r="F262" i="72" s="1"/>
  <c r="E292" i="72"/>
  <c r="F292" i="72" s="1"/>
  <c r="E106" i="72"/>
  <c r="F106" i="72" s="1"/>
  <c r="E75" i="72"/>
  <c r="F75" i="72" s="1"/>
  <c r="E168" i="72"/>
  <c r="F168" i="72" s="1"/>
  <c r="E229" i="72"/>
  <c r="F229" i="72" s="1"/>
  <c r="E44" i="72"/>
  <c r="F44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45" i="72" l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12" i="72"/>
  <c r="F12" i="72" s="1"/>
  <c r="E198" i="72"/>
  <c r="F198" i="72" s="1"/>
  <c r="E138" i="72"/>
  <c r="F138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93" i="72" l="1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263" i="72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07" i="72"/>
  <c r="F107" i="72" s="1"/>
  <c r="E169" i="72"/>
  <c r="F169" i="72" s="1"/>
  <c r="E230" i="72"/>
  <c r="F230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45" i="72"/>
  <c r="F45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39" i="72" l="1"/>
  <c r="F139" i="72" s="1"/>
  <c r="G140" i="72" s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264" i="72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77" i="72"/>
  <c r="F77" i="72" s="1"/>
  <c r="E199" i="72"/>
  <c r="F199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3" i="72"/>
  <c r="F13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108" i="72" l="1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46" i="72"/>
  <c r="F46" i="72" s="1"/>
  <c r="G47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231" i="72"/>
  <c r="F231" i="72" s="1"/>
  <c r="E295" i="72"/>
  <c r="F295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70" i="72"/>
  <c r="F170" i="72" s="1"/>
  <c r="E140" i="72"/>
  <c r="F140" i="72" s="1"/>
  <c r="E265" i="72"/>
  <c r="F265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H48" i="72" l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47" i="72"/>
  <c r="F47" i="72" s="1"/>
  <c r="G48" i="72" s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09" i="72"/>
  <c r="F109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14" i="72"/>
  <c r="F14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266" i="72" l="1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32" i="72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296" i="72"/>
  <c r="F296" i="72" s="1"/>
  <c r="E171" i="72"/>
  <c r="F171" i="72" s="1"/>
  <c r="E48" i="72"/>
  <c r="F48" i="72" s="1"/>
  <c r="E79" i="72"/>
  <c r="F79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41" i="72"/>
  <c r="F141" i="72" s="1"/>
  <c r="E110" i="72" l="1"/>
  <c r="F110" i="72" s="1"/>
  <c r="E233" i="72"/>
  <c r="F233" i="72" s="1"/>
  <c r="E267" i="72"/>
  <c r="F267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202" i="72"/>
  <c r="F202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15" i="72"/>
  <c r="F15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172" i="72" l="1"/>
  <c r="F172" i="72" s="1"/>
  <c r="G173" i="72" s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49" i="72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142" i="72"/>
  <c r="F142" i="72" s="1"/>
  <c r="E80" i="72"/>
  <c r="F80" i="72" s="1"/>
  <c r="E297" i="72"/>
  <c r="F297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268" i="72" l="1"/>
  <c r="F268" i="72" s="1"/>
  <c r="G269" i="72" s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173" i="72"/>
  <c r="F173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6" i="72"/>
  <c r="F16" i="72" s="1"/>
  <c r="E203" i="72"/>
  <c r="F203" i="72" s="1"/>
  <c r="E50" i="72"/>
  <c r="F50" i="72" s="1"/>
  <c r="E234" i="72"/>
  <c r="F234" i="72" s="1"/>
  <c r="E143" i="72" l="1"/>
  <c r="F143" i="72" s="1"/>
  <c r="G144" i="72" s="1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81" i="72"/>
  <c r="F81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98" i="72"/>
  <c r="F298" i="72" s="1"/>
  <c r="E112" i="72"/>
  <c r="F112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269" i="72"/>
  <c r="F269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204" i="72" l="1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51" i="72"/>
  <c r="F51" i="72" s="1"/>
  <c r="E174" i="72"/>
  <c r="F174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35" i="72"/>
  <c r="F235" i="72" s="1"/>
  <c r="E144" i="72"/>
  <c r="F144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17" i="72"/>
  <c r="F17" i="72" s="1"/>
  <c r="E82" i="72" l="1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299" i="72"/>
  <c r="F299" i="72" s="1"/>
  <c r="E270" i="72"/>
  <c r="F270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13" i="72"/>
  <c r="F113" i="72" s="1"/>
  <c r="E205" i="72"/>
  <c r="F205" i="72" s="1"/>
  <c r="E18" i="72" l="1"/>
  <c r="F18" i="72" s="1"/>
  <c r="G19" i="72" s="1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52" i="72"/>
  <c r="F52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E175" i="72"/>
  <c r="F175" i="72" s="1"/>
  <c r="E83" i="72"/>
  <c r="F83" i="72" s="1"/>
  <c r="E236" i="72"/>
  <c r="F236" i="72" s="1"/>
  <c r="E145" i="72"/>
  <c r="F145" i="72" s="1"/>
  <c r="E114" i="72" l="1"/>
  <c r="F114" i="72" s="1"/>
  <c r="G115" i="72" s="1"/>
  <c r="E19" i="72"/>
  <c r="F19" i="72" s="1"/>
  <c r="G20" i="72" s="1"/>
  <c r="E300" i="72"/>
  <c r="F300" i="72" s="1"/>
  <c r="E206" i="72"/>
  <c r="F206" i="72" s="1"/>
  <c r="E271" i="72"/>
  <c r="F271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H116" i="72" l="1"/>
  <c r="I117" i="72" s="1"/>
  <c r="J118" i="72" s="1"/>
  <c r="K119" i="72" s="1"/>
  <c r="L120" i="72" s="1"/>
  <c r="M121" i="72" s="1"/>
  <c r="N122" i="72" s="1"/>
  <c r="O123" i="72" s="1"/>
  <c r="P124" i="72" s="1"/>
  <c r="Q125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H21" i="72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20" i="72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146" i="72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E53" i="72"/>
  <c r="F53" i="72" s="1"/>
  <c r="G54" i="72" s="1"/>
  <c r="E176" i="72"/>
  <c r="F176" i="72" s="1"/>
  <c r="G177" i="72" s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237" i="72"/>
  <c r="F237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147" i="72" l="1"/>
  <c r="F147" i="72" s="1"/>
  <c r="G148" i="72" s="1"/>
  <c r="H149" i="72" s="1"/>
  <c r="I150" i="72" s="1"/>
  <c r="J151" i="72" s="1"/>
  <c r="K152" i="72" s="1"/>
  <c r="L153" i="72" s="1"/>
  <c r="M154" i="72" s="1"/>
  <c r="N155" i="72" s="1"/>
  <c r="O156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H55" i="72"/>
  <c r="I56" i="72" s="1"/>
  <c r="J57" i="72" s="1"/>
  <c r="K58" i="72" s="1"/>
  <c r="L59" i="72" s="1"/>
  <c r="M60" i="72" s="1"/>
  <c r="N61" i="72" s="1"/>
  <c r="O62" i="72" s="1"/>
  <c r="P63" i="72" s="1"/>
  <c r="E54" i="72"/>
  <c r="F54" i="72" s="1"/>
  <c r="G55" i="72" s="1"/>
  <c r="H56" i="72" s="1"/>
  <c r="I57" i="72" s="1"/>
  <c r="J58" i="72" s="1"/>
  <c r="K59" i="72" s="1"/>
  <c r="L60" i="72" s="1"/>
  <c r="M61" i="72" s="1"/>
  <c r="N62" i="72" s="1"/>
  <c r="O63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E177" i="72"/>
  <c r="F177" i="72" s="1"/>
  <c r="G178" i="72" s="1"/>
  <c r="H179" i="72" s="1"/>
  <c r="I180" i="72" s="1"/>
  <c r="J181" i="72" s="1"/>
  <c r="K182" i="72" s="1"/>
  <c r="L183" i="72" s="1"/>
  <c r="M184" i="72" s="1"/>
  <c r="N185" i="72" s="1"/>
  <c r="O186" i="72" s="1"/>
  <c r="P187" i="72" s="1"/>
  <c r="E272" i="72"/>
  <c r="F272" i="72" s="1"/>
  <c r="G273" i="72" s="1"/>
  <c r="H274" i="72" s="1"/>
  <c r="I275" i="72" s="1"/>
  <c r="J276" i="72" s="1"/>
  <c r="K277" i="72" s="1"/>
  <c r="L278" i="72" s="1"/>
  <c r="M279" i="72" s="1"/>
  <c r="N280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21" i="72"/>
  <c r="F21" i="72" s="1"/>
  <c r="E301" i="72"/>
  <c r="F301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148" i="72" l="1"/>
  <c r="F148" i="72" s="1"/>
  <c r="E273" i="72"/>
  <c r="F273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17" i="72"/>
  <c r="F117" i="72" s="1"/>
  <c r="E55" i="72"/>
  <c r="F55" i="72" s="1"/>
  <c r="E238" i="72"/>
  <c r="F238" i="72" s="1"/>
  <c r="E178" i="72"/>
  <c r="F178" i="72" s="1"/>
  <c r="E86" i="72"/>
  <c r="F86" i="72" s="1"/>
  <c r="E208" i="72"/>
  <c r="F208" i="72" s="1"/>
  <c r="G87" i="72" l="1"/>
  <c r="H88" i="72" s="1"/>
  <c r="I89" i="72" s="1"/>
  <c r="J90" i="72" s="1"/>
  <c r="K91" i="72" s="1"/>
  <c r="L92" i="72" s="1"/>
  <c r="M93" i="72" s="1"/>
  <c r="N94" i="72" s="1"/>
  <c r="G118" i="72"/>
  <c r="H119" i="72" s="1"/>
  <c r="I120" i="72" s="1"/>
  <c r="J121" i="72" s="1"/>
  <c r="K122" i="72" s="1"/>
  <c r="L123" i="72" s="1"/>
  <c r="M124" i="72" s="1"/>
  <c r="N125" i="72" s="1"/>
  <c r="E22" i="72"/>
  <c r="F22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E302" i="72"/>
  <c r="F302" i="72" s="1"/>
  <c r="G56" i="72"/>
  <c r="H57" i="72" s="1"/>
  <c r="I58" i="72" s="1"/>
  <c r="J59" i="72" s="1"/>
  <c r="K60" i="72" s="1"/>
  <c r="L61" i="72" s="1"/>
  <c r="M62" i="72" s="1"/>
  <c r="N63" i="72" s="1"/>
  <c r="G274" i="72"/>
  <c r="H275" i="72" s="1"/>
  <c r="I276" i="72" s="1"/>
  <c r="J277" i="72" s="1"/>
  <c r="K278" i="72" s="1"/>
  <c r="L279" i="72" s="1"/>
  <c r="M280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149" i="72"/>
  <c r="H150" i="72" s="1"/>
  <c r="I151" i="72" s="1"/>
  <c r="J152" i="72" s="1"/>
  <c r="K153" i="72" s="1"/>
  <c r="L154" i="72" s="1"/>
  <c r="M155" i="72" s="1"/>
  <c r="N156" i="72" s="1"/>
  <c r="E179" i="72" l="1"/>
  <c r="F179" i="72" s="1"/>
  <c r="E56" i="72"/>
  <c r="F56" i="72" s="1"/>
  <c r="G57" i="72" s="1"/>
  <c r="H58" i="72" s="1"/>
  <c r="I59" i="72" s="1"/>
  <c r="J60" i="72" s="1"/>
  <c r="K61" i="72" s="1"/>
  <c r="L62" i="72" s="1"/>
  <c r="M63" i="72" s="1"/>
  <c r="E239" i="72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E149" i="72"/>
  <c r="F149" i="72" s="1"/>
  <c r="E209" i="72"/>
  <c r="F209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18" i="72"/>
  <c r="F118" i="72" s="1"/>
  <c r="E87" i="72"/>
  <c r="F87" i="72" s="1"/>
  <c r="E274" i="72"/>
  <c r="F274" i="72" s="1"/>
  <c r="G180" i="72" l="1"/>
  <c r="H181" i="72" s="1"/>
  <c r="I182" i="72" s="1"/>
  <c r="J183" i="72" s="1"/>
  <c r="K184" i="72" s="1"/>
  <c r="L185" i="72" s="1"/>
  <c r="M186" i="72" s="1"/>
  <c r="N187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3" i="72"/>
  <c r="F23" i="72" s="1"/>
  <c r="G275" i="72"/>
  <c r="H276" i="72" s="1"/>
  <c r="I277" i="72" s="1"/>
  <c r="J278" i="72" s="1"/>
  <c r="K279" i="72" s="1"/>
  <c r="L280" i="72" s="1"/>
  <c r="G88" i="72"/>
  <c r="H89" i="72" s="1"/>
  <c r="I90" i="72" s="1"/>
  <c r="J91" i="72" s="1"/>
  <c r="K92" i="72" s="1"/>
  <c r="L93" i="72" s="1"/>
  <c r="M94" i="72" s="1"/>
  <c r="E240" i="72"/>
  <c r="F240" i="72" s="1"/>
  <c r="G119" i="72"/>
  <c r="H120" i="72" s="1"/>
  <c r="I121" i="72" s="1"/>
  <c r="J122" i="72" s="1"/>
  <c r="K123" i="72" s="1"/>
  <c r="L124" i="72" s="1"/>
  <c r="M125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G150" i="72"/>
  <c r="H151" i="72" s="1"/>
  <c r="I152" i="72" s="1"/>
  <c r="J153" i="72" s="1"/>
  <c r="K154" i="72" s="1"/>
  <c r="L155" i="72" s="1"/>
  <c r="M156" i="72" s="1"/>
  <c r="E57" i="72"/>
  <c r="F57" i="72" s="1"/>
  <c r="E180" i="72" l="1"/>
  <c r="F180" i="72" s="1"/>
  <c r="G181" i="72" s="1"/>
  <c r="H182" i="72" s="1"/>
  <c r="I183" i="72" s="1"/>
  <c r="J184" i="72" s="1"/>
  <c r="K185" i="72" s="1"/>
  <c r="L186" i="72" s="1"/>
  <c r="M187" i="72" s="1"/>
  <c r="E150" i="72"/>
  <c r="F150" i="72" s="1"/>
  <c r="G151" i="72" s="1"/>
  <c r="H152" i="72" s="1"/>
  <c r="I153" i="72" s="1"/>
  <c r="J154" i="72" s="1"/>
  <c r="K155" i="72" s="1"/>
  <c r="L156" i="72" s="1"/>
  <c r="E210" i="72"/>
  <c r="F210" i="72" s="1"/>
  <c r="E119" i="72"/>
  <c r="F119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E304" i="72"/>
  <c r="F304" i="72" s="1"/>
  <c r="E88" i="72"/>
  <c r="F88" i="72" s="1"/>
  <c r="G58" i="72"/>
  <c r="H59" i="72" s="1"/>
  <c r="I60" i="72" s="1"/>
  <c r="J61" i="72" s="1"/>
  <c r="K62" i="72" s="1"/>
  <c r="L63" i="72" s="1"/>
  <c r="E275" i="72"/>
  <c r="F275" i="72" s="1"/>
  <c r="G24" i="72"/>
  <c r="H25" i="72" s="1"/>
  <c r="I26" i="72" s="1"/>
  <c r="J27" i="72" s="1"/>
  <c r="K28" i="72" s="1"/>
  <c r="L29" i="72" s="1"/>
  <c r="M30" i="72" s="1"/>
  <c r="N31" i="72" s="1"/>
  <c r="O32" i="72" s="1"/>
  <c r="E181" i="72" l="1"/>
  <c r="F181" i="72" s="1"/>
  <c r="G182" i="72" s="1"/>
  <c r="H183" i="72" s="1"/>
  <c r="I184" i="72" s="1"/>
  <c r="J185" i="72" s="1"/>
  <c r="K186" i="72" s="1"/>
  <c r="L187" i="72" s="1"/>
  <c r="E58" i="72"/>
  <c r="F58" i="72" s="1"/>
  <c r="G59" i="72" s="1"/>
  <c r="H60" i="72" s="1"/>
  <c r="I61" i="72" s="1"/>
  <c r="J62" i="72" s="1"/>
  <c r="K63" i="72" s="1"/>
  <c r="E24" i="72"/>
  <c r="F24" i="72" s="1"/>
  <c r="G25" i="72" s="1"/>
  <c r="H26" i="72" s="1"/>
  <c r="I27" i="72" s="1"/>
  <c r="J28" i="72" s="1"/>
  <c r="K29" i="72" s="1"/>
  <c r="L30" i="72" s="1"/>
  <c r="M31" i="72" s="1"/>
  <c r="N32" i="72" s="1"/>
  <c r="E151" i="72"/>
  <c r="F151" i="72" s="1"/>
  <c r="G276" i="72"/>
  <c r="H277" i="72" s="1"/>
  <c r="I278" i="72" s="1"/>
  <c r="J279" i="72" s="1"/>
  <c r="K280" i="72" s="1"/>
  <c r="G89" i="72"/>
  <c r="H90" i="72" s="1"/>
  <c r="I91" i="72" s="1"/>
  <c r="J92" i="72" s="1"/>
  <c r="K93" i="72" s="1"/>
  <c r="L94" i="72" s="1"/>
  <c r="G305" i="72"/>
  <c r="H306" i="72" s="1"/>
  <c r="I307" i="72" s="1"/>
  <c r="J308" i="72" s="1"/>
  <c r="K309" i="72" s="1"/>
  <c r="L310" i="72" s="1"/>
  <c r="M311" i="72" s="1"/>
  <c r="E241" i="72"/>
  <c r="F241" i="72" s="1"/>
  <c r="G120" i="72"/>
  <c r="H121" i="72" s="1"/>
  <c r="I122" i="72" s="1"/>
  <c r="J123" i="72" s="1"/>
  <c r="K124" i="72" s="1"/>
  <c r="L125" i="72" s="1"/>
  <c r="G211" i="72"/>
  <c r="H212" i="72" s="1"/>
  <c r="I213" i="72" s="1"/>
  <c r="J214" i="72" s="1"/>
  <c r="K215" i="72" s="1"/>
  <c r="L216" i="72" s="1"/>
  <c r="M217" i="72" s="1"/>
  <c r="N218" i="72" s="1"/>
  <c r="E25" i="72" l="1"/>
  <c r="F25" i="72" s="1"/>
  <c r="G26" i="72" s="1"/>
  <c r="H27" i="72" s="1"/>
  <c r="I28" i="72" s="1"/>
  <c r="J29" i="72" s="1"/>
  <c r="K30" i="72" s="1"/>
  <c r="L31" i="72" s="1"/>
  <c r="M32" i="72" s="1"/>
  <c r="E182" i="72"/>
  <c r="F182" i="72" s="1"/>
  <c r="G183" i="72" s="1"/>
  <c r="H184" i="72" s="1"/>
  <c r="I185" i="72" s="1"/>
  <c r="J186" i="72" s="1"/>
  <c r="K187" i="72" s="1"/>
  <c r="G242" i="72"/>
  <c r="H243" i="72" s="1"/>
  <c r="I244" i="72" s="1"/>
  <c r="J245" i="72" s="1"/>
  <c r="K246" i="72" s="1"/>
  <c r="L247" i="72" s="1"/>
  <c r="M248" i="72" s="1"/>
  <c r="N249" i="72" s="1"/>
  <c r="E120" i="72"/>
  <c r="F120" i="72" s="1"/>
  <c r="E305" i="72"/>
  <c r="F305" i="72" s="1"/>
  <c r="E59" i="72"/>
  <c r="F59" i="72" s="1"/>
  <c r="E211" i="72"/>
  <c r="F211" i="72" s="1"/>
  <c r="E89" i="72"/>
  <c r="F89" i="72" s="1"/>
  <c r="E276" i="72"/>
  <c r="F276" i="72" s="1"/>
  <c r="G152" i="72"/>
  <c r="H153" i="72" s="1"/>
  <c r="I154" i="72" s="1"/>
  <c r="J155" i="72" s="1"/>
  <c r="K156" i="72" s="1"/>
  <c r="E183" i="72" l="1"/>
  <c r="F183" i="72" s="1"/>
  <c r="G184" i="72" s="1"/>
  <c r="H185" i="72" s="1"/>
  <c r="I186" i="72" s="1"/>
  <c r="J187" i="72" s="1"/>
  <c r="E152" i="72"/>
  <c r="F152" i="72" s="1"/>
  <c r="G153" i="72" s="1"/>
  <c r="H154" i="72" s="1"/>
  <c r="I155" i="72" s="1"/>
  <c r="J156" i="72" s="1"/>
  <c r="G121" i="72"/>
  <c r="H122" i="72" s="1"/>
  <c r="I123" i="72" s="1"/>
  <c r="J124" i="72" s="1"/>
  <c r="K125" i="72" s="1"/>
  <c r="G277" i="72"/>
  <c r="H278" i="72" s="1"/>
  <c r="I279" i="72" s="1"/>
  <c r="J280" i="72" s="1"/>
  <c r="G60" i="72"/>
  <c r="H61" i="72" s="1"/>
  <c r="I62" i="72" s="1"/>
  <c r="J63" i="72" s="1"/>
  <c r="G90" i="72"/>
  <c r="H91" i="72" s="1"/>
  <c r="I92" i="72" s="1"/>
  <c r="J93" i="72" s="1"/>
  <c r="K94" i="72" s="1"/>
  <c r="E26" i="72"/>
  <c r="F26" i="72" s="1"/>
  <c r="E242" i="72"/>
  <c r="F242" i="72" s="1"/>
  <c r="G212" i="72"/>
  <c r="H213" i="72" s="1"/>
  <c r="I214" i="72" s="1"/>
  <c r="J215" i="72" s="1"/>
  <c r="K216" i="72" s="1"/>
  <c r="L217" i="72" s="1"/>
  <c r="M218" i="72" s="1"/>
  <c r="G306" i="72"/>
  <c r="H307" i="72" s="1"/>
  <c r="I308" i="72" s="1"/>
  <c r="J309" i="72" s="1"/>
  <c r="K310" i="72" s="1"/>
  <c r="L311" i="72" s="1"/>
  <c r="E90" i="72" l="1"/>
  <c r="F90" i="72" s="1"/>
  <c r="E153" i="72"/>
  <c r="F153" i="72" s="1"/>
  <c r="G27" i="72"/>
  <c r="H28" i="72" s="1"/>
  <c r="I29" i="72" s="1"/>
  <c r="J30" i="72" s="1"/>
  <c r="K31" i="72" s="1"/>
  <c r="L32" i="72" s="1"/>
  <c r="E306" i="72"/>
  <c r="F306" i="72" s="1"/>
  <c r="E60" i="72"/>
  <c r="F60" i="72" s="1"/>
  <c r="E212" i="72"/>
  <c r="F212" i="72" s="1"/>
  <c r="E277" i="72"/>
  <c r="F277" i="72" s="1"/>
  <c r="G243" i="72"/>
  <c r="H244" i="72" s="1"/>
  <c r="I245" i="72" s="1"/>
  <c r="J246" i="72" s="1"/>
  <c r="K247" i="72" s="1"/>
  <c r="L248" i="72" s="1"/>
  <c r="M249" i="72" s="1"/>
  <c r="E121" i="72"/>
  <c r="F121" i="72" s="1"/>
  <c r="E184" i="72"/>
  <c r="F184" i="72" s="1"/>
  <c r="E243" i="72" l="1"/>
  <c r="F243" i="72" s="1"/>
  <c r="G244" i="72" s="1"/>
  <c r="H245" i="72" s="1"/>
  <c r="I246" i="72" s="1"/>
  <c r="J247" i="72" s="1"/>
  <c r="K248" i="72" s="1"/>
  <c r="L249" i="72" s="1"/>
  <c r="G213" i="72"/>
  <c r="H214" i="72" s="1"/>
  <c r="I215" i="72" s="1"/>
  <c r="J216" i="72" s="1"/>
  <c r="K217" i="72" s="1"/>
  <c r="L218" i="72" s="1"/>
  <c r="G61" i="72"/>
  <c r="H62" i="72" s="1"/>
  <c r="I63" i="72" s="1"/>
  <c r="G307" i="72"/>
  <c r="H308" i="72" s="1"/>
  <c r="I309" i="72" s="1"/>
  <c r="J310" i="72" s="1"/>
  <c r="K311" i="72" s="1"/>
  <c r="E27" i="72"/>
  <c r="F27" i="72" s="1"/>
  <c r="G185" i="72"/>
  <c r="H186" i="72" s="1"/>
  <c r="I187" i="72" s="1"/>
  <c r="G122" i="72"/>
  <c r="H123" i="72" s="1"/>
  <c r="I124" i="72" s="1"/>
  <c r="J125" i="72" s="1"/>
  <c r="G154" i="72"/>
  <c r="H155" i="72" s="1"/>
  <c r="I156" i="72" s="1"/>
  <c r="G278" i="72"/>
  <c r="H279" i="72" s="1"/>
  <c r="I280" i="72" s="1"/>
  <c r="G91" i="72"/>
  <c r="H92" i="72" s="1"/>
  <c r="I93" i="72" s="1"/>
  <c r="J94" i="72" s="1"/>
  <c r="E91" i="72" l="1"/>
  <c r="F91" i="72" s="1"/>
  <c r="G92" i="72" s="1"/>
  <c r="H93" i="72" s="1"/>
  <c r="I94" i="72" s="1"/>
  <c r="E154" i="72"/>
  <c r="F154" i="72" s="1"/>
  <c r="G155" i="72" s="1"/>
  <c r="H156" i="72" s="1"/>
  <c r="E278" i="72"/>
  <c r="F278" i="72" s="1"/>
  <c r="G279" i="72" s="1"/>
  <c r="H280" i="72" s="1"/>
  <c r="E185" i="72"/>
  <c r="F185" i="72" s="1"/>
  <c r="G28" i="72"/>
  <c r="H29" i="72" s="1"/>
  <c r="I30" i="72" s="1"/>
  <c r="J31" i="72" s="1"/>
  <c r="K32" i="72" s="1"/>
  <c r="E307" i="72"/>
  <c r="F307" i="72" s="1"/>
  <c r="E61" i="72"/>
  <c r="F61" i="72" s="1"/>
  <c r="E244" i="72"/>
  <c r="F244" i="72" s="1"/>
  <c r="E213" i="72"/>
  <c r="F213" i="72" s="1"/>
  <c r="E122" i="72"/>
  <c r="F122" i="72" s="1"/>
  <c r="E155" i="72" l="1"/>
  <c r="F155" i="72" s="1"/>
  <c r="G156" i="72" s="1"/>
  <c r="E156" i="72" s="1"/>
  <c r="F156" i="72" s="1"/>
  <c r="G62" i="72"/>
  <c r="H63" i="72" s="1"/>
  <c r="E92" i="72"/>
  <c r="F92" i="72" s="1"/>
  <c r="G123" i="72"/>
  <c r="H124" i="72" s="1"/>
  <c r="I125" i="72" s="1"/>
  <c r="G308" i="72"/>
  <c r="H309" i="72" s="1"/>
  <c r="I310" i="72" s="1"/>
  <c r="J311" i="72" s="1"/>
  <c r="G214" i="72"/>
  <c r="H215" i="72" s="1"/>
  <c r="I216" i="72" s="1"/>
  <c r="J217" i="72" s="1"/>
  <c r="K218" i="72" s="1"/>
  <c r="E28" i="72"/>
  <c r="F28" i="72" s="1"/>
  <c r="G245" i="72"/>
  <c r="H246" i="72" s="1"/>
  <c r="I247" i="72" s="1"/>
  <c r="J248" i="72" s="1"/>
  <c r="K249" i="72" s="1"/>
  <c r="E279" i="72"/>
  <c r="F279" i="72" s="1"/>
  <c r="G280" i="72" s="1"/>
  <c r="E280" i="72" s="1"/>
  <c r="F280" i="72" s="1"/>
  <c r="G186" i="72"/>
  <c r="H187" i="72" s="1"/>
  <c r="E186" i="72" l="1"/>
  <c r="F186" i="72" s="1"/>
  <c r="G187" i="72" s="1"/>
  <c r="E187" i="72" s="1"/>
  <c r="F187" i="72" s="1"/>
  <c r="E245" i="72"/>
  <c r="F245" i="72" s="1"/>
  <c r="G29" i="72"/>
  <c r="H30" i="72" s="1"/>
  <c r="I31" i="72" s="1"/>
  <c r="J32" i="72" s="1"/>
  <c r="E214" i="72"/>
  <c r="F214" i="72" s="1"/>
  <c r="E308" i="72"/>
  <c r="F308" i="72" s="1"/>
  <c r="E123" i="72"/>
  <c r="F123" i="72" s="1"/>
  <c r="G93" i="72"/>
  <c r="H94" i="72" s="1"/>
  <c r="E62" i="72"/>
  <c r="F62" i="72" s="1"/>
  <c r="G63" i="72" s="1"/>
  <c r="E63" i="72" s="1"/>
  <c r="F63" i="72" s="1"/>
  <c r="AL63" i="72" s="1"/>
  <c r="E93" i="72" l="1"/>
  <c r="F93" i="72" s="1"/>
  <c r="G94" i="72" s="1"/>
  <c r="E94" i="72" s="1"/>
  <c r="F94" i="72" s="1"/>
  <c r="AL94" i="72" s="1"/>
  <c r="G124" i="72"/>
  <c r="H125" i="72" s="1"/>
  <c r="G309" i="72"/>
  <c r="H310" i="72" s="1"/>
  <c r="I311" i="72" s="1"/>
  <c r="E29" i="72"/>
  <c r="F29" i="72" s="1"/>
  <c r="G215" i="72"/>
  <c r="H216" i="72" s="1"/>
  <c r="I217" i="72" s="1"/>
  <c r="J218" i="72" s="1"/>
  <c r="G246" i="72"/>
  <c r="H247" i="72" s="1"/>
  <c r="I248" i="72" s="1"/>
  <c r="J249" i="72" s="1"/>
  <c r="E246" i="72" l="1"/>
  <c r="F246" i="72" s="1"/>
  <c r="E215" i="72"/>
  <c r="F215" i="72" s="1"/>
  <c r="G30" i="72"/>
  <c r="H31" i="72" s="1"/>
  <c r="I32" i="72" s="1"/>
  <c r="E309" i="72"/>
  <c r="F309" i="72" s="1"/>
  <c r="E124" i="72"/>
  <c r="F124" i="72" s="1"/>
  <c r="G125" i="72" l="1"/>
  <c r="E125" i="72" s="1"/>
  <c r="F125" i="72" s="1"/>
  <c r="AL125" i="72" s="1"/>
  <c r="AL127" i="72" s="1"/>
  <c r="G310" i="72"/>
  <c r="H311" i="72" s="1"/>
  <c r="E30" i="72"/>
  <c r="F30" i="72" s="1"/>
  <c r="G216" i="72"/>
  <c r="H217" i="72" s="1"/>
  <c r="I218" i="72" s="1"/>
  <c r="G247" i="72"/>
  <c r="H248" i="72" s="1"/>
  <c r="I249" i="72" s="1"/>
  <c r="E247" i="72" l="1"/>
  <c r="F247" i="72" s="1"/>
  <c r="E216" i="72"/>
  <c r="F216" i="72" s="1"/>
  <c r="G31" i="72"/>
  <c r="H32" i="72" s="1"/>
  <c r="E310" i="72"/>
  <c r="F310" i="72" s="1"/>
  <c r="G311" i="72" s="1"/>
  <c r="E311" i="72" s="1"/>
  <c r="F311" i="72" s="1"/>
  <c r="E31" i="72" l="1"/>
  <c r="F31" i="72" s="1"/>
  <c r="G217" i="72"/>
  <c r="H218" i="72" s="1"/>
  <c r="G248" i="72"/>
  <c r="H249" i="72" s="1"/>
  <c r="E248" i="72" l="1"/>
  <c r="F248" i="72" s="1"/>
  <c r="E217" i="72"/>
  <c r="F217" i="72" s="1"/>
  <c r="G32" i="72"/>
  <c r="E32" i="72" s="1"/>
  <c r="F32" i="72" s="1"/>
  <c r="AL32" i="72" s="1"/>
  <c r="G218" i="72" l="1"/>
  <c r="E218" i="72" s="1"/>
  <c r="F218" i="72" s="1"/>
  <c r="G249" i="72"/>
  <c r="E249" i="72" s="1"/>
  <c r="F249" i="72" s="1"/>
  <c r="G37" i="26" l="1" a="1"/>
  <c r="G37" i="26" s="1"/>
  <c r="H221" i="35" s="1"/>
  <c r="G39" i="26" a="1"/>
  <c r="G39" i="26" s="1"/>
  <c r="F42" i="26" a="1"/>
  <c r="F42" i="26" s="1"/>
  <c r="G226" i="35" s="1"/>
  <c r="H28" i="26" a="1"/>
  <c r="H28" i="26" s="1"/>
  <c r="I212" i="35" s="1"/>
  <c r="H25" i="26" a="1"/>
  <c r="H25" i="26" s="1"/>
  <c r="I209" i="35" s="1"/>
  <c r="E40" i="26" a="1"/>
  <c r="E40" i="26" s="1"/>
  <c r="I203" i="35" s="1"/>
  <c r="E41" i="26" a="1"/>
  <c r="E41" i="26" s="1"/>
  <c r="I204" i="35" s="1"/>
  <c r="H23" i="26" a="1"/>
  <c r="H23" i="26" s="1"/>
  <c r="H31" i="26" a="1"/>
  <c r="H31" i="26" s="1"/>
  <c r="D33" i="26" a="1"/>
  <c r="D33" i="26" s="1"/>
  <c r="H196" i="35" s="1"/>
  <c r="H24" i="26" a="1"/>
  <c r="H24" i="26" s="1"/>
  <c r="I208" i="35" s="1"/>
  <c r="D36" i="26" a="1"/>
  <c r="D36" i="26" s="1"/>
  <c r="H199" i="35" s="1"/>
  <c r="G25" i="26" a="1"/>
  <c r="G25" i="26" s="1"/>
  <c r="H209" i="35" s="1"/>
  <c r="D32" i="26" a="1"/>
  <c r="D32" i="26" s="1"/>
  <c r="H195" i="35" s="1"/>
  <c r="E35" i="26" a="1"/>
  <c r="E35" i="26" s="1"/>
  <c r="F32" i="26" a="1"/>
  <c r="F32" i="26" s="1"/>
  <c r="G216" i="35" s="1"/>
  <c r="G41" i="26" a="1"/>
  <c r="G41" i="26" s="1"/>
  <c r="H225" i="35" s="1"/>
  <c r="F24" i="26" a="1"/>
  <c r="F24" i="26" s="1"/>
  <c r="G208" i="35" s="1"/>
  <c r="D35" i="26" a="1"/>
  <c r="D35" i="26" s="1"/>
  <c r="G31" i="26" a="1"/>
  <c r="G31" i="26" s="1"/>
  <c r="E39" i="26" a="1"/>
  <c r="E39" i="26" s="1"/>
  <c r="G30" i="26" a="1"/>
  <c r="G30" i="26" s="1"/>
  <c r="H214" i="35" s="1"/>
  <c r="D38" i="26" a="1"/>
  <c r="D38" i="26" s="1"/>
  <c r="H201" i="35" s="1"/>
  <c r="F31" i="26" a="1"/>
  <c r="F31" i="26" s="1"/>
  <c r="D26" i="26" a="1"/>
  <c r="D26" i="26" s="1"/>
  <c r="H189" i="35" s="1"/>
  <c r="F35" i="26" a="1"/>
  <c r="F35" i="26" s="1"/>
  <c r="E28" i="26" a="1"/>
  <c r="E28" i="26" s="1"/>
  <c r="I191" i="35" s="1"/>
  <c r="F37" i="26" a="1"/>
  <c r="F37" i="26" s="1"/>
  <c r="G221" i="35" s="1"/>
  <c r="H26" i="26" a="1"/>
  <c r="H26" i="26" s="1"/>
  <c r="I210" i="35" s="1"/>
  <c r="G33" i="26" a="1"/>
  <c r="G33" i="26" s="1"/>
  <c r="H217" i="35" s="1"/>
  <c r="G28" i="26" a="1"/>
  <c r="G28" i="26" s="1"/>
  <c r="H212" i="35" s="1"/>
  <c r="F41" i="26" a="1"/>
  <c r="F41" i="26" s="1"/>
  <c r="G225" i="35" s="1"/>
  <c r="D39" i="26" a="1"/>
  <c r="D39" i="26" s="1"/>
  <c r="E42" i="26" a="1"/>
  <c r="E42" i="26" s="1"/>
  <c r="I205" i="35" s="1"/>
  <c r="D40" i="26" a="1"/>
  <c r="D40" i="26" s="1"/>
  <c r="H203" i="35" s="1"/>
  <c r="D27" i="26" a="1"/>
  <c r="D27" i="26" s="1"/>
  <c r="E37" i="26" a="1"/>
  <c r="E37" i="26" s="1"/>
  <c r="I200" i="35" s="1"/>
  <c r="H37" i="26" a="1"/>
  <c r="H37" i="26" s="1"/>
  <c r="I221" i="35" s="1"/>
  <c r="E33" i="26" a="1"/>
  <c r="E33" i="26" s="1"/>
  <c r="I196" i="35" s="1"/>
  <c r="H42" i="26" a="1"/>
  <c r="H42" i="26" s="1"/>
  <c r="I226" i="35" s="1"/>
  <c r="E27" i="26" a="1"/>
  <c r="E27" i="26" s="1"/>
  <c r="H32" i="26" a="1"/>
  <c r="H32" i="26" s="1"/>
  <c r="I216" i="35" s="1"/>
  <c r="D28" i="26" a="1"/>
  <c r="D28" i="26" s="1"/>
  <c r="H191" i="35" s="1"/>
  <c r="F26" i="26" a="1"/>
  <c r="F26" i="26" s="1"/>
  <c r="G210" i="35" s="1"/>
  <c r="F38" i="26" a="1"/>
  <c r="F38" i="26" s="1"/>
  <c r="G222" i="35" s="1"/>
  <c r="F29" i="26" a="1"/>
  <c r="F29" i="26" s="1"/>
  <c r="G213" i="35" s="1"/>
  <c r="H41" i="26" a="1"/>
  <c r="H41" i="26" s="1"/>
  <c r="I225" i="35" s="1"/>
  <c r="G23" i="26" a="1"/>
  <c r="G23" i="26" s="1"/>
  <c r="G38" i="26" a="1"/>
  <c r="G38" i="26" s="1"/>
  <c r="H222" i="35" s="1"/>
  <c r="D41" i="26" a="1"/>
  <c r="D41" i="26" s="1"/>
  <c r="H204" i="35" s="1"/>
  <c r="G29" i="26" a="1"/>
  <c r="G29" i="26" s="1"/>
  <c r="H213" i="35" s="1"/>
  <c r="D25" i="26" a="1"/>
  <c r="D25" i="26" s="1"/>
  <c r="H188" i="35" s="1"/>
  <c r="E36" i="26" a="1"/>
  <c r="E36" i="26" s="1"/>
  <c r="I199" i="35" s="1"/>
  <c r="F39" i="26" a="1"/>
  <c r="F39" i="26" s="1"/>
  <c r="G42" i="26" a="1"/>
  <c r="G42" i="26" s="1"/>
  <c r="H226" i="35" s="1"/>
  <c r="D24" i="26" a="1"/>
  <c r="D24" i="26" s="1"/>
  <c r="H187" i="35" s="1"/>
  <c r="F40" i="26" a="1"/>
  <c r="F40" i="26" s="1"/>
  <c r="G224" i="35" s="1"/>
  <c r="E38" i="26" a="1"/>
  <c r="E38" i="26" s="1"/>
  <c r="I201" i="35" s="1"/>
  <c r="F30" i="26" a="1"/>
  <c r="F30" i="26" s="1"/>
  <c r="G214" i="35" s="1"/>
  <c r="D29" i="26" a="1"/>
  <c r="D29" i="26" s="1"/>
  <c r="H192" i="35" s="1"/>
  <c r="D31" i="26" a="1"/>
  <c r="D31" i="26" s="1"/>
  <c r="E29" i="26" a="1"/>
  <c r="E29" i="26" s="1"/>
  <c r="I192" i="35" s="1"/>
  <c r="F28" i="26" a="1"/>
  <c r="F28" i="26" s="1"/>
  <c r="G212" i="35" s="1"/>
  <c r="F27" i="26" a="1"/>
  <c r="F27" i="26" s="1"/>
  <c r="D30" i="26" a="1"/>
  <c r="D30" i="26" s="1"/>
  <c r="H193" i="35" s="1"/>
  <c r="E34" i="26" a="1"/>
  <c r="E34" i="26" s="1"/>
  <c r="I197" i="35" s="1"/>
  <c r="G35" i="26" a="1"/>
  <c r="G35" i="26" s="1"/>
  <c r="E25" i="26" a="1"/>
  <c r="E25" i="26" s="1"/>
  <c r="I188" i="35" s="1"/>
  <c r="G24" i="26" a="1"/>
  <c r="G24" i="26" s="1"/>
  <c r="H208" i="35" s="1"/>
  <c r="G27" i="26" a="1"/>
  <c r="G27" i="26" s="1"/>
  <c r="D42" i="26" a="1"/>
  <c r="D42" i="26" s="1"/>
  <c r="H205" i="35" s="1"/>
  <c r="G34" i="26" a="1"/>
  <c r="G34" i="26" s="1"/>
  <c r="H218" i="35" s="1"/>
  <c r="F23" i="26" a="1"/>
  <c r="F23" i="26" s="1"/>
  <c r="H38" i="26" a="1"/>
  <c r="H38" i="26" s="1"/>
  <c r="I222" i="35" s="1"/>
  <c r="G36" i="26" a="1"/>
  <c r="G36" i="26" s="1"/>
  <c r="H220" i="35" s="1"/>
  <c r="D23" i="26" a="1"/>
  <c r="D23" i="26" s="1"/>
  <c r="F25" i="26" a="1"/>
  <c r="F25" i="26" s="1"/>
  <c r="G209" i="35" s="1"/>
  <c r="H29" i="26" a="1"/>
  <c r="H29" i="26" s="1"/>
  <c r="I213" i="35" s="1"/>
  <c r="E32" i="26" a="1"/>
  <c r="E32" i="26" s="1"/>
  <c r="I195" i="35" s="1"/>
  <c r="F36" i="26" a="1"/>
  <c r="F36" i="26" s="1"/>
  <c r="G220" i="35" s="1"/>
  <c r="H30" i="26" a="1"/>
  <c r="H30" i="26" s="1"/>
  <c r="I214" i="35" s="1"/>
  <c r="D34" i="26" a="1"/>
  <c r="D34" i="26" s="1"/>
  <c r="H197" i="35" s="1"/>
  <c r="E30" i="26" a="1"/>
  <c r="E30" i="26" s="1"/>
  <c r="I193" i="35" s="1"/>
  <c r="F34" i="26" a="1"/>
  <c r="F34" i="26" s="1"/>
  <c r="G218" i="35" s="1"/>
  <c r="G40" i="26" a="1"/>
  <c r="G40" i="26" s="1"/>
  <c r="H224" i="35" s="1"/>
  <c r="F33" i="26" a="1"/>
  <c r="F33" i="26" s="1"/>
  <c r="G217" i="35" s="1"/>
  <c r="H34" i="26" a="1"/>
  <c r="H34" i="26" s="1"/>
  <c r="I218" i="35" s="1"/>
  <c r="G26" i="26" a="1"/>
  <c r="G26" i="26" s="1"/>
  <c r="H210" i="35" s="1"/>
  <c r="H33" i="26" a="1"/>
  <c r="H33" i="26" s="1"/>
  <c r="I217" i="35" s="1"/>
  <c r="H27" i="26" a="1"/>
  <c r="H27" i="26" s="1"/>
  <c r="H35" i="26" a="1"/>
  <c r="H35" i="26" s="1"/>
  <c r="E24" i="26" a="1"/>
  <c r="E24" i="26" s="1"/>
  <c r="I187" i="35" s="1"/>
  <c r="G32" i="26" a="1"/>
  <c r="G32" i="26" s="1"/>
  <c r="H216" i="35" s="1"/>
  <c r="H40" i="26" a="1"/>
  <c r="H40" i="26" s="1"/>
  <c r="I224" i="35" s="1"/>
  <c r="D37" i="26" a="1"/>
  <c r="D37" i="26" s="1"/>
  <c r="H200" i="35" s="1"/>
  <c r="E23" i="26" a="1"/>
  <c r="E23" i="26" s="1"/>
  <c r="H36" i="26" a="1"/>
  <c r="H36" i="26" s="1"/>
  <c r="I220" i="35" s="1"/>
  <c r="E26" i="26" a="1"/>
  <c r="E26" i="26" s="1"/>
  <c r="I189" i="35" s="1"/>
  <c r="H39" i="26" a="1"/>
  <c r="H39" i="26" s="1"/>
  <c r="E31" i="26" a="1"/>
  <c r="E31" i="26" s="1"/>
  <c r="D50" i="26" l="1"/>
  <c r="I186" i="35"/>
  <c r="H61" i="58"/>
  <c r="H61" i="41" s="1"/>
  <c r="H60" i="58"/>
  <c r="H60" i="41" s="1"/>
  <c r="H59" i="58"/>
  <c r="H59" i="41" s="1"/>
  <c r="H62" i="58"/>
  <c r="H62" i="41" s="1"/>
  <c r="I60" i="58"/>
  <c r="I62" i="58"/>
  <c r="I61" i="58"/>
  <c r="I59" i="58"/>
  <c r="I39" i="37"/>
  <c r="I42" i="37"/>
  <c r="I40" i="37"/>
  <c r="I41" i="37"/>
  <c r="F50" i="26"/>
  <c r="H207" i="35"/>
  <c r="H190" i="35"/>
  <c r="C51" i="26"/>
  <c r="E52" i="26"/>
  <c r="H52" i="26" s="1"/>
  <c r="G215" i="35"/>
  <c r="I69" i="37"/>
  <c r="I67" i="37"/>
  <c r="I70" i="37"/>
  <c r="I68" i="37"/>
  <c r="I73" i="37"/>
  <c r="I72" i="37"/>
  <c r="I71" i="37"/>
  <c r="I74" i="37"/>
  <c r="J45" i="37"/>
  <c r="J43" i="37"/>
  <c r="J44" i="37"/>
  <c r="J46" i="37"/>
  <c r="I93" i="37"/>
  <c r="I91" i="37"/>
  <c r="I92" i="37"/>
  <c r="I94" i="37"/>
  <c r="H43" i="58"/>
  <c r="H43" i="41" s="1"/>
  <c r="H46" i="58"/>
  <c r="H46" i="41" s="1"/>
  <c r="H45" i="58"/>
  <c r="H45" i="41" s="1"/>
  <c r="H44" i="58"/>
  <c r="H44" i="41" s="1"/>
  <c r="J88" i="58"/>
  <c r="J87" i="58"/>
  <c r="J89" i="58"/>
  <c r="J90" i="58"/>
  <c r="I84" i="37"/>
  <c r="I86" i="37"/>
  <c r="I85" i="37"/>
  <c r="I83" i="37"/>
  <c r="I77" i="37"/>
  <c r="I76" i="37"/>
  <c r="I75" i="37"/>
  <c r="I78" i="37"/>
  <c r="J20" i="58"/>
  <c r="J22" i="58"/>
  <c r="J21" i="58"/>
  <c r="J19" i="58"/>
  <c r="J85" i="58"/>
  <c r="J83" i="58"/>
  <c r="J86" i="58"/>
  <c r="J84" i="58"/>
  <c r="I59" i="37"/>
  <c r="I62" i="37"/>
  <c r="I61" i="37"/>
  <c r="I60" i="37"/>
  <c r="F51" i="26"/>
  <c r="H211" i="35"/>
  <c r="J77" i="37"/>
  <c r="J75" i="37"/>
  <c r="J76" i="37"/>
  <c r="J78" i="37"/>
  <c r="H39" i="58"/>
  <c r="H39" i="41" s="1"/>
  <c r="H42" i="58"/>
  <c r="H42" i="41" s="1"/>
  <c r="H40" i="58"/>
  <c r="H40" i="41" s="1"/>
  <c r="H41" i="58"/>
  <c r="H41" i="41" s="1"/>
  <c r="J93" i="37"/>
  <c r="J92" i="37"/>
  <c r="J91" i="37"/>
  <c r="J94" i="37"/>
  <c r="I44" i="58"/>
  <c r="I45" i="58"/>
  <c r="I43" i="58"/>
  <c r="I46" i="58"/>
  <c r="I57" i="37"/>
  <c r="I55" i="37"/>
  <c r="I56" i="37"/>
  <c r="I58" i="37"/>
  <c r="I53" i="58"/>
  <c r="I51" i="58"/>
  <c r="I52" i="58"/>
  <c r="I54" i="58"/>
  <c r="J45" i="58"/>
  <c r="J44" i="58"/>
  <c r="J43" i="58"/>
  <c r="J46" i="58"/>
  <c r="I22" i="58"/>
  <c r="I20" i="58"/>
  <c r="I21" i="58"/>
  <c r="I19" i="58"/>
  <c r="H83" i="58"/>
  <c r="H83" i="41" s="1"/>
  <c r="H84" i="58"/>
  <c r="H84" i="41" s="1"/>
  <c r="H85" i="58"/>
  <c r="H85" i="41" s="1"/>
  <c r="H86" i="58"/>
  <c r="H86" i="41" s="1"/>
  <c r="H76" i="58"/>
  <c r="H76" i="41" s="1"/>
  <c r="H75" i="58"/>
  <c r="H75" i="41" s="1"/>
  <c r="H77" i="58"/>
  <c r="H77" i="41" s="1"/>
  <c r="H78" i="58"/>
  <c r="H78" i="41" s="1"/>
  <c r="H202" i="35"/>
  <c r="C54" i="26"/>
  <c r="I202" i="35"/>
  <c r="D54" i="26"/>
  <c r="I215" i="35"/>
  <c r="G52" i="26"/>
  <c r="J20" i="37"/>
  <c r="J20" i="41" s="1"/>
  <c r="J22" i="37"/>
  <c r="J21" i="37"/>
  <c r="J19" i="37"/>
  <c r="H69" i="58"/>
  <c r="H69" i="41" s="1"/>
  <c r="H70" i="58"/>
  <c r="H70" i="41" s="1"/>
  <c r="H67" i="58"/>
  <c r="H67" i="41" s="1"/>
  <c r="H68" i="58"/>
  <c r="H68" i="41" s="1"/>
  <c r="J25" i="37"/>
  <c r="J23" i="37"/>
  <c r="J24" i="37"/>
  <c r="J26" i="37"/>
  <c r="I21" i="37"/>
  <c r="I19" i="37"/>
  <c r="I20" i="37"/>
  <c r="I20" i="41" s="1"/>
  <c r="I22" i="37"/>
  <c r="H29" i="58"/>
  <c r="H29" i="41" s="1"/>
  <c r="H28" i="58"/>
  <c r="H28" i="41" s="1"/>
  <c r="H27" i="58"/>
  <c r="H27" i="41" s="1"/>
  <c r="H30" i="58"/>
  <c r="H30" i="41" s="1"/>
  <c r="H88" i="58"/>
  <c r="H88" i="41" s="1"/>
  <c r="H87" i="58"/>
  <c r="H87" i="41" s="1"/>
  <c r="H89" i="58"/>
  <c r="H89" i="41" s="1"/>
  <c r="H90" i="58"/>
  <c r="H90" i="41" s="1"/>
  <c r="H215" i="35"/>
  <c r="F52" i="26"/>
  <c r="I207" i="35"/>
  <c r="G50" i="26"/>
  <c r="I219" i="35"/>
  <c r="G53" i="26"/>
  <c r="J53" i="37"/>
  <c r="J54" i="37"/>
  <c r="J52" i="37"/>
  <c r="J51" i="37"/>
  <c r="F53" i="26"/>
  <c r="H219" i="35"/>
  <c r="I92" i="58"/>
  <c r="I91" i="58"/>
  <c r="I93" i="58"/>
  <c r="I94" i="58"/>
  <c r="I35" i="37"/>
  <c r="I37" i="37"/>
  <c r="I38" i="37"/>
  <c r="I36" i="37"/>
  <c r="I37" i="58"/>
  <c r="I35" i="58"/>
  <c r="I36" i="58"/>
  <c r="I38" i="58"/>
  <c r="H198" i="35"/>
  <c r="C53" i="26"/>
  <c r="J88" i="37"/>
  <c r="J87" i="37"/>
  <c r="J89" i="37"/>
  <c r="J90" i="37"/>
  <c r="D52" i="26"/>
  <c r="I194" i="35"/>
  <c r="G51" i="26"/>
  <c r="I211" i="35"/>
  <c r="J40" i="58"/>
  <c r="J39" i="58"/>
  <c r="J41" i="58"/>
  <c r="J42" i="58"/>
  <c r="J60" i="37"/>
  <c r="J61" i="37"/>
  <c r="J59" i="37"/>
  <c r="J62" i="37"/>
  <c r="E54" i="26"/>
  <c r="H54" i="26" s="1"/>
  <c r="G223" i="35"/>
  <c r="J52" i="58"/>
  <c r="J54" i="58"/>
  <c r="J51" i="58"/>
  <c r="J53" i="58"/>
  <c r="I57" i="58"/>
  <c r="I55" i="58"/>
  <c r="I56" i="58"/>
  <c r="I58" i="58"/>
  <c r="H21" i="58"/>
  <c r="H21" i="41" s="1"/>
  <c r="H19" i="58"/>
  <c r="H19" i="41" s="1"/>
  <c r="H20" i="58"/>
  <c r="H20" i="41" s="1"/>
  <c r="H22" i="58"/>
  <c r="H22" i="41" s="1"/>
  <c r="J85" i="37"/>
  <c r="J84" i="37"/>
  <c r="J84" i="41" s="1"/>
  <c r="J83" i="37"/>
  <c r="J86" i="37"/>
  <c r="G54" i="26"/>
  <c r="I223" i="35"/>
  <c r="J55" i="58"/>
  <c r="J58" i="58"/>
  <c r="J57" i="58"/>
  <c r="J56" i="58"/>
  <c r="H23" i="58"/>
  <c r="H23" i="41" s="1"/>
  <c r="H24" i="58"/>
  <c r="H24" i="41" s="1"/>
  <c r="H25" i="58"/>
  <c r="H25" i="41" s="1"/>
  <c r="H26" i="58"/>
  <c r="H26" i="41" s="1"/>
  <c r="I44" i="37"/>
  <c r="I46" i="37"/>
  <c r="I45" i="37"/>
  <c r="I43" i="37"/>
  <c r="J67" i="37"/>
  <c r="J68" i="37"/>
  <c r="J69" i="37"/>
  <c r="J70" i="37"/>
  <c r="D51" i="26"/>
  <c r="I190" i="35"/>
  <c r="J27" i="58"/>
  <c r="J30" i="58"/>
  <c r="J29" i="58"/>
  <c r="J28" i="58"/>
  <c r="I89" i="58"/>
  <c r="I88" i="58"/>
  <c r="I87" i="58"/>
  <c r="I90" i="58"/>
  <c r="J23" i="58"/>
  <c r="J25" i="58"/>
  <c r="J24" i="58"/>
  <c r="J26" i="58"/>
  <c r="I29" i="58"/>
  <c r="I28" i="58"/>
  <c r="I27" i="58"/>
  <c r="I30" i="58"/>
  <c r="C50" i="26"/>
  <c r="H186" i="35"/>
  <c r="E51" i="26"/>
  <c r="H51" i="26" s="1"/>
  <c r="G211" i="35"/>
  <c r="I24" i="37"/>
  <c r="I25" i="37"/>
  <c r="I23" i="37"/>
  <c r="I26" i="37"/>
  <c r="J92" i="58"/>
  <c r="J94" i="58"/>
  <c r="J93" i="58"/>
  <c r="J91" i="58"/>
  <c r="H73" i="58"/>
  <c r="H73" i="41" s="1"/>
  <c r="H71" i="58"/>
  <c r="H71" i="41" s="1"/>
  <c r="H72" i="58"/>
  <c r="H72" i="41" s="1"/>
  <c r="H74" i="58"/>
  <c r="H74" i="41" s="1"/>
  <c r="H52" i="58"/>
  <c r="H52" i="41" s="1"/>
  <c r="H51" i="58"/>
  <c r="H51" i="41" s="1"/>
  <c r="H53" i="58"/>
  <c r="H53" i="41" s="1"/>
  <c r="H54" i="58"/>
  <c r="H54" i="41" s="1"/>
  <c r="J35" i="58"/>
  <c r="J38" i="58"/>
  <c r="J36" i="58"/>
  <c r="J37" i="58"/>
  <c r="J60" i="58"/>
  <c r="J61" i="58"/>
  <c r="J59" i="58"/>
  <c r="J62" i="58"/>
  <c r="I69" i="58"/>
  <c r="I68" i="58"/>
  <c r="I67" i="58"/>
  <c r="I70" i="58"/>
  <c r="H36" i="58"/>
  <c r="H36" i="41" s="1"/>
  <c r="H37" i="58"/>
  <c r="H37" i="41" s="1"/>
  <c r="H35" i="58"/>
  <c r="H35" i="41" s="1"/>
  <c r="H38" i="58"/>
  <c r="H38" i="41" s="1"/>
  <c r="I41" i="58"/>
  <c r="I42" i="58"/>
  <c r="I39" i="58"/>
  <c r="I40" i="58"/>
  <c r="J57" i="37"/>
  <c r="J56" i="37"/>
  <c r="J55" i="37"/>
  <c r="J55" i="41" s="1"/>
  <c r="J58" i="37"/>
  <c r="J37" i="37"/>
  <c r="J35" i="37"/>
  <c r="J36" i="37"/>
  <c r="J38" i="37"/>
  <c r="D53" i="26"/>
  <c r="I198" i="35"/>
  <c r="H92" i="58"/>
  <c r="H92" i="41" s="1"/>
  <c r="H93" i="58"/>
  <c r="H93" i="41" s="1"/>
  <c r="H91" i="58"/>
  <c r="H91" i="41" s="1"/>
  <c r="H94" i="58"/>
  <c r="H94" i="41" s="1"/>
  <c r="J28" i="37"/>
  <c r="J27" i="37"/>
  <c r="J29" i="37"/>
  <c r="J30" i="37"/>
  <c r="H57" i="58"/>
  <c r="H57" i="41" s="1"/>
  <c r="H56" i="58"/>
  <c r="H56" i="41" s="1"/>
  <c r="H58" i="58"/>
  <c r="H58" i="41" s="1"/>
  <c r="H55" i="58"/>
  <c r="H55" i="41" s="1"/>
  <c r="J77" i="58"/>
  <c r="J75" i="58"/>
  <c r="J76" i="58"/>
  <c r="J78" i="58"/>
  <c r="J39" i="37"/>
  <c r="J42" i="37"/>
  <c r="J41" i="37"/>
  <c r="J40" i="37"/>
  <c r="I88" i="37"/>
  <c r="I89" i="37"/>
  <c r="I87" i="37"/>
  <c r="I87" i="41" s="1"/>
  <c r="I90" i="37"/>
  <c r="J73" i="58"/>
  <c r="J71" i="58"/>
  <c r="J72" i="58"/>
  <c r="J74" i="58"/>
  <c r="G219" i="35"/>
  <c r="E53" i="26"/>
  <c r="H53" i="26" s="1"/>
  <c r="I52" i="37"/>
  <c r="I51" i="37"/>
  <c r="I53" i="37"/>
  <c r="I54" i="37"/>
  <c r="F54" i="26"/>
  <c r="H223" i="35"/>
  <c r="J67" i="58"/>
  <c r="J70" i="58"/>
  <c r="J68" i="58"/>
  <c r="J69" i="58"/>
  <c r="I83" i="58"/>
  <c r="I86" i="58"/>
  <c r="I85" i="58"/>
  <c r="I84" i="58"/>
  <c r="E50" i="26"/>
  <c r="H50" i="26" s="1"/>
  <c r="G207" i="35"/>
  <c r="H194" i="35"/>
  <c r="C52" i="26"/>
  <c r="I52" i="26" s="1"/>
  <c r="I75" i="58"/>
  <c r="I76" i="58"/>
  <c r="I77" i="58"/>
  <c r="I78" i="58"/>
  <c r="J72" i="37"/>
  <c r="J74" i="37"/>
  <c r="J71" i="37"/>
  <c r="J73" i="37"/>
  <c r="I29" i="37"/>
  <c r="I27" i="37"/>
  <c r="I27" i="41" s="1"/>
  <c r="I28" i="37"/>
  <c r="I28" i="41" s="1"/>
  <c r="I30" i="37"/>
  <c r="I24" i="58"/>
  <c r="I26" i="58"/>
  <c r="I23" i="58"/>
  <c r="I25" i="58"/>
  <c r="I72" i="58"/>
  <c r="I74" i="58"/>
  <c r="I73" i="58"/>
  <c r="I71" i="58"/>
  <c r="I90" i="41" l="1"/>
  <c r="J58" i="41"/>
  <c r="J53" i="26"/>
  <c r="J19" i="41"/>
  <c r="I89" i="41"/>
  <c r="J22" i="41"/>
  <c r="I54" i="41"/>
  <c r="J71" i="41"/>
  <c r="J42" i="41"/>
  <c r="J21" i="41"/>
  <c r="I30" i="41"/>
  <c r="J86" i="41"/>
  <c r="I52" i="41"/>
  <c r="J41" i="41"/>
  <c r="J36" i="41"/>
  <c r="I29" i="41"/>
  <c r="I53" i="41"/>
  <c r="I88" i="41"/>
  <c r="J85" i="41"/>
  <c r="I22" i="41"/>
  <c r="J40" i="41"/>
  <c r="I43" i="41"/>
  <c r="J56" i="41"/>
  <c r="I45" i="41"/>
  <c r="I61" i="41"/>
  <c r="J38" i="41"/>
  <c r="J90" i="41"/>
  <c r="I60" i="41"/>
  <c r="J89" i="41"/>
  <c r="J87" i="41"/>
  <c r="J57" i="41"/>
  <c r="I44" i="41"/>
  <c r="J88" i="41"/>
  <c r="I59" i="41"/>
  <c r="J28" i="41"/>
  <c r="I50" i="26"/>
  <c r="J30" i="41"/>
  <c r="J29" i="41"/>
  <c r="J83" i="41"/>
  <c r="J46" i="41"/>
  <c r="I51" i="41"/>
  <c r="J35" i="41"/>
  <c r="J52" i="26"/>
  <c r="J39" i="41"/>
  <c r="I46" i="41"/>
  <c r="I53" i="26"/>
  <c r="J69" i="41"/>
  <c r="J52" i="41"/>
  <c r="J81" i="37"/>
  <c r="J80" i="37"/>
  <c r="J79" i="37"/>
  <c r="J82" i="37"/>
  <c r="J77" i="41"/>
  <c r="H50" i="58"/>
  <c r="H50" i="41" s="1"/>
  <c r="H48" i="58"/>
  <c r="H48" i="41" s="1"/>
  <c r="H49" i="58"/>
  <c r="H49" i="41" s="1"/>
  <c r="H47" i="58"/>
  <c r="H47" i="41" s="1"/>
  <c r="J73" i="41"/>
  <c r="J68" i="41"/>
  <c r="H79" i="58"/>
  <c r="H79" i="41" s="1"/>
  <c r="H80" i="58"/>
  <c r="H80" i="41" s="1"/>
  <c r="H82" i="58"/>
  <c r="H82" i="41" s="1"/>
  <c r="H81" i="58"/>
  <c r="H81" i="41" s="1"/>
  <c r="J48" i="37"/>
  <c r="J50" i="37"/>
  <c r="J49" i="37"/>
  <c r="J47" i="37"/>
  <c r="I36" i="41"/>
  <c r="J54" i="41"/>
  <c r="J17" i="58"/>
  <c r="J15" i="58"/>
  <c r="J16" i="58"/>
  <c r="J18" i="58"/>
  <c r="I54" i="26"/>
  <c r="J94" i="41"/>
  <c r="I31" i="58"/>
  <c r="I32" i="58"/>
  <c r="I34" i="58"/>
  <c r="I33" i="58"/>
  <c r="J44" i="41"/>
  <c r="J37" i="41"/>
  <c r="J67" i="41"/>
  <c r="I38" i="41"/>
  <c r="J53" i="41"/>
  <c r="I19" i="41"/>
  <c r="I81" i="37"/>
  <c r="I79" i="37"/>
  <c r="I80" i="37"/>
  <c r="I82" i="37"/>
  <c r="J91" i="41"/>
  <c r="J43" i="41"/>
  <c r="I51" i="26"/>
  <c r="J74" i="41"/>
  <c r="J27" i="41"/>
  <c r="J81" i="58"/>
  <c r="J79" i="58"/>
  <c r="J80" i="58"/>
  <c r="J82" i="58"/>
  <c r="J62" i="41"/>
  <c r="I37" i="41"/>
  <c r="I50" i="58"/>
  <c r="I48" i="58"/>
  <c r="I49" i="58"/>
  <c r="I47" i="58"/>
  <c r="I21" i="41"/>
  <c r="J92" i="41"/>
  <c r="J45" i="41"/>
  <c r="I32" i="37"/>
  <c r="I34" i="37"/>
  <c r="I33" i="37"/>
  <c r="I31" i="37"/>
  <c r="J72" i="41"/>
  <c r="H64" i="58"/>
  <c r="H64" i="41" s="1"/>
  <c r="H63" i="58"/>
  <c r="H63" i="41" s="1"/>
  <c r="H66" i="58"/>
  <c r="H66" i="41" s="1"/>
  <c r="H65" i="58"/>
  <c r="H65" i="41" s="1"/>
  <c r="I26" i="41"/>
  <c r="J59" i="41"/>
  <c r="I35" i="41"/>
  <c r="J65" i="58"/>
  <c r="J63" i="58"/>
  <c r="J64" i="58"/>
  <c r="J66" i="58"/>
  <c r="J26" i="41"/>
  <c r="J93" i="41"/>
  <c r="I78" i="41"/>
  <c r="I74" i="41"/>
  <c r="I15" i="58"/>
  <c r="I17" i="58"/>
  <c r="I16" i="58"/>
  <c r="I18" i="58"/>
  <c r="I23" i="41"/>
  <c r="J61" i="41"/>
  <c r="J24" i="41"/>
  <c r="I58" i="41"/>
  <c r="I62" i="41"/>
  <c r="I75" i="41"/>
  <c r="I71" i="41"/>
  <c r="I25" i="41"/>
  <c r="J60" i="41"/>
  <c r="J23" i="41"/>
  <c r="I56" i="41"/>
  <c r="I76" i="41"/>
  <c r="I72" i="41"/>
  <c r="I41" i="41"/>
  <c r="J15" i="37"/>
  <c r="J17" i="37"/>
  <c r="J16" i="37"/>
  <c r="J18" i="37"/>
  <c r="I24" i="41"/>
  <c r="J25" i="41"/>
  <c r="I55" i="41"/>
  <c r="I77" i="41"/>
  <c r="I73" i="41"/>
  <c r="I40" i="41"/>
  <c r="J50" i="26"/>
  <c r="H31" i="58"/>
  <c r="H31" i="41" s="1"/>
  <c r="H33" i="58"/>
  <c r="H33" i="41" s="1"/>
  <c r="H32" i="58"/>
  <c r="H32" i="41" s="1"/>
  <c r="H34" i="58"/>
  <c r="H34" i="41" s="1"/>
  <c r="I65" i="37"/>
  <c r="I66" i="37"/>
  <c r="I64" i="37"/>
  <c r="I63" i="37"/>
  <c r="I57" i="41"/>
  <c r="I83" i="41"/>
  <c r="I94" i="41"/>
  <c r="I68" i="41"/>
  <c r="I42" i="41"/>
  <c r="I81" i="58"/>
  <c r="I80" i="58"/>
  <c r="I79" i="58"/>
  <c r="I82" i="58"/>
  <c r="J65" i="37"/>
  <c r="J64" i="37"/>
  <c r="J63" i="37"/>
  <c r="J66" i="37"/>
  <c r="J31" i="37"/>
  <c r="J33" i="37"/>
  <c r="J32" i="37"/>
  <c r="J34" i="37"/>
  <c r="I64" i="58"/>
  <c r="I63" i="58"/>
  <c r="I65" i="58"/>
  <c r="I66" i="58"/>
  <c r="J78" i="41"/>
  <c r="I85" i="41"/>
  <c r="I92" i="41"/>
  <c r="I70" i="41"/>
  <c r="I39" i="41"/>
  <c r="I49" i="37"/>
  <c r="I47" i="37"/>
  <c r="I48" i="37"/>
  <c r="I48" i="41" s="1"/>
  <c r="I50" i="37"/>
  <c r="I15" i="37"/>
  <c r="I17" i="37"/>
  <c r="I16" i="37"/>
  <c r="I18" i="37"/>
  <c r="J51" i="26"/>
  <c r="J47" i="58"/>
  <c r="J49" i="58"/>
  <c r="J50" i="58"/>
  <c r="J48" i="58"/>
  <c r="J76" i="41"/>
  <c r="I86" i="41"/>
  <c r="I91" i="41"/>
  <c r="I67" i="41"/>
  <c r="H15" i="58"/>
  <c r="H17" i="58"/>
  <c r="H16" i="58"/>
  <c r="H18" i="58"/>
  <c r="H18" i="41" s="1"/>
  <c r="J70" i="41"/>
  <c r="J34" i="58"/>
  <c r="J32" i="58"/>
  <c r="J33" i="58"/>
  <c r="J31" i="58"/>
  <c r="J51" i="41"/>
  <c r="J54" i="26"/>
  <c r="J75" i="41"/>
  <c r="I84" i="41"/>
  <c r="I93" i="41"/>
  <c r="I69" i="41"/>
  <c r="I49" i="41" l="1"/>
  <c r="I31" i="41"/>
  <c r="I47" i="41"/>
  <c r="I50" i="41"/>
  <c r="I33" i="41"/>
  <c r="J34" i="41"/>
  <c r="I34" i="41"/>
  <c r="I65" i="41"/>
  <c r="J63" i="41"/>
  <c r="I32" i="41"/>
  <c r="I18" i="41"/>
  <c r="J65" i="41"/>
  <c r="J18" i="41"/>
  <c r="I63" i="41"/>
  <c r="I423" i="58"/>
  <c r="I424" i="58"/>
  <c r="F241" i="66" s="1"/>
  <c r="C58" i="63"/>
  <c r="J64" i="41"/>
  <c r="I64" i="41"/>
  <c r="H16" i="41"/>
  <c r="I66" i="41"/>
  <c r="H17" i="41"/>
  <c r="C38" i="63"/>
  <c r="I16" i="41"/>
  <c r="I82" i="41"/>
  <c r="J47" i="41"/>
  <c r="H15" i="41"/>
  <c r="H424" i="58"/>
  <c r="H424" i="41" s="1"/>
  <c r="H423" i="58"/>
  <c r="I17" i="41"/>
  <c r="C18" i="63"/>
  <c r="J16" i="41"/>
  <c r="I80" i="41"/>
  <c r="J49" i="41"/>
  <c r="I15" i="41"/>
  <c r="I423" i="37"/>
  <c r="I424" i="37"/>
  <c r="F97" i="66" s="1"/>
  <c r="J17" i="41"/>
  <c r="C28" i="63"/>
  <c r="I79" i="41"/>
  <c r="J50" i="41"/>
  <c r="J423" i="37"/>
  <c r="J15" i="41"/>
  <c r="J424" i="37"/>
  <c r="I81" i="41"/>
  <c r="J48" i="41"/>
  <c r="J82" i="41"/>
  <c r="J79" i="41"/>
  <c r="J32" i="41"/>
  <c r="J80" i="41"/>
  <c r="J33" i="41"/>
  <c r="J81" i="41"/>
  <c r="J31" i="41"/>
  <c r="J66" i="41"/>
  <c r="C48" i="63"/>
  <c r="J423" i="58"/>
  <c r="J424" i="58"/>
  <c r="E35" i="53" s="1"/>
  <c r="F35" i="53" s="1"/>
  <c r="H29" i="53" s="1"/>
  <c r="E23" i="53" l="1"/>
  <c r="F23" i="53" s="1"/>
  <c r="F289" i="66"/>
  <c r="E11" i="53"/>
  <c r="F11" i="53" s="1"/>
  <c r="H423" i="41"/>
  <c r="E299" i="38"/>
  <c r="M194" i="66" s="1"/>
  <c r="H425" i="58"/>
  <c r="F194" i="66"/>
  <c r="F193" i="66"/>
  <c r="E17" i="53"/>
  <c r="F17" i="53" s="1"/>
  <c r="H23" i="53" s="1"/>
  <c r="G23" i="53" s="1"/>
  <c r="E317" i="38" s="1"/>
  <c r="I424" i="41"/>
  <c r="E347" i="38"/>
  <c r="M290" i="66" s="1"/>
  <c r="J425" i="58"/>
  <c r="F290" i="66"/>
  <c r="F98" i="66"/>
  <c r="I425" i="37"/>
  <c r="I423" i="41"/>
  <c r="E311" i="38"/>
  <c r="M98" i="66" s="1"/>
  <c r="F145" i="66"/>
  <c r="J424" i="41"/>
  <c r="E29" i="53"/>
  <c r="F29" i="53" s="1"/>
  <c r="I425" i="58"/>
  <c r="F242" i="66"/>
  <c r="E323" i="38"/>
  <c r="M242" i="66" s="1"/>
  <c r="H17" i="53"/>
  <c r="J423" i="41"/>
  <c r="E335" i="38"/>
  <c r="M146" i="66" s="1"/>
  <c r="F146" i="66"/>
  <c r="J425" i="37"/>
  <c r="G17" i="53" l="1"/>
  <c r="E305" i="38" s="1"/>
  <c r="L97" i="66" s="1"/>
  <c r="L241" i="66"/>
  <c r="I484" i="58"/>
  <c r="N242" i="66"/>
  <c r="N98" i="66"/>
  <c r="C49" i="63"/>
  <c r="C42" i="63"/>
  <c r="N290" i="66"/>
  <c r="H35" i="53"/>
  <c r="G35" i="53" s="1"/>
  <c r="E341" i="38" s="1"/>
  <c r="G29" i="53"/>
  <c r="E329" i="38" s="1"/>
  <c r="C59" i="63"/>
  <c r="C52" i="63"/>
  <c r="C29" i="63"/>
  <c r="J425" i="41"/>
  <c r="O3" i="41" s="1"/>
  <c r="C22" i="63"/>
  <c r="N146" i="66"/>
  <c r="N194" i="66"/>
  <c r="H425" i="41"/>
  <c r="M3" i="41" s="1"/>
  <c r="C39" i="63"/>
  <c r="C32" i="63"/>
  <c r="C19" i="63"/>
  <c r="I425" i="41"/>
  <c r="N3" i="41" s="1"/>
  <c r="C12" i="63"/>
  <c r="H5" i="53"/>
  <c r="G5" i="53" s="1"/>
  <c r="E281" i="38" s="1"/>
  <c r="G11" i="53"/>
  <c r="E293" i="38" s="1"/>
  <c r="I484" i="37" l="1"/>
  <c r="I484" i="41" s="1"/>
  <c r="Z98" i="66"/>
  <c r="L49" i="66"/>
  <c r="H484" i="37"/>
  <c r="L145" i="66"/>
  <c r="J484" i="37"/>
  <c r="L289" i="66"/>
  <c r="J484" i="58"/>
  <c r="Z146" i="66"/>
  <c r="Z290" i="66"/>
  <c r="Y290" i="66"/>
  <c r="Y146" i="66"/>
  <c r="P97" i="66"/>
  <c r="N97" i="66"/>
  <c r="Y98" i="66"/>
  <c r="Y242" i="66"/>
  <c r="Z242" i="66"/>
  <c r="L193" i="66"/>
  <c r="H484" i="58"/>
  <c r="Y50" i="66"/>
  <c r="Y194" i="66"/>
  <c r="Z50" i="66"/>
  <c r="Z194" i="66"/>
  <c r="P241" i="66"/>
  <c r="N241" i="66"/>
  <c r="H484" i="41" l="1"/>
  <c r="O241" i="66"/>
  <c r="Q241" i="66" s="1"/>
  <c r="R241" i="66" s="1"/>
  <c r="T241" i="66" s="1"/>
  <c r="R193" i="66"/>
  <c r="T193" i="66" s="1"/>
  <c r="P193" i="66"/>
  <c r="V193" i="66" s="1"/>
  <c r="X193" i="66" s="1"/>
  <c r="N193" i="66"/>
  <c r="P289" i="66"/>
  <c r="N289" i="66"/>
  <c r="J484" i="41"/>
  <c r="O97" i="66"/>
  <c r="Y241" i="66"/>
  <c r="Y97" i="66"/>
  <c r="Z97" i="66"/>
  <c r="Z241" i="66"/>
  <c r="P145" i="66"/>
  <c r="N145" i="66"/>
  <c r="P49" i="66"/>
  <c r="V49" i="66" s="1"/>
  <c r="X49" i="66" s="1"/>
  <c r="R49" i="66"/>
  <c r="T49" i="66" s="1"/>
  <c r="N49" i="66"/>
  <c r="O289" i="66" l="1"/>
  <c r="U289" i="66" s="1"/>
  <c r="V241" i="66"/>
  <c r="X241" i="66" s="1"/>
  <c r="U241" i="66"/>
  <c r="O49" i="66"/>
  <c r="Y49" i="66"/>
  <c r="Y193" i="66"/>
  <c r="Z193" i="66"/>
  <c r="Z49" i="66"/>
  <c r="V97" i="66"/>
  <c r="X97" i="66" s="1"/>
  <c r="Q97" i="66"/>
  <c r="R97" i="66" s="1"/>
  <c r="T97" i="66" s="1"/>
  <c r="U97" i="66"/>
  <c r="O193" i="66"/>
  <c r="Z145" i="66"/>
  <c r="Z289" i="66"/>
  <c r="Y145" i="66"/>
  <c r="Y289" i="66"/>
  <c r="O145" i="66"/>
  <c r="V289" i="66" l="1"/>
  <c r="X289" i="66" s="1"/>
  <c r="Q289" i="66"/>
  <c r="R289" i="66" s="1"/>
  <c r="T289" i="66" s="1"/>
  <c r="V145" i="66"/>
  <c r="X145" i="66" s="1"/>
  <c r="Q145" i="66"/>
  <c r="R145" i="66" s="1"/>
  <c r="T145" i="66" s="1"/>
  <c r="U145" i="66"/>
  <c r="U193" i="66"/>
  <c r="Q193" i="66"/>
  <c r="U49" i="66"/>
  <c r="Q49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<sst xmlns="http://schemas.openxmlformats.org/spreadsheetml/2006/main" count="4761" uniqueCount="344">
  <si>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</si>
  <si>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</si>
  <si>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</si>
  <si>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</si>
  <si>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</si>
  <si>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</si>
  <si>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</si>
  <si>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</si>
  <si>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</si>
  <si>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</si>
  <si>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</si>
  <si>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</si>
  <si>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</si>
  <si>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</si>
  <si>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</si>
  <si>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</si>
  <si>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</si>
  <si>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</si>
  <si>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</si>
  <si>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</si>
  <si>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</si>
  <si>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</si>
  <si>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</si>
  <si>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</si>
  <si>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</si>
  <si>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</si>
  <si>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</si>
  <si>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</si>
  <si>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</si>
  <si>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</si>
  <si>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</si>
  <si>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</si>
  <si>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</si>
  <si>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</si>
  <si>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</si>
  <si>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</si>
  <si>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</si>
  <si>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</si>
  <si>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</si>
  <si>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</si>
  <si>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</si>
  <si>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</si>
  <si>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</si>
  <si>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</si>
  <si>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</si>
  <si>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</si>
  <si>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</si>
  <si>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</si>
  <si>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</si>
  <si>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</si>
  <si>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</si>
  <si>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</si>
  <si>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</si>
  <si>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</si>
  <si>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</si>
  <si>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</si>
  <si>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</si>
  <si>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</si>
  <si>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</si>
  <si>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</si>
  <si>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</si>
  <si>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</si>
  <si>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</si>
  <si>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</si>
  <si>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</si>
  <si>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</si>
  <si>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</si>
  <si>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</si>
  <si>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</si>
  <si>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</si>
  <si>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</si>
  <si>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</si>
  <si>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</si>
  <si>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</si>
  <si>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</si>
  <si>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</si>
  <si>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</si>
  <si>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</si>
  <si>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</si>
  <si>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</si>
  <si>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</si>
  <si>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</si>
  <si>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</si>
  <si>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</si>
  <si>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</si>
  <si>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</si>
  <si>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</si>
  <si>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</si>
  <si>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</si>
  <si>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</si>
  <si>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</si>
  <si>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</si>
  <si>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</si>
  <si>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</si>
  <si>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</si>
  <si>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</si>
  <si>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</si>
  <si>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</si>
  <si>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</si>
  <si>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</si>
  <si>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</si>
  <si>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</si>
  <si>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</si>
  <si>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</si>
  <si>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</si>
  <si>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</si>
  <si>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</si>
  <si>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</si>
  <si>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</si>
  <si>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</si>
  <si>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</si>
  <si>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</si>
  <si>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</si>
  <si>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</si>
  <si>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</si>
  <si>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</si>
  <si>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</si>
  <si>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</si>
  <si>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</si>
  <si>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</si>
  <si>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</si>
  <si>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</si>
  <si>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</si>
  <si>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</si>
  <si>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</si>
  <si>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</si>
  <si>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</si>
  <si>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</si>
  <si>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</si>
  <si>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</si>
  <si>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</si>
  <si>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</si>
  <si>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</si>
  <si>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</si>
  <si>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</si>
  <si>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</si>
  <si>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</si>
  <si>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</si>
  <si>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</si>
  <si>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</si>
  <si>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</si>
  <si>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</si>
  <si>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</si>
  <si>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</si>
  <si>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</si>
  <si>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</si>
  <si>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</si>
  <si>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</si>
  <si>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</si>
  <si>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</si>
  <si>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</si>
  <si>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</si>
  <si>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</si>
  <si>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</si>
  <si>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</si>
  <si>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</si>
  <si>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</si>
  <si>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</si>
  <si>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</si>
  <si>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</si>
  <si>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</si>
  <si>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</si>
  <si>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</si>
  <si>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</si>
  <si>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</si>
  <si>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</si>
  <si>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</si>
  <si>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</si>
  <si>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</si>
  <si>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</si>
  <si>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</si>
  <si>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</si>
  <si>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</si>
  <si>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</si>
  <si>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</si>
  <si>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</si>
  <si>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</si>
  <si>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</si>
  <si>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</si>
  <si>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</si>
  <si>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</si>
  <si>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</si>
  <si>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</si>
  <si>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</si>
  <si>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</si>
  <si>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</si>
  <si>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</si>
  <si>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</si>
  <si>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</si>
  <si>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</si>
  <si>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</si>
  <si>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</si>
  <si>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</si>
  <si>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</si>
  <si>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</si>
  <si>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</si>
  <si>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</si>
  <si>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</si>
  <si>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</si>
  <si>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</si>
  <si>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</si>
  <si>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</si>
  <si>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</si>
  <si>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</si>
  <si>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</si>
  <si>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</si>
  <si>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</si>
  <si>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</si>
  <si>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</si>
  <si>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</si>
  <si>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</si>
  <si>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</si>
  <si>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</si>
  <si>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</si>
  <si>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</si>
  <si>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</si>
  <si>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</si>
  <si>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</si>
  <si>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</si>
  <si>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</si>
  <si>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</si>
  <si>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</si>
  <si>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</si>
  <si>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</si>
  <si>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</si>
  <si>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</si>
  <si>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</si>
  <si>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</si>
  <si>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</si>
  <si>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</si>
  <si>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</si>
  <si>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</si>
  <si>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</si>
  <si>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</si>
  <si>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</si>
  <si>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</si>
  <si>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</si>
  <si>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</si>
  <si>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</si>
  <si>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</si>
  <si>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</si>
  <si>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</si>
  <si>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</si>
  <si>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</si>
  <si>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</si>
  <si>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</si>
  <si>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</si>
  <si>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</si>
  <si>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</si>
  <si>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</si>
  <si>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</si>
  <si>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</si>
  <si>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</si>
  <si>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</si>
  <si>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</si>
  <si>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</si>
  <si>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</si>
  <si>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</si>
  <si>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</si>
  <si>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</si>
  <si>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</si>
  <si>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</si>
  <si>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</si>
  <si>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</si>
  <si>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</si>
  <si>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</si>
  <si>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</si>
  <si>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</si>
  <si>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</si>
  <si>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</si>
  <si>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</si>
  <si>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</si>
  <si>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</si>
  <si>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</si>
  <si>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</si>
  <si>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</si>
  <si>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</si>
  <si>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</si>
  <si>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</si>
  <si>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</si>
  <si>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</si>
  <si>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</si>
  <si>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</si>
  <si>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</si>
  <si>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</si>
  <si>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</si>
  <si>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</si>
  <si>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</si>
  <si>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</si>
  <si>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</si>
  <si>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</si>
  <si>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</si>
  <si>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</si>
  <si>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</si>
  <si>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</si>
  <si>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</si>
  <si>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</si>
  <si>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</si>
  <si>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</si>
  <si>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</si>
  <si>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</si>
  <si>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</si>
  <si>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</si>
  <si>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</si>
  <si>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</si>
  <si>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</si>
  <si>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</si>
  <si>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</si>
  <si>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</si>
  <si>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</si>
  <si>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</si>
  <si>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</si>
  <si>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</si>
  <si>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</si>
  <si>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</si>
  <si>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</si>
  <si>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</si>
  <si>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</si>
  <si>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</si>
  <si>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</si>
  <si>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</si>
  <si>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</si>
  <si>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</si>
  <si>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</si>
  <si>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</si>
  <si>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</si>
  <si>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</si>
  <si>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</si>
  <si>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</si>
  <si>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</si>
  <si>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</si>
  <si>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</si>
  <si>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</si>
  <si>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</si>
  <si>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</si>
  <si>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</si>
  <si>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</si>
  <si>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</si>
  <si>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</si>
  <si>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</si>
  <si>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Ekstensiveringsscenariet fra MFVM-projekt</t>
  </si>
  <si>
    <t>70.000 ha lavbundsjorde vådlægges uden høst af biomasse</t>
  </si>
  <si>
    <t>Landbrug til natur</t>
  </si>
  <si>
    <t>50% af 17,000 ha omlægges til natur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</si>
</sst>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60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0" fontId="0" fillId="2" borderId="0" xfId="0" applyNumberFormat="1" applyFill="1" applyBorder="1"/>
    <xf numFmtId="10" fontId="0" fillId="2" borderId="0" xfId="0" applyNumberFormat="1" applyFill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2438269.9999999995</c:v>
                </c:pt>
                <c:pt idx="2">
                  <c:v>2256269.9999999995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551420</c:v>
                </c:pt>
                <c:pt idx="2">
                  <c:v>621419.99999999988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5465486.5519993426</c:v>
                </c:pt>
                <c:pt idx="2">
                  <c:v>5367713.1906586625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7518879.492235614</c:v>
                </c:pt>
                <c:pt idx="2">
                  <c:v>5551260.4629323697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-406770.42780342523</c:v>
                </c:pt>
                <c:pt idx="2">
                  <c:v>-358494.53292940703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11139467.915958788</c:v>
                </c:pt>
                <c:pt idx="2">
                  <c:v>7863554.1946581304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73450.448054056644</c:v>
                </c:pt>
                <c:pt idx="2">
                  <c:v>68691.002363724925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4802.5865476477702</c:v>
                </c:pt>
                <c:pt idx="2">
                  <c:v>4502.0224626087147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611004.48569519504</c:v>
                </c:pt>
                <c:pt idx="2">
                  <c:v>869266.40957399679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12194.481685317363</c:v>
                </c:pt>
                <c:pt idx="2">
                  <c:v>11544.684363517939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17988.027201970119</c:v>
                </c:pt>
                <c:pt idx="2">
                  <c:v>16824.301435353053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52163.474236339222</c:v>
                </c:pt>
                <c:pt idx="2">
                  <c:v>48558.015022626787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1084729.9218059247</c:v>
                </c:pt>
                <c:pt idx="2">
                  <c:v>756179.77600000007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105612.98691437159</c:v>
                </c:pt>
                <c:pt idx="2">
                  <c:v>53220.864000000001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66286.066261186235</c:v>
                </c:pt>
                <c:pt idx="2">
                  <c:v>62021.533081930196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48191.948869442524</c:v>
                </c:pt>
                <c:pt idx="2">
                  <c:v>44350.720000000001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31455.524054509664</c:v>
                </c:pt>
                <c:pt idx="2">
                  <c:v>29863.363064931029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225661.17687786059</c:v>
                </c:pt>
                <c:pt idx="2">
                  <c:v>195675.31415784554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7381.526448412108</c:v>
                </c:pt>
                <c:pt idx="2">
                  <c:v>6469.6823022226999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97665.964449844832</c:v>
                </c:pt>
                <c:pt idx="2">
                  <c:v>89578.048193350187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20.220929426516975</c:v>
                </c:pt>
                <c:pt idx="2">
                  <c:v>21.149221740593234</c:v>
                </c:pt>
                <c:pt idx="3">
                  <c:v>7.483154704207001</c:v>
                </c:pt>
                <c:pt idx="4">
                  <c:v>5.3233875835998123</c:v>
                </c:pt>
                <c:pt idx="5">
                  <c:v>5.6175232535168851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39.921711604019222</c:v>
                </c:pt>
                <c:pt idx="2">
                  <c:v>58.953373416269734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24.69980068075812</c:v>
                </c:pt>
                <c:pt idx="2">
                  <c:v>9.5979311859998937</c:v>
                </c:pt>
                <c:pt idx="3">
                  <c:v>0.45076703431999998</c:v>
                </c:pt>
                <c:pt idx="4">
                  <c:v>0.45076703432000015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2.1977887873274424</c:v>
                </c:pt>
                <c:pt idx="2">
                  <c:v>2.6246031288318838</c:v>
                </c:pt>
                <c:pt idx="3">
                  <c:v>5.0922829580050024</c:v>
                </c:pt>
                <c:pt idx="4">
                  <c:v>12.317679754796046</c:v>
                </c:pt>
                <c:pt idx="5">
                  <c:v>11.808699543452494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2.3227300977868404</c:v>
                </c:pt>
                <c:pt idx="2">
                  <c:v>2.0747812088786524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44.585787862809475</c:v>
                </c:pt>
                <c:pt idx="2">
                  <c:v>40.601518628630025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1172564.8044245997</c:v>
                </c:pt>
                <c:pt idx="2">
                  <c:v>1269511.5326937563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5867912.7785007171</c:v>
                </c:pt>
                <c:pt idx="2">
                  <c:v>8701621.1675804332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2119311.0464717015</c:v>
                </c:pt>
                <c:pt idx="2">
                  <c:v>858296.4224330713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1993576.6354321584</c:v>
                </c:pt>
                <c:pt idx="2">
                  <c:v>1994474.4462179011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1483311.7213913377</c:v>
                </c:pt>
                <c:pt idx="2">
                  <c:v>1353310.2674925956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68548.311983630774</c:v>
                </c:pt>
                <c:pt idx="5">
                  <c:v>68548.311983630774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1641908.826272649</c:v>
                </c:pt>
                <c:pt idx="2">
                  <c:v>1960770.3285865572</c:v>
                </c:pt>
                <c:pt idx="15">
                  <c:v>823764.99285714305</c:v>
                </c:pt>
                <c:pt idx="16">
                  <c:v>621579.76994607435</c:v>
                </c:pt>
                <c:pt idx="17">
                  <c:v>742291.62439348234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4801.4905255224585</c:v>
                </c:pt>
                <c:pt idx="2">
                  <c:v>5456.0187537451129</c:v>
                </c:pt>
                <c:pt idx="15">
                  <c:v>4441.5</c:v>
                </c:pt>
                <c:pt idx="16">
                  <c:v>4801.4905255224585</c:v>
                </c:pt>
                <c:pt idx="17">
                  <c:v>5456.0187537451129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85676.999999999985</c:v>
                </c:pt>
                <c:pt idx="1">
                  <c:v>85677.000000000015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13752566.439236915</c:v>
                </c:pt>
                <c:pt idx="5">
                  <c:v>13752566.439236915</c:v>
                </c:pt>
                <c:pt idx="18">
                  <c:v>0</c:v>
                </c:pt>
                <c:pt idx="19">
                  <c:v>1647647.8294851934</c:v>
                </c:pt>
                <c:pt idx="20">
                  <c:v>5621386.7123612482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75934</c:v>
                </c:pt>
                <c:pt idx="1">
                  <c:v>75934.000000000015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859703.11316950095</c:v>
                </c:pt>
                <c:pt idx="5">
                  <c:v>859703.11316950095</c:v>
                </c:pt>
                <c:pt idx="9">
                  <c:v>1893765.2125355615</c:v>
                </c:pt>
                <c:pt idx="10">
                  <c:v>2128785.2884938968</c:v>
                </c:pt>
                <c:pt idx="11">
                  <c:v>890493.72431036131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5415467.797502934</c:v>
                </c:pt>
                <c:pt idx="5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720407</c:v>
                </c:pt>
                <c:pt idx="2">
                  <c:v>707407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3785.9999999999991</c:v>
                </c:pt>
                <c:pt idx="1">
                  <c:v>3785.9999999999995</c:v>
                </c:pt>
                <c:pt idx="2">
                  <c:v>3786</c:v>
                </c:pt>
                <c:pt idx="3">
                  <c:v>6600836.8097011279</c:v>
                </c:pt>
                <c:pt idx="4">
                  <c:v>6271644.38268972</c:v>
                </c:pt>
                <c:pt idx="5">
                  <c:v>4621211.650402952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10186289.575486882</c:v>
                </c:pt>
                <c:pt idx="2">
                  <c:v>9292270.6218266636</c:v>
                </c:pt>
                <c:pt idx="15">
                  <c:v>9696490.333333334</c:v>
                </c:pt>
                <c:pt idx="16">
                  <c:v>3216723.0238379622</c:v>
                </c:pt>
                <c:pt idx="17">
                  <c:v>2934401.2489978937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1695876.8276391989</c:v>
                </c:pt>
                <c:pt idx="5">
                  <c:v>1695876.8276391989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4484936.1803515982</c:v>
                </c:pt>
                <c:pt idx="5">
                  <c:v>1737912.7698862443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678407.81727843033</c:v>
                </c:pt>
                <c:pt idx="22">
                  <c:v>207386.61587382504</c:v>
                </c:pt>
                <c:pt idx="23">
                  <c:v>185248.32222130828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28645.000000000004</c:v>
                </c:pt>
                <c:pt idx="1">
                  <c:v>28645.000000000007</c:v>
                </c:pt>
                <c:pt idx="2">
                  <c:v>28645</c:v>
                </c:pt>
                <c:pt idx="3">
                  <c:v>944413.49448565592</c:v>
                </c:pt>
                <c:pt idx="4">
                  <c:v>975255.52958529233</c:v>
                </c:pt>
                <c:pt idx="5">
                  <c:v>975255.52958529233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43206.208765439995</c:v>
                </c:pt>
                <c:pt idx="5">
                  <c:v>43206.208765439995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2773589.7536241808</c:v>
                </c:pt>
                <c:pt idx="2">
                  <c:v>2885789.4862629864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8408895.3802456073</c:v>
                </c:pt>
                <c:pt idx="2">
                  <c:v>6682868.7988739815</c:v>
                </c:pt>
                <c:pt idx="15">
                  <c:v>14742130.666666664</c:v>
                </c:pt>
                <c:pt idx="16">
                  <c:v>7456944.9598404439</c:v>
                </c:pt>
                <c:pt idx="17">
                  <c:v>5926317.614095795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209782.38739500003</c:v>
                </c:pt>
                <c:pt idx="10">
                  <c:v>179195.12035606703</c:v>
                </c:pt>
                <c:pt idx="11">
                  <c:v>151203.52522787557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3010238.4923246857</c:v>
                </c:pt>
                <c:pt idx="10">
                  <c:v>2848752.9835421797</c:v>
                </c:pt>
                <c:pt idx="11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576036.23515656102</c:v>
                </c:pt>
                <c:pt idx="5">
                  <c:v>1920120.7838552035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275439.58087967994</c:v>
                </c:pt>
                <c:pt idx="5">
                  <c:v>939735.04064831987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80512.675855911337</c:v>
                </c:pt>
                <c:pt idx="2">
                  <c:v>549380.61172268912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103102.16025809028</c:v>
                </c:pt>
                <c:pt idx="5">
                  <c:v>73644.400184350205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112887.06079513082</c:v>
                </c:pt>
                <c:pt idx="10">
                  <c:v>66363.71707962401</c:v>
                </c:pt>
                <c:pt idx="11">
                  <c:v>59279.463110818644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19877954.063540507</c:v>
                </c:pt>
                <c:pt idx="17">
                  <c:v>18003658.822422177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AB-4C27-B9D0-358C9BFADE5A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944815.08868008247</c:v>
                </c:pt>
                <c:pt idx="16">
                  <c:v>837465.38714427105</c:v>
                </c:pt>
                <c:pt idx="17">
                  <c:v>714707.35485587514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AB-4C27-B9D0-358C9BFADE5A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827693.20492220437</c:v>
                </c:pt>
                <c:pt idx="13">
                  <c:v>783291.25515859458</c:v>
                </c:pt>
                <c:pt idx="14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AB-4C27-B9D0-358C9BFAD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231449.05135267469</c:v>
                </c:pt>
                <c:pt idx="2">
                  <c:v>273877.00966623385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0.29522195184836164</c:v>
                </c:pt>
                <c:pt idx="2">
                  <c:v>9.5137343159876764E-2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837465.38714427105</c:v>
                </c:pt>
                <c:pt idx="2">
                  <c:v>714707.35485587514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20754.071278017291</c:v>
                </c:pt>
                <c:pt idx="2">
                  <c:v>163525.05971223337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5146.7083806234805</c:v>
                </c:pt>
                <c:pt idx="2">
                  <c:v>25950.691837427992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8954.7451101610422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441347.05604647589</c:v>
                </c:pt>
                <c:pt idx="2">
                  <c:v>465148.89140347519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A0-44D6-BF60-CB0AE6D799FC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5415467.797502934</c:v>
                </c:pt>
                <c:pt idx="2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A0-44D6-BF60-CB0AE6D79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159514.08577732509</c:v>
                </c:pt>
                <c:pt idx="2">
                  <c:v>130199.80401195865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208970.92050051555</c:v>
                </c:pt>
                <c:pt idx="2">
                  <c:v>185519.69272735214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2964157.5209179753</c:v>
                </c:pt>
                <c:pt idx="2">
                  <c:v>3251115.9888160955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1020329.0563265749</c:v>
                </c:pt>
                <c:pt idx="2">
                  <c:v>1218478.704193075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114655.84934403934</c:v>
                </c:pt>
                <c:pt idx="2">
                  <c:v>73602.257568286732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1373382.5070844863</c:v>
                </c:pt>
                <c:pt idx="2">
                  <c:v>1226484.3700345419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19350672.623317029</c:v>
                </c:pt>
                <c:pt idx="2">
                  <c:v>29163070.644929633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1941936.7965847314</c:v>
                </c:pt>
                <c:pt idx="2">
                  <c:v>1735805.2879660793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787503.19758674048</c:v>
                </c:pt>
                <c:pt idx="2">
                  <c:v>115029.66699762642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77153.344535718672</c:v>
                </c:pt>
                <c:pt idx="2">
                  <c:v>476638.98467432143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2350675.2410932588</c:v>
                </c:pt>
                <c:pt idx="2">
                  <c:v>2037605.0597173451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5033066.9797744127</c:v>
                </c:pt>
                <c:pt idx="2">
                  <c:v>4604097.8520915266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1489260.4030561694</c:v>
                </c:pt>
                <c:pt idx="2">
                  <c:v>1321216.6579891986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201922.37904121177</c:v>
                </c:pt>
                <c:pt idx="2">
                  <c:v>174489.67286973639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97016.53393111816</c:v>
                </c:pt>
                <c:pt idx="2">
                  <c:v>78876.104206330288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1268180.5191812452</c:v>
                </c:pt>
                <c:pt idx="2">
                  <c:v>1066580.7616045058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4539787.1932864804</c:v>
                </c:pt>
                <c:pt idx="2">
                  <c:v>4723434.7239489537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724614.08270320203</c:v>
                </c:pt>
                <c:pt idx="2">
                  <c:v>2197522.4468907565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2">
                  <c:v>14627.829244278691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880607.64072431345</c:v>
                </c:pt>
                <c:pt idx="2">
                  <c:v>806064.62786867074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1933606.0132146534</c:v>
                </c:pt>
                <c:pt idx="2">
                  <c:v>1770771.2320314979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591.1476788222335</c:v>
                </c:pt>
                <c:pt idx="2">
                  <c:v>18979.76092630393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96-46AF-8F2D-D19D06E92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2438269.9999999995</c:v>
                </c:pt>
                <c:pt idx="2">
                  <c:v>2256269.9999999995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551420</c:v>
                </c:pt>
                <c:pt idx="2">
                  <c:v>621419.99999999988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5465486.5519993426</c:v>
                </c:pt>
                <c:pt idx="2">
                  <c:v>5367713.1906586625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7518879.492235614</c:v>
                </c:pt>
                <c:pt idx="2">
                  <c:v>5551260.4629323697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-406770.42780342523</c:v>
                </c:pt>
                <c:pt idx="2">
                  <c:v>-358494.53292940703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11139467.915958788</c:v>
                </c:pt>
                <c:pt idx="2">
                  <c:v>7863554.1946581304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231449.05135267469</c:v>
                </c:pt>
                <c:pt idx="2">
                  <c:v>273877.00966623385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0.29522195184836164</c:v>
                </c:pt>
                <c:pt idx="2">
                  <c:v>9.5137343159876764E-2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837465.38714427105</c:v>
                </c:pt>
                <c:pt idx="2">
                  <c:v>714707.35485587514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20754.071278017291</c:v>
                </c:pt>
                <c:pt idx="2">
                  <c:v>163525.05971223337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5146.7083806234805</c:v>
                </c:pt>
                <c:pt idx="2">
                  <c:v>25950.691837427992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8954.7451101610422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441347.05604647589</c:v>
                </c:pt>
                <c:pt idx="2">
                  <c:v>465148.89140347519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C1-43BE-86C1-1D9441158481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5415467.797502934</c:v>
                </c:pt>
                <c:pt idx="2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C1-43BE-86C1-1D9441158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159514.08577732509</c:v>
                </c:pt>
                <c:pt idx="2">
                  <c:v>130199.80401195865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208970.92050051555</c:v>
                </c:pt>
                <c:pt idx="2">
                  <c:v>185519.69272735214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2964157.5209179753</c:v>
                </c:pt>
                <c:pt idx="2">
                  <c:v>3251115.9888160955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1020329.0563265749</c:v>
                </c:pt>
                <c:pt idx="2">
                  <c:v>1218478.704193075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114655.84934403934</c:v>
                </c:pt>
                <c:pt idx="2">
                  <c:v>73602.257568286732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1373382.5070844863</c:v>
                </c:pt>
                <c:pt idx="2">
                  <c:v>1226484.3700345419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19350672.623317029</c:v>
                </c:pt>
                <c:pt idx="2">
                  <c:v>29163070.644929633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1941936.7965847314</c:v>
                </c:pt>
                <c:pt idx="2">
                  <c:v>1735805.2879660793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787503.19758674048</c:v>
                </c:pt>
                <c:pt idx="2">
                  <c:v>115029.66699762642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77153.344535718672</c:v>
                </c:pt>
                <c:pt idx="2">
                  <c:v>476638.98467432143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2350675.2410932588</c:v>
                </c:pt>
                <c:pt idx="2">
                  <c:v>2037605.0597173451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5033066.9797744127</c:v>
                </c:pt>
                <c:pt idx="2">
                  <c:v>4604097.8520915266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1489260.4030561694</c:v>
                </c:pt>
                <c:pt idx="2">
                  <c:v>1321216.6579891986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201922.37904121177</c:v>
                </c:pt>
                <c:pt idx="2">
                  <c:v>174489.67286973639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97016.53393111816</c:v>
                </c:pt>
                <c:pt idx="2">
                  <c:v>78876.104206330288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1268180.5191812452</c:v>
                </c:pt>
                <c:pt idx="2">
                  <c:v>1066580.7616045058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4539787.1932864804</c:v>
                </c:pt>
                <c:pt idx="2">
                  <c:v>4723434.7239489537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724614.08270320203</c:v>
                </c:pt>
                <c:pt idx="2">
                  <c:v>2197522.4468907565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2">
                  <c:v>14627.829244278691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880607.64072431345</c:v>
                </c:pt>
                <c:pt idx="2">
                  <c:v>806064.62786867074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1933606.0132146534</c:v>
                </c:pt>
                <c:pt idx="2">
                  <c:v>1770771.2320314979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F7-40A4-A6E7-2D38A471B789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591.1476788222335</c:v>
                </c:pt>
                <c:pt idx="2">
                  <c:v>18979.76092630393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F7-40A4-A6E7-2D38A471B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5465486.5519993426</c:v>
                </c:pt>
                <c:pt idx="2">
                  <c:v>5367713.1906586625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7518879.492235614</c:v>
                </c:pt>
                <c:pt idx="2">
                  <c:v>5551260.4629323697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-406770.42780342523</c:v>
                </c:pt>
                <c:pt idx="2">
                  <c:v>-358494.53292940703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11139467.915958788</c:v>
                </c:pt>
                <c:pt idx="2">
                  <c:v>7863554.1946581304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231449.05135267469</c:v>
                </c:pt>
                <c:pt idx="2">
                  <c:v>273877.00966623385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0.29522195184836164</c:v>
                </c:pt>
                <c:pt idx="2">
                  <c:v>9.5137343159876764E-2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837465.38714427105</c:v>
                </c:pt>
                <c:pt idx="2">
                  <c:v>714707.35485587514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20754.071278017291</c:v>
                </c:pt>
                <c:pt idx="2">
                  <c:v>163525.05971223337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5146.7083806234805</c:v>
                </c:pt>
                <c:pt idx="2">
                  <c:v>25950.691837427992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8954.7451101610422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441347.05604647589</c:v>
                </c:pt>
                <c:pt idx="2">
                  <c:v>465148.89140347519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80-4B6D-A405-8F6232EF2E0B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5415467.797502934</c:v>
                </c:pt>
                <c:pt idx="2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80-4B6D-A405-8F6232EF2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159514.08577732509</c:v>
                </c:pt>
                <c:pt idx="2">
                  <c:v>130199.80401195865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208970.92050051555</c:v>
                </c:pt>
                <c:pt idx="2">
                  <c:v>185519.69272735214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2964157.5209179753</c:v>
                </c:pt>
                <c:pt idx="2">
                  <c:v>3251115.9888160955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1020329.0563265749</c:v>
                </c:pt>
                <c:pt idx="2">
                  <c:v>1218478.704193075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114655.84934403934</c:v>
                </c:pt>
                <c:pt idx="2">
                  <c:v>73602.257568286732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1373382.5070844863</c:v>
                </c:pt>
                <c:pt idx="2">
                  <c:v>1226484.3700345419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19350672.623317029</c:v>
                </c:pt>
                <c:pt idx="2">
                  <c:v>29163070.644929633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1941936.7965847314</c:v>
                </c:pt>
                <c:pt idx="2">
                  <c:v>1735805.2879660793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787503.19758674048</c:v>
                </c:pt>
                <c:pt idx="2">
                  <c:v>115029.66699762642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77153.344535718672</c:v>
                </c:pt>
                <c:pt idx="2">
                  <c:v>476638.98467432143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2350675.2410932588</c:v>
                </c:pt>
                <c:pt idx="2">
                  <c:v>2037605.0597173451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5033066.9797744127</c:v>
                </c:pt>
                <c:pt idx="2">
                  <c:v>4604097.8520915266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1489260.4030561694</c:v>
                </c:pt>
                <c:pt idx="2">
                  <c:v>1321216.6579891986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201922.37904121177</c:v>
                </c:pt>
                <c:pt idx="2">
                  <c:v>174489.67286973639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97016.53393111816</c:v>
                </c:pt>
                <c:pt idx="2">
                  <c:v>78876.104206330288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1268180.5191812452</c:v>
                </c:pt>
                <c:pt idx="2">
                  <c:v>1066580.7616045058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4539787.1932864804</c:v>
                </c:pt>
                <c:pt idx="2">
                  <c:v>4723434.7239489537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724614.08270320203</c:v>
                </c:pt>
                <c:pt idx="2">
                  <c:v>2197522.4468907565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2">
                  <c:v>14627.829244278691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880607.64072431345</c:v>
                </c:pt>
                <c:pt idx="2">
                  <c:v>806064.62786867074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1933606.0132146534</c:v>
                </c:pt>
                <c:pt idx="2">
                  <c:v>1770771.2320314979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A-4C9E-8EF7-1C8984AE362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591.1476788222335</c:v>
                </c:pt>
                <c:pt idx="2">
                  <c:v>18979.76092630393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A-4C9E-8EF7-1C8984AE3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58259.107697963693</c:v>
                </c:pt>
                <c:pt idx="2">
                  <c:v>165237.91423421525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58259.107697963693</c:v>
                </c:pt>
                <c:pt idx="2">
                  <c:v>165237.91423421531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208970.92050051555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185519.69272735214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68548.311983630774</c:v>
                </c:pt>
                <c:pt idx="5">
                  <c:v>68548.311983630774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1641908.826272649</c:v>
                </c:pt>
                <c:pt idx="2">
                  <c:v>1960770.3285865572</c:v>
                </c:pt>
                <c:pt idx="15">
                  <c:v>823764.99285714305</c:v>
                </c:pt>
                <c:pt idx="16">
                  <c:v>621579.76994607435</c:v>
                </c:pt>
                <c:pt idx="17">
                  <c:v>742291.62439348234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4801.4905255224585</c:v>
                </c:pt>
                <c:pt idx="2">
                  <c:v>5456.0187537451129</c:v>
                </c:pt>
                <c:pt idx="15">
                  <c:v>4441.5</c:v>
                </c:pt>
                <c:pt idx="16">
                  <c:v>4801.4905255224585</c:v>
                </c:pt>
                <c:pt idx="17">
                  <c:v>5456.0187537451129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85676.999999999985</c:v>
                </c:pt>
                <c:pt idx="1">
                  <c:v>85677.000000000015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13752566.439236915</c:v>
                </c:pt>
                <c:pt idx="5">
                  <c:v>13752566.439236915</c:v>
                </c:pt>
                <c:pt idx="18">
                  <c:v>0</c:v>
                </c:pt>
                <c:pt idx="19">
                  <c:v>1647647.8294851934</c:v>
                </c:pt>
                <c:pt idx="20">
                  <c:v>5621386.7123612482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75934</c:v>
                </c:pt>
                <c:pt idx="1">
                  <c:v>75934.000000000015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859703.11316950095</c:v>
                </c:pt>
                <c:pt idx="5">
                  <c:v>859703.11316950095</c:v>
                </c:pt>
                <c:pt idx="9">
                  <c:v>1893765.2125355615</c:v>
                </c:pt>
                <c:pt idx="10">
                  <c:v>2128785.2884938968</c:v>
                </c:pt>
                <c:pt idx="11">
                  <c:v>890493.72431036131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5415467.797502934</c:v>
                </c:pt>
                <c:pt idx="5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720407</c:v>
                </c:pt>
                <c:pt idx="2">
                  <c:v>707407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3785.9999999999991</c:v>
                </c:pt>
                <c:pt idx="1">
                  <c:v>3785.9999999999995</c:v>
                </c:pt>
                <c:pt idx="2">
                  <c:v>3786</c:v>
                </c:pt>
                <c:pt idx="3">
                  <c:v>6600836.8097011279</c:v>
                </c:pt>
                <c:pt idx="4">
                  <c:v>6271644.38268972</c:v>
                </c:pt>
                <c:pt idx="5">
                  <c:v>4621211.650402952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10186289.575486882</c:v>
                </c:pt>
                <c:pt idx="2">
                  <c:v>9292270.6218266636</c:v>
                </c:pt>
                <c:pt idx="15">
                  <c:v>9696490.333333334</c:v>
                </c:pt>
                <c:pt idx="16">
                  <c:v>3216723.0238379622</c:v>
                </c:pt>
                <c:pt idx="17">
                  <c:v>2934401.2489978937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1695876.8276391989</c:v>
                </c:pt>
                <c:pt idx="5">
                  <c:v>1695876.8276391989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4484936.1803515982</c:v>
                </c:pt>
                <c:pt idx="5">
                  <c:v>1737912.7698862443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678407.81727843033</c:v>
                </c:pt>
                <c:pt idx="22">
                  <c:v>207386.61587382504</c:v>
                </c:pt>
                <c:pt idx="23">
                  <c:v>185248.32222130828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28645.000000000004</c:v>
                </c:pt>
                <c:pt idx="1">
                  <c:v>28645.000000000007</c:v>
                </c:pt>
                <c:pt idx="2">
                  <c:v>28645</c:v>
                </c:pt>
                <c:pt idx="3">
                  <c:v>944413.49448565592</c:v>
                </c:pt>
                <c:pt idx="4">
                  <c:v>975255.52958529233</c:v>
                </c:pt>
                <c:pt idx="5">
                  <c:v>975255.52958529233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43206.208765439995</c:v>
                </c:pt>
                <c:pt idx="5">
                  <c:v>43206.208765439995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2773589.7536241808</c:v>
                </c:pt>
                <c:pt idx="2">
                  <c:v>2885789.4862629864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8408895.3802456073</c:v>
                </c:pt>
                <c:pt idx="2">
                  <c:v>6682868.7988739815</c:v>
                </c:pt>
                <c:pt idx="15">
                  <c:v>14742130.666666664</c:v>
                </c:pt>
                <c:pt idx="16">
                  <c:v>7456944.9598404439</c:v>
                </c:pt>
                <c:pt idx="17">
                  <c:v>5926317.614095795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209782.38739500003</c:v>
                </c:pt>
                <c:pt idx="10">
                  <c:v>179195.12035606703</c:v>
                </c:pt>
                <c:pt idx="11">
                  <c:v>151203.52522787557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3010238.4923246857</c:v>
                </c:pt>
                <c:pt idx="10">
                  <c:v>2848752.9835421797</c:v>
                </c:pt>
                <c:pt idx="11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576036.23515656102</c:v>
                </c:pt>
                <c:pt idx="5">
                  <c:v>1920120.7838552035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275439.58087967994</c:v>
                </c:pt>
                <c:pt idx="5">
                  <c:v>939735.04064831987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80512.675855911337</c:v>
                </c:pt>
                <c:pt idx="2">
                  <c:v>549380.61172268912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103102.16025809028</c:v>
                </c:pt>
                <c:pt idx="5">
                  <c:v>73644.400184350205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112887.06079513082</c:v>
                </c:pt>
                <c:pt idx="10">
                  <c:v>66363.71707962401</c:v>
                </c:pt>
                <c:pt idx="11">
                  <c:v>59279.463110818644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19877954.063540507</c:v>
                </c:pt>
                <c:pt idx="17">
                  <c:v>18003658.822422177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08-471F-967B-E5DC461BB689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944815.08868008247</c:v>
                </c:pt>
                <c:pt idx="16">
                  <c:v>837465.38714427105</c:v>
                </c:pt>
                <c:pt idx="17">
                  <c:v>714707.35485587514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08-471F-967B-E5DC461BB689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827693.20492220437</c:v>
                </c:pt>
                <c:pt idx="13">
                  <c:v>783291.25515859458</c:v>
                </c:pt>
                <c:pt idx="14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08-471F-967B-E5DC461BB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231449.05135267469</c:v>
                </c:pt>
                <c:pt idx="2">
                  <c:v>273877.00966623385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0.29522195184836164</c:v>
                </c:pt>
                <c:pt idx="2">
                  <c:v>9.5137343159876764E-2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837465.38714427105</c:v>
                </c:pt>
                <c:pt idx="2">
                  <c:v>714707.35485587514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20754.071278017291</c:v>
                </c:pt>
                <c:pt idx="2">
                  <c:v>163525.05971223337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5146.7083806234805</c:v>
                </c:pt>
                <c:pt idx="2">
                  <c:v>25950.691837427992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8954.7451101610422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441347.05604647589</c:v>
                </c:pt>
                <c:pt idx="2">
                  <c:v>465148.89140347519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40-4A71-AC40-B0C6227F18C2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5415467.797502934</c:v>
                </c:pt>
                <c:pt idx="2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40-4A71-AC40-B0C6227F1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159514.08577732509</c:v>
                </c:pt>
                <c:pt idx="2">
                  <c:v>130199.80401195865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208970.92050051555</c:v>
                </c:pt>
                <c:pt idx="2">
                  <c:v>185519.69272735214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2964157.5209179753</c:v>
                </c:pt>
                <c:pt idx="2">
                  <c:v>3251115.9888160955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1020329.0563265749</c:v>
                </c:pt>
                <c:pt idx="2">
                  <c:v>1218478.704193075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114655.84934403934</c:v>
                </c:pt>
                <c:pt idx="2">
                  <c:v>73602.257568286732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1373382.5070844863</c:v>
                </c:pt>
                <c:pt idx="2">
                  <c:v>1226484.3700345419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19350672.623317029</c:v>
                </c:pt>
                <c:pt idx="2">
                  <c:v>29163070.644929633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1941936.7965847314</c:v>
                </c:pt>
                <c:pt idx="2">
                  <c:v>1735805.2879660793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787503.19758674048</c:v>
                </c:pt>
                <c:pt idx="2">
                  <c:v>115029.66699762642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77153.344535718672</c:v>
                </c:pt>
                <c:pt idx="2">
                  <c:v>476638.98467432143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2350675.2410932588</c:v>
                </c:pt>
                <c:pt idx="2">
                  <c:v>2037605.0597173451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5033066.9797744127</c:v>
                </c:pt>
                <c:pt idx="2">
                  <c:v>4604097.8520915266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1489260.4030561694</c:v>
                </c:pt>
                <c:pt idx="2">
                  <c:v>1321216.6579891986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201922.37904121177</c:v>
                </c:pt>
                <c:pt idx="2">
                  <c:v>174489.67286973639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97016.53393111816</c:v>
                </c:pt>
                <c:pt idx="2">
                  <c:v>78876.104206330288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1268180.5191812452</c:v>
                </c:pt>
                <c:pt idx="2">
                  <c:v>1066580.7616045058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4539787.1932864804</c:v>
                </c:pt>
                <c:pt idx="2">
                  <c:v>4723434.7239489537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724614.08270320203</c:v>
                </c:pt>
                <c:pt idx="2">
                  <c:v>2197522.4468907565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2">
                  <c:v>14627.829244278691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880607.64072431345</c:v>
                </c:pt>
                <c:pt idx="2">
                  <c:v>806064.62786867074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1933606.0132146534</c:v>
                </c:pt>
                <c:pt idx="2">
                  <c:v>1770771.2320314979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591.1476788222335</c:v>
                </c:pt>
                <c:pt idx="2">
                  <c:v>18979.76092630393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3-41BA-B72D-A1946357F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20.220929426516975</c:v>
                </c:pt>
                <c:pt idx="2">
                  <c:v>21.149221740593234</c:v>
                </c:pt>
                <c:pt idx="3">
                  <c:v>7.483154704207001</c:v>
                </c:pt>
                <c:pt idx="4">
                  <c:v>5.3233875835998123</c:v>
                </c:pt>
                <c:pt idx="5">
                  <c:v>5.6175232535168851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39.921711604019222</c:v>
                </c:pt>
                <c:pt idx="2">
                  <c:v>58.953373416269734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24.69980068075812</c:v>
                </c:pt>
                <c:pt idx="2">
                  <c:v>9.5979311859998937</c:v>
                </c:pt>
                <c:pt idx="3">
                  <c:v>0.45076703431999998</c:v>
                </c:pt>
                <c:pt idx="4">
                  <c:v>0.45076703432000015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2.1977887873274424</c:v>
                </c:pt>
                <c:pt idx="2">
                  <c:v>2.6246031288318838</c:v>
                </c:pt>
                <c:pt idx="3">
                  <c:v>5.0922829580050024</c:v>
                </c:pt>
                <c:pt idx="4">
                  <c:v>12.317679754796046</c:v>
                </c:pt>
                <c:pt idx="5">
                  <c:v>11.808699543452494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2.3227300977868404</c:v>
                </c:pt>
                <c:pt idx="2">
                  <c:v>2.0747812088786524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44.585787862809475</c:v>
                </c:pt>
                <c:pt idx="2">
                  <c:v>40.601518628630025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1172564.8044245997</c:v>
                </c:pt>
                <c:pt idx="2">
                  <c:v>1269511.5326937563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5867912.7785007171</c:v>
                </c:pt>
                <c:pt idx="2">
                  <c:v>8701621.1675804332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2119311.0464717015</c:v>
                </c:pt>
                <c:pt idx="2">
                  <c:v>858296.4224330713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1993576.6354321584</c:v>
                </c:pt>
                <c:pt idx="2">
                  <c:v>1994474.4462179011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1483311.7213913377</c:v>
                </c:pt>
                <c:pt idx="2">
                  <c:v>1353310.2674925956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493059</xdr:colOff>
      <xdr:row>18</xdr:row>
      <xdr:rowOff>102685</xdr:rowOff>
    </xdr:from>
    <xdr:to>
      <xdr:col>9</xdr:col>
      <xdr:colOff>1064560</xdr:colOff>
      <xdr:row>45</xdr:row>
      <xdr:rowOff>62904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594211805554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90930075.51985109"/>
    </cacheField>
    <cacheField name="Foder" numFmtId="3">
      <sharedItems containsSemiMixedTypes="0" containsString="0" containsNumber="1" minValue="0" maxValue="12249098.107862087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510350.8087802622"/>
    </cacheField>
    <cacheField name="Gødning" numFmtId="3">
      <sharedItems containsSemiMixedTypes="0" containsString="0" containsNumber="1" minValue="0" maxValue="16889344.422970317"/>
    </cacheField>
    <cacheField name="Energi" numFmtId="3">
      <sharedItems containsSemiMixedTypes="0" containsString="0" containsNumber="1" minValue="0" maxValue="490930075.51985109"/>
    </cacheField>
    <cacheField name="Materialer og processer" numFmtId="3">
      <sharedItems containsSemiMixedTypes="0" containsString="0" containsNumber="1" minValue="0" maxValue="5006841.2791297073"/>
    </cacheField>
    <cacheField name="Produktion minus forbrug [ton]" numFmtId="3">
      <sharedItems containsSemiMixedTypes="0" containsString="0" containsNumber="1" minValue="-4828427.5390456235" maxValue="19692564.38068378"/>
    </cacheField>
    <cacheField name="Potentiale til energi [ton]" numFmtId="3">
      <sharedItems containsSemiMixedTypes="0" containsString="0" containsNumber="1" minValue="0" maxValue="19692564.38068378"/>
    </cacheField>
    <cacheField name="Forbrug energi [ton/m3]" numFmtId="3">
      <sharedItems containsSemiMixedTypes="0" containsString="0" containsNumber="1" minValue="0" maxValue="490930075.51985109"/>
    </cacheField>
    <cacheField name="Potentiale til energi [PJ]" numFmtId="0">
      <sharedItems containsSemiMixedTypes="0" containsString="0" containsNumber="1" minValue="0" maxValue="36.231856889910574"/>
    </cacheField>
    <cacheField name="Forbrug/potentiale [PJ]" numFmtId="0">
      <sharedItems containsSemiMixedTypes="0" containsString="0" containsNumber="1" minValue="0" maxValue="36.351855518611721"/>
    </cacheField>
    <cacheField name="Biogasproduktion [PJ]" numFmtId="0">
      <sharedItems containsSemiMixedTypes="0" containsString="0" containsNumber="1" minValue="0" maxValue="4.8140444758964813"/>
    </cacheField>
    <cacheField name="Biomasser til energi eksl. biogas [PJ]" numFmtId="0">
      <sharedItems containsSemiMixedTypes="0" containsString="0" containsNumber="1" minValue="0" maxValue="36.231856889910574"/>
    </cacheField>
    <cacheField name="Potentiale til energi [Ton TS]" numFmtId="0">
      <sharedItems containsSemiMixedTypes="0" containsString="0" containsNumber="1" minValue="0" maxValue="5513918.0265914593"/>
    </cacheField>
    <cacheField name="Forbrug/potentiale [Ton TS]" numFmtId="0">
      <sharedItems containsSemiMixedTypes="0" containsString="0" containsNumber="1" minValue="0" maxValue="5532179.9280990716"/>
    </cacheField>
    <cacheField name="Biogasproduktion [Ton TS]" numFmtId="0">
      <sharedItems containsSemiMixedTypes="0" containsString="0" containsNumber="1" minValue="0" maxValue="722786.66146729991"/>
    </cacheField>
    <cacheField name="Biomasser til energi eksl. biogas [Ton TS]" numFmtId="0">
      <sharedItems containsSemiMixedTypes="0" containsString="0" containsNumber="1" minValue="0" maxValue="5513918.02659145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5942125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756147.6279562197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594212615739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90930075.51985109"/>
    </cacheField>
    <cacheField name="Foder" numFmtId="3">
      <sharedItems containsSemiMixedTypes="0" containsString="0" containsNumber="1" minValue="0" maxValue="12249098.107862087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510350.8087802622"/>
    </cacheField>
    <cacheField name="Gødning" numFmtId="3">
      <sharedItems containsSemiMixedTypes="0" containsString="0" containsNumber="1" minValue="0" maxValue="16889344.422970317"/>
    </cacheField>
    <cacheField name="Energi" numFmtId="3">
      <sharedItems containsSemiMixedTypes="0" containsString="0" containsNumber="1" minValue="0" maxValue="490930075.51985109"/>
    </cacheField>
    <cacheField name="Materialer og processer" numFmtId="3">
      <sharedItems containsSemiMixedTypes="0" containsString="0" containsNumber="1" minValue="0" maxValue="5006841.2791297073"/>
    </cacheField>
    <cacheField name="Produktion minus forbrug [ton]" numFmtId="3">
      <sharedItems containsSemiMixedTypes="0" containsString="0" containsNumber="1" minValue="-4828427.5390456235" maxValue="19692564.38068378"/>
    </cacheField>
    <cacheField name="Potentiale til energi [ton]" numFmtId="3">
      <sharedItems containsSemiMixedTypes="0" containsString="0" containsNumber="1" minValue="0" maxValue="19692564.38068378"/>
    </cacheField>
    <cacheField name="Forbrug energi [ton/m3]" numFmtId="3">
      <sharedItems containsSemiMixedTypes="0" containsString="0" containsNumber="1" minValue="0" maxValue="490930075.51985109"/>
    </cacheField>
    <cacheField name="Potentiale til energi [PJ]" numFmtId="0">
      <sharedItems containsSemiMixedTypes="0" containsString="0" containsNumber="1" minValue="0" maxValue="36.231856889910574"/>
    </cacheField>
    <cacheField name="Forbrug/potentiale [PJ]" numFmtId="0">
      <sharedItems containsSemiMixedTypes="0" containsString="0" containsNumber="1" minValue="0" maxValue="36.351855518611721"/>
    </cacheField>
    <cacheField name="Biogasproduktion [PJ]" numFmtId="0">
      <sharedItems containsSemiMixedTypes="0" containsString="0" containsNumber="1" minValue="0" maxValue="4.8140444758964813"/>
    </cacheField>
    <cacheField name="Biomasser til energi eksl. biogas [PJ]" numFmtId="0">
      <sharedItems containsSemiMixedTypes="0" containsString="0" containsNumber="1" minValue="0" maxValue="36.231856889910574"/>
    </cacheField>
    <cacheField name="Potentiale til energi [Ton TS]" numFmtId="0">
      <sharedItems containsSemiMixedTypes="0" containsString="0" containsNumber="1" minValue="0" maxValue="5513918.0265914593"/>
    </cacheField>
    <cacheField name="Forbrug/potentiale [Ton TS]" numFmtId="0">
      <sharedItems containsSemiMixedTypes="0" containsString="0" containsNumber="1" minValue="0" maxValue="5532179.9280990716"/>
    </cacheField>
    <cacheField name="Biogasproduktion [Ton TS]" numFmtId="0">
      <sharedItems containsSemiMixedTypes="0" containsString="0" containsNumber="1" minValue="0" maxValue="722786.66146729991"/>
    </cacheField>
    <cacheField name="Biomasser til energi eksl. biogas [Ton TS]" numFmtId="0">
      <sharedItems containsSemiMixedTypes="0" containsString="0" containsNumber="1" minValue="0" maxValue="5513918.0265914584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594212962962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90930075.51985109"/>
    </cacheField>
    <cacheField name="Foder" numFmtId="3">
      <sharedItems containsSemiMixedTypes="0" containsString="0" containsNumber="1" minValue="0" maxValue="12249098.107862087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510350.8087802622"/>
    </cacheField>
    <cacheField name="Gødning" numFmtId="3">
      <sharedItems containsSemiMixedTypes="0" containsString="0" containsNumber="1" minValue="0" maxValue="16889344.422970317"/>
    </cacheField>
    <cacheField name="Energi" numFmtId="3">
      <sharedItems containsSemiMixedTypes="0" containsString="0" containsNumber="1" minValue="0" maxValue="490930075.51985109"/>
    </cacheField>
    <cacheField name="Materialer og processer" numFmtId="3">
      <sharedItems containsSemiMixedTypes="0" containsString="0" containsNumber="1" minValue="0" maxValue="5006841.2791297073"/>
    </cacheField>
    <cacheField name="Produktion minus forbrug [ton]" numFmtId="3">
      <sharedItems containsSemiMixedTypes="0" containsString="0" containsNumber="1" minValue="-4828427.5390456235" maxValue="19692564.38068378"/>
    </cacheField>
    <cacheField name="Potentiale til energi [ton]" numFmtId="3">
      <sharedItems containsSemiMixedTypes="0" containsString="0" containsNumber="1" minValue="0" maxValue="19692564.38068378"/>
    </cacheField>
    <cacheField name="Forbrug energi [ton/m3]" numFmtId="3">
      <sharedItems containsSemiMixedTypes="0" containsString="0" containsNumber="1" minValue="0" maxValue="490930075.51985109"/>
    </cacheField>
    <cacheField name="Potentiale til energi [PJ]" numFmtId="0">
      <sharedItems containsSemiMixedTypes="0" containsString="0" containsNumber="1" minValue="0" maxValue="36.231856889910574"/>
    </cacheField>
    <cacheField name="Forbrug/potentiale [PJ]" numFmtId="0">
      <sharedItems containsSemiMixedTypes="0" containsString="0" containsNumber="1" minValue="0" maxValue="36.351855518611721"/>
    </cacheField>
    <cacheField name="Biogasproduktion [PJ]" numFmtId="0">
      <sharedItems containsSemiMixedTypes="0" containsString="0" containsNumber="1" minValue="0" maxValue="4.8140444758964813"/>
    </cacheField>
    <cacheField name="Biomasser til energi eksl. biogas [PJ]" numFmtId="0">
      <sharedItems containsSemiMixedTypes="0" containsString="0" containsNumber="1" minValue="0" maxValue="36.231856889910574"/>
    </cacheField>
    <cacheField name="Potentiale til energi [Ton TS]" numFmtId="0">
      <sharedItems containsSemiMixedTypes="0" containsString="0" containsNumber="1" minValue="0" maxValue="5513918.0265914593"/>
    </cacheField>
    <cacheField name="Forbrug/potentiale [Ton TS]" numFmtId="0">
      <sharedItems containsSemiMixedTypes="0" containsString="0" containsNumber="1" minValue="0" maxValue="5532179.9280990716"/>
    </cacheField>
    <cacheField name="Biogasproduktion [Ton TS]" numFmtId="0">
      <sharedItems containsSemiMixedTypes="0" containsString="0" containsNumber="1" minValue="0" maxValue="722786.66146729991"/>
    </cacheField>
    <cacheField name="Biomasser til energi eksl. biogas [Ton TS]" numFmtId="0">
      <sharedItems containsSemiMixedTypes="0" containsString="0" containsNumber="1" minValue="0" maxValue="5513918.0265914584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594213078701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3064.00210361299"/>
    </cacheField>
    <cacheField name="Udbytte, hovedafgrøde" numFmtId="0">
      <sharedItems containsSemiMixedTypes="0" containsString="0" containsNumber="1" minValue="0" maxValue="20040641.17806372"/>
    </cacheField>
    <cacheField name="Halmudbytte" numFmtId="0">
      <sharedItems containsSemiMixedTypes="0" containsString="0" containsNumber="1" minValue="0" maxValue="2116047.5543132382"/>
    </cacheField>
    <cacheField name="Potentielt til bioenergi" numFmtId="1">
      <sharedItems containsSemiMixedTypes="0" containsString="0" containsNumber="1" minValue="0" maxValue="20040641.178063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594213310185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8827.084069591494" maxValue="37013724.844488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594213425924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594213657409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6889344.4229703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03244.93784208916"/>
    <n v="0"/>
    <n v="0"/>
    <n v="32579.784552999867"/>
    <n v="0"/>
    <n v="0"/>
    <n v="0"/>
    <n v="0"/>
    <n v="170665.1532890893"/>
    <n v="0"/>
    <n v="0"/>
    <n v="0"/>
    <n v="0"/>
    <n v="0"/>
    <n v="0"/>
    <n v="0"/>
    <n v="0"/>
    <n v="0"/>
    <n v="0"/>
  </r>
  <r>
    <x v="1"/>
    <x v="10"/>
    <n v="0"/>
    <x v="1"/>
    <s v="Vestdanmark"/>
    <n v="213692.89158762878"/>
    <n v="61054.422265523077"/>
    <n v="0"/>
    <n v="0"/>
    <n v="0"/>
    <n v="0"/>
    <n v="0"/>
    <n v="0"/>
    <n v="152638.4693221057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490930075.51985109"/>
    <n v="0"/>
    <n v="0"/>
    <n v="0"/>
    <n v="0"/>
    <n v="0"/>
    <n v="490930075.51985109"/>
    <n v="0"/>
    <n v="0"/>
    <n v="0"/>
    <n v="490930075.51985109"/>
    <n v="0"/>
    <n v="0"/>
    <n v="0"/>
    <n v="0"/>
    <n v="0"/>
    <n v="0"/>
    <n v="0"/>
    <n v="0"/>
  </r>
  <r>
    <x v="4"/>
    <x v="10"/>
    <n v="0"/>
    <x v="1"/>
    <s v="Vestdanmark"/>
    <n v="19407846.937600072"/>
    <n v="0"/>
    <n v="0"/>
    <n v="0"/>
    <n v="0"/>
    <n v="16889344.422970317"/>
    <n v="0"/>
    <n v="0"/>
    <n v="2518502.5146297552"/>
    <n v="0"/>
    <n v="0"/>
    <n v="0"/>
    <n v="0"/>
    <n v="0"/>
    <n v="0"/>
    <n v="0"/>
    <n v="0"/>
    <n v="0"/>
    <n v="0"/>
  </r>
  <r>
    <x v="5"/>
    <x v="1"/>
    <n v="1"/>
    <x v="1"/>
    <s v="Vestdanmark"/>
    <n v="717108.09021932539"/>
    <n v="0"/>
    <n v="0"/>
    <n v="0"/>
    <n v="71710.809021932539"/>
    <n v="0"/>
    <n v="0"/>
    <n v="0"/>
    <n v="645397.28119739285"/>
    <n v="645397.28119739285"/>
    <n v="71710.809021932539"/>
    <n v="0.36660248570577353"/>
    <n v="0.40733609522863723"/>
    <n v="4.0733609522863728E-2"/>
    <n v="0.36660248570577347"/>
    <n v="27599.374065028493"/>
    <n v="30665.971183364993"/>
    <n v="3066.5971183364991"/>
    <n v="27599.374065028493"/>
  </r>
  <r>
    <x v="6"/>
    <x v="2"/>
    <n v="1"/>
    <x v="1"/>
    <s v="Vestdanmark"/>
    <n v="2889771.2970238337"/>
    <n v="0"/>
    <n v="0"/>
    <n v="0"/>
    <n v="1444885.6485119169"/>
    <n v="546992.42407951143"/>
    <n v="0"/>
    <n v="0"/>
    <n v="897893.22443240555"/>
    <n v="897893.22443240555"/>
    <n v="1444885.6485119169"/>
    <n v="1.9340620054274016"/>
    <n v="5.0463456923220704"/>
    <n v="3.1122836868946688"/>
    <n v="1.9340620054274016"/>
    <n v="269367.96732972167"/>
    <n v="702833.66188329668"/>
    <n v="433465.69455357507"/>
    <n v="269367.96732972161"/>
  </r>
  <r>
    <x v="7"/>
    <x v="10"/>
    <n v="0"/>
    <x v="1"/>
    <s v="Vestdanmark"/>
    <n v="505086.58419659996"/>
    <n v="513062.37197918544"/>
    <n v="0"/>
    <n v="0"/>
    <n v="0"/>
    <n v="0"/>
    <n v="0"/>
    <n v="0"/>
    <n v="-7975.7877825854812"/>
    <n v="0"/>
    <n v="0"/>
    <n v="0"/>
    <n v="0"/>
    <n v="0"/>
    <n v="0"/>
    <n v="0"/>
    <n v="0"/>
    <n v="0"/>
    <n v="0"/>
  </r>
  <r>
    <x v="8"/>
    <x v="2"/>
    <n v="1"/>
    <x v="1"/>
    <s v="Vestdanmark"/>
    <n v="8859.4137270526517"/>
    <n v="0"/>
    <n v="0"/>
    <n v="0"/>
    <n v="4429.7068635263258"/>
    <n v="4429.7068635263258"/>
    <n v="0"/>
    <n v="0"/>
    <n v="0"/>
    <n v="0"/>
    <n v="4429.7068635263258"/>
    <n v="0"/>
    <n v="2.0832468408477959E-3"/>
    <n v="2.0832468408477959E-3"/>
    <n v="0"/>
    <n v="0"/>
    <n v="279.07153240215854"/>
    <n v="279.07153240215854"/>
    <n v="0"/>
  </r>
  <r>
    <x v="9"/>
    <x v="10"/>
    <n v="0"/>
    <x v="1"/>
    <s v="Vestdanmark"/>
    <n v="166533.62844565022"/>
    <n v="0"/>
    <n v="0"/>
    <n v="35294.766599083188"/>
    <n v="0"/>
    <n v="0"/>
    <n v="0"/>
    <n v="0"/>
    <n v="131238.86184656702"/>
    <n v="0"/>
    <n v="0"/>
    <n v="0"/>
    <n v="0"/>
    <n v="0"/>
    <n v="0"/>
    <n v="0"/>
    <n v="0"/>
    <n v="0"/>
    <n v="0"/>
  </r>
  <r>
    <x v="10"/>
    <x v="10"/>
    <n v="0"/>
    <x v="1"/>
    <s v="Vestdanmark"/>
    <n v="1051403.8466263001"/>
    <n v="0"/>
    <n v="0"/>
    <n v="0"/>
    <n v="0"/>
    <n v="0"/>
    <n v="0"/>
    <n v="0"/>
    <n v="1051403.8466263001"/>
    <n v="0"/>
    <n v="0"/>
    <n v="0"/>
    <n v="0"/>
    <n v="0"/>
    <n v="0"/>
    <n v="0"/>
    <n v="0"/>
    <n v="0"/>
    <n v="0"/>
  </r>
  <r>
    <x v="11"/>
    <x v="10"/>
    <n v="0"/>
    <x v="1"/>
    <s v="Vestdanmark"/>
    <n v="30577.183238476249"/>
    <n v="0"/>
    <n v="0"/>
    <n v="257923.29437791562"/>
    <n v="0"/>
    <n v="0"/>
    <n v="0"/>
    <n v="0"/>
    <n v="-227346.11113943937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7042134.224778831"/>
    <n v="12249098.107862087"/>
    <n v="0"/>
    <n v="0"/>
    <n v="66507.389797586569"/>
    <n v="0"/>
    <n v="0"/>
    <n v="1467522.4438828453"/>
    <n v="13259006.283236312"/>
    <n v="13259006.283236312"/>
    <n v="66507.389797586569"/>
    <n v="24.394914185369412"/>
    <n v="24.517279469173246"/>
    <n v="0.1223652838038346"/>
    <n v="24.394914185369412"/>
    <n v="3712521.7593061677"/>
    <n v="3731143.8284494919"/>
    <n v="18622.069143324243"/>
    <n v="3712521.7593061677"/>
  </r>
  <r>
    <x v="14"/>
    <x v="10"/>
    <n v="0"/>
    <x v="1"/>
    <s v="Vestdanmark"/>
    <n v="245327.76946691994"/>
    <n v="245327.76946691994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08875.62977638197"/>
    <n v="0"/>
    <n v="0"/>
    <n v="270140.71358529059"/>
    <n v="0"/>
    <n v="0"/>
    <n v="0"/>
    <n v="0"/>
    <n v="-61265.083808908617"/>
    <n v="0"/>
    <n v="0"/>
    <n v="0"/>
    <n v="0"/>
    <n v="0"/>
    <n v="0"/>
    <n v="0"/>
    <n v="0"/>
    <n v="0"/>
    <n v="0"/>
  </r>
  <r>
    <x v="16"/>
    <x v="5"/>
    <n v="1"/>
    <x v="1"/>
    <s v="Vestdanmark"/>
    <n v="2986321.1440299363"/>
    <n v="765718.007862392"/>
    <n v="721366.03790670179"/>
    <n v="0"/>
    <n v="56123.823182797991"/>
    <n v="0"/>
    <n v="1443113.2750780443"/>
    <n v="0"/>
    <n v="0"/>
    <n v="0"/>
    <n v="1499237.0982608423"/>
    <n v="0"/>
    <n v="15.239323484153955"/>
    <n v="0.32358414751334913"/>
    <n v="14.915739336640605"/>
    <n v="0"/>
    <n v="1274351.5335217158"/>
    <n v="47705.249705378294"/>
    <n v="1226646.2838163376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</r>
  <r>
    <x v="19"/>
    <x v="1"/>
    <n v="1"/>
    <x v="1"/>
    <s v="Vestdanmark"/>
    <n v="517960.14483851765"/>
    <n v="0"/>
    <n v="0"/>
    <n v="0"/>
    <n v="517960.35709807038"/>
    <n v="0"/>
    <n v="0"/>
    <n v="0"/>
    <n v="-0.21225955273257568"/>
    <n v="0"/>
    <n v="517960.35709807038"/>
    <n v="0"/>
    <n v="1.9077311278295077"/>
    <n v="1.9077311278295077"/>
    <n v="0"/>
    <n v="0"/>
    <n v="217543.34998118956"/>
    <n v="217543.34998118956"/>
    <n v="0"/>
  </r>
  <r>
    <x v="20"/>
    <x v="10"/>
    <n v="0"/>
    <x v="1"/>
    <s v="Vestdanmark"/>
    <n v="677461.36910389608"/>
    <n v="0"/>
    <n v="0"/>
    <n v="0"/>
    <n v="0"/>
    <n v="0"/>
    <n v="0"/>
    <n v="0"/>
    <n v="677461.36910389608"/>
    <n v="0"/>
    <n v="0"/>
    <n v="0"/>
    <n v="0"/>
    <n v="0"/>
    <n v="0"/>
    <n v="0"/>
    <n v="0"/>
    <n v="0"/>
    <n v="0"/>
  </r>
  <r>
    <x v="21"/>
    <x v="10"/>
    <n v="0"/>
    <x v="1"/>
    <s v="Vestdanmark"/>
    <n v="1676585.1390430741"/>
    <n v="0"/>
    <n v="0"/>
    <n v="123531.68309679118"/>
    <n v="0"/>
    <n v="0"/>
    <n v="0"/>
    <n v="0"/>
    <n v="1553053.4559462829"/>
    <n v="0"/>
    <n v="0"/>
    <n v="0"/>
    <n v="0"/>
    <n v="0"/>
    <n v="0"/>
    <n v="0"/>
    <n v="0"/>
    <n v="0"/>
    <n v="0"/>
  </r>
  <r>
    <x v="22"/>
    <x v="5"/>
    <n v="1"/>
    <x v="1"/>
    <s v="Vestdanmark"/>
    <n v="5849092.288531078"/>
    <n v="5586010.9951558355"/>
    <n v="0"/>
    <n v="295933.04302308214"/>
    <n v="2907.9932175110234"/>
    <n v="0"/>
    <n v="0"/>
    <n v="0"/>
    <n v="-35759.742865351029"/>
    <n v="0"/>
    <n v="2907.9932175110234"/>
    <n v="0"/>
    <n v="9.9594696509248057E-3"/>
    <n v="9.9594696509248057E-3"/>
    <n v="0"/>
    <n v="0"/>
    <n v="901.47789742841724"/>
    <n v="901.47789742841724"/>
    <n v="0"/>
  </r>
  <r>
    <x v="23"/>
    <x v="10"/>
    <n v="0"/>
    <x v="1"/>
    <s v="Vestdanmark"/>
    <n v="0"/>
    <n v="0"/>
    <n v="0"/>
    <n v="0"/>
    <n v="0"/>
    <n v="515977.71922257601"/>
    <n v="0"/>
    <n v="0"/>
    <n v="-515977.71922257601"/>
    <n v="0"/>
    <n v="0"/>
    <n v="0"/>
    <n v="0"/>
    <n v="0"/>
    <n v="0"/>
    <n v="0"/>
    <n v="0"/>
    <n v="0"/>
    <n v="0"/>
  </r>
  <r>
    <x v="24"/>
    <x v="2"/>
    <n v="1"/>
    <x v="1"/>
    <s v="Vestdanmark"/>
    <n v="12513619.485237187"/>
    <n v="0"/>
    <n v="0"/>
    <n v="0"/>
    <n v="9510350.8087802622"/>
    <n v="3003268.6764569245"/>
    <n v="0"/>
    <n v="0"/>
    <n v="0"/>
    <n v="0"/>
    <n v="9510350.8087802622"/>
    <n v="0"/>
    <n v="4.8140444758964813"/>
    <n v="4.8140444758964813"/>
    <n v="0"/>
    <n v="0"/>
    <n v="722786.66146729991"/>
    <n v="722786.66146729991"/>
    <n v="0"/>
  </r>
  <r>
    <x v="25"/>
    <x v="10"/>
    <n v="0"/>
    <x v="1"/>
    <s v="Vestdanmark"/>
    <n v="1563965.4599161854"/>
    <n v="1510478.9155088854"/>
    <n v="0"/>
    <n v="0"/>
    <n v="0"/>
    <n v="0"/>
    <n v="0"/>
    <n v="0"/>
    <n v="53486.544407299953"/>
    <n v="0"/>
    <n v="0"/>
    <n v="0"/>
    <n v="0"/>
    <n v="0"/>
    <n v="0"/>
    <n v="0"/>
    <n v="0"/>
    <n v="0"/>
    <n v="0"/>
  </r>
  <r>
    <x v="26"/>
    <x v="4"/>
    <n v="1"/>
    <x v="1"/>
    <s v="Vestdanmark"/>
    <n v="3784586.3044886771"/>
    <n v="3994630.6402774388"/>
    <n v="0"/>
    <n v="0"/>
    <n v="255311.1988813775"/>
    <n v="0"/>
    <n v="0"/>
    <n v="0"/>
    <n v="-465355.5346701392"/>
    <n v="0"/>
    <n v="255311.1988813775"/>
    <n v="0"/>
    <n v="0.91656720398414526"/>
    <n v="0.91656720398414526"/>
    <n v="0"/>
    <n v="0"/>
    <n v="76593.359664413249"/>
    <n v="76593.359664413249"/>
    <n v="0"/>
  </r>
  <r>
    <x v="27"/>
    <x v="10"/>
    <n v="0"/>
    <x v="1"/>
    <s v="Vestdanmark"/>
    <n v="3017641.6562322429"/>
    <n v="0"/>
    <n v="0"/>
    <n v="472406.87601849809"/>
    <n v="0"/>
    <n v="0"/>
    <n v="0"/>
    <n v="0"/>
    <n v="2545234.780213744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99766.452046185907"/>
    <n v="0"/>
    <n v="0"/>
    <n v="60028.253038902265"/>
    <n v="0"/>
    <n v="0"/>
    <n v="0"/>
    <n v="0"/>
    <n v="39738.199007283642"/>
    <n v="0"/>
    <n v="0"/>
    <n v="0"/>
    <n v="0"/>
    <n v="0"/>
    <n v="0"/>
    <n v="0"/>
    <n v="0"/>
    <n v="0"/>
    <n v="0"/>
  </r>
  <r>
    <x v="30"/>
    <x v="10"/>
    <n v="0"/>
    <x v="1"/>
    <s v="Vestdanmark"/>
    <n v="1486568.2848710858"/>
    <n v="0"/>
    <n v="0"/>
    <n v="0"/>
    <n v="0"/>
    <n v="0"/>
    <n v="0"/>
    <n v="0"/>
    <n v="1486568.2848710858"/>
    <n v="0"/>
    <n v="0"/>
    <n v="0"/>
    <n v="0"/>
    <n v="0"/>
    <n v="0"/>
    <n v="0"/>
    <n v="0"/>
    <n v="0"/>
    <n v="0"/>
  </r>
  <r>
    <x v="31"/>
    <x v="7"/>
    <n v="1"/>
    <x v="1"/>
    <s v="Vestdanmark"/>
    <n v="139642.05031935725"/>
    <n v="0"/>
    <n v="0"/>
    <n v="0"/>
    <n v="0"/>
    <n v="0"/>
    <n v="139642.05031935725"/>
    <n v="0"/>
    <n v="0"/>
    <n v="0"/>
    <n v="139642.05031935725"/>
    <n v="0"/>
    <n v="2.5694137258761729"/>
    <n v="0"/>
    <n v="2.5694137258761729"/>
    <n v="0"/>
    <n v="57951.450882533267"/>
    <n v="0"/>
    <n v="57951.450882533267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699084.2216906957"/>
    <n v="0"/>
    <n v="0"/>
    <n v="0"/>
    <n v="0"/>
    <n v="0"/>
    <n v="0"/>
    <n v="0"/>
    <n v="4699084.2216906957"/>
    <n v="0"/>
    <n v="0"/>
    <n v="0"/>
    <n v="0"/>
    <n v="0"/>
    <n v="0"/>
    <n v="0"/>
    <n v="0"/>
    <n v="0"/>
    <n v="0"/>
  </r>
  <r>
    <x v="35"/>
    <x v="10"/>
    <n v="0"/>
    <x v="1"/>
    <s v="Vestdanmark"/>
    <n v="159579.37363726847"/>
    <n v="0"/>
    <n v="0"/>
    <n v="0"/>
    <n v="0"/>
    <n v="0"/>
    <n v="0"/>
    <n v="159579.37363726847"/>
    <n v="0"/>
    <n v="0"/>
    <n v="0"/>
    <n v="0"/>
    <n v="0"/>
    <n v="0"/>
    <n v="0"/>
    <n v="0"/>
    <n v="0"/>
    <n v="0"/>
    <n v="0"/>
  </r>
  <r>
    <x v="36"/>
    <x v="10"/>
    <n v="0"/>
    <x v="1"/>
    <s v="Vestdanmark"/>
    <n v="79789.686818634233"/>
    <n v="91830.748952480033"/>
    <n v="0"/>
    <n v="0"/>
    <n v="0"/>
    <n v="0"/>
    <n v="0"/>
    <n v="0"/>
    <n v="-12041.0621338458"/>
    <n v="0"/>
    <n v="0"/>
    <n v="0"/>
    <n v="0"/>
    <n v="0"/>
    <n v="0"/>
    <n v="0"/>
    <n v="0"/>
    <n v="0"/>
    <n v="0"/>
  </r>
  <r>
    <x v="37"/>
    <x v="9"/>
    <n v="1"/>
    <x v="1"/>
    <s v="Vestdanmark"/>
    <n v="51065.399563925908"/>
    <n v="0"/>
    <n v="0"/>
    <n v="0"/>
    <n v="0"/>
    <n v="0"/>
    <n v="51065.399563925908"/>
    <n v="0"/>
    <n v="0"/>
    <n v="0"/>
    <n v="51065.399563925908"/>
    <n v="0"/>
    <n v="1.7872889847374067"/>
    <n v="0"/>
    <n v="1.7872889847374067"/>
    <n v="0"/>
    <n v="0"/>
    <n v="0"/>
    <n v="0"/>
  </r>
  <r>
    <x v="38"/>
    <x v="4"/>
    <n v="1"/>
    <x v="1"/>
    <s v="Vestdanmark"/>
    <n v="1905541.9010865423"/>
    <n v="868637.91677766922"/>
    <n v="0"/>
    <n v="0"/>
    <n v="21893.59180227204"/>
    <n v="0"/>
    <n v="0"/>
    <n v="0"/>
    <n v="1015010.3925066011"/>
    <n v="1015010.3925066011"/>
    <n v="21893.59180227204"/>
    <n v="2.7547788056786158"/>
    <n v="2.814198889573654"/>
    <n v="5.942008389503841E-2"/>
    <n v="2.7547788056786158"/>
    <n v="203002.07850132021"/>
    <n v="207380.79686177464"/>
    <n v="4378.718360454408"/>
    <n v="203002.07850132024"/>
  </r>
  <r>
    <x v="39"/>
    <x v="10"/>
    <n v="0"/>
    <x v="1"/>
    <s v="Vestdanmark"/>
    <n v="180600.29938417859"/>
    <n v="0"/>
    <n v="0"/>
    <n v="0"/>
    <n v="0"/>
    <n v="0"/>
    <n v="0"/>
    <n v="0"/>
    <n v="180600.29938417859"/>
    <n v="0"/>
    <n v="0"/>
    <n v="0"/>
    <n v="0"/>
    <n v="0"/>
    <n v="0"/>
    <n v="0"/>
    <n v="0"/>
    <n v="0"/>
    <n v="0"/>
  </r>
  <r>
    <x v="40"/>
    <x v="10"/>
    <n v="0"/>
    <x v="1"/>
    <s v="Vestdanmark"/>
    <n v="122888.11677196804"/>
    <n v="38482.787367359997"/>
    <n v="0"/>
    <n v="0"/>
    <n v="0"/>
    <n v="0"/>
    <n v="0"/>
    <n v="0"/>
    <n v="84405.329404608041"/>
    <n v="0"/>
    <n v="0"/>
    <n v="0"/>
    <n v="0"/>
    <n v="0"/>
    <n v="0"/>
    <n v="0"/>
    <n v="0"/>
    <n v="0"/>
    <n v="0"/>
  </r>
  <r>
    <x v="41"/>
    <x v="1"/>
    <n v="1"/>
    <x v="1"/>
    <s v="Vestdanmark"/>
    <n v="3969627.3146627704"/>
    <n v="0"/>
    <n v="0"/>
    <n v="0"/>
    <n v="1505476.5706157479"/>
    <n v="0"/>
    <n v="0"/>
    <n v="0"/>
    <n v="2464150.7440470224"/>
    <n v="2464150.7440470224"/>
    <n v="1505476.5706157479"/>
    <n v="1.2296358627869048"/>
    <n v="1.9808837262898693"/>
    <n v="0.75124786350296446"/>
    <n v="1.2296358627869048"/>
    <n v="147849.04464282133"/>
    <n v="238177.63887976622"/>
    <n v="90328.594236944875"/>
    <n v="147849.04464282136"/>
  </r>
  <r>
    <x v="42"/>
    <x v="2"/>
    <n v="1"/>
    <x v="1"/>
    <s v="Vestdanmark"/>
    <n v="13857874.328276252"/>
    <n v="0"/>
    <n v="0"/>
    <n v="0"/>
    <n v="7344673.3939864142"/>
    <n v="6513200.9342898391"/>
    <n v="0"/>
    <n v="0"/>
    <n v="0"/>
    <n v="0"/>
    <n v="7344673.3939864142"/>
    <n v="0"/>
    <n v="3.1640852981293479"/>
    <n v="3.1640852981293479"/>
    <n v="0"/>
    <n v="0"/>
    <n v="367233.66969932074"/>
    <n v="367233.66969932074"/>
    <n v="0"/>
  </r>
  <r>
    <x v="43"/>
    <x v="10"/>
    <n v="0"/>
    <x v="1"/>
    <s v="Vestdanmark"/>
    <n v="1306302.9710994663"/>
    <n v="0"/>
    <n v="0"/>
    <n v="121875.54404868034"/>
    <n v="0"/>
    <n v="0"/>
    <n v="0"/>
    <n v="0"/>
    <n v="1184427.4270507861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178592.56671485456"/>
    <n v="0"/>
    <n v="0"/>
    <n v="33849.968886444818"/>
    <n v="0"/>
    <n v="0"/>
    <n v="0"/>
    <n v="0"/>
    <n v="144742.59782840975"/>
    <n v="0"/>
    <n v="0"/>
    <n v="0"/>
    <n v="0"/>
    <n v="0"/>
    <n v="0"/>
    <n v="0"/>
    <n v="0"/>
    <n v="0"/>
    <n v="0"/>
  </r>
  <r>
    <x v="1"/>
    <x v="10"/>
    <n v="0"/>
    <x v="2"/>
    <s v="Vestdanmark"/>
    <n v="192834.50614053759"/>
    <n v="61054.422265523077"/>
    <n v="0"/>
    <n v="0"/>
    <n v="0"/>
    <n v="0"/>
    <n v="0"/>
    <n v="0"/>
    <n v="131780.0838750145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83018393.58230299"/>
    <n v="0"/>
    <n v="0"/>
    <n v="0"/>
    <n v="0"/>
    <n v="0"/>
    <n v="483018393.58230299"/>
    <n v="0"/>
    <n v="0"/>
    <n v="0"/>
    <n v="483018393.58230299"/>
    <n v="0"/>
    <n v="0"/>
    <n v="0"/>
    <n v="0"/>
    <n v="0"/>
    <n v="0"/>
    <n v="0"/>
    <n v="0"/>
  </r>
  <r>
    <x v="4"/>
    <x v="10"/>
    <n v="0"/>
    <x v="2"/>
    <s v="Vestdanmark"/>
    <n v="17925018.580788191"/>
    <n v="0"/>
    <n v="0"/>
    <n v="0"/>
    <n v="0"/>
    <n v="15183219.854366822"/>
    <n v="0"/>
    <n v="0"/>
    <n v="2741798.7264213692"/>
    <n v="0"/>
    <n v="0"/>
    <n v="0"/>
    <n v="0"/>
    <n v="0"/>
    <n v="0"/>
    <n v="0"/>
    <n v="0"/>
    <n v="0"/>
    <n v="0"/>
  </r>
  <r>
    <x v="5"/>
    <x v="1"/>
    <n v="1"/>
    <x v="2"/>
    <s v="Vestdanmark"/>
    <n v="2446604.0725129922"/>
    <n v="0"/>
    <n v="0"/>
    <n v="0"/>
    <n v="489320.81450259848"/>
    <n v="0"/>
    <n v="0"/>
    <n v="0"/>
    <n v="1957283.2580103937"/>
    <n v="1957283.2580103937"/>
    <n v="489320.81450259848"/>
    <n v="1.111787930506398"/>
    <n v="1.3897349131329975"/>
    <n v="0.27794698262659956"/>
    <n v="1.1117879305063978"/>
    <n v="83700.062524007968"/>
    <n v="104625.07815500996"/>
    <n v="20925.015631001996"/>
    <n v="83700.062524007968"/>
  </r>
  <r>
    <x v="6"/>
    <x v="2"/>
    <n v="1"/>
    <x v="2"/>
    <s v="Vestdanmark"/>
    <n v="3443369.0962312091"/>
    <n v="0"/>
    <n v="0"/>
    <n v="0"/>
    <n v="1721684.5481156046"/>
    <n v="651780.57892947888"/>
    <n v="0"/>
    <n v="0"/>
    <n v="1069903.9691861258"/>
    <n v="1069903.9691861258"/>
    <n v="1721684.5481156046"/>
    <n v="2.3045731496269148"/>
    <n v="6.0130816662679276"/>
    <n v="3.7085085166410123"/>
    <n v="2.3045731496269153"/>
    <n v="320971.19075583771"/>
    <n v="837476.55519051908"/>
    <n v="516505.36443468137"/>
    <n v="320971.19075583771"/>
  </r>
  <r>
    <x v="7"/>
    <x v="10"/>
    <n v="0"/>
    <x v="2"/>
    <s v="Vestdanmark"/>
    <n v="1723236.581376635"/>
    <n v="1710207.9065972848"/>
    <n v="0"/>
    <n v="0"/>
    <n v="0"/>
    <n v="0"/>
    <n v="0"/>
    <n v="0"/>
    <n v="13028.674779350171"/>
    <n v="0"/>
    <n v="0"/>
    <n v="0"/>
    <n v="0"/>
    <n v="0"/>
    <n v="0"/>
    <n v="0"/>
    <n v="0"/>
    <n v="0"/>
    <n v="0"/>
  </r>
  <r>
    <x v="8"/>
    <x v="2"/>
    <n v="1"/>
    <x v="2"/>
    <s v="Vestdanmark"/>
    <n v="10067.108783209876"/>
    <n v="0"/>
    <n v="0"/>
    <n v="0"/>
    <n v="5033.5543916049382"/>
    <n v="5033.5543916049382"/>
    <n v="0"/>
    <n v="0"/>
    <n v="0"/>
    <n v="0"/>
    <n v="5033.5543916049382"/>
    <n v="0"/>
    <n v="2.3672302948278866E-3"/>
    <n v="2.3672302948278866E-3"/>
    <n v="0"/>
    <n v="0"/>
    <n v="317.11392667111113"/>
    <n v="317.11392667111113"/>
    <n v="0"/>
  </r>
  <r>
    <x v="9"/>
    <x v="10"/>
    <n v="0"/>
    <x v="2"/>
    <s v="Vestdanmark"/>
    <n v="131250.27246207089"/>
    <n v="0"/>
    <n v="0"/>
    <n v="36670.799626981883"/>
    <n v="0"/>
    <n v="0"/>
    <n v="0"/>
    <n v="0"/>
    <n v="94579.472835089007"/>
    <n v="0"/>
    <n v="0"/>
    <n v="0"/>
    <n v="0"/>
    <n v="0"/>
    <n v="0"/>
    <n v="0"/>
    <n v="0"/>
    <n v="0"/>
    <n v="0"/>
  </r>
  <r>
    <x v="10"/>
    <x v="10"/>
    <n v="0"/>
    <x v="2"/>
    <s v="Vestdanmark"/>
    <n v="930886.6264122529"/>
    <n v="0"/>
    <n v="0"/>
    <n v="0"/>
    <n v="0"/>
    <n v="0"/>
    <n v="0"/>
    <n v="0"/>
    <n v="930886.6264122529"/>
    <n v="0"/>
    <n v="0"/>
    <n v="0"/>
    <n v="0"/>
    <n v="0"/>
    <n v="0"/>
    <n v="0"/>
    <n v="0"/>
    <n v="0"/>
    <n v="0"/>
  </r>
  <r>
    <x v="11"/>
    <x v="10"/>
    <n v="0"/>
    <x v="2"/>
    <s v="Vestdanmark"/>
    <n v="27797.960870428567"/>
    <n v="0"/>
    <n v="0"/>
    <n v="267978.92035102146"/>
    <n v="0"/>
    <n v="0"/>
    <n v="0"/>
    <n v="0"/>
    <n v="-240180.95948059289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37013724.844488479"/>
    <n v="12249098.107862087"/>
    <n v="0"/>
    <n v="0"/>
    <n v="65221.076812905056"/>
    <n v="0"/>
    <n v="0"/>
    <n v="5006841.2791297073"/>
    <n v="19692564.38068378"/>
    <n v="19692564.38068378"/>
    <n v="65221.076812905056"/>
    <n v="36.231856889910574"/>
    <n v="36.351855518611721"/>
    <n v="0.11999862870114369"/>
    <n v="36.231856889910574"/>
    <n v="5513918.0265914593"/>
    <n v="5532179.9280990716"/>
    <n v="18261.901507613416"/>
    <n v="5513918.0265914584"/>
  </r>
  <r>
    <x v="14"/>
    <x v="10"/>
    <n v="0"/>
    <x v="2"/>
    <s v="Vestdanmark"/>
    <n v="837000.62524007971"/>
    <n v="837000.62524007983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1010.78078958855"/>
    <n v="0"/>
    <n v="0"/>
    <n v="280672.65868343826"/>
    <n v="0"/>
    <n v="0"/>
    <n v="0"/>
    <n v="0"/>
    <n v="-89661.877893849713"/>
    <n v="0"/>
    <n v="0"/>
    <n v="0"/>
    <n v="0"/>
    <n v="0"/>
    <n v="0"/>
    <n v="0"/>
    <n v="0"/>
    <n v="0"/>
    <n v="0"/>
  </r>
  <r>
    <x v="16"/>
    <x v="5"/>
    <n v="1"/>
    <x v="2"/>
    <s v="Vestdanmark"/>
    <n v="1999940.2166101544"/>
    <n v="765718.007862392"/>
    <n v="708255.87157726486"/>
    <n v="0"/>
    <n v="53710.696431305973"/>
    <n v="0"/>
    <n v="472255.64073919144"/>
    <n v="0"/>
    <n v="0"/>
    <n v="0"/>
    <n v="525966.3371704974"/>
    <n v="0"/>
    <n v="5.1908140139466488"/>
    <n v="0.30967116870255185"/>
    <n v="4.8811428452440966"/>
    <n v="0"/>
    <n v="447071.38659492275"/>
    <n v="45654.091966610074"/>
    <n v="401417.29462831269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</r>
  <r>
    <x v="19"/>
    <x v="1"/>
    <n v="1"/>
    <x v="2"/>
    <s v="Vestdanmark"/>
    <n v="505376.83199167583"/>
    <n v="0"/>
    <n v="0"/>
    <n v="0"/>
    <n v="505376.89995851181"/>
    <n v="0"/>
    <n v="0"/>
    <n v="0"/>
    <n v="-6.7966835980769247E-2"/>
    <n v="0"/>
    <n v="505376.89995851181"/>
    <n v="0"/>
    <n v="1.8613842355396426"/>
    <n v="1.8613842355396426"/>
    <n v="0"/>
    <n v="0"/>
    <n v="212258.29798257496"/>
    <n v="212258.29798257496"/>
    <n v="0"/>
  </r>
  <r>
    <x v="20"/>
    <x v="10"/>
    <n v="0"/>
    <x v="2"/>
    <s v="Vestdanmark"/>
    <n v="611793.18745479197"/>
    <n v="0"/>
    <n v="0"/>
    <n v="0"/>
    <n v="0"/>
    <n v="0"/>
    <n v="0"/>
    <n v="0"/>
    <n v="611793.18745479197"/>
    <n v="0"/>
    <n v="0"/>
    <n v="0"/>
    <n v="0"/>
    <n v="0"/>
    <n v="0"/>
    <n v="0"/>
    <n v="0"/>
    <n v="0"/>
    <n v="0"/>
  </r>
  <r>
    <x v="21"/>
    <x v="10"/>
    <n v="0"/>
    <x v="2"/>
    <s v="Vestdanmark"/>
    <n v="1499857.4180538384"/>
    <n v="0"/>
    <n v="0"/>
    <n v="128347.79869443661"/>
    <n v="0"/>
    <n v="0"/>
    <n v="0"/>
    <n v="0"/>
    <n v="1371509.6193594018"/>
    <n v="0"/>
    <n v="0"/>
    <n v="0"/>
    <n v="0"/>
    <n v="0"/>
    <n v="0"/>
    <n v="0"/>
    <n v="0"/>
    <n v="0"/>
    <n v="0"/>
  </r>
  <r>
    <x v="22"/>
    <x v="5"/>
    <n v="1"/>
    <x v="2"/>
    <s v="Vestdanmark"/>
    <n v="4034586.8295627958"/>
    <n v="4116008.1016937736"/>
    <n v="0"/>
    <n v="307470.55071854044"/>
    <n v="2873.5276646840043"/>
    <n v="0"/>
    <n v="0"/>
    <n v="0"/>
    <n v="-391765.35051420191"/>
    <n v="0"/>
    <n v="2873.5276646840043"/>
    <n v="0"/>
    <n v="9.8414299576696611E-3"/>
    <n v="9.8414299576696611E-3"/>
    <n v="0"/>
    <n v="0"/>
    <n v="890.79357605204132"/>
    <n v="890.79357605204132"/>
    <n v="0"/>
  </r>
  <r>
    <x v="23"/>
    <x v="10"/>
    <n v="0"/>
    <x v="2"/>
    <s v="Vestdanmark"/>
    <n v="0"/>
    <n v="0"/>
    <n v="0"/>
    <n v="0"/>
    <n v="0"/>
    <n v="421885.5095768742"/>
    <n v="0"/>
    <n v="0"/>
    <n v="-421885.5095768742"/>
    <n v="0"/>
    <n v="0"/>
    <n v="0"/>
    <n v="0"/>
    <n v="0"/>
    <n v="0"/>
    <n v="0"/>
    <n v="0"/>
    <n v="0"/>
    <n v="0"/>
  </r>
  <r>
    <x v="24"/>
    <x v="2"/>
    <n v="1"/>
    <x v="2"/>
    <s v="Vestdanmark"/>
    <n v="11415338.024084132"/>
    <n v="0"/>
    <n v="0"/>
    <n v="0"/>
    <n v="8675656.8983039409"/>
    <n v="2739681.1257801917"/>
    <n v="0"/>
    <n v="0"/>
    <n v="0"/>
    <n v="0"/>
    <n v="8675656.8983039409"/>
    <n v="0"/>
    <n v="4.3915307653524724"/>
    <n v="4.3915307653524724"/>
    <n v="0"/>
    <n v="0"/>
    <n v="659349.9242710995"/>
    <n v="659349.9242710995"/>
    <n v="0"/>
  </r>
  <r>
    <x v="25"/>
    <x v="10"/>
    <n v="0"/>
    <x v="2"/>
    <s v="Vestdanmark"/>
    <n v="1430668.4261667002"/>
    <n v="1510478.9155088854"/>
    <n v="0"/>
    <n v="0"/>
    <n v="0"/>
    <n v="0"/>
    <n v="0"/>
    <n v="0"/>
    <n v="-79810.489342185203"/>
    <n v="0"/>
    <n v="0"/>
    <n v="0"/>
    <n v="0"/>
    <n v="0"/>
    <n v="0"/>
    <n v="0"/>
    <n v="0"/>
    <n v="0"/>
    <n v="0"/>
  </r>
  <r>
    <x v="26"/>
    <x v="4"/>
    <n v="1"/>
    <x v="2"/>
    <s v="Vestdanmark"/>
    <n v="1931303.3736580268"/>
    <n v="1547919.3731075076"/>
    <n v="0"/>
    <n v="0"/>
    <n v="250485.69494585399"/>
    <n v="0"/>
    <n v="0"/>
    <n v="0"/>
    <n v="132898.30560466531"/>
    <n v="132898.30560466531"/>
    <n v="250485.69494585399"/>
    <n v="0.47710491712074848"/>
    <n v="1.3763485619763645"/>
    <n v="0.89924364485561592"/>
    <n v="0.47710491712074854"/>
    <n v="39869.491681399588"/>
    <n v="115015.20016515579"/>
    <n v="75145.7084837562"/>
    <n v="39869.491681399595"/>
  </r>
  <r>
    <x v="27"/>
    <x v="10"/>
    <n v="0"/>
    <x v="2"/>
    <s v="Vestdanmark"/>
    <n v="2760447.5608356618"/>
    <n v="0"/>
    <n v="0"/>
    <n v="490824.54885344987"/>
    <n v="0"/>
    <n v="0"/>
    <n v="0"/>
    <n v="0"/>
    <n v="2269623.0119822118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84803.280376262541"/>
    <n v="0"/>
    <n v="0"/>
    <n v="62368.567673274578"/>
    <n v="0"/>
    <n v="0"/>
    <n v="0"/>
    <n v="0"/>
    <n v="22434.712702987963"/>
    <n v="0"/>
    <n v="0"/>
    <n v="0"/>
    <n v="0"/>
    <n v="0"/>
    <n v="0"/>
    <n v="0"/>
    <n v="0"/>
    <n v="0"/>
    <n v="0"/>
  </r>
  <r>
    <x v="30"/>
    <x v="10"/>
    <n v="0"/>
    <x v="2"/>
    <s v="Vestdanmark"/>
    <n v="1343993.6933621466"/>
    <n v="0"/>
    <n v="0"/>
    <n v="0"/>
    <n v="0"/>
    <n v="0"/>
    <n v="0"/>
    <n v="0"/>
    <n v="1343993.6933621466"/>
    <n v="0"/>
    <n v="0"/>
    <n v="0"/>
    <n v="0"/>
    <n v="0"/>
    <n v="0"/>
    <n v="0"/>
    <n v="0"/>
    <n v="0"/>
    <n v="0"/>
  </r>
  <r>
    <x v="31"/>
    <x v="7"/>
    <n v="1"/>
    <x v="2"/>
    <s v="Vestdanmark"/>
    <n v="114761.6251294364"/>
    <n v="0"/>
    <n v="0"/>
    <n v="0"/>
    <n v="0"/>
    <n v="0"/>
    <n v="114761.6251294364"/>
    <n v="0"/>
    <n v="0"/>
    <n v="0"/>
    <n v="114761.6251294364"/>
    <n v="0"/>
    <n v="2.1116139023816296"/>
    <n v="0"/>
    <n v="2.1116139023816296"/>
    <n v="0"/>
    <n v="47626.074428716114"/>
    <n v="0"/>
    <n v="47626.074428716114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298580.4994896017"/>
    <n v="0"/>
    <n v="0"/>
    <n v="0"/>
    <n v="0"/>
    <n v="0"/>
    <n v="0"/>
    <n v="0"/>
    <n v="4298580.4994896017"/>
    <n v="0"/>
    <n v="0"/>
    <n v="0"/>
    <n v="0"/>
    <n v="0"/>
    <n v="0"/>
    <n v="0"/>
    <n v="0"/>
    <n v="0"/>
    <n v="0"/>
  </r>
  <r>
    <x v="35"/>
    <x v="10"/>
    <n v="0"/>
    <x v="2"/>
    <s v="Vestdanmark"/>
    <n v="140601.20938701159"/>
    <n v="0"/>
    <n v="0"/>
    <n v="0"/>
    <n v="0"/>
    <n v="0"/>
    <n v="0"/>
    <n v="140601.20938701159"/>
    <n v="0"/>
    <n v="0"/>
    <n v="0"/>
    <n v="0"/>
    <n v="0"/>
    <n v="0"/>
    <n v="0"/>
    <n v="0"/>
    <n v="0"/>
    <n v="0"/>
    <n v="0"/>
  </r>
  <r>
    <x v="36"/>
    <x v="10"/>
    <n v="0"/>
    <x v="2"/>
    <s v="Vestdanmark"/>
    <n v="70300.604693505797"/>
    <n v="65593.392108914311"/>
    <n v="0"/>
    <n v="0"/>
    <n v="0"/>
    <n v="0"/>
    <n v="0"/>
    <n v="0"/>
    <n v="4707.2125845914852"/>
    <n v="0"/>
    <n v="0"/>
    <n v="0"/>
    <n v="0"/>
    <n v="0"/>
    <n v="0"/>
    <n v="0"/>
    <n v="0"/>
    <n v="0"/>
    <n v="0"/>
  </r>
  <r>
    <x v="37"/>
    <x v="9"/>
    <n v="1"/>
    <x v="2"/>
    <s v="Vestdanmark"/>
    <n v="44992.387003843709"/>
    <n v="0"/>
    <n v="0"/>
    <n v="0"/>
    <n v="0"/>
    <n v="0"/>
    <n v="44992.387003843709"/>
    <n v="0"/>
    <n v="0"/>
    <n v="0"/>
    <n v="44992.387003843709"/>
    <n v="0"/>
    <n v="1.5747335451345297"/>
    <n v="0"/>
    <n v="1.5747335451345297"/>
    <n v="0"/>
    <n v="0"/>
    <n v="0"/>
    <n v="0"/>
  </r>
  <r>
    <x v="38"/>
    <x v="4"/>
    <n v="1"/>
    <x v="2"/>
    <s v="Vestdanmark"/>
    <n v="1764735.4892043229"/>
    <n v="868637.91677766922"/>
    <n v="0"/>
    <n v="0"/>
    <n v="21741.204425481588"/>
    <n v="0"/>
    <n v="0"/>
    <n v="0"/>
    <n v="874356.36800117209"/>
    <n v="874356.36800117209"/>
    <n v="21741.204425481588"/>
    <n v="2.3730381570099013"/>
    <n v="2.4320446554688355"/>
    <n v="5.9006498458934048E-2"/>
    <n v="2.3730381570099013"/>
    <n v="174871.27360023442"/>
    <n v="179219.51448533076"/>
    <n v="4348.2408850963175"/>
    <n v="174871.27360023445"/>
  </r>
  <r>
    <x v="39"/>
    <x v="10"/>
    <n v="0"/>
    <x v="2"/>
    <s v="Vestdanmark"/>
    <n v="156004.57287289423"/>
    <n v="0"/>
    <n v="0"/>
    <n v="0"/>
    <n v="0"/>
    <n v="0"/>
    <n v="0"/>
    <n v="0"/>
    <n v="156004.57287289423"/>
    <n v="0"/>
    <n v="0"/>
    <n v="0"/>
    <n v="0"/>
    <n v="0"/>
    <n v="0"/>
    <n v="0"/>
    <n v="0"/>
    <n v="0"/>
    <n v="0"/>
  </r>
  <r>
    <x v="40"/>
    <x v="10"/>
    <n v="0"/>
    <x v="2"/>
    <s v="Vestdanmark"/>
    <n v="106981.75527690048"/>
    <n v="38482.787367359997"/>
    <n v="0"/>
    <n v="0"/>
    <n v="0"/>
    <n v="0"/>
    <n v="0"/>
    <n v="0"/>
    <n v="68498.967909540486"/>
    <n v="0"/>
    <n v="0"/>
    <n v="0"/>
    <n v="0"/>
    <n v="0"/>
    <n v="0"/>
    <n v="0"/>
    <n v="0"/>
    <n v="0"/>
    <n v="0"/>
  </r>
  <r>
    <x v="41"/>
    <x v="1"/>
    <n v="1"/>
    <x v="2"/>
    <s v="Vestdanmark"/>
    <n v="4109798.0611489196"/>
    <n v="0"/>
    <n v="0"/>
    <n v="0"/>
    <n v="1558636.1641980347"/>
    <n v="0"/>
    <n v="0"/>
    <n v="0"/>
    <n v="2551161.8969508847"/>
    <n v="2551161.8969508847"/>
    <n v="1558636.1641980347"/>
    <n v="1.2730552981974612"/>
    <n v="2.0508303304939224"/>
    <n v="0.77777503229646139"/>
    <n v="1.273055298197461"/>
    <n v="153069.71381705307"/>
    <n v="246587.88366893513"/>
    <n v="93518.169851882078"/>
    <n v="153069.71381705307"/>
  </r>
  <r>
    <x v="42"/>
    <x v="2"/>
    <n v="1"/>
    <x v="2"/>
    <s v="Vestdanmark"/>
    <n v="11013379.49627923"/>
    <n v="0"/>
    <n v="0"/>
    <n v="0"/>
    <n v="5837091.1330279922"/>
    <n v="5176288.3632512381"/>
    <n v="0"/>
    <n v="0"/>
    <n v="0"/>
    <n v="0"/>
    <n v="5837091.1330279922"/>
    <n v="0"/>
    <n v="2.5146188601084596"/>
    <n v="2.5146188601084596"/>
    <n v="0"/>
    <n v="0"/>
    <n v="291854.55665139965"/>
    <n v="291854.55665139965"/>
    <n v="0"/>
  </r>
  <r>
    <x v="43"/>
    <x v="10"/>
    <n v="0"/>
    <x v="2"/>
    <s v="Vestdanmark"/>
    <n v="1138689.3493672458"/>
    <n v="0"/>
    <n v="0"/>
    <n v="126627.09194270898"/>
    <n v="0"/>
    <n v="0"/>
    <n v="0"/>
    <n v="0"/>
    <n v="1012062.2574245369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</r>
  <r>
    <x v="47"/>
    <x v="10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058.272612864344"/>
    <n v="0"/>
    <n v="0"/>
    <n v="28209.340124628539"/>
    <n v="0"/>
    <n v="0"/>
    <n v="0"/>
    <n v="0"/>
    <n v="-11151.067511764195"/>
    <n v="0"/>
    <n v="0"/>
    <n v="0"/>
    <n v="0"/>
    <n v="0"/>
    <n v="0"/>
    <n v="0"/>
    <n v="0"/>
    <n v="0"/>
    <n v="0"/>
  </r>
  <r>
    <x v="1"/>
    <x v="10"/>
    <n v="0"/>
    <x v="1"/>
    <s v="Østdanmark"/>
    <n v="63826.34089651754"/>
    <n v="7493.8897181076927"/>
    <n v="0"/>
    <n v="0"/>
    <n v="0"/>
    <n v="0"/>
    <n v="0"/>
    <n v="0"/>
    <n v="56332.45117840985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13011104.03164914"/>
    <n v="0"/>
    <n v="0"/>
    <n v="0"/>
    <n v="0"/>
    <n v="0"/>
    <n v="113011104.03164914"/>
    <n v="0"/>
    <n v="0"/>
    <n v="0"/>
    <n v="113011104.03164914"/>
    <n v="0"/>
    <n v="0"/>
    <n v="0"/>
    <n v="0"/>
    <n v="0"/>
    <n v="0"/>
    <n v="0"/>
    <n v="0"/>
  </r>
  <r>
    <x v="4"/>
    <x v="10"/>
    <n v="0"/>
    <x v="1"/>
    <s v="Østdanmark"/>
    <n v="3434264.6468584086"/>
    <n v="0"/>
    <n v="0"/>
    <n v="0"/>
    <n v="0"/>
    <n v="2988609.6405701884"/>
    <n v="0"/>
    <n v="0"/>
    <n v="445655.00628822017"/>
    <n v="0"/>
    <n v="0"/>
    <n v="0"/>
    <n v="0"/>
    <n v="0"/>
    <n v="0"/>
    <n v="0"/>
    <n v="0"/>
    <n v="0"/>
    <n v="0"/>
  </r>
  <r>
    <x v="5"/>
    <x v="1"/>
    <n v="1"/>
    <x v="1"/>
    <s v="Østdanmark"/>
    <n v="88018.668339788041"/>
    <n v="0"/>
    <n v="0"/>
    <n v="0"/>
    <n v="8801.8668339788037"/>
    <n v="0"/>
    <n v="0"/>
    <n v="0"/>
    <n v="79216.801505809242"/>
    <n v="79216.801505809242"/>
    <n v="8801.8668339788037"/>
    <n v="4.4997208987015251E-2"/>
    <n v="4.999689887446139E-2"/>
    <n v="4.9996898874461381E-3"/>
    <n v="4.4997208987015251E-2"/>
    <n v="3387.5787839354994"/>
    <n v="3763.9764265949993"/>
    <n v="376.39764265949992"/>
    <n v="3387.5787839354994"/>
  </r>
  <r>
    <x v="6"/>
    <x v="2"/>
    <n v="1"/>
    <x v="1"/>
    <s v="Østdanmark"/>
    <n v="394046.35552146425"/>
    <n v="0"/>
    <n v="0"/>
    <n v="0"/>
    <n v="197023.17776073213"/>
    <n v="74587.345866562871"/>
    <n v="0"/>
    <n v="0"/>
    <n v="122435.83189416927"/>
    <n v="122435.83189416927"/>
    <n v="197023.17776073213"/>
    <n v="0.26372678190004062"/>
    <n v="0.68811470679665765"/>
    <n v="0.42438792489661703"/>
    <n v="0.26372678190004062"/>
    <n v="36730.74956825078"/>
    <n v="95837.702896470422"/>
    <n v="59106.953328219635"/>
    <n v="36730.749568250787"/>
  </r>
  <r>
    <x v="7"/>
    <x v="10"/>
    <n v="0"/>
    <x v="1"/>
    <s v="Østdanmark"/>
    <n v="61994.905849799994"/>
    <n v="62973.863177375555"/>
    <n v="0"/>
    <n v="0"/>
    <n v="0"/>
    <n v="0"/>
    <n v="0"/>
    <n v="0"/>
    <n v="-978.95732757556107"/>
    <n v="0"/>
    <n v="0"/>
    <n v="0"/>
    <n v="0"/>
    <n v="0"/>
    <n v="0"/>
    <n v="0"/>
    <n v="0"/>
    <n v="0"/>
    <n v="0"/>
  </r>
  <r>
    <x v="8"/>
    <x v="2"/>
    <n v="1"/>
    <x v="1"/>
    <s v="Østdanmark"/>
    <n v="743.56732399226598"/>
    <n v="0"/>
    <n v="0"/>
    <n v="0"/>
    <n v="371.78366199613299"/>
    <n v="371.78366199613299"/>
    <n v="0"/>
    <n v="0"/>
    <n v="0"/>
    <n v="0"/>
    <n v="371.78366199613299"/>
    <n v="0"/>
    <n v="1.7484613840016138E-4"/>
    <n v="1.7484613840016138E-4"/>
    <n v="0"/>
    <n v="0"/>
    <n v="23.422370705756379"/>
    <n v="23.422370705756379"/>
    <n v="0"/>
  </r>
  <r>
    <x v="9"/>
    <x v="10"/>
    <n v="0"/>
    <x v="1"/>
    <s v="Østdanmark"/>
    <n v="13977.105965819914"/>
    <n v="0"/>
    <n v="0"/>
    <n v="30560.118468347584"/>
    <n v="0"/>
    <n v="0"/>
    <n v="0"/>
    <n v="0"/>
    <n v="-16583.012502527672"/>
    <n v="0"/>
    <n v="0"/>
    <n v="0"/>
    <n v="0"/>
    <n v="0"/>
    <n v="0"/>
    <n v="0"/>
    <n v="0"/>
    <n v="0"/>
    <n v="0"/>
  </r>
  <r>
    <x v="10"/>
    <x v="10"/>
    <n v="0"/>
    <x v="1"/>
    <s v="Østdanmark"/>
    <n v="321978.66045818618"/>
    <n v="0"/>
    <n v="0"/>
    <n v="0"/>
    <n v="0"/>
    <n v="0"/>
    <n v="0"/>
    <n v="0"/>
    <n v="321978.66045818618"/>
    <n v="0"/>
    <n v="0"/>
    <n v="0"/>
    <n v="0"/>
    <n v="0"/>
    <n v="0"/>
    <n v="0"/>
    <n v="0"/>
    <n v="0"/>
    <n v="0"/>
  </r>
  <r>
    <x v="11"/>
    <x v="10"/>
    <n v="0"/>
    <x v="1"/>
    <s v="Østdanmark"/>
    <n v="9322.9977462727657"/>
    <n v="0"/>
    <n v="0"/>
    <n v="223323.94265330929"/>
    <n v="0"/>
    <n v="0"/>
    <n v="0"/>
    <n v="0"/>
    <n v="-214000.94490703652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794429.667260306"/>
    <n v="1503468.3313748275"/>
    <n v="0"/>
    <n v="0"/>
    <n v="19169.610202413449"/>
    <n v="0"/>
    <n v="0"/>
    <n v="180125.38560234805"/>
    <n v="6091666.3400807166"/>
    <n v="6091666.3400807166"/>
    <n v="19169.610202413449"/>
    <n v="11.20790460745601"/>
    <n v="11.243174294027176"/>
    <n v="3.526968657116545E-2"/>
    <n v="11.20790460745601"/>
    <n v="1705666.5752226007"/>
    <n v="1711034.0660792764"/>
    <n v="5367.4908566757658"/>
    <n v="1705666.5752226007"/>
  </r>
  <r>
    <x v="14"/>
    <x v="10"/>
    <n v="0"/>
    <x v="1"/>
    <s v="Østdanmark"/>
    <n v="30111.811412759995"/>
    <n v="30111.811412759998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3718.477656278912"/>
    <n v="0"/>
    <n v="0"/>
    <n v="233902.44520004498"/>
    <n v="0"/>
    <n v="0"/>
    <n v="0"/>
    <n v="0"/>
    <n v="-170183.96754376608"/>
    <n v="0"/>
    <n v="0"/>
    <n v="0"/>
    <n v="0"/>
    <n v="0"/>
    <n v="0"/>
    <n v="0"/>
    <n v="0"/>
    <n v="0"/>
    <n v="0"/>
  </r>
  <r>
    <x v="16"/>
    <x v="5"/>
    <n v="1"/>
    <x v="1"/>
    <s v="Østdanmark"/>
    <n v="902119.88928598503"/>
    <n v="93985.105307108941"/>
    <n v="102652.59374582161"/>
    <n v="0"/>
    <n v="19810.176817202024"/>
    <n v="0"/>
    <n v="685672.01341585245"/>
    <n v="0"/>
    <n v="0"/>
    <n v="0"/>
    <n v="705482.19023305445"/>
    <n v="0"/>
    <n v="7.201189509677242"/>
    <n v="0.11421636684665096"/>
    <n v="7.0869731428305913"/>
    <n v="0"/>
    <n v="599659.86169809627"/>
    <n v="16838.650294621719"/>
    <n v="582821.21140347456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033.81195063831"/>
    <n v="0"/>
    <n v="0"/>
    <n v="0"/>
    <n v="0"/>
    <n v="0"/>
    <n v="0"/>
    <n v="-592033.81195063831"/>
    <n v="0"/>
    <n v="0"/>
    <n v="0"/>
    <n v="0"/>
    <n v="0"/>
    <n v="0"/>
    <n v="0"/>
    <n v="0"/>
    <n v="0"/>
    <n v="0"/>
  </r>
  <r>
    <x v="19"/>
    <x v="1"/>
    <n v="1"/>
    <x v="1"/>
    <s v="Østdanmark"/>
    <n v="202446.55993953047"/>
    <n v="0"/>
    <n v="0"/>
    <n v="0"/>
    <n v="202446.64290192959"/>
    <n v="0"/>
    <n v="0"/>
    <n v="0"/>
    <n v="-8.2962399115785956E-2"/>
    <n v="0"/>
    <n v="202446.64290192959"/>
    <n v="0"/>
    <n v="0.74564347849399248"/>
    <n v="0.74564347849399248"/>
    <n v="0"/>
    <n v="0"/>
    <n v="85027.590018810428"/>
    <n v="85027.590018810428"/>
    <n v="0"/>
  </r>
  <r>
    <x v="20"/>
    <x v="10"/>
    <n v="0"/>
    <x v="1"/>
    <s v="Østdanmark"/>
    <n v="203146.27162041739"/>
    <n v="0"/>
    <n v="0"/>
    <n v="0"/>
    <n v="0"/>
    <n v="0"/>
    <n v="0"/>
    <n v="0"/>
    <n v="203146.27162041739"/>
    <n v="0"/>
    <n v="0"/>
    <n v="0"/>
    <n v="0"/>
    <n v="0"/>
    <n v="0"/>
    <n v="0"/>
    <n v="0"/>
    <n v="0"/>
    <n v="0"/>
  </r>
  <r>
    <x v="21"/>
    <x v="10"/>
    <n v="0"/>
    <x v="1"/>
    <s v="Østdanmark"/>
    <n v="495843.75527766516"/>
    <n v="0"/>
    <n v="0"/>
    <n v="106960.41463921656"/>
    <n v="0"/>
    <n v="0"/>
    <n v="0"/>
    <n v="0"/>
    <n v="388883.3406384486"/>
    <n v="0"/>
    <n v="0"/>
    <n v="0"/>
    <n v="0"/>
    <n v="0"/>
    <n v="0"/>
    <n v="0"/>
    <n v="0"/>
    <n v="0"/>
    <n v="0"/>
  </r>
  <r>
    <x v="22"/>
    <x v="5"/>
    <n v="1"/>
    <x v="1"/>
    <s v="Østdanmark"/>
    <n v="1766009.1742338412"/>
    <n v="685633.38753388484"/>
    <n v="0"/>
    <n v="256234.83946537593"/>
    <n v="878.00678248897611"/>
    <n v="0"/>
    <n v="0"/>
    <n v="0"/>
    <n v="823262.94045209151"/>
    <n v="787503.19758674048"/>
    <n v="878.00678248897611"/>
    <n v="2.6970882012869244"/>
    <n v="2.7000952515959997"/>
    <n v="3.0070503090751954E-3"/>
    <n v="2.6970882012869244"/>
    <n v="244125.99125188956"/>
    <n v="244398.17335446115"/>
    <n v="272.18210257158262"/>
    <n v="244125.99125188956"/>
  </r>
  <r>
    <x v="23"/>
    <x v="10"/>
    <n v="0"/>
    <x v="1"/>
    <s v="Østdanmark"/>
    <n v="0"/>
    <n v="0"/>
    <n v="0"/>
    <n v="0"/>
    <n v="0"/>
    <n v="321487.6679216951"/>
    <n v="0"/>
    <n v="0"/>
    <n v="-321487.6679216951"/>
    <n v="0"/>
    <n v="0"/>
    <n v="0"/>
    <n v="0"/>
    <n v="0"/>
    <n v="0"/>
    <n v="0"/>
    <n v="0"/>
    <n v="0"/>
    <n v="0"/>
  </r>
  <r>
    <x v="24"/>
    <x v="2"/>
    <n v="1"/>
    <x v="1"/>
    <s v="Østdanmark"/>
    <n v="889393.11408765602"/>
    <n v="0"/>
    <n v="0"/>
    <n v="0"/>
    <n v="675938.7667066186"/>
    <n v="213454.34738103743"/>
    <n v="0"/>
    <n v="0"/>
    <n v="0"/>
    <n v="0"/>
    <n v="675938.7667066186"/>
    <n v="0"/>
    <n v="0.34215344431922329"/>
    <n v="0.34215344431922329"/>
    <n v="0"/>
    <n v="0"/>
    <n v="51371.346269703012"/>
    <n v="51371.346269703012"/>
    <n v="0"/>
  </r>
  <r>
    <x v="25"/>
    <x v="10"/>
    <n v="0"/>
    <x v="1"/>
    <s v="Østdanmark"/>
    <n v="111157.2964449961"/>
    <n v="185397.91213031334"/>
    <n v="0"/>
    <n v="0"/>
    <n v="0"/>
    <n v="0"/>
    <n v="0"/>
    <n v="0"/>
    <n v="-74240.615685317243"/>
    <n v="0"/>
    <n v="0"/>
    <n v="0"/>
    <n v="0"/>
    <n v="0"/>
    <n v="0"/>
    <n v="0"/>
    <n v="0"/>
    <n v="0"/>
    <n v="0"/>
  </r>
  <r>
    <x v="26"/>
    <x v="4"/>
    <n v="1"/>
    <x v="1"/>
    <s v="Østdanmark"/>
    <n v="1107529.2203986393"/>
    <n v="490305.54007415898"/>
    <n v="0"/>
    <n v="0"/>
    <n v="74714.80111862249"/>
    <n v="0"/>
    <n v="0"/>
    <n v="0"/>
    <n v="542508.87920585787"/>
    <n v="77153.344535718672"/>
    <n v="74714.80111862249"/>
    <n v="0.27698050688323006"/>
    <n v="0.54520664289908483"/>
    <n v="0.26822613601585477"/>
    <n v="0.27698050688323006"/>
    <n v="23146.0033607156"/>
    <n v="45560.44369630234"/>
    <n v="22414.440335586747"/>
    <n v="23146.003360715593"/>
  </r>
  <r>
    <x v="27"/>
    <x v="10"/>
    <n v="0"/>
    <x v="1"/>
    <s v="Østdanmark"/>
    <n v="214475.89268662789"/>
    <n v="0"/>
    <n v="0"/>
    <n v="409035.43180711387"/>
    <n v="0"/>
    <n v="0"/>
    <n v="0"/>
    <n v="0"/>
    <n v="-194559.53912048598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090.8017917209545"/>
    <n v="0"/>
    <n v="0"/>
    <n v="51975.70917962808"/>
    <n v="0"/>
    <n v="0"/>
    <n v="0"/>
    <n v="0"/>
    <n v="-44884.907387907122"/>
    <n v="0"/>
    <n v="0"/>
    <n v="0"/>
    <n v="0"/>
    <n v="0"/>
    <n v="0"/>
    <n v="0"/>
    <n v="0"/>
    <n v="0"/>
    <n v="0"/>
  </r>
  <r>
    <x v="30"/>
    <x v="10"/>
    <n v="0"/>
    <x v="1"/>
    <s v="Østdanmark"/>
    <n v="447037.72834356769"/>
    <n v="0"/>
    <n v="0"/>
    <n v="0"/>
    <n v="0"/>
    <n v="0"/>
    <n v="0"/>
    <n v="0"/>
    <n v="447037.72834356769"/>
    <n v="0"/>
    <n v="0"/>
    <n v="0"/>
    <n v="0"/>
    <n v="0"/>
    <n v="0"/>
    <n v="0"/>
    <n v="0"/>
    <n v="0"/>
    <n v="0"/>
  </r>
  <r>
    <x v="31"/>
    <x v="7"/>
    <n v="1"/>
    <x v="1"/>
    <s v="Østdanmark"/>
    <n v="39553.070036709789"/>
    <n v="0"/>
    <n v="0"/>
    <n v="0"/>
    <n v="0"/>
    <n v="0"/>
    <n v="39553.070036709789"/>
    <n v="0"/>
    <n v="0"/>
    <n v="0"/>
    <n v="39553.070036709789"/>
    <n v="0"/>
    <n v="0.72777648867545996"/>
    <n v="0"/>
    <n v="0.72777648867545996"/>
    <n v="0"/>
    <n v="16414.524065234564"/>
    <n v="0"/>
    <n v="16414.524065234564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33982.75808371691"/>
    <n v="0"/>
    <n v="0"/>
    <n v="0"/>
    <n v="0"/>
    <n v="0"/>
    <n v="0"/>
    <n v="0"/>
    <n v="333982.75808371691"/>
    <n v="0"/>
    <n v="0"/>
    <n v="0"/>
    <n v="0"/>
    <n v="0"/>
    <n v="0"/>
    <n v="0"/>
    <n v="0"/>
    <n v="0"/>
    <n v="0"/>
  </r>
  <r>
    <x v="35"/>
    <x v="10"/>
    <n v="0"/>
    <x v="1"/>
    <s v="Østdanmark"/>
    <n v="47807.242236556565"/>
    <n v="0"/>
    <n v="0"/>
    <n v="0"/>
    <n v="0"/>
    <n v="0"/>
    <n v="0"/>
    <n v="47807.242236556565"/>
    <n v="0"/>
    <n v="0"/>
    <n v="0"/>
    <n v="0"/>
    <n v="0"/>
    <n v="0"/>
    <n v="0"/>
    <n v="0"/>
    <n v="0"/>
    <n v="0"/>
    <n v="0"/>
  </r>
  <r>
    <x v="36"/>
    <x v="10"/>
    <n v="0"/>
    <x v="1"/>
    <s v="Østdanmark"/>
    <n v="23903.621118278283"/>
    <n v="11271.411305610249"/>
    <n v="0"/>
    <n v="0"/>
    <n v="0"/>
    <n v="0"/>
    <n v="0"/>
    <n v="0"/>
    <n v="12632.209812668034"/>
    <n v="0"/>
    <n v="0"/>
    <n v="0"/>
    <n v="0"/>
    <n v="0"/>
    <n v="0"/>
    <n v="0"/>
    <n v="0"/>
    <n v="0"/>
    <n v="0"/>
  </r>
  <r>
    <x v="37"/>
    <x v="9"/>
    <n v="1"/>
    <x v="1"/>
    <s v="Østdanmark"/>
    <n v="15298.317515698101"/>
    <n v="0"/>
    <n v="0"/>
    <n v="0"/>
    <n v="0"/>
    <n v="0"/>
    <n v="15298.317515698101"/>
    <n v="0"/>
    <n v="0"/>
    <n v="0"/>
    <n v="15298.317515698101"/>
    <n v="0"/>
    <n v="0.53544111304943354"/>
    <n v="0"/>
    <n v="0.53544111304943354"/>
    <n v="0"/>
    <n v="0"/>
    <n v="0"/>
    <n v="0"/>
  </r>
  <r>
    <x v="38"/>
    <x v="4"/>
    <n v="1"/>
    <x v="1"/>
    <s v="Østdanmark"/>
    <n v="587619.03155491932"/>
    <n v="106617.61280762308"/>
    <n v="0"/>
    <n v="0"/>
    <n v="6751.4081977279666"/>
    <n v="0"/>
    <n v="0"/>
    <n v="0"/>
    <n v="474250.01054956828"/>
    <n v="474250.01054956828"/>
    <n v="6751.4081977279666"/>
    <n v="1.2871334986319503"/>
    <n v="1.3054570905369118"/>
    <n v="1.8323591904961609E-2"/>
    <n v="1.2871334986319503"/>
    <n v="94850.002109913665"/>
    <n v="96200.283749459253"/>
    <n v="1350.2816395455934"/>
    <n v="94850.002109913665"/>
  </r>
  <r>
    <x v="39"/>
    <x v="10"/>
    <n v="0"/>
    <x v="1"/>
    <s v="Østdanmark"/>
    <n v="21322.079657033162"/>
    <n v="0"/>
    <n v="0"/>
    <n v="0"/>
    <n v="0"/>
    <n v="0"/>
    <n v="0"/>
    <n v="0"/>
    <n v="21322.079657033162"/>
    <n v="0"/>
    <n v="0"/>
    <n v="0"/>
    <n v="0"/>
    <n v="0"/>
    <n v="0"/>
    <n v="0"/>
    <n v="0"/>
    <n v="0"/>
    <n v="0"/>
  </r>
  <r>
    <x v="40"/>
    <x v="10"/>
    <n v="0"/>
    <x v="1"/>
    <s v="Østdanmark"/>
    <n v="17334.62592459012"/>
    <n v="4723.4213980800005"/>
    <n v="0"/>
    <n v="0"/>
    <n v="0"/>
    <n v="0"/>
    <n v="0"/>
    <n v="0"/>
    <n v="12611.204526510119"/>
    <n v="0"/>
    <n v="0"/>
    <n v="0"/>
    <n v="0"/>
    <n v="0"/>
    <n v="0"/>
    <n v="0"/>
    <n v="0"/>
    <n v="0"/>
    <n v="0"/>
  </r>
  <r>
    <x v="41"/>
    <x v="1"/>
    <n v="1"/>
    <x v="1"/>
    <s v="Østdanmark"/>
    <n v="3343749.6322478913"/>
    <n v="0"/>
    <n v="0"/>
    <n v="0"/>
    <n v="1268113.1830084329"/>
    <n v="0"/>
    <n v="0"/>
    <n v="0"/>
    <n v="2075636.4492394584"/>
    <n v="2075636.4492394584"/>
    <n v="1268113.1830084329"/>
    <n v="1.0357633445349823"/>
    <n v="1.6685645039880206"/>
    <n v="0.63280115945303816"/>
    <n v="1.0357633445349825"/>
    <n v="124538.1869543675"/>
    <n v="200624.97793487346"/>
    <n v="76086.790980505975"/>
    <n v="124538.18695436748"/>
  </r>
  <r>
    <x v="42"/>
    <x v="2"/>
    <n v="1"/>
    <x v="1"/>
    <s v="Østdanmark"/>
    <n v="2007966.0118097975"/>
    <n v="0"/>
    <n v="0"/>
    <n v="0"/>
    <n v="1064221.9862591927"/>
    <n v="943744.02555060491"/>
    <n v="0"/>
    <n v="0"/>
    <n v="0"/>
    <n v="0"/>
    <n v="1064221.9862591927"/>
    <n v="0"/>
    <n v="0.45846683168046026"/>
    <n v="0.45846683168046026"/>
    <n v="0"/>
    <n v="0"/>
    <n v="53211.099312959639"/>
    <n v="53211.099312959639"/>
    <n v="0"/>
  </r>
  <r>
    <x v="43"/>
    <x v="10"/>
    <n v="0"/>
    <x v="1"/>
    <s v="Østdanmark"/>
    <n v="189279.53198000713"/>
    <n v="0"/>
    <n v="0"/>
    <n v="105526.43984954793"/>
    <n v="0"/>
    <n v="0"/>
    <n v="0"/>
    <n v="0"/>
    <n v="83753.092130459205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4989.208203650858"/>
    <n v="0"/>
    <n v="0"/>
    <n v="29532.002020101954"/>
    <n v="0"/>
    <n v="0"/>
    <n v="0"/>
    <n v="0"/>
    <n v="-14542.793816451096"/>
    <n v="0"/>
    <n v="0"/>
    <n v="0"/>
    <n v="0"/>
    <n v="0"/>
    <n v="0"/>
    <n v="0"/>
    <n v="0"/>
    <n v="0"/>
    <n v="0"/>
  </r>
  <r>
    <x v="1"/>
    <x v="10"/>
    <n v="0"/>
    <x v="2"/>
    <s v="Østdanmark"/>
    <n v="61233.498570445321"/>
    <n v="7493.8897181076945"/>
    <n v="0"/>
    <n v="0"/>
    <n v="0"/>
    <n v="0"/>
    <n v="0"/>
    <n v="0"/>
    <n v="53739.608852337624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14938258.35286066"/>
    <n v="0"/>
    <n v="0"/>
    <n v="0"/>
    <n v="0"/>
    <n v="0"/>
    <n v="114938258.35286066"/>
    <n v="0"/>
    <n v="0"/>
    <n v="0"/>
    <n v="114938258.35286066"/>
    <n v="0"/>
    <n v="0"/>
    <n v="0"/>
    <n v="0"/>
    <n v="0"/>
    <n v="0"/>
    <n v="0"/>
    <n v="0"/>
  </r>
  <r>
    <x v="4"/>
    <x v="10"/>
    <n v="0"/>
    <x v="2"/>
    <s v="Østdanmark"/>
    <n v="3329756.2304500802"/>
    <n v="0"/>
    <n v="0"/>
    <n v="0"/>
    <n v="0"/>
    <n v="2820438.968055354"/>
    <n v="0"/>
    <n v="0"/>
    <n v="509317.26239472628"/>
    <n v="0"/>
    <n v="0"/>
    <n v="0"/>
    <n v="0"/>
    <n v="0"/>
    <n v="0"/>
    <n v="0"/>
    <n v="0"/>
    <n v="0"/>
    <n v="0"/>
  </r>
  <r>
    <x v="5"/>
    <x v="1"/>
    <n v="1"/>
    <x v="2"/>
    <s v="Østdanmark"/>
    <n v="300298.98610045342"/>
    <n v="0"/>
    <n v="0"/>
    <n v="0"/>
    <n v="60059.797220090688"/>
    <n v="0"/>
    <n v="0"/>
    <n v="0"/>
    <n v="240239.18888036272"/>
    <n v="240239.18888036272"/>
    <n v="60059.797220090688"/>
    <n v="0.13646212398676522"/>
    <n v="0.17057765498345653"/>
    <n v="3.4115530996691311E-2"/>
    <n v="0.13646212398676522"/>
    <n v="10273.441540824"/>
    <n v="12841.801926030003"/>
    <n v="2568.3603852060005"/>
    <n v="10273.441540824002"/>
  </r>
  <r>
    <x v="6"/>
    <x v="2"/>
    <n v="1"/>
    <x v="2"/>
    <s v="Østdanmark"/>
    <n v="478171.56094190531"/>
    <n v="0"/>
    <n v="0"/>
    <n v="0"/>
    <n v="239085.78047095265"/>
    <n v="90511.045464003502"/>
    <n v="0"/>
    <n v="0"/>
    <n v="148574.73500694917"/>
    <n v="148574.73500694917"/>
    <n v="239085.78047095265"/>
    <n v="0.32002997920496851"/>
    <n v="0.83502075033940049"/>
    <n v="0.51499077113443203"/>
    <n v="0.32002997920496845"/>
    <n v="44572.420502084751"/>
    <n v="116298.15464337054"/>
    <n v="71725.734141285793"/>
    <n v="44572.420502084744"/>
  </r>
  <r>
    <x v="7"/>
    <x v="10"/>
    <n v="0"/>
    <x v="2"/>
    <s v="Østdanmark"/>
    <n v="211512.03172284711"/>
    <n v="209912.87725791859"/>
    <n v="0"/>
    <n v="0"/>
    <n v="0"/>
    <n v="0"/>
    <n v="0"/>
    <n v="0"/>
    <n v="1599.1544649285206"/>
    <n v="0"/>
    <n v="0"/>
    <n v="0"/>
    <n v="0"/>
    <n v="0"/>
    <n v="0"/>
    <n v="0"/>
    <n v="0"/>
    <n v="0"/>
    <n v="0"/>
  </r>
  <r>
    <x v="8"/>
    <x v="2"/>
    <n v="1"/>
    <x v="2"/>
    <s v="Østdanmark"/>
    <n v="844.92872428034855"/>
    <n v="0"/>
    <n v="0"/>
    <n v="0"/>
    <n v="422.46436214017427"/>
    <n v="422.46436214017427"/>
    <n v="0"/>
    <n v="0"/>
    <n v="0"/>
    <n v="0"/>
    <n v="422.46436214017427"/>
    <n v="0"/>
    <n v="1.9868076487090255E-4"/>
    <n v="1.9868076487090255E-4"/>
    <n v="0"/>
    <n v="0"/>
    <n v="26.61525481483098"/>
    <n v="26.61525481483098"/>
    <n v="0"/>
  </r>
  <r>
    <x v="9"/>
    <x v="10"/>
    <n v="0"/>
    <x v="2"/>
    <s v="Østdanmark"/>
    <n v="11015.786921641509"/>
    <n v="0"/>
    <n v="0"/>
    <n v="31993.002188443785"/>
    <n v="0"/>
    <n v="0"/>
    <n v="0"/>
    <n v="0"/>
    <n v="-20977.215266802275"/>
    <n v="0"/>
    <n v="0"/>
    <n v="0"/>
    <n v="0"/>
    <n v="0"/>
    <n v="0"/>
    <n v="0"/>
    <n v="0"/>
    <n v="0"/>
    <n v="0"/>
  </r>
  <r>
    <x v="10"/>
    <x v="10"/>
    <n v="0"/>
    <x v="2"/>
    <s v="Østdanmark"/>
    <n v="295597.74362228904"/>
    <n v="0"/>
    <n v="0"/>
    <n v="0"/>
    <n v="0"/>
    <n v="0"/>
    <n v="0"/>
    <n v="0"/>
    <n v="295597.74362228904"/>
    <n v="0"/>
    <n v="0"/>
    <n v="0"/>
    <n v="0"/>
    <n v="0"/>
    <n v="0"/>
    <n v="0"/>
    <n v="0"/>
    <n v="0"/>
    <n v="0"/>
  </r>
  <r>
    <x v="11"/>
    <x v="10"/>
    <n v="0"/>
    <x v="2"/>
    <s v="Østdanmark"/>
    <n v="8827.084069591494"/>
    <n v="0"/>
    <n v="0"/>
    <n v="233795.01599247381"/>
    <n v="0"/>
    <n v="0"/>
    <n v="0"/>
    <n v="0"/>
    <n v="-224967.93192288233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11608975.952039318"/>
    <n v="1503468.3313748278"/>
    <n v="0"/>
    <n v="0"/>
    <n v="20455.923187094944"/>
    <n v="0"/>
    <n v="0"/>
    <n v="614545.43323154061"/>
    <n v="9470506.2642458547"/>
    <n v="9470506.2642458547"/>
    <n v="20455.923187094944"/>
    <n v="17.424547712929343"/>
    <n v="17.462184054603199"/>
    <n v="3.7636341673856315E-2"/>
    <n v="17.424547712929343"/>
    <n v="2651741.7539888397"/>
    <n v="2657469.4124812265"/>
    <n v="5727.6584923865848"/>
    <n v="2651741.7539888397"/>
  </r>
  <r>
    <x v="14"/>
    <x v="10"/>
    <n v="0"/>
    <x v="2"/>
    <s v="Østdanmark"/>
    <n v="102734.41540824002"/>
    <n v="102734.41540824002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0654.384977627895"/>
    <n v="0"/>
    <n v="0"/>
    <n v="244869.51675001203"/>
    <n v="0"/>
    <n v="0"/>
    <n v="0"/>
    <n v="0"/>
    <n v="-184215.13177238413"/>
    <n v="0"/>
    <n v="0"/>
    <n v="0"/>
    <n v="0"/>
    <n v="0"/>
    <n v="0"/>
    <n v="0"/>
    <n v="0"/>
    <n v="0"/>
    <n v="0"/>
  </r>
  <r>
    <x v="16"/>
    <x v="5"/>
    <n v="1"/>
    <x v="2"/>
    <s v="Østdanmark"/>
    <n v="635069.61925954686"/>
    <n v="93985.105307108985"/>
    <n v="100623.12681257421"/>
    <n v="0"/>
    <n v="22223.303568694027"/>
    <n v="0"/>
    <n v="418238.08357116987"/>
    <n v="0"/>
    <n v="0"/>
    <n v="0"/>
    <n v="440461.38713986392"/>
    <n v="0"/>
    <n v="4.4509571810997537"/>
    <n v="0.12812934565744818"/>
    <n v="4.3228278354423058"/>
    <n v="0"/>
    <n v="374392.17906888435"/>
    <n v="18889.808033389923"/>
    <n v="355502.37103549443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033.81195063854"/>
    <n v="0"/>
    <n v="0"/>
    <n v="0"/>
    <n v="0"/>
    <n v="0"/>
    <n v="0"/>
    <n v="-592033.81195063854"/>
    <n v="0"/>
    <n v="0"/>
    <n v="0"/>
    <n v="0"/>
    <n v="0"/>
    <n v="0"/>
    <n v="0"/>
    <n v="0"/>
    <n v="0"/>
    <n v="0"/>
  </r>
  <r>
    <x v="19"/>
    <x v="1"/>
    <n v="1"/>
    <x v="2"/>
    <s v="Østdanmark"/>
    <n v="202030.07287098104"/>
    <n v="0"/>
    <n v="0"/>
    <n v="0"/>
    <n v="202030.10004148821"/>
    <n v="0"/>
    <n v="0"/>
    <n v="0"/>
    <n v="-2.7170507179107517E-2"/>
    <n v="0"/>
    <n v="202030.10004148821"/>
    <n v="0"/>
    <n v="0.74410928428385781"/>
    <n v="0.74410928428385781"/>
    <n v="0"/>
    <n v="0"/>
    <n v="84852.642017425052"/>
    <n v="84852.642017425052"/>
    <n v="0"/>
  </r>
  <r>
    <x v="20"/>
    <x v="10"/>
    <n v="0"/>
    <x v="2"/>
    <s v="Østdanmark"/>
    <n v="194271.44041387876"/>
    <n v="0"/>
    <n v="0"/>
    <n v="0"/>
    <n v="0"/>
    <n v="0"/>
    <n v="0"/>
    <n v="0"/>
    <n v="194271.44041387876"/>
    <n v="0"/>
    <n v="0"/>
    <n v="0"/>
    <n v="0"/>
    <n v="0"/>
    <n v="0"/>
    <n v="0"/>
    <n v="0"/>
    <n v="0"/>
    <n v="0"/>
  </r>
  <r>
    <x v="21"/>
    <x v="10"/>
    <n v="0"/>
    <x v="2"/>
    <s v="Østdanmark"/>
    <n v="476271.17626623076"/>
    <n v="0"/>
    <n v="0"/>
    <n v="111975.50765955324"/>
    <n v="0"/>
    <n v="0"/>
    <n v="0"/>
    <n v="0"/>
    <n v="364295.6686066775"/>
    <n v="0"/>
    <n v="0"/>
    <n v="0"/>
    <n v="0"/>
    <n v="0"/>
    <n v="0"/>
    <n v="0"/>
    <n v="0"/>
    <n v="0"/>
    <n v="0"/>
  </r>
  <r>
    <x v="22"/>
    <x v="5"/>
    <n v="1"/>
    <x v="2"/>
    <s v="Østdanmark"/>
    <n v="1281160.0569055823"/>
    <n v="505203.54870917852"/>
    <n v="0"/>
    <n v="268249.01834925939"/>
    <n v="912.47233531599591"/>
    <n v="0"/>
    <n v="0"/>
    <n v="0"/>
    <n v="506795.01751182834"/>
    <n v="115029.66699762642"/>
    <n v="912.47233531599591"/>
    <n v="0.39396050531349092"/>
    <n v="0.39708559531582127"/>
    <n v="3.1250900023303422E-3"/>
    <n v="0.39396050531349092"/>
    <n v="35659.196769264192"/>
    <n v="35942.063193212147"/>
    <n v="282.86642394795871"/>
    <n v="35659.196769264185"/>
  </r>
  <r>
    <x v="23"/>
    <x v="10"/>
    <n v="0"/>
    <x v="2"/>
    <s v="Østdanmark"/>
    <n v="0"/>
    <n v="0"/>
    <n v="0"/>
    <n v="0"/>
    <n v="0"/>
    <n v="292821.84527900093"/>
    <n v="0"/>
    <n v="0"/>
    <n v="-292821.84527900093"/>
    <n v="0"/>
    <n v="0"/>
    <n v="0"/>
    <n v="0"/>
    <n v="0"/>
    <n v="0"/>
    <n v="0"/>
    <n v="0"/>
    <n v="0"/>
    <n v="0"/>
  </r>
  <r>
    <x v="24"/>
    <x v="2"/>
    <n v="1"/>
    <x v="2"/>
    <s v="Østdanmark"/>
    <n v="811333.8467404244"/>
    <n v="0"/>
    <n v="0"/>
    <n v="0"/>
    <n v="616613.7235227226"/>
    <n v="194720.12321770185"/>
    <n v="0"/>
    <n v="0"/>
    <n v="0"/>
    <n v="0"/>
    <n v="616613.7235227226"/>
    <n v="0"/>
    <n v="0.31212370070996698"/>
    <n v="0.31212370070996698"/>
    <n v="0"/>
    <n v="0"/>
    <n v="46862.642987726918"/>
    <n v="46862.642987726918"/>
    <n v="0"/>
  </r>
  <r>
    <x v="25"/>
    <x v="10"/>
    <n v="0"/>
    <x v="2"/>
    <s v="Østdanmark"/>
    <n v="101683.34176026525"/>
    <n v="185397.9121303134"/>
    <n v="0"/>
    <n v="0"/>
    <n v="0"/>
    <n v="0"/>
    <n v="0"/>
    <n v="0"/>
    <n v="-83714.570370048154"/>
    <n v="0"/>
    <n v="0"/>
    <n v="0"/>
    <n v="0"/>
    <n v="0"/>
    <n v="0"/>
    <n v="0"/>
    <n v="0"/>
    <n v="0"/>
    <n v="0"/>
  </r>
  <r>
    <x v="26"/>
    <x v="4"/>
    <n v="1"/>
    <x v="2"/>
    <s v="Østdanmark"/>
    <n v="613274.38090253877"/>
    <n v="189993.39677873664"/>
    <n v="0"/>
    <n v="0"/>
    <n v="79540.305054146011"/>
    <n v="0"/>
    <n v="0"/>
    <n v="0"/>
    <n v="343740.67906965612"/>
    <n v="343740.67906965612"/>
    <n v="79540.305054146011"/>
    <n v="1.2340290378600656"/>
    <n v="1.5195787330044497"/>
    <n v="0.28554969514438422"/>
    <n v="1.2340290378600653"/>
    <n v="103122.20372089684"/>
    <n v="126984.29523714064"/>
    <n v="23862.091516243803"/>
    <n v="103122.20372089684"/>
  </r>
  <r>
    <x v="27"/>
    <x v="10"/>
    <n v="0"/>
    <x v="2"/>
    <s v="Østdanmark"/>
    <n v="196196.07702661166"/>
    <n v="0"/>
    <n v="0"/>
    <n v="428214.02929147833"/>
    <n v="0"/>
    <n v="0"/>
    <n v="0"/>
    <n v="0"/>
    <n v="-232017.95226486668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6027.3091816218966"/>
    <n v="0"/>
    <n v="0"/>
    <n v="54412.71372203785"/>
    <n v="0"/>
    <n v="0"/>
    <n v="0"/>
    <n v="0"/>
    <n v="-48385.404540415955"/>
    <n v="0"/>
    <n v="0"/>
    <n v="0"/>
    <n v="0"/>
    <n v="0"/>
    <n v="0"/>
    <n v="0"/>
    <n v="0"/>
    <n v="0"/>
    <n v="0"/>
  </r>
  <r>
    <x v="30"/>
    <x v="10"/>
    <n v="0"/>
    <x v="2"/>
    <s v="Østdanmark"/>
    <n v="426777.53866935126"/>
    <n v="0"/>
    <n v="0"/>
    <n v="0"/>
    <n v="0"/>
    <n v="0"/>
    <n v="0"/>
    <n v="0"/>
    <n v="426777.53866935126"/>
    <n v="0"/>
    <n v="0"/>
    <n v="0"/>
    <n v="0"/>
    <n v="0"/>
    <n v="0"/>
    <n v="0"/>
    <n v="0"/>
    <n v="0"/>
    <n v="0"/>
  </r>
  <r>
    <x v="31"/>
    <x v="7"/>
    <n v="1"/>
    <x v="2"/>
    <s v="Østdanmark"/>
    <n v="36441.900098439175"/>
    <n v="0"/>
    <n v="0"/>
    <n v="0"/>
    <n v="0"/>
    <n v="0"/>
    <n v="36441.900098439175"/>
    <n v="0"/>
    <n v="0"/>
    <n v="0"/>
    <n v="36441.900098439175"/>
    <n v="0"/>
    <n v="0.67053096181128069"/>
    <n v="0"/>
    <n v="0.67053096181128069"/>
    <n v="0"/>
    <n v="15123.388540852258"/>
    <n v="0"/>
    <n v="15123.388540852258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05517.35260192503"/>
    <n v="0"/>
    <n v="0"/>
    <n v="0"/>
    <n v="0"/>
    <n v="0"/>
    <n v="0"/>
    <n v="0"/>
    <n v="305517.35260192503"/>
    <n v="0"/>
    <n v="0"/>
    <n v="0"/>
    <n v="0"/>
    <n v="0"/>
    <n v="0"/>
    <n v="0"/>
    <n v="0"/>
    <n v="0"/>
    <n v="0"/>
  </r>
  <r>
    <x v="35"/>
    <x v="10"/>
    <n v="0"/>
    <x v="2"/>
    <s v="Østdanmark"/>
    <n v="44647.112834296677"/>
    <n v="0"/>
    <n v="0"/>
    <n v="0"/>
    <n v="0"/>
    <n v="0"/>
    <n v="0"/>
    <n v="44647.112834296677"/>
    <n v="0"/>
    <n v="0"/>
    <n v="0"/>
    <n v="0"/>
    <n v="0"/>
    <n v="0"/>
    <n v="0"/>
    <n v="0"/>
    <n v="0"/>
    <n v="0"/>
    <n v="0"/>
  </r>
  <r>
    <x v="36"/>
    <x v="10"/>
    <n v="0"/>
    <x v="2"/>
    <s v="Østdanmark"/>
    <n v="22323.556417148338"/>
    <n v="8051.0080754358942"/>
    <n v="0"/>
    <n v="0"/>
    <n v="0"/>
    <n v="0"/>
    <n v="0"/>
    <n v="0"/>
    <n v="14272.548341712445"/>
    <n v="0"/>
    <n v="0"/>
    <n v="0"/>
    <n v="0"/>
    <n v="0"/>
    <n v="0"/>
    <n v="0"/>
    <n v="0"/>
    <n v="0"/>
    <n v="0"/>
  </r>
  <r>
    <x v="37"/>
    <x v="9"/>
    <n v="1"/>
    <x v="2"/>
    <s v="Østdanmark"/>
    <n v="14287.076106974937"/>
    <n v="0"/>
    <n v="0"/>
    <n v="0"/>
    <n v="0"/>
    <n v="0"/>
    <n v="14287.076106974937"/>
    <n v="0"/>
    <n v="0"/>
    <n v="0"/>
    <n v="14287.076106974937"/>
    <n v="0"/>
    <n v="0.50004766374412279"/>
    <n v="0"/>
    <n v="0.50004766374412279"/>
    <n v="0"/>
    <n v="0"/>
    <n v="0"/>
    <n v="0"/>
  </r>
  <r>
    <x v="38"/>
    <x v="4"/>
    <n v="1"/>
    <x v="2"/>
    <s v="Østdanmark"/>
    <n v="560381.69837016799"/>
    <n v="106617.61280762311"/>
    <n v="0"/>
    <n v="0"/>
    <n v="6903.7955745184099"/>
    <n v="0"/>
    <n v="0"/>
    <n v="0"/>
    <n v="446860.28998802649"/>
    <n v="446860.28998802649"/>
    <n v="6903.7955745184099"/>
    <n v="1.2127967014391035"/>
    <n v="1.2315338787801693"/>
    <n v="1.8737177341065947E-2"/>
    <n v="1.2127967014391032"/>
    <n v="89372.057997605298"/>
    <n v="90752.817112508987"/>
    <n v="1380.7591149036821"/>
    <n v="89372.057997605298"/>
  </r>
  <r>
    <x v="39"/>
    <x v="10"/>
    <n v="0"/>
    <x v="2"/>
    <s v="Østdanmark"/>
    <n v="18485.099996842164"/>
    <n v="0"/>
    <n v="0"/>
    <n v="0"/>
    <n v="0"/>
    <n v="0"/>
    <n v="0"/>
    <n v="0"/>
    <n v="18485.099996842164"/>
    <n v="0"/>
    <n v="0"/>
    <n v="0"/>
    <n v="0"/>
    <n v="0"/>
    <n v="0"/>
    <n v="0"/>
    <n v="0"/>
    <n v="0"/>
    <n v="0"/>
  </r>
  <r>
    <x v="40"/>
    <x v="10"/>
    <n v="0"/>
    <x v="2"/>
    <s v="Østdanmark"/>
    <n v="15100.557694869811"/>
    <n v="4723.4213980800014"/>
    <n v="0"/>
    <n v="0"/>
    <n v="0"/>
    <n v="0"/>
    <n v="0"/>
    <n v="0"/>
    <n v="10377.136296789809"/>
    <n v="0"/>
    <n v="0"/>
    <n v="0"/>
    <n v="0"/>
    <n v="0"/>
    <n v="0"/>
    <n v="0"/>
    <n v="0"/>
    <n v="0"/>
    <n v="0"/>
  </r>
  <r>
    <x v="41"/>
    <x v="1"/>
    <n v="1"/>
    <x v="2"/>
    <s v="Østdanmark"/>
    <n v="3499426.14906302"/>
    <n v="0"/>
    <n v="0"/>
    <n v="0"/>
    <n v="1327153.3220649515"/>
    <n v="0"/>
    <n v="0"/>
    <n v="0"/>
    <n v="2172272.8269980685"/>
    <n v="2172272.8269980685"/>
    <n v="1327153.3220649515"/>
    <n v="1.0839858634003063"/>
    <n v="1.7462486426439379"/>
    <n v="0.66226277924363153"/>
    <n v="1.0839858634003063"/>
    <n v="130336.36961988411"/>
    <n v="209965.5689437812"/>
    <n v="79629.19932389709"/>
    <n v="130336.36961988411"/>
  </r>
  <r>
    <x v="42"/>
    <x v="2"/>
    <n v="1"/>
    <x v="2"/>
    <s v="Østdanmark"/>
    <n v="1595806.9166905463"/>
    <n v="0"/>
    <n v="0"/>
    <n v="0"/>
    <n v="845777.6658459896"/>
    <n v="750029.25084455672"/>
    <n v="0"/>
    <n v="0"/>
    <n v="0"/>
    <n v="0"/>
    <n v="845777.6658459896"/>
    <n v="0"/>
    <n v="0.36436101844645236"/>
    <n v="0.36436101844645236"/>
    <n v="0"/>
    <n v="0"/>
    <n v="42288.883292299484"/>
    <n v="42288.883292299484"/>
    <n v="0"/>
  </r>
  <r>
    <x v="43"/>
    <x v="10"/>
    <n v="0"/>
    <x v="2"/>
    <s v="Østdanmark"/>
    <n v="164992.8017368337"/>
    <n v="0"/>
    <n v="0"/>
    <n v="110474.29755686472"/>
    <n v="0"/>
    <n v="0"/>
    <n v="0"/>
    <n v="0"/>
    <n v="54518.504179968979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</r>
  <r>
    <x v="47"/>
    <x v="10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9576688.349202143"/>
    <s v="CO2 - atmosfære"/>
    <x v="0"/>
  </r>
  <r>
    <s v="Vestdanmark"/>
    <x v="1"/>
    <n v="5018539.2049980592"/>
    <s v="Landbrug"/>
    <x v="1"/>
  </r>
  <r>
    <s v="Vestdanmark"/>
    <x v="1"/>
    <n v="4015717.0466013732"/>
    <s v="Landbrug"/>
    <x v="2"/>
  </r>
  <r>
    <s v="Vestdanmark"/>
    <x v="1"/>
    <n v="792311.69162346574"/>
    <s v="Landbrug"/>
    <x v="2"/>
  </r>
  <r>
    <s v="Vestdanmark"/>
    <x v="1"/>
    <n v="1262030.8052397082"/>
    <s v="Landbrug"/>
    <x v="2"/>
  </r>
  <r>
    <s v="Vestdanmark"/>
    <x v="1"/>
    <n v="-23936.112883057391"/>
    <s v="Hav"/>
    <x v="3"/>
  </r>
  <r>
    <s v="Vestdanmark"/>
    <x v="1"/>
    <n v="-671075.85993180249"/>
    <s v="Skov"/>
    <x v="4"/>
  </r>
  <r>
    <s v="Vestdanmark"/>
    <x v="1"/>
    <n v="-443563.40437744389"/>
    <s v="HWP"/>
    <x v="5"/>
  </r>
  <r>
    <s v="Vestdanmark"/>
    <x v="1"/>
    <n v="-373335.0220681568"/>
    <s v="Biogasanlæg"/>
    <x v="6"/>
  </r>
  <r>
    <s v="Vestdanmark"/>
    <x v="1"/>
    <n v="0"/>
    <s v="Pyrolyseproces"/>
    <x v="7"/>
  </r>
  <r>
    <s v="Vestdanmark"/>
    <x v="2"/>
    <n v="6689901.0930979541"/>
    <s v="CO2 - atmosfære"/>
    <x v="0"/>
  </r>
  <r>
    <s v="Vestdanmark"/>
    <x v="2"/>
    <n v="4925781.8657493982"/>
    <s v="Landbrug"/>
    <x v="1"/>
  </r>
  <r>
    <s v="Vestdanmark"/>
    <x v="2"/>
    <n v="3788435.4304937618"/>
    <s v="Landbrug"/>
    <x v="2"/>
  </r>
  <r>
    <s v="Vestdanmark"/>
    <x v="2"/>
    <n v="293562.96998061956"/>
    <s v="Landbrug"/>
    <x v="2"/>
  </r>
  <r>
    <s v="Vestdanmark"/>
    <x v="2"/>
    <n v="211798.44528148958"/>
    <s v="Landbrug"/>
    <x v="2"/>
  </r>
  <r>
    <s v="Vestdanmark"/>
    <x v="2"/>
    <n v="-32111.211335450222"/>
    <s v="Hav"/>
    <x v="3"/>
  </r>
  <r>
    <s v="Vestdanmark"/>
    <x v="2"/>
    <n v="-1756147.6279562197"/>
    <s v="Skov"/>
    <x v="4"/>
  </r>
  <r>
    <s v="Vestdanmark"/>
    <x v="2"/>
    <n v="-411833.66021316953"/>
    <s v="HWP"/>
    <x v="5"/>
  </r>
  <r>
    <s v="Vestdanmark"/>
    <x v="2"/>
    <n v="-329585.11890247389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562779.5667566461"/>
    <s v="CO2 - atmosfære"/>
    <x v="0"/>
  </r>
  <r>
    <s v="Østdanmark"/>
    <x v="1"/>
    <n v="446947.3470012836"/>
    <s v="Landbrug"/>
    <x v="1"/>
  </r>
  <r>
    <s v="Østdanmark"/>
    <x v="1"/>
    <n v="1227432.7135179634"/>
    <s v="Landbrug"/>
    <x v="2"/>
  </r>
  <r>
    <s v="Østdanmark"/>
    <x v="1"/>
    <n v="85395.309525324832"/>
    <s v="Landbrug"/>
    <x v="2"/>
  </r>
  <r>
    <s v="Østdanmark"/>
    <x v="1"/>
    <n v="135991.92572777811"/>
    <s v="Landbrug"/>
    <x v="2"/>
  </r>
  <r>
    <s v="Østdanmark"/>
    <x v="1"/>
    <n v="-674.70029884327505"/>
    <s v="Hav"/>
    <x v="3"/>
  </r>
  <r>
    <s v="Østdanmark"/>
    <x v="1"/>
    <n v="-169044.48073818354"/>
    <s v="Skov"/>
    <x v="4"/>
  </r>
  <r>
    <s v="Østdanmark"/>
    <x v="1"/>
    <n v="-129833.14224340807"/>
    <s v="HWP"/>
    <x v="5"/>
  </r>
  <r>
    <s v="Østdanmark"/>
    <x v="1"/>
    <n v="-33435.405735268432"/>
    <s v="Biogasanlæg"/>
    <x v="6"/>
  </r>
  <r>
    <s v="Østdanmark"/>
    <x v="1"/>
    <n v="0"/>
    <s v="Pyrolyseproces"/>
    <x v="7"/>
  </r>
  <r>
    <s v="Østdanmark"/>
    <x v="2"/>
    <n v="1173653.1015601759"/>
    <s v="CO2 - atmosfære"/>
    <x v="0"/>
  </r>
  <r>
    <s v="Østdanmark"/>
    <x v="2"/>
    <n v="441931.32490926457"/>
    <s v="Landbrug"/>
    <x v="1"/>
  </r>
  <r>
    <s v="Østdanmark"/>
    <x v="2"/>
    <n v="1202996.0828084261"/>
    <s v="Landbrug"/>
    <x v="2"/>
  </r>
  <r>
    <s v="Østdanmark"/>
    <x v="2"/>
    <n v="31640.031616421915"/>
    <s v="Landbrug"/>
    <x v="2"/>
  </r>
  <r>
    <s v="Østdanmark"/>
    <x v="2"/>
    <n v="22827.502751650667"/>
    <s v="Landbrug"/>
    <x v="2"/>
  </r>
  <r>
    <s v="Østdanmark"/>
    <x v="2"/>
    <n v="-8067.9044826491263"/>
    <s v="Hav"/>
    <x v="3"/>
  </r>
  <r>
    <s v="Østdanmark"/>
    <x v="2"/>
    <n v="-369504.68295536668"/>
    <s v="Skov"/>
    <x v="4"/>
  </r>
  <r>
    <s v="Østdanmark"/>
    <x v="2"/>
    <n v="-119259.83906063907"/>
    <s v="HWP"/>
    <x v="5"/>
  </r>
  <r>
    <s v="Østdanmark"/>
    <x v="2"/>
    <n v="-28909.414026933129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03244.93784208916"/>
    <n v="0"/>
    <n v="0"/>
    <n v="32579.784552999867"/>
    <n v="0"/>
    <n v="0"/>
    <n v="0"/>
    <n v="0"/>
    <n v="170665.1532890893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13692.89158762878"/>
    <n v="61054.422265523077"/>
    <n v="0"/>
    <n v="0"/>
    <n v="0"/>
    <n v="0"/>
    <n v="0"/>
    <n v="0"/>
    <n v="152638.469322105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490930075.51985109"/>
    <n v="0"/>
    <n v="0"/>
    <n v="0"/>
    <n v="0"/>
    <n v="0"/>
    <n v="490930075.51985109"/>
    <n v="0"/>
    <n v="0"/>
    <n v="0"/>
    <n v="490930075.51985109"/>
    <n v="0"/>
    <n v="0"/>
    <n v="0"/>
    <n v="0"/>
    <n v="0"/>
    <n v="0"/>
    <n v="0"/>
    <n v="0"/>
    <n v="0"/>
    <x v="1"/>
  </r>
  <r>
    <x v="4"/>
    <s v=""/>
    <n v="0"/>
    <x v="1"/>
    <s v="Vestdanmark"/>
    <n v="19407846.937600072"/>
    <n v="0"/>
    <n v="0"/>
    <n v="0"/>
    <n v="0"/>
    <n v="16889344.422970317"/>
    <n v="0"/>
    <n v="0"/>
    <n v="2518502.5146297552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717108.09021932539"/>
    <n v="0"/>
    <n v="0"/>
    <n v="0"/>
    <n v="71710.809021932539"/>
    <n v="0"/>
    <n v="0"/>
    <n v="0"/>
    <n v="645397.28119739285"/>
    <n v="645397.28119739285"/>
    <n v="71710.809021932539"/>
    <n v="0.36660248570577353"/>
    <n v="0.40733609522863723"/>
    <n v="4.0733609522863728E-2"/>
    <n v="0.36660248570577347"/>
    <n v="27599.374065028493"/>
    <n v="30665.971183364993"/>
    <n v="3066.5971183364991"/>
    <n v="27599.374065028493"/>
    <n v="0"/>
    <x v="0"/>
  </r>
  <r>
    <x v="6"/>
    <s v="Husdyrgødning"/>
    <n v="1"/>
    <x v="1"/>
    <s v="Vestdanmark"/>
    <n v="2889771.2970238337"/>
    <n v="0"/>
    <n v="0"/>
    <n v="0"/>
    <n v="1444885.6485119169"/>
    <n v="546992.42407951143"/>
    <n v="0"/>
    <n v="0"/>
    <n v="897893.22443240555"/>
    <n v="897893.22443240555"/>
    <n v="1444885.6485119169"/>
    <n v="1.9340620054274016"/>
    <n v="5.0463456923220704"/>
    <n v="3.1122836868946688"/>
    <n v="1.9340620054274016"/>
    <n v="269367.96732972167"/>
    <n v="702833.66188329668"/>
    <n v="433465.69455357507"/>
    <n v="269367.96732972161"/>
    <n v="0"/>
    <x v="0"/>
  </r>
  <r>
    <x v="7"/>
    <s v=""/>
    <n v="0"/>
    <x v="1"/>
    <s v="Vestdanmark"/>
    <n v="505086.58419659996"/>
    <n v="513062.37197918544"/>
    <n v="0"/>
    <n v="0"/>
    <n v="0"/>
    <n v="0"/>
    <n v="0"/>
    <n v="0"/>
    <n v="-7975.7877825854812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Vestdanmark"/>
    <n v="8859.4137270526517"/>
    <n v="0"/>
    <n v="0"/>
    <n v="0"/>
    <n v="4429.7068635263258"/>
    <n v="4429.7068635263258"/>
    <n v="0"/>
    <n v="0"/>
    <n v="0"/>
    <n v="0"/>
    <n v="4429.7068635263258"/>
    <n v="0"/>
    <n v="2.0832468408477959E-3"/>
    <n v="2.0832468408477959E-3"/>
    <n v="0"/>
    <n v="0"/>
    <n v="279.07153240215854"/>
    <n v="279.07153240215854"/>
    <n v="0"/>
    <n v="0"/>
    <x v="1"/>
  </r>
  <r>
    <x v="9"/>
    <s v=""/>
    <n v="0"/>
    <x v="1"/>
    <s v="Vestdanmark"/>
    <n v="166533.62844565022"/>
    <n v="0"/>
    <n v="0"/>
    <n v="35294.766599083188"/>
    <n v="0"/>
    <n v="0"/>
    <n v="0"/>
    <n v="0"/>
    <n v="131238.86184656702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1403.8466263001"/>
    <n v="0"/>
    <n v="0"/>
    <n v="0"/>
    <n v="0"/>
    <n v="0"/>
    <n v="0"/>
    <n v="0"/>
    <n v="1051403.8466263001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0577.183238476249"/>
    <n v="0"/>
    <n v="0"/>
    <n v="257923.29437791562"/>
    <n v="0"/>
    <n v="0"/>
    <n v="0"/>
    <n v="0"/>
    <n v="-227346.11113943937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7042134.224778831"/>
    <n v="12249098.107862087"/>
    <n v="0"/>
    <n v="0"/>
    <n v="66507.389797586569"/>
    <n v="0"/>
    <n v="0"/>
    <n v="1467522.4438828453"/>
    <n v="13259006.283236312"/>
    <n v="13259006.283236312"/>
    <n v="66507.389797586569"/>
    <n v="24.394914185369412"/>
    <n v="24.517279469173246"/>
    <n v="0.1223652838038346"/>
    <n v="24.394914185369412"/>
    <n v="3712521.7593061677"/>
    <n v="3731143.8284494919"/>
    <n v="18622.069143324243"/>
    <n v="3712521.7593061677"/>
    <n v="0"/>
    <x v="0"/>
  </r>
  <r>
    <x v="14"/>
    <s v=""/>
    <n v="0"/>
    <x v="1"/>
    <s v="Vestdanmark"/>
    <n v="245327.76946691994"/>
    <n v="245327.76946691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08875.62977638197"/>
    <n v="0"/>
    <n v="0"/>
    <n v="270140.71358529059"/>
    <n v="0"/>
    <n v="0"/>
    <n v="0"/>
    <n v="0"/>
    <n v="-61265.083808908617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986321.1440299363"/>
    <n v="765718.007862392"/>
    <n v="721366.03790670179"/>
    <n v="0"/>
    <n v="56123.823182797991"/>
    <n v="0"/>
    <n v="1443113.2750780443"/>
    <n v="0"/>
    <n v="0"/>
    <n v="0"/>
    <n v="1499237.0982608423"/>
    <n v="0"/>
    <n v="15.239323484153955"/>
    <n v="0.32358414751334913"/>
    <n v="14.915739336640605"/>
    <n v="0"/>
    <n v="1274351.5335217158"/>
    <n v="47705.249705378294"/>
    <n v="1226646.2838163376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17960.14483851765"/>
    <n v="0"/>
    <n v="0"/>
    <n v="0"/>
    <n v="517960.35709807038"/>
    <n v="0"/>
    <n v="0"/>
    <n v="0"/>
    <n v="-0.21225955273257568"/>
    <n v="0"/>
    <n v="517960.35709807038"/>
    <n v="0"/>
    <n v="1.9077311278295077"/>
    <n v="1.9077311278295077"/>
    <n v="0"/>
    <n v="0"/>
    <n v="217543.34998118956"/>
    <n v="217543.34998118956"/>
    <n v="0"/>
    <n v="1"/>
    <x v="1"/>
  </r>
  <r>
    <x v="20"/>
    <s v=""/>
    <n v="0"/>
    <x v="1"/>
    <s v="Vestdanmark"/>
    <n v="677461.36910389608"/>
    <n v="0"/>
    <n v="0"/>
    <n v="0"/>
    <n v="0"/>
    <n v="0"/>
    <n v="0"/>
    <n v="0"/>
    <n v="677461.36910389608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676585.1390430741"/>
    <n v="0"/>
    <n v="0"/>
    <n v="123531.68309679118"/>
    <n v="0"/>
    <n v="0"/>
    <n v="0"/>
    <n v="0"/>
    <n v="1553053.455946282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849092.288531078"/>
    <n v="5586010.9951558355"/>
    <n v="0"/>
    <n v="295933.04302308214"/>
    <n v="2907.9932175110234"/>
    <n v="0"/>
    <n v="0"/>
    <n v="0"/>
    <n v="-35759.742865351029"/>
    <n v="0"/>
    <n v="2907.9932175110234"/>
    <n v="0"/>
    <n v="9.9594696509248057E-3"/>
    <n v="9.9594696509248057E-3"/>
    <n v="0"/>
    <n v="0"/>
    <n v="901.47789742841724"/>
    <n v="901.47789742841724"/>
    <n v="0"/>
    <n v="0"/>
    <x v="0"/>
  </r>
  <r>
    <x v="23"/>
    <s v=""/>
    <n v="0"/>
    <x v="1"/>
    <s v="Vestdanmark"/>
    <n v="0"/>
    <n v="0"/>
    <n v="0"/>
    <n v="0"/>
    <n v="0"/>
    <n v="515977.71922257601"/>
    <n v="0"/>
    <n v="0"/>
    <n v="-515977.7192225760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513619.485237187"/>
    <n v="0"/>
    <n v="0"/>
    <n v="0"/>
    <n v="9510350.8087802622"/>
    <n v="3003268.6764569245"/>
    <n v="0"/>
    <n v="0"/>
    <n v="0"/>
    <n v="0"/>
    <n v="9510350.8087802622"/>
    <n v="0"/>
    <n v="4.8140444758964813"/>
    <n v="4.8140444758964813"/>
    <n v="0"/>
    <n v="0"/>
    <n v="722786.66146729991"/>
    <n v="722786.66146729991"/>
    <n v="0"/>
    <n v="0"/>
    <x v="1"/>
  </r>
  <r>
    <x v="25"/>
    <s v=""/>
    <n v="0"/>
    <x v="1"/>
    <s v="Vestdanmark"/>
    <n v="1563965.4599161854"/>
    <n v="1510478.9155088854"/>
    <n v="0"/>
    <n v="0"/>
    <n v="0"/>
    <n v="0"/>
    <n v="0"/>
    <n v="0"/>
    <n v="53486.544407299953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Vestdanmark"/>
    <n v="3784586.3044886771"/>
    <n v="3994630.6402774388"/>
    <n v="0"/>
    <n v="0"/>
    <n v="255311.1988813775"/>
    <n v="0"/>
    <n v="0"/>
    <n v="0"/>
    <n v="-465355.5346701392"/>
    <n v="0"/>
    <n v="255311.1988813775"/>
    <n v="0"/>
    <n v="0.91656720398414526"/>
    <n v="0.91656720398414526"/>
    <n v="0"/>
    <n v="0"/>
    <n v="76593.359664413249"/>
    <n v="76593.359664413249"/>
    <n v="0"/>
    <n v="0"/>
    <x v="0"/>
  </r>
  <r>
    <x v="27"/>
    <s v=""/>
    <n v="0"/>
    <x v="1"/>
    <s v="Vestdanmark"/>
    <n v="3017641.6562322429"/>
    <n v="0"/>
    <n v="0"/>
    <n v="472406.87601849809"/>
    <n v="0"/>
    <n v="0"/>
    <n v="0"/>
    <n v="0"/>
    <n v="2545234.780213744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99766.452046185907"/>
    <n v="0"/>
    <n v="0"/>
    <n v="60028.253038902265"/>
    <n v="0"/>
    <n v="0"/>
    <n v="0"/>
    <n v="0"/>
    <n v="39738.199007283642"/>
    <n v="0"/>
    <n v="0"/>
    <n v="0"/>
    <n v="0"/>
    <n v="0"/>
    <n v="0"/>
    <n v="0"/>
    <n v="0"/>
    <n v="0"/>
    <n v="0"/>
    <n v="1"/>
    <x v="1"/>
  </r>
  <r>
    <x v="30"/>
    <s v=""/>
    <n v="0"/>
    <x v="1"/>
    <s v="Vestdanmark"/>
    <n v="1486568.2848710858"/>
    <n v="0"/>
    <n v="0"/>
    <n v="0"/>
    <n v="0"/>
    <n v="0"/>
    <n v="0"/>
    <n v="0"/>
    <n v="1486568.2848710858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39642.05031935725"/>
    <n v="0"/>
    <n v="0"/>
    <n v="0"/>
    <n v="0"/>
    <n v="0"/>
    <n v="139642.05031935725"/>
    <n v="0"/>
    <n v="0"/>
    <n v="0"/>
    <n v="139642.05031935725"/>
    <n v="0"/>
    <n v="2.5694137258761729"/>
    <n v="0"/>
    <n v="2.5694137258761729"/>
    <n v="0"/>
    <n v="57951.450882533267"/>
    <n v="0"/>
    <n v="57951.450882533267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699084.2216906957"/>
    <n v="0"/>
    <n v="0"/>
    <n v="0"/>
    <n v="0"/>
    <n v="0"/>
    <n v="0"/>
    <n v="0"/>
    <n v="4699084.2216906957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159579.37363726847"/>
    <n v="0"/>
    <n v="0"/>
    <n v="0"/>
    <n v="0"/>
    <n v="0"/>
    <n v="0"/>
    <n v="159579.3736372684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79789.686818634233"/>
    <n v="91830.748952480033"/>
    <n v="0"/>
    <n v="0"/>
    <n v="0"/>
    <n v="0"/>
    <n v="0"/>
    <n v="0"/>
    <n v="-12041.0621338458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51065.399563925908"/>
    <n v="0"/>
    <n v="0"/>
    <n v="0"/>
    <n v="0"/>
    <n v="0"/>
    <n v="51065.399563925908"/>
    <n v="0"/>
    <n v="0"/>
    <n v="0"/>
    <n v="51065.399563925908"/>
    <n v="0"/>
    <n v="1.7872889847374067"/>
    <n v="0"/>
    <n v="1.7872889847374067"/>
    <n v="0"/>
    <n v="0"/>
    <n v="0"/>
    <n v="0"/>
    <n v="0"/>
    <x v="1"/>
  </r>
  <r>
    <x v="38"/>
    <s v="Græs og urter"/>
    <n v="1"/>
    <x v="1"/>
    <s v="Vestdanmark"/>
    <n v="1905541.9010865423"/>
    <n v="868637.91677766922"/>
    <n v="0"/>
    <n v="0"/>
    <n v="21893.59180227204"/>
    <n v="0"/>
    <n v="0"/>
    <n v="0"/>
    <n v="1015010.3925066011"/>
    <n v="1015010.3925066011"/>
    <n v="21893.59180227204"/>
    <n v="2.7547788056786158"/>
    <n v="2.814198889573654"/>
    <n v="5.942008389503841E-2"/>
    <n v="2.7547788056786158"/>
    <n v="203002.07850132021"/>
    <n v="207380.79686177464"/>
    <n v="4378.718360454408"/>
    <n v="203002.07850132024"/>
    <n v="0"/>
    <x v="0"/>
  </r>
  <r>
    <x v="39"/>
    <s v=""/>
    <n v="0"/>
    <x v="1"/>
    <s v="Vestdanmark"/>
    <n v="180600.29938417859"/>
    <n v="0"/>
    <n v="0"/>
    <n v="0"/>
    <n v="0"/>
    <n v="0"/>
    <n v="0"/>
    <n v="0"/>
    <n v="180600.29938417859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2888.11677196804"/>
    <n v="38482.787367359997"/>
    <n v="0"/>
    <n v="0"/>
    <n v="0"/>
    <n v="0"/>
    <n v="0"/>
    <n v="0"/>
    <n v="84405.32940460804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69627.3146627704"/>
    <n v="0"/>
    <n v="0"/>
    <n v="0"/>
    <n v="1505476.5706157479"/>
    <n v="0"/>
    <n v="0"/>
    <n v="0"/>
    <n v="2464150.7440470224"/>
    <n v="2464150.7440470224"/>
    <n v="1505476.5706157479"/>
    <n v="1.2296358627869048"/>
    <n v="1.9808837262898693"/>
    <n v="0.75124786350296446"/>
    <n v="1.2296358627869048"/>
    <n v="147849.04464282133"/>
    <n v="238177.63887976622"/>
    <n v="90328.594236944875"/>
    <n v="147849.04464282136"/>
    <n v="0"/>
    <x v="0"/>
  </r>
  <r>
    <x v="42"/>
    <s v="Husdyrgødning"/>
    <n v="1"/>
    <x v="1"/>
    <s v="Vestdanmark"/>
    <n v="13857874.328276252"/>
    <n v="0"/>
    <n v="0"/>
    <n v="0"/>
    <n v="7344673.3939864142"/>
    <n v="6513200.9342898391"/>
    <n v="0"/>
    <n v="0"/>
    <n v="0"/>
    <n v="0"/>
    <n v="7344673.3939864142"/>
    <n v="0"/>
    <n v="3.1640852981293479"/>
    <n v="3.1640852981293479"/>
    <n v="0"/>
    <n v="0"/>
    <n v="367233.66969932074"/>
    <n v="367233.66969932074"/>
    <n v="0"/>
    <n v="0"/>
    <x v="1"/>
  </r>
  <r>
    <x v="43"/>
    <s v=""/>
    <n v="0"/>
    <x v="1"/>
    <s v="Vestdanmark"/>
    <n v="1306302.9710994663"/>
    <n v="0"/>
    <n v="0"/>
    <n v="121875.54404868034"/>
    <n v="0"/>
    <n v="0"/>
    <n v="0"/>
    <n v="0"/>
    <n v="1184427.4270507861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178592.56671485456"/>
    <n v="0"/>
    <n v="0"/>
    <n v="33849.968886444818"/>
    <n v="0"/>
    <n v="0"/>
    <n v="0"/>
    <n v="0"/>
    <n v="144742.59782840975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192834.50614053759"/>
    <n v="61054.422265523077"/>
    <n v="0"/>
    <n v="0"/>
    <n v="0"/>
    <n v="0"/>
    <n v="0"/>
    <n v="0"/>
    <n v="131780.0838750145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83018393.58230299"/>
    <n v="0"/>
    <n v="0"/>
    <n v="0"/>
    <n v="0"/>
    <n v="0"/>
    <n v="483018393.58230299"/>
    <n v="0"/>
    <n v="0"/>
    <n v="0"/>
    <n v="483018393.58230299"/>
    <n v="0"/>
    <n v="0"/>
    <n v="0"/>
    <n v="0"/>
    <n v="0"/>
    <n v="0"/>
    <n v="0"/>
    <n v="0"/>
    <n v="0"/>
    <x v="1"/>
  </r>
  <r>
    <x v="4"/>
    <s v=""/>
    <n v="0"/>
    <x v="2"/>
    <s v="Vestdanmark"/>
    <n v="17925018.580788191"/>
    <n v="0"/>
    <n v="0"/>
    <n v="0"/>
    <n v="0"/>
    <n v="15183219.854366822"/>
    <n v="0"/>
    <n v="0"/>
    <n v="2741798.7264213692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2446604.0725129922"/>
    <n v="0"/>
    <n v="0"/>
    <n v="0"/>
    <n v="489320.81450259848"/>
    <n v="0"/>
    <n v="0"/>
    <n v="0"/>
    <n v="1957283.2580103937"/>
    <n v="1957283.2580103937"/>
    <n v="489320.81450259848"/>
    <n v="1.111787930506398"/>
    <n v="1.3897349131329975"/>
    <n v="0.27794698262659956"/>
    <n v="1.1117879305063978"/>
    <n v="83700.062524007968"/>
    <n v="104625.07815500996"/>
    <n v="20925.015631001996"/>
    <n v="83700.062524007968"/>
    <n v="0"/>
    <x v="0"/>
  </r>
  <r>
    <x v="6"/>
    <s v="Husdyrgødning"/>
    <n v="1"/>
    <x v="2"/>
    <s v="Vestdanmark"/>
    <n v="3443369.0962312091"/>
    <n v="0"/>
    <n v="0"/>
    <n v="0"/>
    <n v="1721684.5481156046"/>
    <n v="651780.57892947888"/>
    <n v="0"/>
    <n v="0"/>
    <n v="1069903.9691861258"/>
    <n v="1069903.9691861258"/>
    <n v="1721684.5481156046"/>
    <n v="2.3045731496269148"/>
    <n v="6.0130816662679276"/>
    <n v="3.7085085166410123"/>
    <n v="2.3045731496269153"/>
    <n v="320971.19075583771"/>
    <n v="837476.55519051908"/>
    <n v="516505.36443468137"/>
    <n v="320971.19075583771"/>
    <n v="0"/>
    <x v="0"/>
  </r>
  <r>
    <x v="7"/>
    <s v=""/>
    <n v="0"/>
    <x v="2"/>
    <s v="Vestdanmark"/>
    <n v="1723236.581376635"/>
    <n v="1710207.9065972848"/>
    <n v="0"/>
    <n v="0"/>
    <n v="0"/>
    <n v="0"/>
    <n v="0"/>
    <n v="0"/>
    <n v="13028.674779350171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0067.108783209876"/>
    <n v="0"/>
    <n v="0"/>
    <n v="0"/>
    <n v="5033.5543916049382"/>
    <n v="5033.5543916049382"/>
    <n v="0"/>
    <n v="0"/>
    <n v="0"/>
    <n v="0"/>
    <n v="5033.5543916049382"/>
    <n v="0"/>
    <n v="2.3672302948278866E-3"/>
    <n v="2.3672302948278866E-3"/>
    <n v="0"/>
    <n v="0"/>
    <n v="317.11392667111113"/>
    <n v="317.11392667111113"/>
    <n v="0"/>
    <n v="0"/>
    <x v="1"/>
  </r>
  <r>
    <x v="9"/>
    <s v=""/>
    <n v="0"/>
    <x v="2"/>
    <s v="Vestdanmark"/>
    <n v="131250.27246207089"/>
    <n v="0"/>
    <n v="0"/>
    <n v="36670.799626981883"/>
    <n v="0"/>
    <n v="0"/>
    <n v="0"/>
    <n v="0"/>
    <n v="94579.47283508900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30886.6264122529"/>
    <n v="0"/>
    <n v="0"/>
    <n v="0"/>
    <n v="0"/>
    <n v="0"/>
    <n v="0"/>
    <n v="0"/>
    <n v="930886.6264122529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7797.960870428567"/>
    <n v="0"/>
    <n v="0"/>
    <n v="267978.92035102146"/>
    <n v="0"/>
    <n v="0"/>
    <n v="0"/>
    <n v="0"/>
    <n v="-240180.95948059289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37013724.844488479"/>
    <n v="12249098.107862087"/>
    <n v="0"/>
    <n v="0"/>
    <n v="65221.076812905056"/>
    <n v="0"/>
    <n v="0"/>
    <n v="5006841.2791297073"/>
    <n v="19692564.38068378"/>
    <n v="19692564.38068378"/>
    <n v="65221.076812905056"/>
    <n v="36.231856889910574"/>
    <n v="36.351855518611721"/>
    <n v="0.11999862870114369"/>
    <n v="36.231856889910574"/>
    <n v="5513918.0265914593"/>
    <n v="5532179.9280990716"/>
    <n v="18261.901507613416"/>
    <n v="5513918.0265914584"/>
    <n v="0"/>
    <x v="0"/>
  </r>
  <r>
    <x v="14"/>
    <s v=""/>
    <n v="0"/>
    <x v="2"/>
    <s v="Vestdanmark"/>
    <n v="837000.62524007971"/>
    <n v="837000.625240079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1010.78078958855"/>
    <n v="0"/>
    <n v="0"/>
    <n v="280672.65868343826"/>
    <n v="0"/>
    <n v="0"/>
    <n v="0"/>
    <n v="0"/>
    <n v="-89661.877893849713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1999940.2166101544"/>
    <n v="765718.007862392"/>
    <n v="708255.87157726486"/>
    <n v="0"/>
    <n v="53710.696431305973"/>
    <n v="0"/>
    <n v="472255.64073919144"/>
    <n v="0"/>
    <n v="0"/>
    <n v="0"/>
    <n v="525966.3371704974"/>
    <n v="0"/>
    <n v="5.1908140139466488"/>
    <n v="0.30967116870255185"/>
    <n v="4.8811428452440966"/>
    <n v="0"/>
    <n v="447071.38659492275"/>
    <n v="45654.091966610074"/>
    <n v="401417.29462831269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05376.83199167583"/>
    <n v="0"/>
    <n v="0"/>
    <n v="0"/>
    <n v="505376.89995851181"/>
    <n v="0"/>
    <n v="0"/>
    <n v="0"/>
    <n v="-6.7966835980769247E-2"/>
    <n v="0"/>
    <n v="505376.89995851181"/>
    <n v="0"/>
    <n v="1.8613842355396426"/>
    <n v="1.8613842355396426"/>
    <n v="0"/>
    <n v="0"/>
    <n v="212258.29798257496"/>
    <n v="212258.29798257496"/>
    <n v="0"/>
    <n v="1"/>
    <x v="1"/>
  </r>
  <r>
    <x v="20"/>
    <s v=""/>
    <n v="0"/>
    <x v="2"/>
    <s v="Vestdanmark"/>
    <n v="611793.18745479197"/>
    <n v="0"/>
    <n v="0"/>
    <n v="0"/>
    <n v="0"/>
    <n v="0"/>
    <n v="0"/>
    <n v="0"/>
    <n v="611793.18745479197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499857.4180538384"/>
    <n v="0"/>
    <n v="0"/>
    <n v="128347.79869443661"/>
    <n v="0"/>
    <n v="0"/>
    <n v="0"/>
    <n v="0"/>
    <n v="1371509.619359401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034586.8295627958"/>
    <n v="4116008.1016937736"/>
    <n v="0"/>
    <n v="307470.55071854044"/>
    <n v="2873.5276646840043"/>
    <n v="0"/>
    <n v="0"/>
    <n v="0"/>
    <n v="-391765.35051420191"/>
    <n v="0"/>
    <n v="2873.5276646840043"/>
    <n v="0"/>
    <n v="9.8414299576696611E-3"/>
    <n v="9.8414299576696611E-3"/>
    <n v="0"/>
    <n v="0"/>
    <n v="890.79357605204132"/>
    <n v="890.79357605204132"/>
    <n v="0"/>
    <n v="0"/>
    <x v="0"/>
  </r>
  <r>
    <x v="23"/>
    <s v=""/>
    <n v="0"/>
    <x v="2"/>
    <s v="Vestdanmark"/>
    <n v="0"/>
    <n v="0"/>
    <n v="0"/>
    <n v="0"/>
    <n v="0"/>
    <n v="421885.5095768742"/>
    <n v="0"/>
    <n v="0"/>
    <n v="-421885.509576874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1415338.024084132"/>
    <n v="0"/>
    <n v="0"/>
    <n v="0"/>
    <n v="8675656.8983039409"/>
    <n v="2739681.1257801917"/>
    <n v="0"/>
    <n v="0"/>
    <n v="0"/>
    <n v="0"/>
    <n v="8675656.8983039409"/>
    <n v="0"/>
    <n v="4.3915307653524724"/>
    <n v="4.3915307653524724"/>
    <n v="0"/>
    <n v="0"/>
    <n v="659349.9242710995"/>
    <n v="659349.9242710995"/>
    <n v="0"/>
    <n v="0"/>
    <x v="1"/>
  </r>
  <r>
    <x v="25"/>
    <s v=""/>
    <n v="0"/>
    <x v="2"/>
    <s v="Vestdanmark"/>
    <n v="1430668.4261667002"/>
    <n v="1510478.9155088854"/>
    <n v="0"/>
    <n v="0"/>
    <n v="0"/>
    <n v="0"/>
    <n v="0"/>
    <n v="0"/>
    <n v="-79810.489342185203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Vestdanmark"/>
    <n v="1931303.3736580268"/>
    <n v="1547919.3731075076"/>
    <n v="0"/>
    <n v="0"/>
    <n v="250485.69494585399"/>
    <n v="0"/>
    <n v="0"/>
    <n v="0"/>
    <n v="132898.30560466531"/>
    <n v="132898.30560466531"/>
    <n v="250485.69494585399"/>
    <n v="0.47710491712074848"/>
    <n v="1.3763485619763645"/>
    <n v="0.89924364485561592"/>
    <n v="0.47710491712074854"/>
    <n v="39869.491681399588"/>
    <n v="115015.20016515579"/>
    <n v="75145.7084837562"/>
    <n v="39869.491681399595"/>
    <n v="0"/>
    <x v="0"/>
  </r>
  <r>
    <x v="27"/>
    <s v=""/>
    <n v="0"/>
    <x v="2"/>
    <s v="Vestdanmark"/>
    <n v="2760447.5608356618"/>
    <n v="0"/>
    <n v="0"/>
    <n v="490824.54885344987"/>
    <n v="0"/>
    <n v="0"/>
    <n v="0"/>
    <n v="0"/>
    <n v="2269623.0119822118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84803.280376262541"/>
    <n v="0"/>
    <n v="0"/>
    <n v="62368.567673274578"/>
    <n v="0"/>
    <n v="0"/>
    <n v="0"/>
    <n v="0"/>
    <n v="22434.712702987963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343993.6933621466"/>
    <n v="0"/>
    <n v="0"/>
    <n v="0"/>
    <n v="0"/>
    <n v="0"/>
    <n v="0"/>
    <n v="0"/>
    <n v="1343993.6933621466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14761.6251294364"/>
    <n v="0"/>
    <n v="0"/>
    <n v="0"/>
    <n v="0"/>
    <n v="0"/>
    <n v="114761.6251294364"/>
    <n v="0"/>
    <n v="0"/>
    <n v="0"/>
    <n v="114761.6251294364"/>
    <n v="0"/>
    <n v="2.1116139023816296"/>
    <n v="0"/>
    <n v="2.1116139023816296"/>
    <n v="0"/>
    <n v="47626.074428716114"/>
    <n v="0"/>
    <n v="47626.074428716114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298580.4994896017"/>
    <n v="0"/>
    <n v="0"/>
    <n v="0"/>
    <n v="0"/>
    <n v="0"/>
    <n v="0"/>
    <n v="0"/>
    <n v="4298580.4994896017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140601.20938701159"/>
    <n v="0"/>
    <n v="0"/>
    <n v="0"/>
    <n v="0"/>
    <n v="0"/>
    <n v="0"/>
    <n v="140601.2093870115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70300.604693505797"/>
    <n v="65593.392108914311"/>
    <n v="0"/>
    <n v="0"/>
    <n v="0"/>
    <n v="0"/>
    <n v="0"/>
    <n v="0"/>
    <n v="4707.2125845914852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44992.387003843709"/>
    <n v="0"/>
    <n v="0"/>
    <n v="0"/>
    <n v="0"/>
    <n v="0"/>
    <n v="44992.387003843709"/>
    <n v="0"/>
    <n v="0"/>
    <n v="0"/>
    <n v="44992.387003843709"/>
    <n v="0"/>
    <n v="1.5747335451345297"/>
    <n v="0"/>
    <n v="1.5747335451345297"/>
    <n v="0"/>
    <n v="0"/>
    <n v="0"/>
    <n v="0"/>
    <n v="0"/>
    <x v="1"/>
  </r>
  <r>
    <x v="38"/>
    <s v="Græs og urter"/>
    <n v="1"/>
    <x v="2"/>
    <s v="Vestdanmark"/>
    <n v="1764735.4892043229"/>
    <n v="868637.91677766922"/>
    <n v="0"/>
    <n v="0"/>
    <n v="21741.204425481588"/>
    <n v="0"/>
    <n v="0"/>
    <n v="0"/>
    <n v="874356.36800117209"/>
    <n v="874356.36800117209"/>
    <n v="21741.204425481588"/>
    <n v="2.3730381570099013"/>
    <n v="2.4320446554688355"/>
    <n v="5.9006498458934048E-2"/>
    <n v="2.3730381570099013"/>
    <n v="174871.27360023442"/>
    <n v="179219.51448533076"/>
    <n v="4348.2408850963175"/>
    <n v="174871.27360023445"/>
    <n v="0"/>
    <x v="0"/>
  </r>
  <r>
    <x v="39"/>
    <s v=""/>
    <n v="0"/>
    <x v="2"/>
    <s v="Vestdanmark"/>
    <n v="156004.57287289423"/>
    <n v="0"/>
    <n v="0"/>
    <n v="0"/>
    <n v="0"/>
    <n v="0"/>
    <n v="0"/>
    <n v="0"/>
    <n v="156004.57287289423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06981.75527690048"/>
    <n v="38482.787367359997"/>
    <n v="0"/>
    <n v="0"/>
    <n v="0"/>
    <n v="0"/>
    <n v="0"/>
    <n v="0"/>
    <n v="68498.967909540486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09798.0611489196"/>
    <n v="0"/>
    <n v="0"/>
    <n v="0"/>
    <n v="1558636.1641980347"/>
    <n v="0"/>
    <n v="0"/>
    <n v="0"/>
    <n v="2551161.8969508847"/>
    <n v="2551161.8969508847"/>
    <n v="1558636.1641980347"/>
    <n v="1.2730552981974612"/>
    <n v="2.0508303304939224"/>
    <n v="0.77777503229646139"/>
    <n v="1.273055298197461"/>
    <n v="153069.71381705307"/>
    <n v="246587.88366893513"/>
    <n v="93518.169851882078"/>
    <n v="153069.71381705307"/>
    <n v="0"/>
    <x v="0"/>
  </r>
  <r>
    <x v="42"/>
    <s v="Husdyrgødning"/>
    <n v="1"/>
    <x v="2"/>
    <s v="Vestdanmark"/>
    <n v="11013379.49627923"/>
    <n v="0"/>
    <n v="0"/>
    <n v="0"/>
    <n v="5837091.1330279922"/>
    <n v="5176288.3632512381"/>
    <n v="0"/>
    <n v="0"/>
    <n v="0"/>
    <n v="0"/>
    <n v="5837091.1330279922"/>
    <n v="0"/>
    <n v="2.5146188601084596"/>
    <n v="2.5146188601084596"/>
    <n v="0"/>
    <n v="0"/>
    <n v="291854.55665139965"/>
    <n v="291854.55665139965"/>
    <n v="0"/>
    <n v="0"/>
    <x v="1"/>
  </r>
  <r>
    <x v="43"/>
    <s v=""/>
    <n v="0"/>
    <x v="2"/>
    <s v="Vestdanmark"/>
    <n v="1138689.3493672458"/>
    <n v="0"/>
    <n v="0"/>
    <n v="126627.09194270898"/>
    <n v="0"/>
    <n v="0"/>
    <n v="0"/>
    <n v="0"/>
    <n v="1012062.2574245369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  <n v="0"/>
    <x v="1"/>
  </r>
  <r>
    <x v="47"/>
    <s v="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058.272612864344"/>
    <n v="0"/>
    <n v="0"/>
    <n v="28209.340124628539"/>
    <n v="0"/>
    <n v="0"/>
    <n v="0"/>
    <n v="0"/>
    <n v="-11151.067511764195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3826.34089651754"/>
    <n v="7493.8897181076927"/>
    <n v="0"/>
    <n v="0"/>
    <n v="0"/>
    <n v="0"/>
    <n v="0"/>
    <n v="0"/>
    <n v="56332.45117840985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13011104.03164914"/>
    <n v="0"/>
    <n v="0"/>
    <n v="0"/>
    <n v="0"/>
    <n v="0"/>
    <n v="113011104.03164914"/>
    <n v="0"/>
    <n v="0"/>
    <n v="0"/>
    <n v="113011104.03164914"/>
    <n v="0"/>
    <n v="0"/>
    <n v="0"/>
    <n v="0"/>
    <n v="0"/>
    <n v="0"/>
    <n v="0"/>
    <n v="0"/>
    <n v="0"/>
    <x v="1"/>
  </r>
  <r>
    <x v="4"/>
    <s v=""/>
    <n v="0"/>
    <x v="1"/>
    <s v="Østdanmark"/>
    <n v="3434264.6468584086"/>
    <n v="0"/>
    <n v="0"/>
    <n v="0"/>
    <n v="0"/>
    <n v="2988609.6405701884"/>
    <n v="0"/>
    <n v="0"/>
    <n v="445655.0062882201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88018.668339788041"/>
    <n v="0"/>
    <n v="0"/>
    <n v="0"/>
    <n v="8801.8668339788037"/>
    <n v="0"/>
    <n v="0"/>
    <n v="0"/>
    <n v="79216.801505809242"/>
    <n v="79216.801505809242"/>
    <n v="8801.8668339788037"/>
    <n v="4.4997208987015251E-2"/>
    <n v="4.999689887446139E-2"/>
    <n v="4.9996898874461381E-3"/>
    <n v="4.4997208987015251E-2"/>
    <n v="3387.5787839354994"/>
    <n v="3763.9764265949993"/>
    <n v="376.39764265949992"/>
    <n v="3387.5787839354994"/>
    <n v="0"/>
    <x v="0"/>
  </r>
  <r>
    <x v="6"/>
    <s v="Husdyrgødning"/>
    <n v="1"/>
    <x v="1"/>
    <s v="Østdanmark"/>
    <n v="394046.35552146425"/>
    <n v="0"/>
    <n v="0"/>
    <n v="0"/>
    <n v="197023.17776073213"/>
    <n v="74587.345866562871"/>
    <n v="0"/>
    <n v="0"/>
    <n v="122435.83189416927"/>
    <n v="122435.83189416927"/>
    <n v="197023.17776073213"/>
    <n v="0.26372678190004062"/>
    <n v="0.68811470679665765"/>
    <n v="0.42438792489661703"/>
    <n v="0.26372678190004062"/>
    <n v="36730.74956825078"/>
    <n v="95837.702896470422"/>
    <n v="59106.953328219635"/>
    <n v="36730.749568250787"/>
    <n v="0"/>
    <x v="0"/>
  </r>
  <r>
    <x v="7"/>
    <s v=""/>
    <n v="0"/>
    <x v="1"/>
    <s v="Østdanmark"/>
    <n v="61994.905849799994"/>
    <n v="62973.863177375555"/>
    <n v="0"/>
    <n v="0"/>
    <n v="0"/>
    <n v="0"/>
    <n v="0"/>
    <n v="0"/>
    <n v="-978.95732757556107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Østdanmark"/>
    <n v="743.56732399226598"/>
    <n v="0"/>
    <n v="0"/>
    <n v="0"/>
    <n v="371.78366199613299"/>
    <n v="371.78366199613299"/>
    <n v="0"/>
    <n v="0"/>
    <n v="0"/>
    <n v="0"/>
    <n v="371.78366199613299"/>
    <n v="0"/>
    <n v="1.7484613840016138E-4"/>
    <n v="1.7484613840016138E-4"/>
    <n v="0"/>
    <n v="0"/>
    <n v="23.422370705756379"/>
    <n v="23.422370705756379"/>
    <n v="0"/>
    <n v="0"/>
    <x v="1"/>
  </r>
  <r>
    <x v="9"/>
    <s v=""/>
    <n v="0"/>
    <x v="1"/>
    <s v="Østdanmark"/>
    <n v="13977.105965819914"/>
    <n v="0"/>
    <n v="0"/>
    <n v="30560.118468347584"/>
    <n v="0"/>
    <n v="0"/>
    <n v="0"/>
    <n v="0"/>
    <n v="-16583.01250252767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21978.66045818618"/>
    <n v="0"/>
    <n v="0"/>
    <n v="0"/>
    <n v="0"/>
    <n v="0"/>
    <n v="0"/>
    <n v="0"/>
    <n v="321978.66045818618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322.9977462727657"/>
    <n v="0"/>
    <n v="0"/>
    <n v="223323.94265330929"/>
    <n v="0"/>
    <n v="0"/>
    <n v="0"/>
    <n v="0"/>
    <n v="-214000.94490703652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794429.667260306"/>
    <n v="1503468.3313748275"/>
    <n v="0"/>
    <n v="0"/>
    <n v="19169.610202413449"/>
    <n v="0"/>
    <n v="0"/>
    <n v="180125.38560234805"/>
    <n v="6091666.3400807166"/>
    <n v="6091666.3400807166"/>
    <n v="19169.610202413449"/>
    <n v="11.20790460745601"/>
    <n v="11.243174294027176"/>
    <n v="3.526968657116545E-2"/>
    <n v="11.20790460745601"/>
    <n v="1705666.5752226007"/>
    <n v="1711034.0660792764"/>
    <n v="5367.4908566757658"/>
    <n v="1705666.5752226007"/>
    <n v="0"/>
    <x v="0"/>
  </r>
  <r>
    <x v="14"/>
    <s v=""/>
    <n v="0"/>
    <x v="1"/>
    <s v="Østdanmark"/>
    <n v="30111.811412759995"/>
    <n v="30111.81141275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3718.477656278912"/>
    <n v="0"/>
    <n v="0"/>
    <n v="233902.44520004498"/>
    <n v="0"/>
    <n v="0"/>
    <n v="0"/>
    <n v="0"/>
    <n v="-170183.96754376608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02119.88928598503"/>
    <n v="93985.105307108941"/>
    <n v="102652.59374582161"/>
    <n v="0"/>
    <n v="19810.176817202024"/>
    <n v="0"/>
    <n v="685672.01341585245"/>
    <n v="0"/>
    <n v="0"/>
    <n v="0"/>
    <n v="705482.19023305445"/>
    <n v="0"/>
    <n v="7.201189509677242"/>
    <n v="0.11421636684665096"/>
    <n v="7.0869731428305913"/>
    <n v="0"/>
    <n v="599659.86169809627"/>
    <n v="16838.650294621719"/>
    <n v="582821.21140347456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033.81195063831"/>
    <n v="0"/>
    <n v="0"/>
    <n v="0"/>
    <n v="0"/>
    <n v="0"/>
    <n v="0"/>
    <n v="-592033.81195063831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446.55993953047"/>
    <n v="0"/>
    <n v="0"/>
    <n v="0"/>
    <n v="202446.64290192959"/>
    <n v="0"/>
    <n v="0"/>
    <n v="0"/>
    <n v="-8.2962399115785956E-2"/>
    <n v="0"/>
    <n v="202446.64290192959"/>
    <n v="0"/>
    <n v="0.74564347849399248"/>
    <n v="0.74564347849399248"/>
    <n v="0"/>
    <n v="0"/>
    <n v="85027.590018810428"/>
    <n v="85027.590018810428"/>
    <n v="0"/>
    <n v="1"/>
    <x v="1"/>
  </r>
  <r>
    <x v="20"/>
    <s v=""/>
    <n v="0"/>
    <x v="1"/>
    <s v="Østdanmark"/>
    <n v="203146.27162041739"/>
    <n v="0"/>
    <n v="0"/>
    <n v="0"/>
    <n v="0"/>
    <n v="0"/>
    <n v="0"/>
    <n v="0"/>
    <n v="203146.27162041739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495843.75527766516"/>
    <n v="0"/>
    <n v="0"/>
    <n v="106960.41463921656"/>
    <n v="0"/>
    <n v="0"/>
    <n v="0"/>
    <n v="0"/>
    <n v="388883.3406384486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766009.1742338412"/>
    <n v="685633.38753388484"/>
    <n v="0"/>
    <n v="256234.83946537593"/>
    <n v="878.00678248897611"/>
    <n v="0"/>
    <n v="0"/>
    <n v="0"/>
    <n v="823262.94045209151"/>
    <n v="787503.19758674048"/>
    <n v="878.00678248897611"/>
    <n v="2.6970882012869244"/>
    <n v="2.7000952515959997"/>
    <n v="3.0070503090751954E-3"/>
    <n v="2.6970882012869244"/>
    <n v="244125.99125188956"/>
    <n v="244398.17335446115"/>
    <n v="272.18210257158262"/>
    <n v="244125.99125188956"/>
    <n v="0"/>
    <x v="0"/>
  </r>
  <r>
    <x v="23"/>
    <s v=""/>
    <n v="0"/>
    <x v="1"/>
    <s v="Østdanmark"/>
    <n v="0"/>
    <n v="0"/>
    <n v="0"/>
    <n v="0"/>
    <n v="0"/>
    <n v="321487.6679216951"/>
    <n v="0"/>
    <n v="0"/>
    <n v="-321487.667921695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889393.11408765602"/>
    <n v="0"/>
    <n v="0"/>
    <n v="0"/>
    <n v="675938.7667066186"/>
    <n v="213454.34738103743"/>
    <n v="0"/>
    <n v="0"/>
    <n v="0"/>
    <n v="0"/>
    <n v="675938.7667066186"/>
    <n v="0"/>
    <n v="0.34215344431922329"/>
    <n v="0.34215344431922329"/>
    <n v="0"/>
    <n v="0"/>
    <n v="51371.346269703012"/>
    <n v="51371.346269703012"/>
    <n v="0"/>
    <n v="0"/>
    <x v="1"/>
  </r>
  <r>
    <x v="25"/>
    <s v=""/>
    <n v="0"/>
    <x v="1"/>
    <s v="Østdanmark"/>
    <n v="111157.2964449961"/>
    <n v="185397.91213031334"/>
    <n v="0"/>
    <n v="0"/>
    <n v="0"/>
    <n v="0"/>
    <n v="0"/>
    <n v="0"/>
    <n v="-74240.615685317243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Østdanmark"/>
    <n v="1107529.2203986393"/>
    <n v="490305.54007415898"/>
    <n v="0"/>
    <n v="0"/>
    <n v="74714.80111862249"/>
    <n v="0"/>
    <n v="0"/>
    <n v="0"/>
    <n v="542508.87920585787"/>
    <n v="77153.344535718672"/>
    <n v="74714.80111862249"/>
    <n v="0.27698050688323006"/>
    <n v="0.54520664289908483"/>
    <n v="0.26822613601585477"/>
    <n v="0.27698050688323006"/>
    <n v="23146.0033607156"/>
    <n v="45560.44369630234"/>
    <n v="22414.440335586747"/>
    <n v="23146.003360715593"/>
    <n v="0"/>
    <x v="0"/>
  </r>
  <r>
    <x v="27"/>
    <s v=""/>
    <n v="0"/>
    <x v="1"/>
    <s v="Østdanmark"/>
    <n v="214475.89268662789"/>
    <n v="0"/>
    <n v="0"/>
    <n v="409035.43180711387"/>
    <n v="0"/>
    <n v="0"/>
    <n v="0"/>
    <n v="0"/>
    <n v="-194559.53912048598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090.8017917209545"/>
    <n v="0"/>
    <n v="0"/>
    <n v="51975.70917962808"/>
    <n v="0"/>
    <n v="0"/>
    <n v="0"/>
    <n v="0"/>
    <n v="-44884.907387907122"/>
    <n v="0"/>
    <n v="0"/>
    <n v="0"/>
    <n v="0"/>
    <n v="0"/>
    <n v="0"/>
    <n v="0"/>
    <n v="0"/>
    <n v="0"/>
    <n v="0"/>
    <n v="1"/>
    <x v="1"/>
  </r>
  <r>
    <x v="30"/>
    <s v=""/>
    <n v="0"/>
    <x v="1"/>
    <s v="Østdanmark"/>
    <n v="447037.72834356769"/>
    <n v="0"/>
    <n v="0"/>
    <n v="0"/>
    <n v="0"/>
    <n v="0"/>
    <n v="0"/>
    <n v="0"/>
    <n v="447037.72834356769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553.070036709789"/>
    <n v="0"/>
    <n v="0"/>
    <n v="0"/>
    <n v="0"/>
    <n v="0"/>
    <n v="39553.070036709789"/>
    <n v="0"/>
    <n v="0"/>
    <n v="0"/>
    <n v="39553.070036709789"/>
    <n v="0"/>
    <n v="0.72777648867545996"/>
    <n v="0"/>
    <n v="0.72777648867545996"/>
    <n v="0"/>
    <n v="16414.524065234564"/>
    <n v="0"/>
    <n v="16414.524065234564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33982.75808371691"/>
    <n v="0"/>
    <n v="0"/>
    <n v="0"/>
    <n v="0"/>
    <n v="0"/>
    <n v="0"/>
    <n v="0"/>
    <n v="333982.75808371691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47807.242236556565"/>
    <n v="0"/>
    <n v="0"/>
    <n v="0"/>
    <n v="0"/>
    <n v="0"/>
    <n v="0"/>
    <n v="47807.242236556565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23903.621118278283"/>
    <n v="11271.411305610249"/>
    <n v="0"/>
    <n v="0"/>
    <n v="0"/>
    <n v="0"/>
    <n v="0"/>
    <n v="0"/>
    <n v="12632.209812668034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15298.317515698101"/>
    <n v="0"/>
    <n v="0"/>
    <n v="0"/>
    <n v="0"/>
    <n v="0"/>
    <n v="15298.317515698101"/>
    <n v="0"/>
    <n v="0"/>
    <n v="0"/>
    <n v="15298.317515698101"/>
    <n v="0"/>
    <n v="0.53544111304943354"/>
    <n v="0"/>
    <n v="0.53544111304943354"/>
    <n v="0"/>
    <n v="0"/>
    <n v="0"/>
    <n v="0"/>
    <n v="0"/>
    <x v="1"/>
  </r>
  <r>
    <x v="38"/>
    <s v="Græs og urter"/>
    <n v="1"/>
    <x v="1"/>
    <s v="Østdanmark"/>
    <n v="587619.03155491932"/>
    <n v="106617.61280762308"/>
    <n v="0"/>
    <n v="0"/>
    <n v="6751.4081977279666"/>
    <n v="0"/>
    <n v="0"/>
    <n v="0"/>
    <n v="474250.01054956828"/>
    <n v="474250.01054956828"/>
    <n v="6751.4081977279666"/>
    <n v="1.2871334986319503"/>
    <n v="1.3054570905369118"/>
    <n v="1.8323591904961609E-2"/>
    <n v="1.2871334986319503"/>
    <n v="94850.002109913665"/>
    <n v="96200.283749459253"/>
    <n v="1350.2816395455934"/>
    <n v="94850.002109913665"/>
    <n v="0"/>
    <x v="0"/>
  </r>
  <r>
    <x v="39"/>
    <s v=""/>
    <n v="0"/>
    <x v="1"/>
    <s v="Østdanmark"/>
    <n v="21322.079657033162"/>
    <n v="0"/>
    <n v="0"/>
    <n v="0"/>
    <n v="0"/>
    <n v="0"/>
    <n v="0"/>
    <n v="0"/>
    <n v="21322.079657033162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7334.62592459012"/>
    <n v="4723.4213980800005"/>
    <n v="0"/>
    <n v="0"/>
    <n v="0"/>
    <n v="0"/>
    <n v="0"/>
    <n v="0"/>
    <n v="12611.204526510119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3749.6322478913"/>
    <n v="0"/>
    <n v="0"/>
    <n v="0"/>
    <n v="1268113.1830084329"/>
    <n v="0"/>
    <n v="0"/>
    <n v="0"/>
    <n v="2075636.4492394584"/>
    <n v="2075636.4492394584"/>
    <n v="1268113.1830084329"/>
    <n v="1.0357633445349823"/>
    <n v="1.6685645039880206"/>
    <n v="0.63280115945303816"/>
    <n v="1.0357633445349825"/>
    <n v="124538.1869543675"/>
    <n v="200624.97793487346"/>
    <n v="76086.790980505975"/>
    <n v="124538.18695436748"/>
    <n v="0"/>
    <x v="0"/>
  </r>
  <r>
    <x v="42"/>
    <s v="Husdyrgødning"/>
    <n v="1"/>
    <x v="1"/>
    <s v="Østdanmark"/>
    <n v="2007966.0118097975"/>
    <n v="0"/>
    <n v="0"/>
    <n v="0"/>
    <n v="1064221.9862591927"/>
    <n v="943744.02555060491"/>
    <n v="0"/>
    <n v="0"/>
    <n v="0"/>
    <n v="0"/>
    <n v="1064221.9862591927"/>
    <n v="0"/>
    <n v="0.45846683168046026"/>
    <n v="0.45846683168046026"/>
    <n v="0"/>
    <n v="0"/>
    <n v="53211.099312959639"/>
    <n v="53211.099312959639"/>
    <n v="0"/>
    <n v="0"/>
    <x v="1"/>
  </r>
  <r>
    <x v="43"/>
    <s v=""/>
    <n v="0"/>
    <x v="1"/>
    <s v="Østdanmark"/>
    <n v="189279.53198000713"/>
    <n v="0"/>
    <n v="0"/>
    <n v="105526.43984954793"/>
    <n v="0"/>
    <n v="0"/>
    <n v="0"/>
    <n v="0"/>
    <n v="83753.092130459205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4989.208203650858"/>
    <n v="0"/>
    <n v="0"/>
    <n v="29532.002020101954"/>
    <n v="0"/>
    <n v="0"/>
    <n v="0"/>
    <n v="0"/>
    <n v="-14542.793816451096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1233.498570445321"/>
    <n v="7493.8897181076945"/>
    <n v="0"/>
    <n v="0"/>
    <n v="0"/>
    <n v="0"/>
    <n v="0"/>
    <n v="0"/>
    <n v="53739.608852337624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14938258.35286066"/>
    <n v="0"/>
    <n v="0"/>
    <n v="0"/>
    <n v="0"/>
    <n v="0"/>
    <n v="114938258.35286066"/>
    <n v="0"/>
    <n v="0"/>
    <n v="0"/>
    <n v="114938258.35286066"/>
    <n v="0"/>
    <n v="0"/>
    <n v="0"/>
    <n v="0"/>
    <n v="0"/>
    <n v="0"/>
    <n v="0"/>
    <n v="0"/>
    <n v="0"/>
    <x v="1"/>
  </r>
  <r>
    <x v="4"/>
    <s v=""/>
    <n v="0"/>
    <x v="2"/>
    <s v="Østdanmark"/>
    <n v="3329756.2304500802"/>
    <n v="0"/>
    <n v="0"/>
    <n v="0"/>
    <n v="0"/>
    <n v="2820438.968055354"/>
    <n v="0"/>
    <n v="0"/>
    <n v="509317.2623947262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300298.98610045342"/>
    <n v="0"/>
    <n v="0"/>
    <n v="0"/>
    <n v="60059.797220090688"/>
    <n v="0"/>
    <n v="0"/>
    <n v="0"/>
    <n v="240239.18888036272"/>
    <n v="240239.18888036272"/>
    <n v="60059.797220090688"/>
    <n v="0.13646212398676522"/>
    <n v="0.17057765498345653"/>
    <n v="3.4115530996691311E-2"/>
    <n v="0.13646212398676522"/>
    <n v="10273.441540824"/>
    <n v="12841.801926030003"/>
    <n v="2568.3603852060005"/>
    <n v="10273.441540824002"/>
    <n v="0"/>
    <x v="0"/>
  </r>
  <r>
    <x v="6"/>
    <s v="Husdyrgødning"/>
    <n v="1"/>
    <x v="2"/>
    <s v="Østdanmark"/>
    <n v="478171.56094190531"/>
    <n v="0"/>
    <n v="0"/>
    <n v="0"/>
    <n v="239085.78047095265"/>
    <n v="90511.045464003502"/>
    <n v="0"/>
    <n v="0"/>
    <n v="148574.73500694917"/>
    <n v="148574.73500694917"/>
    <n v="239085.78047095265"/>
    <n v="0.32002997920496851"/>
    <n v="0.83502075033940049"/>
    <n v="0.51499077113443203"/>
    <n v="0.32002997920496845"/>
    <n v="44572.420502084751"/>
    <n v="116298.15464337054"/>
    <n v="71725.734141285793"/>
    <n v="44572.420502084744"/>
    <n v="0"/>
    <x v="0"/>
  </r>
  <r>
    <x v="7"/>
    <s v=""/>
    <n v="0"/>
    <x v="2"/>
    <s v="Østdanmark"/>
    <n v="211512.03172284711"/>
    <n v="209912.87725791859"/>
    <n v="0"/>
    <n v="0"/>
    <n v="0"/>
    <n v="0"/>
    <n v="0"/>
    <n v="0"/>
    <n v="1599.1544649285206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844.92872428034855"/>
    <n v="0"/>
    <n v="0"/>
    <n v="0"/>
    <n v="422.46436214017427"/>
    <n v="422.46436214017427"/>
    <n v="0"/>
    <n v="0"/>
    <n v="0"/>
    <n v="0"/>
    <n v="422.46436214017427"/>
    <n v="0"/>
    <n v="1.9868076487090255E-4"/>
    <n v="1.9868076487090255E-4"/>
    <n v="0"/>
    <n v="0"/>
    <n v="26.61525481483098"/>
    <n v="26.61525481483098"/>
    <n v="0"/>
    <n v="0"/>
    <x v="1"/>
  </r>
  <r>
    <x v="9"/>
    <s v=""/>
    <n v="0"/>
    <x v="2"/>
    <s v="Østdanmark"/>
    <n v="11015.786921641509"/>
    <n v="0"/>
    <n v="0"/>
    <n v="31993.002188443785"/>
    <n v="0"/>
    <n v="0"/>
    <n v="0"/>
    <n v="0"/>
    <n v="-20977.215266802275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295597.74362228904"/>
    <n v="0"/>
    <n v="0"/>
    <n v="0"/>
    <n v="0"/>
    <n v="0"/>
    <n v="0"/>
    <n v="0"/>
    <n v="295597.74362228904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8827.084069591494"/>
    <n v="0"/>
    <n v="0"/>
    <n v="233795.01599247381"/>
    <n v="0"/>
    <n v="0"/>
    <n v="0"/>
    <n v="0"/>
    <n v="-224967.93192288233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11608975.952039318"/>
    <n v="1503468.3313748278"/>
    <n v="0"/>
    <n v="0"/>
    <n v="20455.923187094944"/>
    <n v="0"/>
    <n v="0"/>
    <n v="614545.43323154061"/>
    <n v="9470506.2642458547"/>
    <n v="9470506.2642458547"/>
    <n v="20455.923187094944"/>
    <n v="17.424547712929343"/>
    <n v="17.462184054603199"/>
    <n v="3.7636341673856315E-2"/>
    <n v="17.424547712929343"/>
    <n v="2651741.7539888397"/>
    <n v="2657469.4124812265"/>
    <n v="5727.6584923865848"/>
    <n v="2651741.7539888397"/>
    <n v="0"/>
    <x v="0"/>
  </r>
  <r>
    <x v="14"/>
    <s v=""/>
    <n v="0"/>
    <x v="2"/>
    <s v="Østdanmark"/>
    <n v="102734.41540824002"/>
    <n v="102734.41540824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0654.384977627895"/>
    <n v="0"/>
    <n v="0"/>
    <n v="244869.51675001203"/>
    <n v="0"/>
    <n v="0"/>
    <n v="0"/>
    <n v="0"/>
    <n v="-184215.13177238413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635069.61925954686"/>
    <n v="93985.105307108985"/>
    <n v="100623.12681257421"/>
    <n v="0"/>
    <n v="22223.303568694027"/>
    <n v="0"/>
    <n v="418238.08357116987"/>
    <n v="0"/>
    <n v="0"/>
    <n v="0"/>
    <n v="440461.38713986392"/>
    <n v="0"/>
    <n v="4.4509571810997537"/>
    <n v="0.12812934565744818"/>
    <n v="4.3228278354423058"/>
    <n v="0"/>
    <n v="374392.17906888435"/>
    <n v="18889.808033389923"/>
    <n v="355502.37103549443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033.81195063854"/>
    <n v="0"/>
    <n v="0"/>
    <n v="0"/>
    <n v="0"/>
    <n v="0"/>
    <n v="0"/>
    <n v="-592033.81195063854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2030.07287098104"/>
    <n v="0"/>
    <n v="0"/>
    <n v="0"/>
    <n v="202030.10004148821"/>
    <n v="0"/>
    <n v="0"/>
    <n v="0"/>
    <n v="-2.7170507179107517E-2"/>
    <n v="0"/>
    <n v="202030.10004148821"/>
    <n v="0"/>
    <n v="0.74410928428385781"/>
    <n v="0.74410928428385781"/>
    <n v="0"/>
    <n v="0"/>
    <n v="84852.642017425052"/>
    <n v="84852.642017425052"/>
    <n v="0"/>
    <n v="1"/>
    <x v="1"/>
  </r>
  <r>
    <x v="20"/>
    <s v=""/>
    <n v="0"/>
    <x v="2"/>
    <s v="Østdanmark"/>
    <n v="194271.44041387876"/>
    <n v="0"/>
    <n v="0"/>
    <n v="0"/>
    <n v="0"/>
    <n v="0"/>
    <n v="0"/>
    <n v="0"/>
    <n v="194271.44041387876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476271.17626623076"/>
    <n v="0"/>
    <n v="0"/>
    <n v="111975.50765955324"/>
    <n v="0"/>
    <n v="0"/>
    <n v="0"/>
    <n v="0"/>
    <n v="364295.668606677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281160.0569055823"/>
    <n v="505203.54870917852"/>
    <n v="0"/>
    <n v="268249.01834925939"/>
    <n v="912.47233531599591"/>
    <n v="0"/>
    <n v="0"/>
    <n v="0"/>
    <n v="506795.01751182834"/>
    <n v="115029.66699762642"/>
    <n v="912.47233531599591"/>
    <n v="0.39396050531349092"/>
    <n v="0.39708559531582127"/>
    <n v="3.1250900023303422E-3"/>
    <n v="0.39396050531349092"/>
    <n v="35659.196769264192"/>
    <n v="35942.063193212147"/>
    <n v="282.86642394795871"/>
    <n v="35659.196769264185"/>
    <n v="0"/>
    <x v="0"/>
  </r>
  <r>
    <x v="23"/>
    <s v=""/>
    <n v="0"/>
    <x v="2"/>
    <s v="Østdanmark"/>
    <n v="0"/>
    <n v="0"/>
    <n v="0"/>
    <n v="0"/>
    <n v="0"/>
    <n v="292821.84527900093"/>
    <n v="0"/>
    <n v="0"/>
    <n v="-292821.8452790009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811333.8467404244"/>
    <n v="0"/>
    <n v="0"/>
    <n v="0"/>
    <n v="616613.7235227226"/>
    <n v="194720.12321770185"/>
    <n v="0"/>
    <n v="0"/>
    <n v="0"/>
    <n v="0"/>
    <n v="616613.7235227226"/>
    <n v="0"/>
    <n v="0.31212370070996698"/>
    <n v="0.31212370070996698"/>
    <n v="0"/>
    <n v="0"/>
    <n v="46862.642987726918"/>
    <n v="46862.642987726918"/>
    <n v="0"/>
    <n v="0"/>
    <x v="1"/>
  </r>
  <r>
    <x v="25"/>
    <s v=""/>
    <n v="0"/>
    <x v="2"/>
    <s v="Østdanmark"/>
    <n v="101683.34176026525"/>
    <n v="185397.9121303134"/>
    <n v="0"/>
    <n v="0"/>
    <n v="0"/>
    <n v="0"/>
    <n v="0"/>
    <n v="0"/>
    <n v="-83714.570370048154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Østdanmark"/>
    <n v="613274.38090253877"/>
    <n v="189993.39677873664"/>
    <n v="0"/>
    <n v="0"/>
    <n v="79540.305054146011"/>
    <n v="0"/>
    <n v="0"/>
    <n v="0"/>
    <n v="343740.67906965612"/>
    <n v="343740.67906965612"/>
    <n v="79540.305054146011"/>
    <n v="1.2340290378600656"/>
    <n v="1.5195787330044497"/>
    <n v="0.28554969514438422"/>
    <n v="1.2340290378600653"/>
    <n v="103122.20372089684"/>
    <n v="126984.29523714064"/>
    <n v="23862.091516243803"/>
    <n v="103122.20372089684"/>
    <n v="0"/>
    <x v="0"/>
  </r>
  <r>
    <x v="27"/>
    <s v=""/>
    <n v="0"/>
    <x v="2"/>
    <s v="Østdanmark"/>
    <n v="196196.07702661166"/>
    <n v="0"/>
    <n v="0"/>
    <n v="428214.02929147833"/>
    <n v="0"/>
    <n v="0"/>
    <n v="0"/>
    <n v="0"/>
    <n v="-232017.95226486668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6027.3091816218966"/>
    <n v="0"/>
    <n v="0"/>
    <n v="54412.71372203785"/>
    <n v="0"/>
    <n v="0"/>
    <n v="0"/>
    <n v="0"/>
    <n v="-48385.404540415955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26777.53866935126"/>
    <n v="0"/>
    <n v="0"/>
    <n v="0"/>
    <n v="0"/>
    <n v="0"/>
    <n v="0"/>
    <n v="0"/>
    <n v="426777.5386693512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6441.900098439175"/>
    <n v="0"/>
    <n v="0"/>
    <n v="0"/>
    <n v="0"/>
    <n v="0"/>
    <n v="36441.900098439175"/>
    <n v="0"/>
    <n v="0"/>
    <n v="0"/>
    <n v="36441.900098439175"/>
    <n v="0"/>
    <n v="0.67053096181128069"/>
    <n v="0"/>
    <n v="0.67053096181128069"/>
    <n v="0"/>
    <n v="15123.388540852258"/>
    <n v="0"/>
    <n v="15123.388540852258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05517.35260192503"/>
    <n v="0"/>
    <n v="0"/>
    <n v="0"/>
    <n v="0"/>
    <n v="0"/>
    <n v="0"/>
    <n v="0"/>
    <n v="305517.35260192503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44647.112834296677"/>
    <n v="0"/>
    <n v="0"/>
    <n v="0"/>
    <n v="0"/>
    <n v="0"/>
    <n v="0"/>
    <n v="44647.11283429667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22323.556417148338"/>
    <n v="8051.0080754358942"/>
    <n v="0"/>
    <n v="0"/>
    <n v="0"/>
    <n v="0"/>
    <n v="0"/>
    <n v="0"/>
    <n v="14272.548341712445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14287.076106974937"/>
    <n v="0"/>
    <n v="0"/>
    <n v="0"/>
    <n v="0"/>
    <n v="0"/>
    <n v="14287.076106974937"/>
    <n v="0"/>
    <n v="0"/>
    <n v="0"/>
    <n v="14287.076106974937"/>
    <n v="0"/>
    <n v="0.50004766374412279"/>
    <n v="0"/>
    <n v="0.50004766374412279"/>
    <n v="0"/>
    <n v="0"/>
    <n v="0"/>
    <n v="0"/>
    <n v="0"/>
    <x v="1"/>
  </r>
  <r>
    <x v="38"/>
    <s v="Græs og urter"/>
    <n v="1"/>
    <x v="2"/>
    <s v="Østdanmark"/>
    <n v="560381.69837016799"/>
    <n v="106617.61280762311"/>
    <n v="0"/>
    <n v="0"/>
    <n v="6903.7955745184099"/>
    <n v="0"/>
    <n v="0"/>
    <n v="0"/>
    <n v="446860.28998802649"/>
    <n v="446860.28998802649"/>
    <n v="6903.7955745184099"/>
    <n v="1.2127967014391035"/>
    <n v="1.2315338787801693"/>
    <n v="1.8737177341065947E-2"/>
    <n v="1.2127967014391032"/>
    <n v="89372.057997605298"/>
    <n v="90752.817112508987"/>
    <n v="1380.7591149036821"/>
    <n v="89372.057997605298"/>
    <n v="0"/>
    <x v="0"/>
  </r>
  <r>
    <x v="39"/>
    <s v=""/>
    <n v="0"/>
    <x v="2"/>
    <s v="Østdanmark"/>
    <n v="18485.099996842164"/>
    <n v="0"/>
    <n v="0"/>
    <n v="0"/>
    <n v="0"/>
    <n v="0"/>
    <n v="0"/>
    <n v="0"/>
    <n v="18485.099996842164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5100.557694869811"/>
    <n v="4723.4213980800014"/>
    <n v="0"/>
    <n v="0"/>
    <n v="0"/>
    <n v="0"/>
    <n v="0"/>
    <n v="0"/>
    <n v="10377.136296789809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9426.14906302"/>
    <n v="0"/>
    <n v="0"/>
    <n v="0"/>
    <n v="1327153.3220649515"/>
    <n v="0"/>
    <n v="0"/>
    <n v="0"/>
    <n v="2172272.8269980685"/>
    <n v="2172272.8269980685"/>
    <n v="1327153.3220649515"/>
    <n v="1.0839858634003063"/>
    <n v="1.7462486426439379"/>
    <n v="0.66226277924363153"/>
    <n v="1.0839858634003063"/>
    <n v="130336.36961988411"/>
    <n v="209965.5689437812"/>
    <n v="79629.19932389709"/>
    <n v="130336.36961988411"/>
    <n v="0"/>
    <x v="0"/>
  </r>
  <r>
    <x v="42"/>
    <s v="Husdyrgødning"/>
    <n v="1"/>
    <x v="2"/>
    <s v="Østdanmark"/>
    <n v="1595806.9166905463"/>
    <n v="0"/>
    <n v="0"/>
    <n v="0"/>
    <n v="845777.6658459896"/>
    <n v="750029.25084455672"/>
    <n v="0"/>
    <n v="0"/>
    <n v="0"/>
    <n v="0"/>
    <n v="845777.6658459896"/>
    <n v="0"/>
    <n v="0.36436101844645236"/>
    <n v="0.36436101844645236"/>
    <n v="0"/>
    <n v="0"/>
    <n v="42288.883292299484"/>
    <n v="42288.883292299484"/>
    <n v="0"/>
    <n v="0"/>
    <x v="1"/>
  </r>
  <r>
    <x v="43"/>
    <s v=""/>
    <n v="0"/>
    <x v="2"/>
    <s v="Østdanmark"/>
    <n v="164992.8017368337"/>
    <n v="0"/>
    <n v="0"/>
    <n v="110474.29755686472"/>
    <n v="0"/>
    <n v="0"/>
    <n v="0"/>
    <n v="0"/>
    <n v="54518.50417996897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  <n v="0"/>
    <x v="1"/>
  </r>
  <r>
    <x v="47"/>
    <s v="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03244.93784208916"/>
    <n v="0"/>
    <n v="0"/>
    <n v="32579.784552999867"/>
    <n v="0"/>
    <n v="0"/>
    <n v="0"/>
    <n v="0"/>
    <n v="170665.1532890893"/>
    <n v="0"/>
    <n v="0"/>
    <n v="0"/>
    <n v="0"/>
    <n v="0"/>
    <n v="0"/>
    <n v="0"/>
    <n v="0"/>
    <n v="0"/>
    <n v="0"/>
    <x v="0"/>
  </r>
  <r>
    <x v="1"/>
    <s v=""/>
    <n v="0"/>
    <x v="1"/>
    <s v="Vestdanmark"/>
    <n v="213692.89158762878"/>
    <n v="61054.422265523077"/>
    <n v="0"/>
    <n v="0"/>
    <n v="0"/>
    <n v="0"/>
    <n v="0"/>
    <n v="0"/>
    <n v="152638.4693221057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490930075.51985109"/>
    <n v="0"/>
    <n v="0"/>
    <n v="0"/>
    <n v="0"/>
    <n v="0"/>
    <n v="490930075.51985109"/>
    <n v="0"/>
    <n v="0"/>
    <n v="0"/>
    <n v="490930075.51985109"/>
    <n v="0"/>
    <n v="0"/>
    <n v="0"/>
    <n v="0"/>
    <n v="0"/>
    <n v="0"/>
    <n v="0"/>
    <n v="0"/>
    <x v="0"/>
  </r>
  <r>
    <x v="4"/>
    <s v=""/>
    <n v="0"/>
    <x v="1"/>
    <s v="Vestdanmark"/>
    <n v="19407846.937600072"/>
    <n v="0"/>
    <n v="0"/>
    <n v="0"/>
    <n v="0"/>
    <n v="16889344.422970317"/>
    <n v="0"/>
    <n v="0"/>
    <n v="2518502.5146297552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717108.09021932539"/>
    <n v="0"/>
    <n v="0"/>
    <n v="0"/>
    <n v="71710.809021932539"/>
    <n v="0"/>
    <n v="0"/>
    <n v="0"/>
    <n v="645397.28119739285"/>
    <n v="645397.28119739285"/>
    <n v="71710.809021932539"/>
    <n v="0.36660248570577353"/>
    <n v="0.40733609522863723"/>
    <n v="4.0733609522863728E-2"/>
    <n v="0.36660248570577347"/>
    <n v="27599.374065028493"/>
    <n v="30665.971183364993"/>
    <n v="3066.5971183364991"/>
    <n v="27599.374065028493"/>
    <x v="0"/>
  </r>
  <r>
    <x v="6"/>
    <s v="Husdyrgødning"/>
    <n v="1"/>
    <x v="1"/>
    <s v="Vestdanmark"/>
    <n v="2889771.2970238337"/>
    <n v="0"/>
    <n v="0"/>
    <n v="0"/>
    <n v="1444885.6485119169"/>
    <n v="546992.42407951143"/>
    <n v="0"/>
    <n v="0"/>
    <n v="897893.22443240555"/>
    <n v="897893.22443240555"/>
    <n v="1444885.6485119169"/>
    <n v="1.9340620054274016"/>
    <n v="5.0463456923220704"/>
    <n v="3.1122836868946688"/>
    <n v="1.9340620054274016"/>
    <n v="269367.96732972167"/>
    <n v="702833.66188329668"/>
    <n v="433465.69455357507"/>
    <n v="269367.96732972161"/>
    <x v="0"/>
  </r>
  <r>
    <x v="7"/>
    <s v=""/>
    <n v="0"/>
    <x v="1"/>
    <s v="Vestdanmark"/>
    <n v="505086.58419659996"/>
    <n v="513062.37197918544"/>
    <n v="0"/>
    <n v="0"/>
    <n v="0"/>
    <n v="0"/>
    <n v="0"/>
    <n v="0"/>
    <n v="-7975.7877825854812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859.4137270526517"/>
    <n v="0"/>
    <n v="0"/>
    <n v="0"/>
    <n v="4429.7068635263258"/>
    <n v="4429.7068635263258"/>
    <n v="0"/>
    <n v="0"/>
    <n v="0"/>
    <n v="0"/>
    <n v="4429.7068635263258"/>
    <n v="0"/>
    <n v="2.0832468408477959E-3"/>
    <n v="2.0832468408477959E-3"/>
    <n v="0"/>
    <n v="0"/>
    <n v="279.07153240215854"/>
    <n v="279.07153240215854"/>
    <n v="0"/>
    <x v="0"/>
  </r>
  <r>
    <x v="9"/>
    <s v=""/>
    <n v="0"/>
    <x v="1"/>
    <s v="Vestdanmark"/>
    <n v="166533.62844565022"/>
    <n v="0"/>
    <n v="0"/>
    <n v="35294.766599083188"/>
    <n v="0"/>
    <n v="0"/>
    <n v="0"/>
    <n v="0"/>
    <n v="131238.86184656702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1403.8466263001"/>
    <n v="0"/>
    <n v="0"/>
    <n v="0"/>
    <n v="0"/>
    <n v="0"/>
    <n v="0"/>
    <n v="0"/>
    <n v="1051403.8466263001"/>
    <n v="0"/>
    <n v="0"/>
    <n v="0"/>
    <n v="0"/>
    <n v="0"/>
    <n v="0"/>
    <n v="0"/>
    <n v="0"/>
    <n v="0"/>
    <n v="0"/>
    <x v="0"/>
  </r>
  <r>
    <x v="11"/>
    <s v=""/>
    <n v="0"/>
    <x v="1"/>
    <s v="Vestdanmark"/>
    <n v="30577.183238476249"/>
    <n v="0"/>
    <n v="0"/>
    <n v="257923.29437791562"/>
    <n v="0"/>
    <n v="0"/>
    <n v="0"/>
    <n v="0"/>
    <n v="-227346.11113943937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7042134.224778831"/>
    <n v="12249098.107862087"/>
    <n v="0"/>
    <n v="0"/>
    <n v="66507.389797586569"/>
    <n v="0"/>
    <n v="0"/>
    <n v="1467522.4438828453"/>
    <n v="13259006.283236312"/>
    <n v="13259006.283236312"/>
    <n v="66507.389797586569"/>
    <n v="24.394914185369412"/>
    <n v="24.517279469173246"/>
    <n v="0.1223652838038346"/>
    <n v="24.394914185369412"/>
    <n v="3712521.7593061677"/>
    <n v="3731143.8284494919"/>
    <n v="18622.069143324243"/>
    <n v="3712521.7593061677"/>
    <x v="0"/>
  </r>
  <r>
    <x v="14"/>
    <s v=""/>
    <n v="0"/>
    <x v="1"/>
    <s v="Vestdanmark"/>
    <n v="245327.76946691994"/>
    <n v="245327.76946691994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08875.62977638197"/>
    <n v="0"/>
    <n v="0"/>
    <n v="270140.71358529059"/>
    <n v="0"/>
    <n v="0"/>
    <n v="0"/>
    <n v="0"/>
    <n v="-61265.083808908617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986321.1440299363"/>
    <n v="765718.007862392"/>
    <n v="721366.03790670179"/>
    <n v="0"/>
    <n v="56123.823182797991"/>
    <n v="0"/>
    <n v="1443113.2750780443"/>
    <n v="0"/>
    <n v="0"/>
    <n v="0"/>
    <n v="1499237.0982608423"/>
    <n v="0"/>
    <n v="15.239323484153955"/>
    <n v="0.32358414751334913"/>
    <n v="14.915739336640605"/>
    <n v="0"/>
    <n v="1274351.5335217158"/>
    <n v="47705.249705378294"/>
    <n v="1226646.2838163376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17960.14483851765"/>
    <n v="0"/>
    <n v="0"/>
    <n v="0"/>
    <n v="517960.35709807038"/>
    <n v="0"/>
    <n v="0"/>
    <n v="0"/>
    <n v="-0.21225955273257568"/>
    <n v="0"/>
    <n v="517960.35709807038"/>
    <n v="0"/>
    <n v="1.9077311278295077"/>
    <n v="1.9077311278295077"/>
    <n v="0"/>
    <n v="0"/>
    <n v="217543.34998118956"/>
    <n v="217543.34998118956"/>
    <n v="0"/>
    <x v="1"/>
  </r>
  <r>
    <x v="20"/>
    <s v=""/>
    <n v="0"/>
    <x v="1"/>
    <s v="Vestdanmark"/>
    <n v="677461.36910389608"/>
    <n v="0"/>
    <n v="0"/>
    <n v="0"/>
    <n v="0"/>
    <n v="0"/>
    <n v="0"/>
    <n v="0"/>
    <n v="677461.36910389608"/>
    <n v="0"/>
    <n v="0"/>
    <n v="0"/>
    <n v="0"/>
    <n v="0"/>
    <n v="0"/>
    <n v="0"/>
    <n v="0"/>
    <n v="0"/>
    <n v="0"/>
    <x v="0"/>
  </r>
  <r>
    <x v="21"/>
    <s v=""/>
    <n v="0"/>
    <x v="1"/>
    <s v="Vestdanmark"/>
    <n v="1676585.1390430741"/>
    <n v="0"/>
    <n v="0"/>
    <n v="123531.68309679118"/>
    <n v="0"/>
    <n v="0"/>
    <n v="0"/>
    <n v="0"/>
    <n v="1553053.4559462829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849092.288531078"/>
    <n v="5586010.9951558355"/>
    <n v="0"/>
    <n v="295933.04302308214"/>
    <n v="2907.9932175110234"/>
    <n v="0"/>
    <n v="0"/>
    <n v="0"/>
    <n v="-35759.742865351029"/>
    <n v="0"/>
    <n v="2907.9932175110234"/>
    <n v="0"/>
    <n v="9.9594696509248057E-3"/>
    <n v="9.9594696509248057E-3"/>
    <n v="0"/>
    <n v="0"/>
    <n v="901.47789742841724"/>
    <n v="901.47789742841724"/>
    <n v="0"/>
    <x v="0"/>
  </r>
  <r>
    <x v="23"/>
    <s v=""/>
    <n v="0"/>
    <x v="1"/>
    <s v="Vestdanmark"/>
    <n v="0"/>
    <n v="0"/>
    <n v="0"/>
    <n v="0"/>
    <n v="0"/>
    <n v="515977.71922257601"/>
    <n v="0"/>
    <n v="0"/>
    <n v="-515977.71922257601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513619.485237187"/>
    <n v="0"/>
    <n v="0"/>
    <n v="0"/>
    <n v="9510350.8087802622"/>
    <n v="3003268.6764569245"/>
    <n v="0"/>
    <n v="0"/>
    <n v="0"/>
    <n v="0"/>
    <n v="9510350.8087802622"/>
    <n v="0"/>
    <n v="4.8140444758964813"/>
    <n v="4.8140444758964813"/>
    <n v="0"/>
    <n v="0"/>
    <n v="722786.66146729991"/>
    <n v="722786.66146729991"/>
    <n v="0"/>
    <x v="0"/>
  </r>
  <r>
    <x v="25"/>
    <s v=""/>
    <n v="0"/>
    <x v="1"/>
    <s v="Vestdanmark"/>
    <n v="1563965.4599161854"/>
    <n v="1510478.9155088854"/>
    <n v="0"/>
    <n v="0"/>
    <n v="0"/>
    <n v="0"/>
    <n v="0"/>
    <n v="0"/>
    <n v="53486.544407299953"/>
    <n v="0"/>
    <n v="0"/>
    <n v="0"/>
    <n v="0"/>
    <n v="0"/>
    <n v="0"/>
    <n v="0"/>
    <n v="0"/>
    <n v="0"/>
    <n v="0"/>
    <x v="1"/>
  </r>
  <r>
    <x v="26"/>
    <s v="Græs og urter"/>
    <n v="1"/>
    <x v="1"/>
    <s v="Vestdanmark"/>
    <n v="3784586.3044886771"/>
    <n v="3994630.6402774388"/>
    <n v="0"/>
    <n v="0"/>
    <n v="255311.1988813775"/>
    <n v="0"/>
    <n v="0"/>
    <n v="0"/>
    <n v="-465355.5346701392"/>
    <n v="0"/>
    <n v="255311.1988813775"/>
    <n v="0"/>
    <n v="0.91656720398414526"/>
    <n v="0.91656720398414526"/>
    <n v="0"/>
    <n v="0"/>
    <n v="76593.359664413249"/>
    <n v="76593.359664413249"/>
    <n v="0"/>
    <x v="0"/>
  </r>
  <r>
    <x v="27"/>
    <s v=""/>
    <n v="0"/>
    <x v="1"/>
    <s v="Vestdanmark"/>
    <n v="3017641.6562322429"/>
    <n v="0"/>
    <n v="0"/>
    <n v="472406.87601849809"/>
    <n v="0"/>
    <n v="0"/>
    <n v="0"/>
    <n v="0"/>
    <n v="2545234.780213744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99766.452046185907"/>
    <n v="0"/>
    <n v="0"/>
    <n v="60028.253038902265"/>
    <n v="0"/>
    <n v="0"/>
    <n v="0"/>
    <n v="0"/>
    <n v="39738.199007283642"/>
    <n v="0"/>
    <n v="0"/>
    <n v="0"/>
    <n v="0"/>
    <n v="0"/>
    <n v="0"/>
    <n v="0"/>
    <n v="0"/>
    <n v="0"/>
    <n v="0"/>
    <x v="1"/>
  </r>
  <r>
    <x v="30"/>
    <s v=""/>
    <n v="0"/>
    <x v="1"/>
    <s v="Vestdanmark"/>
    <n v="1486568.2848710858"/>
    <n v="0"/>
    <n v="0"/>
    <n v="0"/>
    <n v="0"/>
    <n v="0"/>
    <n v="0"/>
    <n v="0"/>
    <n v="1486568.2848710858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39642.05031935725"/>
    <n v="0"/>
    <n v="0"/>
    <n v="0"/>
    <n v="0"/>
    <n v="0"/>
    <n v="139642.05031935725"/>
    <n v="0"/>
    <n v="0"/>
    <n v="0"/>
    <n v="139642.05031935725"/>
    <n v="0"/>
    <n v="2.5694137258761729"/>
    <n v="0"/>
    <n v="2.5694137258761729"/>
    <n v="0"/>
    <n v="57951.450882533267"/>
    <n v="0"/>
    <n v="57951.450882533267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699084.2216906957"/>
    <n v="0"/>
    <n v="0"/>
    <n v="0"/>
    <n v="0"/>
    <n v="0"/>
    <n v="0"/>
    <n v="0"/>
    <n v="4699084.2216906957"/>
    <n v="0"/>
    <n v="0"/>
    <n v="0"/>
    <n v="0"/>
    <n v="0"/>
    <n v="0"/>
    <n v="0"/>
    <n v="0"/>
    <n v="0"/>
    <n v="0"/>
    <x v="0"/>
  </r>
  <r>
    <x v="35"/>
    <s v=""/>
    <n v="0"/>
    <x v="1"/>
    <s v="Vestdanmark"/>
    <n v="159579.37363726847"/>
    <n v="0"/>
    <n v="0"/>
    <n v="0"/>
    <n v="0"/>
    <n v="0"/>
    <n v="0"/>
    <n v="159579.37363726847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79789.686818634233"/>
    <n v="91830.748952480033"/>
    <n v="0"/>
    <n v="0"/>
    <n v="0"/>
    <n v="0"/>
    <n v="0"/>
    <n v="0"/>
    <n v="-12041.0621338458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51065.399563925908"/>
    <n v="0"/>
    <n v="0"/>
    <n v="0"/>
    <n v="0"/>
    <n v="0"/>
    <n v="51065.399563925908"/>
    <n v="0"/>
    <n v="0"/>
    <n v="0"/>
    <n v="51065.399563925908"/>
    <n v="0"/>
    <n v="1.7872889847374067"/>
    <n v="0"/>
    <n v="1.7872889847374067"/>
    <n v="0"/>
    <n v="0"/>
    <n v="0"/>
    <n v="0"/>
    <x v="0"/>
  </r>
  <r>
    <x v="38"/>
    <s v="Græs og urter"/>
    <n v="1"/>
    <x v="1"/>
    <s v="Vestdanmark"/>
    <n v="1905541.9010865423"/>
    <n v="868637.91677766922"/>
    <n v="0"/>
    <n v="0"/>
    <n v="21893.59180227204"/>
    <n v="0"/>
    <n v="0"/>
    <n v="0"/>
    <n v="1015010.3925066011"/>
    <n v="1015010.3925066011"/>
    <n v="21893.59180227204"/>
    <n v="2.7547788056786158"/>
    <n v="2.814198889573654"/>
    <n v="5.942008389503841E-2"/>
    <n v="2.7547788056786158"/>
    <n v="203002.07850132021"/>
    <n v="207380.79686177464"/>
    <n v="4378.718360454408"/>
    <n v="203002.07850132024"/>
    <x v="0"/>
  </r>
  <r>
    <x v="39"/>
    <s v=""/>
    <n v="0"/>
    <x v="1"/>
    <s v="Vestdanmark"/>
    <n v="180600.29938417859"/>
    <n v="0"/>
    <n v="0"/>
    <n v="0"/>
    <n v="0"/>
    <n v="0"/>
    <n v="0"/>
    <n v="0"/>
    <n v="180600.29938417859"/>
    <n v="0"/>
    <n v="0"/>
    <n v="0"/>
    <n v="0"/>
    <n v="0"/>
    <n v="0"/>
    <n v="0"/>
    <n v="0"/>
    <n v="0"/>
    <n v="0"/>
    <x v="0"/>
  </r>
  <r>
    <x v="40"/>
    <s v=""/>
    <n v="0"/>
    <x v="1"/>
    <s v="Vestdanmark"/>
    <n v="122888.11677196804"/>
    <n v="38482.787367359997"/>
    <n v="0"/>
    <n v="0"/>
    <n v="0"/>
    <n v="0"/>
    <n v="0"/>
    <n v="0"/>
    <n v="84405.329404608041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69627.3146627704"/>
    <n v="0"/>
    <n v="0"/>
    <n v="0"/>
    <n v="1505476.5706157479"/>
    <n v="0"/>
    <n v="0"/>
    <n v="0"/>
    <n v="2464150.7440470224"/>
    <n v="2464150.7440470224"/>
    <n v="1505476.5706157479"/>
    <n v="1.2296358627869048"/>
    <n v="1.9808837262898693"/>
    <n v="0.75124786350296446"/>
    <n v="1.2296358627869048"/>
    <n v="147849.04464282133"/>
    <n v="238177.63887976622"/>
    <n v="90328.594236944875"/>
    <n v="147849.04464282136"/>
    <x v="0"/>
  </r>
  <r>
    <x v="42"/>
    <s v="Husdyrgødning"/>
    <n v="1"/>
    <x v="1"/>
    <s v="Vestdanmark"/>
    <n v="13857874.328276252"/>
    <n v="0"/>
    <n v="0"/>
    <n v="0"/>
    <n v="7344673.3939864142"/>
    <n v="6513200.9342898391"/>
    <n v="0"/>
    <n v="0"/>
    <n v="0"/>
    <n v="0"/>
    <n v="7344673.3939864142"/>
    <n v="0"/>
    <n v="3.1640852981293479"/>
    <n v="3.1640852981293479"/>
    <n v="0"/>
    <n v="0"/>
    <n v="367233.66969932074"/>
    <n v="367233.66969932074"/>
    <n v="0"/>
    <x v="0"/>
  </r>
  <r>
    <x v="43"/>
    <s v=""/>
    <n v="0"/>
    <x v="1"/>
    <s v="Vestdanmark"/>
    <n v="1306302.9710994663"/>
    <n v="0"/>
    <n v="0"/>
    <n v="121875.54404868034"/>
    <n v="0"/>
    <n v="0"/>
    <n v="0"/>
    <n v="0"/>
    <n v="1184427.4270507861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178592.56671485456"/>
    <n v="0"/>
    <n v="0"/>
    <n v="33849.968886444818"/>
    <n v="0"/>
    <n v="0"/>
    <n v="0"/>
    <n v="0"/>
    <n v="144742.59782840975"/>
    <n v="0"/>
    <n v="0"/>
    <n v="0"/>
    <n v="0"/>
    <n v="0"/>
    <n v="0"/>
    <n v="0"/>
    <n v="0"/>
    <n v="0"/>
    <n v="0"/>
    <x v="0"/>
  </r>
  <r>
    <x v="1"/>
    <s v=""/>
    <n v="0"/>
    <x v="2"/>
    <s v="Vestdanmark"/>
    <n v="192834.50614053759"/>
    <n v="61054.422265523077"/>
    <n v="0"/>
    <n v="0"/>
    <n v="0"/>
    <n v="0"/>
    <n v="0"/>
    <n v="0"/>
    <n v="131780.0838750145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83018393.58230299"/>
    <n v="0"/>
    <n v="0"/>
    <n v="0"/>
    <n v="0"/>
    <n v="0"/>
    <n v="483018393.58230299"/>
    <n v="0"/>
    <n v="0"/>
    <n v="0"/>
    <n v="483018393.58230299"/>
    <n v="0"/>
    <n v="0"/>
    <n v="0"/>
    <n v="0"/>
    <n v="0"/>
    <n v="0"/>
    <n v="0"/>
    <n v="0"/>
    <x v="0"/>
  </r>
  <r>
    <x v="4"/>
    <s v=""/>
    <n v="0"/>
    <x v="2"/>
    <s v="Vestdanmark"/>
    <n v="17925018.580788191"/>
    <n v="0"/>
    <n v="0"/>
    <n v="0"/>
    <n v="0"/>
    <n v="15183219.854366822"/>
    <n v="0"/>
    <n v="0"/>
    <n v="2741798.7264213692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2446604.0725129922"/>
    <n v="0"/>
    <n v="0"/>
    <n v="0"/>
    <n v="489320.81450259848"/>
    <n v="0"/>
    <n v="0"/>
    <n v="0"/>
    <n v="1957283.2580103937"/>
    <n v="1957283.2580103937"/>
    <n v="489320.81450259848"/>
    <n v="1.111787930506398"/>
    <n v="1.3897349131329975"/>
    <n v="0.27794698262659956"/>
    <n v="1.1117879305063978"/>
    <n v="83700.062524007968"/>
    <n v="104625.07815500996"/>
    <n v="20925.015631001996"/>
    <n v="83700.062524007968"/>
    <x v="0"/>
  </r>
  <r>
    <x v="6"/>
    <s v="Husdyrgødning"/>
    <n v="1"/>
    <x v="2"/>
    <s v="Vestdanmark"/>
    <n v="3443369.0962312091"/>
    <n v="0"/>
    <n v="0"/>
    <n v="0"/>
    <n v="1721684.5481156046"/>
    <n v="651780.57892947888"/>
    <n v="0"/>
    <n v="0"/>
    <n v="1069903.9691861258"/>
    <n v="1069903.9691861258"/>
    <n v="1721684.5481156046"/>
    <n v="2.3045731496269148"/>
    <n v="6.0130816662679276"/>
    <n v="3.7085085166410123"/>
    <n v="2.3045731496269153"/>
    <n v="320971.19075583771"/>
    <n v="837476.55519051908"/>
    <n v="516505.36443468137"/>
    <n v="320971.19075583771"/>
    <x v="0"/>
  </r>
  <r>
    <x v="7"/>
    <s v=""/>
    <n v="0"/>
    <x v="2"/>
    <s v="Vestdanmark"/>
    <n v="1723236.581376635"/>
    <n v="1710207.9065972848"/>
    <n v="0"/>
    <n v="0"/>
    <n v="0"/>
    <n v="0"/>
    <n v="0"/>
    <n v="0"/>
    <n v="13028.674779350171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0067.108783209876"/>
    <n v="0"/>
    <n v="0"/>
    <n v="0"/>
    <n v="5033.5543916049382"/>
    <n v="5033.5543916049382"/>
    <n v="0"/>
    <n v="0"/>
    <n v="0"/>
    <n v="0"/>
    <n v="5033.5543916049382"/>
    <n v="0"/>
    <n v="2.3672302948278866E-3"/>
    <n v="2.3672302948278866E-3"/>
    <n v="0"/>
    <n v="0"/>
    <n v="317.11392667111113"/>
    <n v="317.11392667111113"/>
    <n v="0"/>
    <x v="0"/>
  </r>
  <r>
    <x v="9"/>
    <s v=""/>
    <n v="0"/>
    <x v="2"/>
    <s v="Vestdanmark"/>
    <n v="131250.27246207089"/>
    <n v="0"/>
    <n v="0"/>
    <n v="36670.799626981883"/>
    <n v="0"/>
    <n v="0"/>
    <n v="0"/>
    <n v="0"/>
    <n v="94579.472835089007"/>
    <n v="0"/>
    <n v="0"/>
    <n v="0"/>
    <n v="0"/>
    <n v="0"/>
    <n v="0"/>
    <n v="0"/>
    <n v="0"/>
    <n v="0"/>
    <n v="0"/>
    <x v="0"/>
  </r>
  <r>
    <x v="10"/>
    <s v=""/>
    <n v="0"/>
    <x v="2"/>
    <s v="Vestdanmark"/>
    <n v="930886.6264122529"/>
    <n v="0"/>
    <n v="0"/>
    <n v="0"/>
    <n v="0"/>
    <n v="0"/>
    <n v="0"/>
    <n v="0"/>
    <n v="930886.6264122529"/>
    <n v="0"/>
    <n v="0"/>
    <n v="0"/>
    <n v="0"/>
    <n v="0"/>
    <n v="0"/>
    <n v="0"/>
    <n v="0"/>
    <n v="0"/>
    <n v="0"/>
    <x v="0"/>
  </r>
  <r>
    <x v="11"/>
    <s v=""/>
    <n v="0"/>
    <x v="2"/>
    <s v="Vestdanmark"/>
    <n v="27797.960870428567"/>
    <n v="0"/>
    <n v="0"/>
    <n v="267978.92035102146"/>
    <n v="0"/>
    <n v="0"/>
    <n v="0"/>
    <n v="0"/>
    <n v="-240180.95948059289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37013724.844488479"/>
    <n v="12249098.107862087"/>
    <n v="0"/>
    <n v="0"/>
    <n v="65221.076812905056"/>
    <n v="0"/>
    <n v="0"/>
    <n v="5006841.2791297073"/>
    <n v="19692564.38068378"/>
    <n v="19692564.38068378"/>
    <n v="65221.076812905056"/>
    <n v="36.231856889910574"/>
    <n v="36.351855518611721"/>
    <n v="0.11999862870114369"/>
    <n v="36.231856889910574"/>
    <n v="5513918.0265914593"/>
    <n v="5532179.9280990716"/>
    <n v="18261.901507613416"/>
    <n v="5513918.0265914584"/>
    <x v="0"/>
  </r>
  <r>
    <x v="14"/>
    <s v=""/>
    <n v="0"/>
    <x v="2"/>
    <s v="Vestdanmark"/>
    <n v="837000.62524007971"/>
    <n v="837000.62524007983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1010.78078958855"/>
    <n v="0"/>
    <n v="0"/>
    <n v="280672.65868343826"/>
    <n v="0"/>
    <n v="0"/>
    <n v="0"/>
    <n v="0"/>
    <n v="-89661.877893849713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1999940.2166101544"/>
    <n v="765718.007862392"/>
    <n v="708255.87157726486"/>
    <n v="0"/>
    <n v="53710.696431305973"/>
    <n v="0"/>
    <n v="472255.64073919144"/>
    <n v="0"/>
    <n v="0"/>
    <n v="0"/>
    <n v="525966.3371704974"/>
    <n v="0"/>
    <n v="5.1908140139466488"/>
    <n v="0.30967116870255185"/>
    <n v="4.8811428452440966"/>
    <n v="0"/>
    <n v="447071.38659492275"/>
    <n v="45654.091966610074"/>
    <n v="401417.29462831269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05376.83199167583"/>
    <n v="0"/>
    <n v="0"/>
    <n v="0"/>
    <n v="505376.89995851181"/>
    <n v="0"/>
    <n v="0"/>
    <n v="0"/>
    <n v="-6.7966835980769247E-2"/>
    <n v="0"/>
    <n v="505376.89995851181"/>
    <n v="0"/>
    <n v="1.8613842355396426"/>
    <n v="1.8613842355396426"/>
    <n v="0"/>
    <n v="0"/>
    <n v="212258.29798257496"/>
    <n v="212258.29798257496"/>
    <n v="0"/>
    <x v="1"/>
  </r>
  <r>
    <x v="20"/>
    <s v=""/>
    <n v="0"/>
    <x v="2"/>
    <s v="Vestdanmark"/>
    <n v="611793.18745479197"/>
    <n v="0"/>
    <n v="0"/>
    <n v="0"/>
    <n v="0"/>
    <n v="0"/>
    <n v="0"/>
    <n v="0"/>
    <n v="611793.18745479197"/>
    <n v="0"/>
    <n v="0"/>
    <n v="0"/>
    <n v="0"/>
    <n v="0"/>
    <n v="0"/>
    <n v="0"/>
    <n v="0"/>
    <n v="0"/>
    <n v="0"/>
    <x v="0"/>
  </r>
  <r>
    <x v="21"/>
    <s v=""/>
    <n v="0"/>
    <x v="2"/>
    <s v="Vestdanmark"/>
    <n v="1499857.4180538384"/>
    <n v="0"/>
    <n v="0"/>
    <n v="128347.79869443661"/>
    <n v="0"/>
    <n v="0"/>
    <n v="0"/>
    <n v="0"/>
    <n v="1371509.619359401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034586.8295627958"/>
    <n v="4116008.1016937736"/>
    <n v="0"/>
    <n v="307470.55071854044"/>
    <n v="2873.5276646840043"/>
    <n v="0"/>
    <n v="0"/>
    <n v="0"/>
    <n v="-391765.35051420191"/>
    <n v="0"/>
    <n v="2873.5276646840043"/>
    <n v="0"/>
    <n v="9.8414299576696611E-3"/>
    <n v="9.8414299576696611E-3"/>
    <n v="0"/>
    <n v="0"/>
    <n v="890.79357605204132"/>
    <n v="890.79357605204132"/>
    <n v="0"/>
    <x v="0"/>
  </r>
  <r>
    <x v="23"/>
    <s v=""/>
    <n v="0"/>
    <x v="2"/>
    <s v="Vestdanmark"/>
    <n v="0"/>
    <n v="0"/>
    <n v="0"/>
    <n v="0"/>
    <n v="0"/>
    <n v="421885.5095768742"/>
    <n v="0"/>
    <n v="0"/>
    <n v="-421885.5095768742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1415338.024084132"/>
    <n v="0"/>
    <n v="0"/>
    <n v="0"/>
    <n v="8675656.8983039409"/>
    <n v="2739681.1257801917"/>
    <n v="0"/>
    <n v="0"/>
    <n v="0"/>
    <n v="0"/>
    <n v="8675656.8983039409"/>
    <n v="0"/>
    <n v="4.3915307653524724"/>
    <n v="4.3915307653524724"/>
    <n v="0"/>
    <n v="0"/>
    <n v="659349.9242710995"/>
    <n v="659349.9242710995"/>
    <n v="0"/>
    <x v="0"/>
  </r>
  <r>
    <x v="25"/>
    <s v=""/>
    <n v="0"/>
    <x v="2"/>
    <s v="Vestdanmark"/>
    <n v="1430668.4261667002"/>
    <n v="1510478.9155088854"/>
    <n v="0"/>
    <n v="0"/>
    <n v="0"/>
    <n v="0"/>
    <n v="0"/>
    <n v="0"/>
    <n v="-79810.489342185203"/>
    <n v="0"/>
    <n v="0"/>
    <n v="0"/>
    <n v="0"/>
    <n v="0"/>
    <n v="0"/>
    <n v="0"/>
    <n v="0"/>
    <n v="0"/>
    <n v="0"/>
    <x v="1"/>
  </r>
  <r>
    <x v="26"/>
    <s v="Græs og urter"/>
    <n v="1"/>
    <x v="2"/>
    <s v="Vestdanmark"/>
    <n v="1931303.3736580268"/>
    <n v="1547919.3731075076"/>
    <n v="0"/>
    <n v="0"/>
    <n v="250485.69494585399"/>
    <n v="0"/>
    <n v="0"/>
    <n v="0"/>
    <n v="132898.30560466531"/>
    <n v="132898.30560466531"/>
    <n v="250485.69494585399"/>
    <n v="0.47710491712074848"/>
    <n v="1.3763485619763645"/>
    <n v="0.89924364485561592"/>
    <n v="0.47710491712074854"/>
    <n v="39869.491681399588"/>
    <n v="115015.20016515579"/>
    <n v="75145.7084837562"/>
    <n v="39869.491681399595"/>
    <x v="0"/>
  </r>
  <r>
    <x v="27"/>
    <s v=""/>
    <n v="0"/>
    <x v="2"/>
    <s v="Vestdanmark"/>
    <n v="2760447.5608356618"/>
    <n v="0"/>
    <n v="0"/>
    <n v="490824.54885344987"/>
    <n v="0"/>
    <n v="0"/>
    <n v="0"/>
    <n v="0"/>
    <n v="2269623.0119822118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84803.280376262541"/>
    <n v="0"/>
    <n v="0"/>
    <n v="62368.567673274578"/>
    <n v="0"/>
    <n v="0"/>
    <n v="0"/>
    <n v="0"/>
    <n v="22434.712702987963"/>
    <n v="0"/>
    <n v="0"/>
    <n v="0"/>
    <n v="0"/>
    <n v="0"/>
    <n v="0"/>
    <n v="0"/>
    <n v="0"/>
    <n v="0"/>
    <n v="0"/>
    <x v="1"/>
  </r>
  <r>
    <x v="30"/>
    <s v=""/>
    <n v="0"/>
    <x v="2"/>
    <s v="Vestdanmark"/>
    <n v="1343993.6933621466"/>
    <n v="0"/>
    <n v="0"/>
    <n v="0"/>
    <n v="0"/>
    <n v="0"/>
    <n v="0"/>
    <n v="0"/>
    <n v="1343993.6933621466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14761.6251294364"/>
    <n v="0"/>
    <n v="0"/>
    <n v="0"/>
    <n v="0"/>
    <n v="0"/>
    <n v="114761.6251294364"/>
    <n v="0"/>
    <n v="0"/>
    <n v="0"/>
    <n v="114761.6251294364"/>
    <n v="0"/>
    <n v="2.1116139023816296"/>
    <n v="0"/>
    <n v="2.1116139023816296"/>
    <n v="0"/>
    <n v="47626.074428716114"/>
    <n v="0"/>
    <n v="47626.074428716114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298580.4994896017"/>
    <n v="0"/>
    <n v="0"/>
    <n v="0"/>
    <n v="0"/>
    <n v="0"/>
    <n v="0"/>
    <n v="0"/>
    <n v="4298580.4994896017"/>
    <n v="0"/>
    <n v="0"/>
    <n v="0"/>
    <n v="0"/>
    <n v="0"/>
    <n v="0"/>
    <n v="0"/>
    <n v="0"/>
    <n v="0"/>
    <n v="0"/>
    <x v="0"/>
  </r>
  <r>
    <x v="35"/>
    <s v=""/>
    <n v="0"/>
    <x v="2"/>
    <s v="Vestdanmark"/>
    <n v="140601.20938701159"/>
    <n v="0"/>
    <n v="0"/>
    <n v="0"/>
    <n v="0"/>
    <n v="0"/>
    <n v="0"/>
    <n v="140601.20938701159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70300.604693505797"/>
    <n v="65593.392108914311"/>
    <n v="0"/>
    <n v="0"/>
    <n v="0"/>
    <n v="0"/>
    <n v="0"/>
    <n v="0"/>
    <n v="4707.2125845914852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44992.387003843709"/>
    <n v="0"/>
    <n v="0"/>
    <n v="0"/>
    <n v="0"/>
    <n v="0"/>
    <n v="44992.387003843709"/>
    <n v="0"/>
    <n v="0"/>
    <n v="0"/>
    <n v="44992.387003843709"/>
    <n v="0"/>
    <n v="1.5747335451345297"/>
    <n v="0"/>
    <n v="1.5747335451345297"/>
    <n v="0"/>
    <n v="0"/>
    <n v="0"/>
    <n v="0"/>
    <x v="0"/>
  </r>
  <r>
    <x v="38"/>
    <s v="Græs og urter"/>
    <n v="1"/>
    <x v="2"/>
    <s v="Vestdanmark"/>
    <n v="1764735.4892043229"/>
    <n v="868637.91677766922"/>
    <n v="0"/>
    <n v="0"/>
    <n v="21741.204425481588"/>
    <n v="0"/>
    <n v="0"/>
    <n v="0"/>
    <n v="874356.36800117209"/>
    <n v="874356.36800117209"/>
    <n v="21741.204425481588"/>
    <n v="2.3730381570099013"/>
    <n v="2.4320446554688355"/>
    <n v="5.9006498458934048E-2"/>
    <n v="2.3730381570099013"/>
    <n v="174871.27360023442"/>
    <n v="179219.51448533076"/>
    <n v="4348.2408850963175"/>
    <n v="174871.27360023445"/>
    <x v="0"/>
  </r>
  <r>
    <x v="39"/>
    <s v=""/>
    <n v="0"/>
    <x v="2"/>
    <s v="Vestdanmark"/>
    <n v="156004.57287289423"/>
    <n v="0"/>
    <n v="0"/>
    <n v="0"/>
    <n v="0"/>
    <n v="0"/>
    <n v="0"/>
    <n v="0"/>
    <n v="156004.57287289423"/>
    <n v="0"/>
    <n v="0"/>
    <n v="0"/>
    <n v="0"/>
    <n v="0"/>
    <n v="0"/>
    <n v="0"/>
    <n v="0"/>
    <n v="0"/>
    <n v="0"/>
    <x v="0"/>
  </r>
  <r>
    <x v="40"/>
    <s v=""/>
    <n v="0"/>
    <x v="2"/>
    <s v="Vestdanmark"/>
    <n v="106981.75527690048"/>
    <n v="38482.787367359997"/>
    <n v="0"/>
    <n v="0"/>
    <n v="0"/>
    <n v="0"/>
    <n v="0"/>
    <n v="0"/>
    <n v="68498.967909540486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09798.0611489196"/>
    <n v="0"/>
    <n v="0"/>
    <n v="0"/>
    <n v="1558636.1641980347"/>
    <n v="0"/>
    <n v="0"/>
    <n v="0"/>
    <n v="2551161.8969508847"/>
    <n v="2551161.8969508847"/>
    <n v="1558636.1641980347"/>
    <n v="1.2730552981974612"/>
    <n v="2.0508303304939224"/>
    <n v="0.77777503229646139"/>
    <n v="1.273055298197461"/>
    <n v="153069.71381705307"/>
    <n v="246587.88366893513"/>
    <n v="93518.169851882078"/>
    <n v="153069.71381705307"/>
    <x v="0"/>
  </r>
  <r>
    <x v="42"/>
    <s v="Husdyrgødning"/>
    <n v="1"/>
    <x v="2"/>
    <s v="Vestdanmark"/>
    <n v="11013379.49627923"/>
    <n v="0"/>
    <n v="0"/>
    <n v="0"/>
    <n v="5837091.1330279922"/>
    <n v="5176288.3632512381"/>
    <n v="0"/>
    <n v="0"/>
    <n v="0"/>
    <n v="0"/>
    <n v="5837091.1330279922"/>
    <n v="0"/>
    <n v="2.5146188601084596"/>
    <n v="2.5146188601084596"/>
    <n v="0"/>
    <n v="0"/>
    <n v="291854.55665139965"/>
    <n v="291854.55665139965"/>
    <n v="0"/>
    <x v="0"/>
  </r>
  <r>
    <x v="43"/>
    <s v=""/>
    <n v="0"/>
    <x v="2"/>
    <s v="Vestdanmark"/>
    <n v="1138689.3493672458"/>
    <n v="0"/>
    <n v="0"/>
    <n v="126627.09194270898"/>
    <n v="0"/>
    <n v="0"/>
    <n v="0"/>
    <n v="0"/>
    <n v="1012062.2574245369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  <x v="0"/>
  </r>
  <r>
    <x v="47"/>
    <s v="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058.272612864344"/>
    <n v="0"/>
    <n v="0"/>
    <n v="28209.340124628539"/>
    <n v="0"/>
    <n v="0"/>
    <n v="0"/>
    <n v="0"/>
    <n v="-11151.067511764195"/>
    <n v="0"/>
    <n v="0"/>
    <n v="0"/>
    <n v="0"/>
    <n v="0"/>
    <n v="0"/>
    <n v="0"/>
    <n v="0"/>
    <n v="0"/>
    <n v="0"/>
    <x v="0"/>
  </r>
  <r>
    <x v="1"/>
    <s v=""/>
    <n v="0"/>
    <x v="1"/>
    <s v="Østdanmark"/>
    <n v="63826.34089651754"/>
    <n v="7493.8897181076927"/>
    <n v="0"/>
    <n v="0"/>
    <n v="0"/>
    <n v="0"/>
    <n v="0"/>
    <n v="0"/>
    <n v="56332.45117840985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13011104.03164914"/>
    <n v="0"/>
    <n v="0"/>
    <n v="0"/>
    <n v="0"/>
    <n v="0"/>
    <n v="113011104.03164914"/>
    <n v="0"/>
    <n v="0"/>
    <n v="0"/>
    <n v="113011104.03164914"/>
    <n v="0"/>
    <n v="0"/>
    <n v="0"/>
    <n v="0"/>
    <n v="0"/>
    <n v="0"/>
    <n v="0"/>
    <n v="0"/>
    <x v="0"/>
  </r>
  <r>
    <x v="4"/>
    <s v=""/>
    <n v="0"/>
    <x v="1"/>
    <s v="Østdanmark"/>
    <n v="3434264.6468584086"/>
    <n v="0"/>
    <n v="0"/>
    <n v="0"/>
    <n v="0"/>
    <n v="2988609.6405701884"/>
    <n v="0"/>
    <n v="0"/>
    <n v="445655.0062882201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88018.668339788041"/>
    <n v="0"/>
    <n v="0"/>
    <n v="0"/>
    <n v="8801.8668339788037"/>
    <n v="0"/>
    <n v="0"/>
    <n v="0"/>
    <n v="79216.801505809242"/>
    <n v="79216.801505809242"/>
    <n v="8801.8668339788037"/>
    <n v="4.4997208987015251E-2"/>
    <n v="4.999689887446139E-2"/>
    <n v="4.9996898874461381E-3"/>
    <n v="4.4997208987015251E-2"/>
    <n v="3387.5787839354994"/>
    <n v="3763.9764265949993"/>
    <n v="376.39764265949992"/>
    <n v="3387.5787839354994"/>
    <x v="0"/>
  </r>
  <r>
    <x v="6"/>
    <s v="Husdyrgødning"/>
    <n v="1"/>
    <x v="1"/>
    <s v="Østdanmark"/>
    <n v="394046.35552146425"/>
    <n v="0"/>
    <n v="0"/>
    <n v="0"/>
    <n v="197023.17776073213"/>
    <n v="74587.345866562871"/>
    <n v="0"/>
    <n v="0"/>
    <n v="122435.83189416927"/>
    <n v="122435.83189416927"/>
    <n v="197023.17776073213"/>
    <n v="0.26372678190004062"/>
    <n v="0.68811470679665765"/>
    <n v="0.42438792489661703"/>
    <n v="0.26372678190004062"/>
    <n v="36730.74956825078"/>
    <n v="95837.702896470422"/>
    <n v="59106.953328219635"/>
    <n v="36730.749568250787"/>
    <x v="0"/>
  </r>
  <r>
    <x v="7"/>
    <s v=""/>
    <n v="0"/>
    <x v="1"/>
    <s v="Østdanmark"/>
    <n v="61994.905849799994"/>
    <n v="62973.863177375555"/>
    <n v="0"/>
    <n v="0"/>
    <n v="0"/>
    <n v="0"/>
    <n v="0"/>
    <n v="0"/>
    <n v="-978.95732757556107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43.56732399226598"/>
    <n v="0"/>
    <n v="0"/>
    <n v="0"/>
    <n v="371.78366199613299"/>
    <n v="371.78366199613299"/>
    <n v="0"/>
    <n v="0"/>
    <n v="0"/>
    <n v="0"/>
    <n v="371.78366199613299"/>
    <n v="0"/>
    <n v="1.7484613840016138E-4"/>
    <n v="1.7484613840016138E-4"/>
    <n v="0"/>
    <n v="0"/>
    <n v="23.422370705756379"/>
    <n v="23.422370705756379"/>
    <n v="0"/>
    <x v="0"/>
  </r>
  <r>
    <x v="9"/>
    <s v=""/>
    <n v="0"/>
    <x v="1"/>
    <s v="Østdanmark"/>
    <n v="13977.105965819914"/>
    <n v="0"/>
    <n v="0"/>
    <n v="30560.118468347584"/>
    <n v="0"/>
    <n v="0"/>
    <n v="0"/>
    <n v="0"/>
    <n v="-16583.012502527672"/>
    <n v="0"/>
    <n v="0"/>
    <n v="0"/>
    <n v="0"/>
    <n v="0"/>
    <n v="0"/>
    <n v="0"/>
    <n v="0"/>
    <n v="0"/>
    <n v="0"/>
    <x v="0"/>
  </r>
  <r>
    <x v="10"/>
    <s v=""/>
    <n v="0"/>
    <x v="1"/>
    <s v="Østdanmark"/>
    <n v="321978.66045818618"/>
    <n v="0"/>
    <n v="0"/>
    <n v="0"/>
    <n v="0"/>
    <n v="0"/>
    <n v="0"/>
    <n v="0"/>
    <n v="321978.66045818618"/>
    <n v="0"/>
    <n v="0"/>
    <n v="0"/>
    <n v="0"/>
    <n v="0"/>
    <n v="0"/>
    <n v="0"/>
    <n v="0"/>
    <n v="0"/>
    <n v="0"/>
    <x v="0"/>
  </r>
  <r>
    <x v="11"/>
    <s v=""/>
    <n v="0"/>
    <x v="1"/>
    <s v="Østdanmark"/>
    <n v="9322.9977462727657"/>
    <n v="0"/>
    <n v="0"/>
    <n v="223323.94265330929"/>
    <n v="0"/>
    <n v="0"/>
    <n v="0"/>
    <n v="0"/>
    <n v="-214000.94490703652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794429.667260306"/>
    <n v="1503468.3313748275"/>
    <n v="0"/>
    <n v="0"/>
    <n v="19169.610202413449"/>
    <n v="0"/>
    <n v="0"/>
    <n v="180125.38560234805"/>
    <n v="6091666.3400807166"/>
    <n v="6091666.3400807166"/>
    <n v="19169.610202413449"/>
    <n v="11.20790460745601"/>
    <n v="11.243174294027176"/>
    <n v="3.526968657116545E-2"/>
    <n v="11.20790460745601"/>
    <n v="1705666.5752226007"/>
    <n v="1711034.0660792764"/>
    <n v="5367.4908566757658"/>
    <n v="1705666.5752226007"/>
    <x v="0"/>
  </r>
  <r>
    <x v="14"/>
    <s v=""/>
    <n v="0"/>
    <x v="1"/>
    <s v="Østdanmark"/>
    <n v="30111.811412759995"/>
    <n v="30111.811412759998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3718.477656278912"/>
    <n v="0"/>
    <n v="0"/>
    <n v="233902.44520004498"/>
    <n v="0"/>
    <n v="0"/>
    <n v="0"/>
    <n v="0"/>
    <n v="-170183.96754376608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02119.88928598503"/>
    <n v="93985.105307108941"/>
    <n v="102652.59374582161"/>
    <n v="0"/>
    <n v="19810.176817202024"/>
    <n v="0"/>
    <n v="685672.01341585245"/>
    <n v="0"/>
    <n v="0"/>
    <n v="0"/>
    <n v="705482.19023305445"/>
    <n v="0"/>
    <n v="7.201189509677242"/>
    <n v="0.11421636684665096"/>
    <n v="7.0869731428305913"/>
    <n v="0"/>
    <n v="599659.86169809627"/>
    <n v="16838.650294621719"/>
    <n v="582821.21140347456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033.81195063831"/>
    <n v="0"/>
    <n v="0"/>
    <n v="0"/>
    <n v="0"/>
    <n v="0"/>
    <n v="0"/>
    <n v="-592033.81195063831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446.55993953047"/>
    <n v="0"/>
    <n v="0"/>
    <n v="0"/>
    <n v="202446.64290192959"/>
    <n v="0"/>
    <n v="0"/>
    <n v="0"/>
    <n v="-8.2962399115785956E-2"/>
    <n v="0"/>
    <n v="202446.64290192959"/>
    <n v="0"/>
    <n v="0.74564347849399248"/>
    <n v="0.74564347849399248"/>
    <n v="0"/>
    <n v="0"/>
    <n v="85027.590018810428"/>
    <n v="85027.590018810428"/>
    <n v="0"/>
    <x v="1"/>
  </r>
  <r>
    <x v="20"/>
    <s v=""/>
    <n v="0"/>
    <x v="1"/>
    <s v="Østdanmark"/>
    <n v="203146.27162041739"/>
    <n v="0"/>
    <n v="0"/>
    <n v="0"/>
    <n v="0"/>
    <n v="0"/>
    <n v="0"/>
    <n v="0"/>
    <n v="203146.27162041739"/>
    <n v="0"/>
    <n v="0"/>
    <n v="0"/>
    <n v="0"/>
    <n v="0"/>
    <n v="0"/>
    <n v="0"/>
    <n v="0"/>
    <n v="0"/>
    <n v="0"/>
    <x v="0"/>
  </r>
  <r>
    <x v="21"/>
    <s v=""/>
    <n v="0"/>
    <x v="1"/>
    <s v="Østdanmark"/>
    <n v="495843.75527766516"/>
    <n v="0"/>
    <n v="0"/>
    <n v="106960.41463921656"/>
    <n v="0"/>
    <n v="0"/>
    <n v="0"/>
    <n v="0"/>
    <n v="388883.3406384486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766009.1742338412"/>
    <n v="685633.38753388484"/>
    <n v="0"/>
    <n v="256234.83946537593"/>
    <n v="878.00678248897611"/>
    <n v="0"/>
    <n v="0"/>
    <n v="0"/>
    <n v="823262.94045209151"/>
    <n v="787503.19758674048"/>
    <n v="878.00678248897611"/>
    <n v="2.6970882012869244"/>
    <n v="2.7000952515959997"/>
    <n v="3.0070503090751954E-3"/>
    <n v="2.6970882012869244"/>
    <n v="244125.99125188956"/>
    <n v="244398.17335446115"/>
    <n v="272.18210257158262"/>
    <n v="244125.99125188956"/>
    <x v="0"/>
  </r>
  <r>
    <x v="23"/>
    <s v=""/>
    <n v="0"/>
    <x v="1"/>
    <s v="Østdanmark"/>
    <n v="0"/>
    <n v="0"/>
    <n v="0"/>
    <n v="0"/>
    <n v="0"/>
    <n v="321487.6679216951"/>
    <n v="0"/>
    <n v="0"/>
    <n v="-321487.6679216951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889393.11408765602"/>
    <n v="0"/>
    <n v="0"/>
    <n v="0"/>
    <n v="675938.7667066186"/>
    <n v="213454.34738103743"/>
    <n v="0"/>
    <n v="0"/>
    <n v="0"/>
    <n v="0"/>
    <n v="675938.7667066186"/>
    <n v="0"/>
    <n v="0.34215344431922329"/>
    <n v="0.34215344431922329"/>
    <n v="0"/>
    <n v="0"/>
    <n v="51371.346269703012"/>
    <n v="51371.346269703012"/>
    <n v="0"/>
    <x v="0"/>
  </r>
  <r>
    <x v="25"/>
    <s v=""/>
    <n v="0"/>
    <x v="1"/>
    <s v="Østdanmark"/>
    <n v="111157.2964449961"/>
    <n v="185397.91213031334"/>
    <n v="0"/>
    <n v="0"/>
    <n v="0"/>
    <n v="0"/>
    <n v="0"/>
    <n v="0"/>
    <n v="-74240.615685317243"/>
    <n v="0"/>
    <n v="0"/>
    <n v="0"/>
    <n v="0"/>
    <n v="0"/>
    <n v="0"/>
    <n v="0"/>
    <n v="0"/>
    <n v="0"/>
    <n v="0"/>
    <x v="1"/>
  </r>
  <r>
    <x v="26"/>
    <s v="Græs og urter"/>
    <n v="1"/>
    <x v="1"/>
    <s v="Østdanmark"/>
    <n v="1107529.2203986393"/>
    <n v="490305.54007415898"/>
    <n v="0"/>
    <n v="0"/>
    <n v="74714.80111862249"/>
    <n v="0"/>
    <n v="0"/>
    <n v="0"/>
    <n v="542508.87920585787"/>
    <n v="77153.344535718672"/>
    <n v="74714.80111862249"/>
    <n v="0.27698050688323006"/>
    <n v="0.54520664289908483"/>
    <n v="0.26822613601585477"/>
    <n v="0.27698050688323006"/>
    <n v="23146.0033607156"/>
    <n v="45560.44369630234"/>
    <n v="22414.440335586747"/>
    <n v="23146.003360715593"/>
    <x v="0"/>
  </r>
  <r>
    <x v="27"/>
    <s v=""/>
    <n v="0"/>
    <x v="1"/>
    <s v="Østdanmark"/>
    <n v="214475.89268662789"/>
    <n v="0"/>
    <n v="0"/>
    <n v="409035.43180711387"/>
    <n v="0"/>
    <n v="0"/>
    <n v="0"/>
    <n v="0"/>
    <n v="-194559.53912048598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090.8017917209545"/>
    <n v="0"/>
    <n v="0"/>
    <n v="51975.70917962808"/>
    <n v="0"/>
    <n v="0"/>
    <n v="0"/>
    <n v="0"/>
    <n v="-44884.907387907122"/>
    <n v="0"/>
    <n v="0"/>
    <n v="0"/>
    <n v="0"/>
    <n v="0"/>
    <n v="0"/>
    <n v="0"/>
    <n v="0"/>
    <n v="0"/>
    <n v="0"/>
    <x v="1"/>
  </r>
  <r>
    <x v="30"/>
    <s v=""/>
    <n v="0"/>
    <x v="1"/>
    <s v="Østdanmark"/>
    <n v="447037.72834356769"/>
    <n v="0"/>
    <n v="0"/>
    <n v="0"/>
    <n v="0"/>
    <n v="0"/>
    <n v="0"/>
    <n v="0"/>
    <n v="447037.72834356769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553.070036709789"/>
    <n v="0"/>
    <n v="0"/>
    <n v="0"/>
    <n v="0"/>
    <n v="0"/>
    <n v="39553.070036709789"/>
    <n v="0"/>
    <n v="0"/>
    <n v="0"/>
    <n v="39553.070036709789"/>
    <n v="0"/>
    <n v="0.72777648867545996"/>
    <n v="0"/>
    <n v="0.72777648867545996"/>
    <n v="0"/>
    <n v="16414.524065234564"/>
    <n v="0"/>
    <n v="16414.524065234564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33982.75808371691"/>
    <n v="0"/>
    <n v="0"/>
    <n v="0"/>
    <n v="0"/>
    <n v="0"/>
    <n v="0"/>
    <n v="0"/>
    <n v="333982.75808371691"/>
    <n v="0"/>
    <n v="0"/>
    <n v="0"/>
    <n v="0"/>
    <n v="0"/>
    <n v="0"/>
    <n v="0"/>
    <n v="0"/>
    <n v="0"/>
    <n v="0"/>
    <x v="0"/>
  </r>
  <r>
    <x v="35"/>
    <s v=""/>
    <n v="0"/>
    <x v="1"/>
    <s v="Østdanmark"/>
    <n v="47807.242236556565"/>
    <n v="0"/>
    <n v="0"/>
    <n v="0"/>
    <n v="0"/>
    <n v="0"/>
    <n v="0"/>
    <n v="47807.242236556565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23903.621118278283"/>
    <n v="11271.411305610249"/>
    <n v="0"/>
    <n v="0"/>
    <n v="0"/>
    <n v="0"/>
    <n v="0"/>
    <n v="0"/>
    <n v="12632.209812668034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15298.317515698101"/>
    <n v="0"/>
    <n v="0"/>
    <n v="0"/>
    <n v="0"/>
    <n v="0"/>
    <n v="15298.317515698101"/>
    <n v="0"/>
    <n v="0"/>
    <n v="0"/>
    <n v="15298.317515698101"/>
    <n v="0"/>
    <n v="0.53544111304943354"/>
    <n v="0"/>
    <n v="0.53544111304943354"/>
    <n v="0"/>
    <n v="0"/>
    <n v="0"/>
    <n v="0"/>
    <x v="0"/>
  </r>
  <r>
    <x v="38"/>
    <s v="Græs og urter"/>
    <n v="1"/>
    <x v="1"/>
    <s v="Østdanmark"/>
    <n v="587619.03155491932"/>
    <n v="106617.61280762308"/>
    <n v="0"/>
    <n v="0"/>
    <n v="6751.4081977279666"/>
    <n v="0"/>
    <n v="0"/>
    <n v="0"/>
    <n v="474250.01054956828"/>
    <n v="474250.01054956828"/>
    <n v="6751.4081977279666"/>
    <n v="1.2871334986319503"/>
    <n v="1.3054570905369118"/>
    <n v="1.8323591904961609E-2"/>
    <n v="1.2871334986319503"/>
    <n v="94850.002109913665"/>
    <n v="96200.283749459253"/>
    <n v="1350.2816395455934"/>
    <n v="94850.002109913665"/>
    <x v="0"/>
  </r>
  <r>
    <x v="39"/>
    <s v=""/>
    <n v="0"/>
    <x v="1"/>
    <s v="Østdanmark"/>
    <n v="21322.079657033162"/>
    <n v="0"/>
    <n v="0"/>
    <n v="0"/>
    <n v="0"/>
    <n v="0"/>
    <n v="0"/>
    <n v="0"/>
    <n v="21322.079657033162"/>
    <n v="0"/>
    <n v="0"/>
    <n v="0"/>
    <n v="0"/>
    <n v="0"/>
    <n v="0"/>
    <n v="0"/>
    <n v="0"/>
    <n v="0"/>
    <n v="0"/>
    <x v="0"/>
  </r>
  <r>
    <x v="40"/>
    <s v=""/>
    <n v="0"/>
    <x v="1"/>
    <s v="Østdanmark"/>
    <n v="17334.62592459012"/>
    <n v="4723.4213980800005"/>
    <n v="0"/>
    <n v="0"/>
    <n v="0"/>
    <n v="0"/>
    <n v="0"/>
    <n v="0"/>
    <n v="12611.204526510119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3749.6322478913"/>
    <n v="0"/>
    <n v="0"/>
    <n v="0"/>
    <n v="1268113.1830084329"/>
    <n v="0"/>
    <n v="0"/>
    <n v="0"/>
    <n v="2075636.4492394584"/>
    <n v="2075636.4492394584"/>
    <n v="1268113.1830084329"/>
    <n v="1.0357633445349823"/>
    <n v="1.6685645039880206"/>
    <n v="0.63280115945303816"/>
    <n v="1.0357633445349825"/>
    <n v="124538.1869543675"/>
    <n v="200624.97793487346"/>
    <n v="76086.790980505975"/>
    <n v="124538.18695436748"/>
    <x v="0"/>
  </r>
  <r>
    <x v="42"/>
    <s v="Husdyrgødning"/>
    <n v="1"/>
    <x v="1"/>
    <s v="Østdanmark"/>
    <n v="2007966.0118097975"/>
    <n v="0"/>
    <n v="0"/>
    <n v="0"/>
    <n v="1064221.9862591927"/>
    <n v="943744.02555060491"/>
    <n v="0"/>
    <n v="0"/>
    <n v="0"/>
    <n v="0"/>
    <n v="1064221.9862591927"/>
    <n v="0"/>
    <n v="0.45846683168046026"/>
    <n v="0.45846683168046026"/>
    <n v="0"/>
    <n v="0"/>
    <n v="53211.099312959639"/>
    <n v="53211.099312959639"/>
    <n v="0"/>
    <x v="0"/>
  </r>
  <r>
    <x v="43"/>
    <s v=""/>
    <n v="0"/>
    <x v="1"/>
    <s v="Østdanmark"/>
    <n v="189279.53198000713"/>
    <n v="0"/>
    <n v="0"/>
    <n v="105526.43984954793"/>
    <n v="0"/>
    <n v="0"/>
    <n v="0"/>
    <n v="0"/>
    <n v="83753.092130459205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4989.208203650858"/>
    <n v="0"/>
    <n v="0"/>
    <n v="29532.002020101954"/>
    <n v="0"/>
    <n v="0"/>
    <n v="0"/>
    <n v="0"/>
    <n v="-14542.793816451096"/>
    <n v="0"/>
    <n v="0"/>
    <n v="0"/>
    <n v="0"/>
    <n v="0"/>
    <n v="0"/>
    <n v="0"/>
    <n v="0"/>
    <n v="0"/>
    <n v="0"/>
    <x v="0"/>
  </r>
  <r>
    <x v="1"/>
    <s v=""/>
    <n v="0"/>
    <x v="2"/>
    <s v="Østdanmark"/>
    <n v="61233.498570445321"/>
    <n v="7493.8897181076945"/>
    <n v="0"/>
    <n v="0"/>
    <n v="0"/>
    <n v="0"/>
    <n v="0"/>
    <n v="0"/>
    <n v="53739.608852337624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14938258.35286066"/>
    <n v="0"/>
    <n v="0"/>
    <n v="0"/>
    <n v="0"/>
    <n v="0"/>
    <n v="114938258.35286066"/>
    <n v="0"/>
    <n v="0"/>
    <n v="0"/>
    <n v="114938258.35286066"/>
    <n v="0"/>
    <n v="0"/>
    <n v="0"/>
    <n v="0"/>
    <n v="0"/>
    <n v="0"/>
    <n v="0"/>
    <n v="0"/>
    <x v="0"/>
  </r>
  <r>
    <x v="4"/>
    <s v=""/>
    <n v="0"/>
    <x v="2"/>
    <s v="Østdanmark"/>
    <n v="3329756.2304500802"/>
    <n v="0"/>
    <n v="0"/>
    <n v="0"/>
    <n v="0"/>
    <n v="2820438.968055354"/>
    <n v="0"/>
    <n v="0"/>
    <n v="509317.26239472628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300298.98610045342"/>
    <n v="0"/>
    <n v="0"/>
    <n v="0"/>
    <n v="60059.797220090688"/>
    <n v="0"/>
    <n v="0"/>
    <n v="0"/>
    <n v="240239.18888036272"/>
    <n v="240239.18888036272"/>
    <n v="60059.797220090688"/>
    <n v="0.13646212398676522"/>
    <n v="0.17057765498345653"/>
    <n v="3.4115530996691311E-2"/>
    <n v="0.13646212398676522"/>
    <n v="10273.441540824"/>
    <n v="12841.801926030003"/>
    <n v="2568.3603852060005"/>
    <n v="10273.441540824002"/>
    <x v="0"/>
  </r>
  <r>
    <x v="6"/>
    <s v="Husdyrgødning"/>
    <n v="1"/>
    <x v="2"/>
    <s v="Østdanmark"/>
    <n v="478171.56094190531"/>
    <n v="0"/>
    <n v="0"/>
    <n v="0"/>
    <n v="239085.78047095265"/>
    <n v="90511.045464003502"/>
    <n v="0"/>
    <n v="0"/>
    <n v="148574.73500694917"/>
    <n v="148574.73500694917"/>
    <n v="239085.78047095265"/>
    <n v="0.32002997920496851"/>
    <n v="0.83502075033940049"/>
    <n v="0.51499077113443203"/>
    <n v="0.32002997920496845"/>
    <n v="44572.420502084751"/>
    <n v="116298.15464337054"/>
    <n v="71725.734141285793"/>
    <n v="44572.420502084744"/>
    <x v="0"/>
  </r>
  <r>
    <x v="7"/>
    <s v=""/>
    <n v="0"/>
    <x v="2"/>
    <s v="Østdanmark"/>
    <n v="211512.03172284711"/>
    <n v="209912.87725791859"/>
    <n v="0"/>
    <n v="0"/>
    <n v="0"/>
    <n v="0"/>
    <n v="0"/>
    <n v="0"/>
    <n v="1599.1544649285206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844.92872428034855"/>
    <n v="0"/>
    <n v="0"/>
    <n v="0"/>
    <n v="422.46436214017427"/>
    <n v="422.46436214017427"/>
    <n v="0"/>
    <n v="0"/>
    <n v="0"/>
    <n v="0"/>
    <n v="422.46436214017427"/>
    <n v="0"/>
    <n v="1.9868076487090255E-4"/>
    <n v="1.9868076487090255E-4"/>
    <n v="0"/>
    <n v="0"/>
    <n v="26.61525481483098"/>
    <n v="26.61525481483098"/>
    <n v="0"/>
    <x v="0"/>
  </r>
  <r>
    <x v="9"/>
    <s v=""/>
    <n v="0"/>
    <x v="2"/>
    <s v="Østdanmark"/>
    <n v="11015.786921641509"/>
    <n v="0"/>
    <n v="0"/>
    <n v="31993.002188443785"/>
    <n v="0"/>
    <n v="0"/>
    <n v="0"/>
    <n v="0"/>
    <n v="-20977.215266802275"/>
    <n v="0"/>
    <n v="0"/>
    <n v="0"/>
    <n v="0"/>
    <n v="0"/>
    <n v="0"/>
    <n v="0"/>
    <n v="0"/>
    <n v="0"/>
    <n v="0"/>
    <x v="0"/>
  </r>
  <r>
    <x v="10"/>
    <s v=""/>
    <n v="0"/>
    <x v="2"/>
    <s v="Østdanmark"/>
    <n v="295597.74362228904"/>
    <n v="0"/>
    <n v="0"/>
    <n v="0"/>
    <n v="0"/>
    <n v="0"/>
    <n v="0"/>
    <n v="0"/>
    <n v="295597.74362228904"/>
    <n v="0"/>
    <n v="0"/>
    <n v="0"/>
    <n v="0"/>
    <n v="0"/>
    <n v="0"/>
    <n v="0"/>
    <n v="0"/>
    <n v="0"/>
    <n v="0"/>
    <x v="0"/>
  </r>
  <r>
    <x v="11"/>
    <s v=""/>
    <n v="0"/>
    <x v="2"/>
    <s v="Østdanmark"/>
    <n v="8827.084069591494"/>
    <n v="0"/>
    <n v="0"/>
    <n v="233795.01599247381"/>
    <n v="0"/>
    <n v="0"/>
    <n v="0"/>
    <n v="0"/>
    <n v="-224967.93192288233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11608975.952039318"/>
    <n v="1503468.3313748278"/>
    <n v="0"/>
    <n v="0"/>
    <n v="20455.923187094944"/>
    <n v="0"/>
    <n v="0"/>
    <n v="614545.43323154061"/>
    <n v="9470506.2642458547"/>
    <n v="9470506.2642458547"/>
    <n v="20455.923187094944"/>
    <n v="17.424547712929343"/>
    <n v="17.462184054603199"/>
    <n v="3.7636341673856315E-2"/>
    <n v="17.424547712929343"/>
    <n v="2651741.7539888397"/>
    <n v="2657469.4124812265"/>
    <n v="5727.6584923865848"/>
    <n v="2651741.7539888397"/>
    <x v="0"/>
  </r>
  <r>
    <x v="14"/>
    <s v=""/>
    <n v="0"/>
    <x v="2"/>
    <s v="Østdanmark"/>
    <n v="102734.41540824002"/>
    <n v="102734.41540824002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0654.384977627895"/>
    <n v="0"/>
    <n v="0"/>
    <n v="244869.51675001203"/>
    <n v="0"/>
    <n v="0"/>
    <n v="0"/>
    <n v="0"/>
    <n v="-184215.13177238413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635069.61925954686"/>
    <n v="93985.105307108985"/>
    <n v="100623.12681257421"/>
    <n v="0"/>
    <n v="22223.303568694027"/>
    <n v="0"/>
    <n v="418238.08357116987"/>
    <n v="0"/>
    <n v="0"/>
    <n v="0"/>
    <n v="440461.38713986392"/>
    <n v="0"/>
    <n v="4.4509571810997537"/>
    <n v="0.12812934565744818"/>
    <n v="4.3228278354423058"/>
    <n v="0"/>
    <n v="374392.17906888435"/>
    <n v="18889.808033389923"/>
    <n v="355502.37103549443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033.81195063854"/>
    <n v="0"/>
    <n v="0"/>
    <n v="0"/>
    <n v="0"/>
    <n v="0"/>
    <n v="0"/>
    <n v="-592033.81195063854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2030.07287098104"/>
    <n v="0"/>
    <n v="0"/>
    <n v="0"/>
    <n v="202030.10004148821"/>
    <n v="0"/>
    <n v="0"/>
    <n v="0"/>
    <n v="-2.7170507179107517E-2"/>
    <n v="0"/>
    <n v="202030.10004148821"/>
    <n v="0"/>
    <n v="0.74410928428385781"/>
    <n v="0.74410928428385781"/>
    <n v="0"/>
    <n v="0"/>
    <n v="84852.642017425052"/>
    <n v="84852.642017425052"/>
    <n v="0"/>
    <x v="1"/>
  </r>
  <r>
    <x v="20"/>
    <s v=""/>
    <n v="0"/>
    <x v="2"/>
    <s v="Østdanmark"/>
    <n v="194271.44041387876"/>
    <n v="0"/>
    <n v="0"/>
    <n v="0"/>
    <n v="0"/>
    <n v="0"/>
    <n v="0"/>
    <n v="0"/>
    <n v="194271.44041387876"/>
    <n v="0"/>
    <n v="0"/>
    <n v="0"/>
    <n v="0"/>
    <n v="0"/>
    <n v="0"/>
    <n v="0"/>
    <n v="0"/>
    <n v="0"/>
    <n v="0"/>
    <x v="0"/>
  </r>
  <r>
    <x v="21"/>
    <s v=""/>
    <n v="0"/>
    <x v="2"/>
    <s v="Østdanmark"/>
    <n v="476271.17626623076"/>
    <n v="0"/>
    <n v="0"/>
    <n v="111975.50765955324"/>
    <n v="0"/>
    <n v="0"/>
    <n v="0"/>
    <n v="0"/>
    <n v="364295.6686066775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281160.0569055823"/>
    <n v="505203.54870917852"/>
    <n v="0"/>
    <n v="268249.01834925939"/>
    <n v="912.47233531599591"/>
    <n v="0"/>
    <n v="0"/>
    <n v="0"/>
    <n v="506795.01751182834"/>
    <n v="115029.66699762642"/>
    <n v="912.47233531599591"/>
    <n v="0.39396050531349092"/>
    <n v="0.39708559531582127"/>
    <n v="3.1250900023303422E-3"/>
    <n v="0.39396050531349092"/>
    <n v="35659.196769264192"/>
    <n v="35942.063193212147"/>
    <n v="282.86642394795871"/>
    <n v="35659.196769264185"/>
    <x v="0"/>
  </r>
  <r>
    <x v="23"/>
    <s v=""/>
    <n v="0"/>
    <x v="2"/>
    <s v="Østdanmark"/>
    <n v="0"/>
    <n v="0"/>
    <n v="0"/>
    <n v="0"/>
    <n v="0"/>
    <n v="292821.84527900093"/>
    <n v="0"/>
    <n v="0"/>
    <n v="-292821.84527900093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811333.8467404244"/>
    <n v="0"/>
    <n v="0"/>
    <n v="0"/>
    <n v="616613.7235227226"/>
    <n v="194720.12321770185"/>
    <n v="0"/>
    <n v="0"/>
    <n v="0"/>
    <n v="0"/>
    <n v="616613.7235227226"/>
    <n v="0"/>
    <n v="0.31212370070996698"/>
    <n v="0.31212370070996698"/>
    <n v="0"/>
    <n v="0"/>
    <n v="46862.642987726918"/>
    <n v="46862.642987726918"/>
    <n v="0"/>
    <x v="0"/>
  </r>
  <r>
    <x v="25"/>
    <s v=""/>
    <n v="0"/>
    <x v="2"/>
    <s v="Østdanmark"/>
    <n v="101683.34176026525"/>
    <n v="185397.9121303134"/>
    <n v="0"/>
    <n v="0"/>
    <n v="0"/>
    <n v="0"/>
    <n v="0"/>
    <n v="0"/>
    <n v="-83714.570370048154"/>
    <n v="0"/>
    <n v="0"/>
    <n v="0"/>
    <n v="0"/>
    <n v="0"/>
    <n v="0"/>
    <n v="0"/>
    <n v="0"/>
    <n v="0"/>
    <n v="0"/>
    <x v="1"/>
  </r>
  <r>
    <x v="26"/>
    <s v="Græs og urter"/>
    <n v="1"/>
    <x v="2"/>
    <s v="Østdanmark"/>
    <n v="613274.38090253877"/>
    <n v="189993.39677873664"/>
    <n v="0"/>
    <n v="0"/>
    <n v="79540.305054146011"/>
    <n v="0"/>
    <n v="0"/>
    <n v="0"/>
    <n v="343740.67906965612"/>
    <n v="343740.67906965612"/>
    <n v="79540.305054146011"/>
    <n v="1.2340290378600656"/>
    <n v="1.5195787330044497"/>
    <n v="0.28554969514438422"/>
    <n v="1.2340290378600653"/>
    <n v="103122.20372089684"/>
    <n v="126984.29523714064"/>
    <n v="23862.091516243803"/>
    <n v="103122.20372089684"/>
    <x v="0"/>
  </r>
  <r>
    <x v="27"/>
    <s v=""/>
    <n v="0"/>
    <x v="2"/>
    <s v="Østdanmark"/>
    <n v="196196.07702661166"/>
    <n v="0"/>
    <n v="0"/>
    <n v="428214.02929147833"/>
    <n v="0"/>
    <n v="0"/>
    <n v="0"/>
    <n v="0"/>
    <n v="-232017.95226486668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6027.3091816218966"/>
    <n v="0"/>
    <n v="0"/>
    <n v="54412.71372203785"/>
    <n v="0"/>
    <n v="0"/>
    <n v="0"/>
    <n v="0"/>
    <n v="-48385.404540415955"/>
    <n v="0"/>
    <n v="0"/>
    <n v="0"/>
    <n v="0"/>
    <n v="0"/>
    <n v="0"/>
    <n v="0"/>
    <n v="0"/>
    <n v="0"/>
    <n v="0"/>
    <x v="1"/>
  </r>
  <r>
    <x v="30"/>
    <s v=""/>
    <n v="0"/>
    <x v="2"/>
    <s v="Østdanmark"/>
    <n v="426777.53866935126"/>
    <n v="0"/>
    <n v="0"/>
    <n v="0"/>
    <n v="0"/>
    <n v="0"/>
    <n v="0"/>
    <n v="0"/>
    <n v="426777.5386693512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6441.900098439175"/>
    <n v="0"/>
    <n v="0"/>
    <n v="0"/>
    <n v="0"/>
    <n v="0"/>
    <n v="36441.900098439175"/>
    <n v="0"/>
    <n v="0"/>
    <n v="0"/>
    <n v="36441.900098439175"/>
    <n v="0"/>
    <n v="0.67053096181128069"/>
    <n v="0"/>
    <n v="0.67053096181128069"/>
    <n v="0"/>
    <n v="15123.388540852258"/>
    <n v="0"/>
    <n v="15123.388540852258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05517.35260192503"/>
    <n v="0"/>
    <n v="0"/>
    <n v="0"/>
    <n v="0"/>
    <n v="0"/>
    <n v="0"/>
    <n v="0"/>
    <n v="305517.35260192503"/>
    <n v="0"/>
    <n v="0"/>
    <n v="0"/>
    <n v="0"/>
    <n v="0"/>
    <n v="0"/>
    <n v="0"/>
    <n v="0"/>
    <n v="0"/>
    <n v="0"/>
    <x v="0"/>
  </r>
  <r>
    <x v="35"/>
    <s v=""/>
    <n v="0"/>
    <x v="2"/>
    <s v="Østdanmark"/>
    <n v="44647.112834296677"/>
    <n v="0"/>
    <n v="0"/>
    <n v="0"/>
    <n v="0"/>
    <n v="0"/>
    <n v="0"/>
    <n v="44647.112834296677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22323.556417148338"/>
    <n v="8051.0080754358942"/>
    <n v="0"/>
    <n v="0"/>
    <n v="0"/>
    <n v="0"/>
    <n v="0"/>
    <n v="0"/>
    <n v="14272.548341712445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14287.076106974937"/>
    <n v="0"/>
    <n v="0"/>
    <n v="0"/>
    <n v="0"/>
    <n v="0"/>
    <n v="14287.076106974937"/>
    <n v="0"/>
    <n v="0"/>
    <n v="0"/>
    <n v="14287.076106974937"/>
    <n v="0"/>
    <n v="0.50004766374412279"/>
    <n v="0"/>
    <n v="0.50004766374412279"/>
    <n v="0"/>
    <n v="0"/>
    <n v="0"/>
    <n v="0"/>
    <x v="0"/>
  </r>
  <r>
    <x v="38"/>
    <s v="Græs og urter"/>
    <n v="1"/>
    <x v="2"/>
    <s v="Østdanmark"/>
    <n v="560381.69837016799"/>
    <n v="106617.61280762311"/>
    <n v="0"/>
    <n v="0"/>
    <n v="6903.7955745184099"/>
    <n v="0"/>
    <n v="0"/>
    <n v="0"/>
    <n v="446860.28998802649"/>
    <n v="446860.28998802649"/>
    <n v="6903.7955745184099"/>
    <n v="1.2127967014391035"/>
    <n v="1.2315338787801693"/>
    <n v="1.8737177341065947E-2"/>
    <n v="1.2127967014391032"/>
    <n v="89372.057997605298"/>
    <n v="90752.817112508987"/>
    <n v="1380.7591149036821"/>
    <n v="89372.057997605298"/>
    <x v="0"/>
  </r>
  <r>
    <x v="39"/>
    <s v=""/>
    <n v="0"/>
    <x v="2"/>
    <s v="Østdanmark"/>
    <n v="18485.099996842164"/>
    <n v="0"/>
    <n v="0"/>
    <n v="0"/>
    <n v="0"/>
    <n v="0"/>
    <n v="0"/>
    <n v="0"/>
    <n v="18485.099996842164"/>
    <n v="0"/>
    <n v="0"/>
    <n v="0"/>
    <n v="0"/>
    <n v="0"/>
    <n v="0"/>
    <n v="0"/>
    <n v="0"/>
    <n v="0"/>
    <n v="0"/>
    <x v="0"/>
  </r>
  <r>
    <x v="40"/>
    <s v=""/>
    <n v="0"/>
    <x v="2"/>
    <s v="Østdanmark"/>
    <n v="15100.557694869811"/>
    <n v="4723.4213980800014"/>
    <n v="0"/>
    <n v="0"/>
    <n v="0"/>
    <n v="0"/>
    <n v="0"/>
    <n v="0"/>
    <n v="10377.136296789809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9426.14906302"/>
    <n v="0"/>
    <n v="0"/>
    <n v="0"/>
    <n v="1327153.3220649515"/>
    <n v="0"/>
    <n v="0"/>
    <n v="0"/>
    <n v="2172272.8269980685"/>
    <n v="2172272.8269980685"/>
    <n v="1327153.3220649515"/>
    <n v="1.0839858634003063"/>
    <n v="1.7462486426439379"/>
    <n v="0.66226277924363153"/>
    <n v="1.0839858634003063"/>
    <n v="130336.36961988411"/>
    <n v="209965.5689437812"/>
    <n v="79629.19932389709"/>
    <n v="130336.36961988411"/>
    <x v="0"/>
  </r>
  <r>
    <x v="42"/>
    <s v="Husdyrgødning"/>
    <n v="1"/>
    <x v="2"/>
    <s v="Østdanmark"/>
    <n v="1595806.9166905463"/>
    <n v="0"/>
    <n v="0"/>
    <n v="0"/>
    <n v="845777.6658459896"/>
    <n v="750029.25084455672"/>
    <n v="0"/>
    <n v="0"/>
    <n v="0"/>
    <n v="0"/>
    <n v="845777.6658459896"/>
    <n v="0"/>
    <n v="0.36436101844645236"/>
    <n v="0.36436101844645236"/>
    <n v="0"/>
    <n v="0"/>
    <n v="42288.883292299484"/>
    <n v="42288.883292299484"/>
    <n v="0"/>
    <x v="0"/>
  </r>
  <r>
    <x v="43"/>
    <s v=""/>
    <n v="0"/>
    <x v="2"/>
    <s v="Østdanmark"/>
    <n v="164992.8017368337"/>
    <n v="0"/>
    <n v="0"/>
    <n v="110474.29755686472"/>
    <n v="0"/>
    <n v="0"/>
    <n v="0"/>
    <n v="0"/>
    <n v="54518.50417996897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  <x v="0"/>
  </r>
  <r>
    <x v="47"/>
    <s v="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44933.82622113335"/>
    <n v="4520986.1218101447"/>
    <n v="2116047.5543132382"/>
    <n v="2116047.5543132382"/>
  </r>
  <r>
    <x v="0"/>
    <x v="1"/>
    <x v="1"/>
    <s v="Konventionel"/>
    <x v="0"/>
    <s v="Halm"/>
    <n v="43619.316164212927"/>
    <n v="168370.56039386193"/>
    <n v="71678.793485643968"/>
    <n v="71678.793485643968"/>
  </r>
  <r>
    <x v="0"/>
    <x v="2"/>
    <x v="1"/>
    <s v="Konventionel"/>
    <x v="0"/>
    <s v="Halm"/>
    <n v="28163.04917996216"/>
    <n v="123917.41639183351"/>
    <n v="94908.349214505288"/>
    <n v="94908.349214505288"/>
  </r>
  <r>
    <x v="0"/>
    <x v="3"/>
    <x v="1"/>
    <s v="Konventionel"/>
    <x v="0"/>
    <s v="Græs"/>
    <n v="358964.48802999349"/>
    <n v="17811817.896048278"/>
    <n v="0"/>
    <n v="17811817.896048278"/>
  </r>
  <r>
    <x v="0"/>
    <x v="4"/>
    <x v="1"/>
    <s v="Konventionel"/>
    <x v="0"/>
    <s v="Grøntsager"/>
    <n v="7330.9635896981126"/>
    <n v="152117.49448623584"/>
    <n v="0"/>
    <n v="152117.49448623584"/>
  </r>
  <r>
    <x v="0"/>
    <x v="5"/>
    <x v="1"/>
    <s v="Konventionel"/>
    <x v="0"/>
    <s v="Kartofler"/>
    <n v="30834.713960981455"/>
    <n v="1309578.036850784"/>
    <n v="0"/>
    <n v="1309578.036850784"/>
  </r>
  <r>
    <x v="0"/>
    <x v="6"/>
    <x v="1"/>
    <s v="Konventionel"/>
    <x v="0"/>
    <s v="Roer"/>
    <n v="18963.465816940919"/>
    <n v="1540852.3568272591"/>
    <n v="0"/>
    <n v="1540852.3568272591"/>
  </r>
  <r>
    <x v="0"/>
    <x v="7"/>
    <x v="1"/>
    <s v="Konventionel"/>
    <x v="0"/>
    <s v="Majs"/>
    <n v="61958.708195916741"/>
    <n v="2757782.1018002545"/>
    <n v="0"/>
    <n v="2757782.1018002545"/>
  </r>
  <r>
    <x v="0"/>
    <x v="8"/>
    <x v="1"/>
    <s v="Konventionel"/>
    <x v="0"/>
    <s v="Frugt"/>
    <n v="2858.8189779950267"/>
    <n v="24271.373123177778"/>
    <n v="0"/>
    <n v="24271.373123177778"/>
  </r>
  <r>
    <x v="0"/>
    <x v="9"/>
    <x v="1"/>
    <s v="Konventionel"/>
    <x v="0"/>
    <s v="Øvrige"/>
    <n v="39384.151743264825"/>
    <n v="1173487.960460156"/>
    <n v="0"/>
    <n v="1173487.960460156"/>
  </r>
  <r>
    <x v="0"/>
    <x v="10"/>
    <x v="1"/>
    <s v="Konventionel"/>
    <x v="0"/>
    <s v="Halm"/>
    <n v="56882.751322060642"/>
    <n v="812789.71325782908"/>
    <n v="193628.88550029439"/>
    <n v="193628.88550029439"/>
  </r>
  <r>
    <x v="0"/>
    <x v="11"/>
    <x v="1"/>
    <s v="Konventionel"/>
    <x v="0"/>
    <s v="Juletræer"/>
    <n v="10683.561140435961"/>
    <n v="534178.05702179798"/>
    <n v="0"/>
    <n v="534178.05702179798"/>
  </r>
  <r>
    <x v="0"/>
    <x v="12"/>
    <x v="1"/>
    <s v="Konventionel"/>
    <x v="0"/>
    <s v="Pil &amp; poppel"/>
    <n v="4108.2981484004922"/>
    <n v="100202.39386342664"/>
    <n v="0"/>
    <n v="100202.39386342664"/>
  </r>
  <r>
    <x v="0"/>
    <x v="13"/>
    <x v="1"/>
    <s v="Konventionel"/>
    <x v="0"/>
    <s v="Græs"/>
    <n v="99658.944634840125"/>
    <n v="1374296.8465144455"/>
    <n v="0"/>
    <n v="1374296.8465144455"/>
  </r>
  <r>
    <x v="0"/>
    <x v="0"/>
    <x v="2"/>
    <s v="Konventionel"/>
    <x v="0"/>
    <s v="Halm"/>
    <n v="351339.52711072582"/>
    <n v="2462890.085046188"/>
    <n v="1152755.7043058684"/>
    <n v="1152755.7043058684"/>
  </r>
  <r>
    <x v="0"/>
    <x v="1"/>
    <x v="2"/>
    <s v="Konventionel"/>
    <x v="0"/>
    <s v="Halm"/>
    <n v="31915.511434192158"/>
    <n v="123193.87413598174"/>
    <n v="52446.153545090725"/>
    <n v="52446.153545090725"/>
  </r>
  <r>
    <x v="0"/>
    <x v="2"/>
    <x v="2"/>
    <s v="Konventionel"/>
    <x v="0"/>
    <s v="Halm"/>
    <n v="20606.423877461926"/>
    <n v="90668.265060832491"/>
    <n v="69442.824210091596"/>
    <n v="69442.824210091596"/>
  </r>
  <r>
    <x v="0"/>
    <x v="3"/>
    <x v="2"/>
    <s v="Konventionel"/>
    <x v="0"/>
    <s v="Græs"/>
    <n v="403882.3292636784"/>
    <n v="20040641.17806372"/>
    <n v="0"/>
    <n v="20040641.17806372"/>
  </r>
  <r>
    <x v="0"/>
    <x v="4"/>
    <x v="2"/>
    <s v="Konventionel"/>
    <x v="0"/>
    <s v="Grøntsager"/>
    <n v="5363.9413187916089"/>
    <n v="111301.78236492589"/>
    <n v="0"/>
    <n v="111301.78236492589"/>
  </r>
  <r>
    <x v="0"/>
    <x v="5"/>
    <x v="2"/>
    <s v="Konventionel"/>
    <x v="0"/>
    <s v="Kartofler"/>
    <n v="22561.23553810201"/>
    <n v="958195.96647801495"/>
    <n v="0"/>
    <n v="958195.96647801495"/>
  </r>
  <r>
    <x v="0"/>
    <x v="6"/>
    <x v="2"/>
    <s v="Konventionel"/>
    <x v="0"/>
    <s v="Roer"/>
    <n v="13875.245265973344"/>
    <n v="1127415.4511635655"/>
    <n v="0"/>
    <n v="1127415.4511635655"/>
  </r>
  <r>
    <x v="0"/>
    <x v="7"/>
    <x v="2"/>
    <s v="Konventionel"/>
    <x v="0"/>
    <s v="Majs"/>
    <n v="24727.708652954312"/>
    <n v="1100630.3121429966"/>
    <n v="0"/>
    <n v="1100630.3121429966"/>
  </r>
  <r>
    <x v="0"/>
    <x v="8"/>
    <x v="2"/>
    <s v="Konventionel"/>
    <x v="0"/>
    <s v="Frugt"/>
    <n v="2091.7492020506129"/>
    <n v="17758.950725409708"/>
    <n v="0"/>
    <n v="17758.950725409708"/>
  </r>
  <r>
    <x v="0"/>
    <x v="9"/>
    <x v="2"/>
    <s v="Konventionel"/>
    <x v="0"/>
    <s v="Øvrige"/>
    <n v="28816.713690697266"/>
    <n v="858621.17321959464"/>
    <n v="0"/>
    <n v="858621.17321959464"/>
  </r>
  <r>
    <x v="0"/>
    <x v="10"/>
    <x v="2"/>
    <s v="Konventionel"/>
    <x v="0"/>
    <s v="Halm"/>
    <n v="41620.141255607268"/>
    <n v="594704.40319183038"/>
    <n v="141674.96083408713"/>
    <n v="141674.96083408713"/>
  </r>
  <r>
    <x v="0"/>
    <x v="11"/>
    <x v="2"/>
    <s v="Konventionel"/>
    <x v="0"/>
    <s v="Juletræer"/>
    <n v="7816.9799006436897"/>
    <n v="390848.99503218452"/>
    <n v="0"/>
    <n v="390848.99503218452"/>
  </r>
  <r>
    <x v="0"/>
    <x v="12"/>
    <x v="2"/>
    <s v="Konventionel"/>
    <x v="0"/>
    <s v="Pil &amp; poppel"/>
    <n v="3005.971850561044"/>
    <n v="73316.38659904986"/>
    <n v="0"/>
    <n v="73316.38659904986"/>
  </r>
  <r>
    <x v="0"/>
    <x v="13"/>
    <x v="2"/>
    <s v="Konventionel"/>
    <x v="0"/>
    <s v="Græs"/>
    <n v="72918.754045537091"/>
    <n v="1005549.6182879566"/>
    <n v="0"/>
    <n v="1005549.6182879566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72223.29271132441"/>
    <n v="808881.13887727738"/>
    <n v="378596.81705150963"/>
    <n v="378596.81705150963"/>
  </r>
  <r>
    <x v="0"/>
    <x v="1"/>
    <x v="1"/>
    <s v="Økologisk"/>
    <x v="0"/>
    <s v="Halm"/>
    <n v="11648.113264013013"/>
    <n v="25628.178803481427"/>
    <n v="10910.440231182321"/>
    <n v="10910.440231182321"/>
  </r>
  <r>
    <x v="0"/>
    <x v="2"/>
    <x v="1"/>
    <s v="Økologisk"/>
    <x v="0"/>
    <s v="Halm"/>
    <n v="7520.6678039879653"/>
    <n v="18200.016085650877"/>
    <n v="13939.392320000008"/>
    <n v="13939.392320000008"/>
  </r>
  <r>
    <x v="0"/>
    <x v="3"/>
    <x v="1"/>
    <s v="Økologisk"/>
    <x v="0"/>
    <s v="Græs"/>
    <n v="95857.968029363183"/>
    <n v="3710048.4514212608"/>
    <n v="0"/>
    <n v="3710048.4514212608"/>
  </r>
  <r>
    <x v="0"/>
    <x v="4"/>
    <x v="1"/>
    <s v="Økologisk"/>
    <x v="0"/>
    <s v="Grøntsager"/>
    <n v="1957.6623784216506"/>
    <n v="23154.25178078207"/>
    <n v="0"/>
    <n v="23154.25178078207"/>
  </r>
  <r>
    <x v="0"/>
    <x v="5"/>
    <x v="1"/>
    <s v="Økologisk"/>
    <x v="0"/>
    <s v="Kartofler"/>
    <n v="8234.1098454824023"/>
    <n v="199334.72934350121"/>
    <n v="0"/>
    <n v="199334.72934350121"/>
  </r>
  <r>
    <x v="0"/>
    <x v="6"/>
    <x v="1"/>
    <s v="Økologisk"/>
    <x v="0"/>
    <s v="Roer"/>
    <n v="5064.0087268308198"/>
    <n v="234537.67462767428"/>
    <n v="0"/>
    <n v="234537.67462767428"/>
  </r>
  <r>
    <x v="0"/>
    <x v="7"/>
    <x v="1"/>
    <s v="Økologisk"/>
    <x v="0"/>
    <s v="Majs"/>
    <n v="16545.469168773525"/>
    <n v="611244.23114275094"/>
    <n v="0"/>
    <n v="611244.23114275094"/>
  </r>
  <r>
    <x v="0"/>
    <x v="8"/>
    <x v="1"/>
    <s v="Økologisk"/>
    <x v="0"/>
    <s v="Frugt"/>
    <n v="763.41974577576138"/>
    <n v="3694.4171757326421"/>
    <n v="0"/>
    <n v="3694.4171757326421"/>
  </r>
  <r>
    <x v="0"/>
    <x v="9"/>
    <x v="1"/>
    <s v="Økologisk"/>
    <x v="0"/>
    <s v="Øvrige"/>
    <n v="10517.153881678742"/>
    <n v="178620.05806747917"/>
    <n v="0"/>
    <n v="178620.05806747917"/>
  </r>
  <r>
    <x v="0"/>
    <x v="10"/>
    <x v="1"/>
    <s v="Økologisk"/>
    <x v="0"/>
    <s v="Halm"/>
    <n v="15189.984356326371"/>
    <n v="123717.11570166773"/>
    <n v="29472.822846892926"/>
    <n v="29472.822846892926"/>
  </r>
  <r>
    <x v="0"/>
    <x v="11"/>
    <x v="1"/>
    <s v="Økologisk"/>
    <x v="0"/>
    <s v="Juletræer"/>
    <n v="2852.9408796395687"/>
    <n v="81308.815069727716"/>
    <n v="0"/>
    <n v="81308.815069727716"/>
  </r>
  <r>
    <x v="0"/>
    <x v="12"/>
    <x v="1"/>
    <s v="Økologisk"/>
    <x v="0"/>
    <s v="Pil &amp; poppel"/>
    <n v="1097.0809807001331"/>
    <n v="15252.101439001848"/>
    <n v="0"/>
    <n v="15252.101439001848"/>
  </r>
  <r>
    <x v="0"/>
    <x v="13"/>
    <x v="1"/>
    <s v="Økologisk"/>
    <x v="0"/>
    <s v="Græs"/>
    <n v="26612.949880012548"/>
    <n v="366992.57884537306"/>
    <n v="0"/>
    <n v="366992.57884537306"/>
  </r>
  <r>
    <x v="0"/>
    <x v="0"/>
    <x v="2"/>
    <s v="Økologisk"/>
    <x v="0"/>
    <s v="Halm"/>
    <n v="222591.66829618209"/>
    <n v="1045446.2884866784"/>
    <n v="489321.13532618986"/>
    <n v="489321.13532618986"/>
  </r>
  <r>
    <x v="0"/>
    <x v="1"/>
    <x v="2"/>
    <s v="Økologisk"/>
    <x v="0"/>
    <s v="Halm"/>
    <n v="20220.11867860179"/>
    <n v="44488.305116659656"/>
    <n v="18939.582000106111"/>
    <n v="18939.582000106111"/>
  </r>
  <r>
    <x v="0"/>
    <x v="2"/>
    <x v="2"/>
    <s v="Økologisk"/>
    <x v="0"/>
    <s v="Halm"/>
    <n v="13055.229812092792"/>
    <n v="31593.656145264558"/>
    <n v="24197.581241658121"/>
    <n v="24197.581241658121"/>
  </r>
  <r>
    <x v="0"/>
    <x v="3"/>
    <x v="2"/>
    <s v="Økologisk"/>
    <x v="0"/>
    <s v="Græs"/>
    <n v="255880.2370045245"/>
    <n v="9903486.3409283143"/>
    <n v="0"/>
    <n v="9903486.3409283143"/>
  </r>
  <r>
    <x v="0"/>
    <x v="4"/>
    <x v="2"/>
    <s v="Økologisk"/>
    <x v="0"/>
    <s v="Grøntsager"/>
    <n v="3398.332822416432"/>
    <n v="40193.781457130353"/>
    <n v="0"/>
    <n v="40193.781457130353"/>
  </r>
  <r>
    <x v="0"/>
    <x v="5"/>
    <x v="2"/>
    <s v="Økologisk"/>
    <x v="0"/>
    <s v="Kartofler"/>
    <n v="14293.703582251808"/>
    <n v="346027.87530793168"/>
    <n v="0"/>
    <n v="346027.87530793168"/>
  </r>
  <r>
    <x v="0"/>
    <x v="6"/>
    <x v="2"/>
    <s v="Økologisk"/>
    <x v="0"/>
    <s v="Roer"/>
    <n v="8790.6818147402864"/>
    <n v="407137.14814454154"/>
    <n v="0"/>
    <n v="407137.14814454154"/>
  </r>
  <r>
    <x v="0"/>
    <x v="7"/>
    <x v="2"/>
    <s v="Økologisk"/>
    <x v="0"/>
    <s v="Majs"/>
    <n v="15666.275774511349"/>
    <n v="578763.92582050513"/>
    <n v="0"/>
    <n v="578763.92582050513"/>
  </r>
  <r>
    <x v="0"/>
    <x v="8"/>
    <x v="2"/>
    <s v="Økologisk"/>
    <x v="0"/>
    <s v="Frugt"/>
    <n v="1325.230748645359"/>
    <n v="6413.1891619194867"/>
    <n v="0"/>
    <n v="6413.1891619194867"/>
  </r>
  <r>
    <x v="0"/>
    <x v="9"/>
    <x v="2"/>
    <s v="Økologisk"/>
    <x v="0"/>
    <s v="Øvrige"/>
    <n v="18256.870862139654"/>
    <n v="310068.99492140242"/>
    <n v="0"/>
    <n v="310068.99492140242"/>
  </r>
  <r>
    <x v="0"/>
    <x v="10"/>
    <x v="2"/>
    <s v="Økologisk"/>
    <x v="0"/>
    <s v="Halm"/>
    <n v="26368.501013803387"/>
    <n v="214762.22847099841"/>
    <n v="51162.275147062435"/>
    <n v="51162.275147062435"/>
  </r>
  <r>
    <x v="0"/>
    <x v="11"/>
    <x v="2"/>
    <s v="Økologisk"/>
    <x v="0"/>
    <s v="Juletræer"/>
    <n v="4952.4589829986235"/>
    <n v="141145.08101546075"/>
    <n v="0"/>
    <n v="141145.08101546075"/>
  </r>
  <r>
    <x v="0"/>
    <x v="12"/>
    <x v="2"/>
    <s v="Økologisk"/>
    <x v="0"/>
    <s v="Pil &amp; poppel"/>
    <n v="1904.4378370124975"/>
    <n v="26476.330904807892"/>
    <n v="0"/>
    <n v="26476.330904807892"/>
  </r>
  <r>
    <x v="0"/>
    <x v="13"/>
    <x v="2"/>
    <s v="Økologisk"/>
    <x v="0"/>
    <s v="Græs"/>
    <n v="46197.782659278731"/>
    <n v="637067.42287145369"/>
    <n v="0"/>
    <n v="637067.42287145369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9490.6378356280329"/>
    <n v="79835.245473303017"/>
    <n v="37366.886643779471"/>
    <n v="37366.886643779471"/>
  </r>
  <r>
    <x v="0"/>
    <x v="1"/>
    <x v="1"/>
    <s v="Konventionel"/>
    <x v="1"/>
    <s v="Halm"/>
    <n v="813.57736439608004"/>
    <n v="3768.4903518826427"/>
    <n v="1604.3234699305858"/>
    <n v="1604.3234699305858"/>
  </r>
  <r>
    <x v="0"/>
    <x v="2"/>
    <x v="1"/>
    <s v="Konventionel"/>
    <x v="1"/>
    <s v="Halm"/>
    <n v="871.1648098071654"/>
    <n v="4599.7501957818331"/>
    <n v="3522.9486749493053"/>
    <n v="3522.9486749493053"/>
  </r>
  <r>
    <x v="0"/>
    <x v="3"/>
    <x v="1"/>
    <s v="Konventionel"/>
    <x v="1"/>
    <s v="Græs"/>
    <n v="8039.4163674234442"/>
    <n v="478699.00818186154"/>
    <n v="0"/>
    <n v="478699.00818186154"/>
  </r>
  <r>
    <x v="0"/>
    <x v="4"/>
    <x v="1"/>
    <s v="Konventionel"/>
    <x v="1"/>
    <s v="Grøntsager"/>
    <n v="37.60065274501838"/>
    <n v="936.25625335095765"/>
    <n v="0"/>
    <n v="936.25625335095765"/>
  </r>
  <r>
    <x v="0"/>
    <x v="5"/>
    <x v="1"/>
    <s v="Konventionel"/>
    <x v="1"/>
    <s v="Kartofler"/>
    <n v="593.61684950263771"/>
    <n v="30253.7298473503"/>
    <n v="0"/>
    <n v="30253.7298473503"/>
  </r>
  <r>
    <x v="0"/>
    <x v="6"/>
    <x v="1"/>
    <s v="Konventionel"/>
    <x v="1"/>
    <s v="Roer"/>
    <n v="15.573727659962529"/>
    <n v="1518.5081799552718"/>
    <n v="0"/>
    <n v="1518.5081799552718"/>
  </r>
  <r>
    <x v="0"/>
    <x v="7"/>
    <x v="1"/>
    <s v="Konventionel"/>
    <x v="1"/>
    <s v="Majs"/>
    <n v="2010.3342065277557"/>
    <n v="107375.97063906048"/>
    <n v="0"/>
    <n v="107375.97063906048"/>
  </r>
  <r>
    <x v="0"/>
    <x v="8"/>
    <x v="1"/>
    <s v="Konventionel"/>
    <x v="1"/>
    <s v="Frugt"/>
    <n v="34.247771402013242"/>
    <n v="348.91629504371099"/>
    <n v="0"/>
    <n v="348.91629504371099"/>
  </r>
  <r>
    <x v="0"/>
    <x v="9"/>
    <x v="1"/>
    <s v="Konventionel"/>
    <x v="1"/>
    <s v="Øvrige"/>
    <n v="605.70270796637942"/>
    <n v="21656.980403186051"/>
    <n v="0"/>
    <n v="21656.980403186051"/>
  </r>
  <r>
    <x v="0"/>
    <x v="10"/>
    <x v="1"/>
    <s v="Konventionel"/>
    <x v="1"/>
    <s v="Halm"/>
    <n v="1495.0529044849709"/>
    <n v="25635.123336314806"/>
    <n v="6106.9921042402093"/>
    <n v="6106.9921042402093"/>
  </r>
  <r>
    <x v="0"/>
    <x v="11"/>
    <x v="1"/>
    <s v="Konventionel"/>
    <x v="1"/>
    <s v="Juletræer"/>
    <n v="171.77120578833589"/>
    <n v="10306.272347300153"/>
    <n v="0"/>
    <n v="10306.272347300153"/>
  </r>
  <r>
    <x v="0"/>
    <x v="12"/>
    <x v="1"/>
    <s v="Konventionel"/>
    <x v="1"/>
    <s v="Pil &amp; poppel"/>
    <n v="282.11165911762731"/>
    <n v="8256.9266083207986"/>
    <n v="0"/>
    <n v="8256.9266083207986"/>
  </r>
  <r>
    <x v="0"/>
    <x v="13"/>
    <x v="1"/>
    <s v="Konventionel"/>
    <x v="1"/>
    <s v="Græs"/>
    <n v="22206.298570938838"/>
    <n v="367469.82875189593"/>
    <n v="0"/>
    <n v="367469.82875189593"/>
  </r>
  <r>
    <x v="0"/>
    <x v="0"/>
    <x v="2"/>
    <s v="Konventionel"/>
    <x v="1"/>
    <s v="Korn"/>
    <n v="0"/>
    <n v="0"/>
    <n v="0"/>
    <n v="0"/>
  </r>
  <r>
    <x v="0"/>
    <x v="1"/>
    <x v="2"/>
    <s v="Konventionel"/>
    <x v="1"/>
    <s v="Bælgsæd"/>
    <n v="0"/>
    <n v="0"/>
    <n v="0"/>
    <n v="0"/>
  </r>
  <r>
    <x v="0"/>
    <x v="2"/>
    <x v="2"/>
    <s v="Konventionel"/>
    <x v="1"/>
    <s v="Raps"/>
    <n v="0"/>
    <n v="0"/>
    <n v="0"/>
    <n v="0"/>
  </r>
  <r>
    <x v="0"/>
    <x v="3"/>
    <x v="2"/>
    <s v="Konventionel"/>
    <x v="1"/>
    <s v="Græs"/>
    <n v="0"/>
    <n v="0"/>
    <n v="0"/>
    <n v="0"/>
  </r>
  <r>
    <x v="0"/>
    <x v="4"/>
    <x v="2"/>
    <s v="Konventionel"/>
    <x v="1"/>
    <s v="Grøntsager"/>
    <n v="0"/>
    <n v="0"/>
    <n v="0"/>
    <n v="0"/>
  </r>
  <r>
    <x v="0"/>
    <x v="5"/>
    <x v="2"/>
    <s v="Konventionel"/>
    <x v="1"/>
    <s v="Kartofler"/>
    <n v="0"/>
    <n v="0"/>
    <n v="0"/>
    <n v="0"/>
  </r>
  <r>
    <x v="0"/>
    <x v="6"/>
    <x v="2"/>
    <s v="Konventionel"/>
    <x v="1"/>
    <s v="Roer"/>
    <n v="0"/>
    <n v="0"/>
    <n v="0"/>
    <n v="0"/>
  </r>
  <r>
    <x v="0"/>
    <x v="7"/>
    <x v="2"/>
    <s v="Konventionel"/>
    <x v="1"/>
    <s v="Majs"/>
    <n v="0"/>
    <n v="0"/>
    <n v="0"/>
    <n v="0"/>
  </r>
  <r>
    <x v="0"/>
    <x v="8"/>
    <x v="2"/>
    <s v="Konventionel"/>
    <x v="1"/>
    <s v="Frugt"/>
    <n v="0"/>
    <n v="0"/>
    <n v="0"/>
    <n v="0"/>
  </r>
  <r>
    <x v="0"/>
    <x v="9"/>
    <x v="2"/>
    <s v="Konventionel"/>
    <x v="1"/>
    <s v="Øvrige"/>
    <n v="0"/>
    <n v="0"/>
    <n v="0"/>
    <n v="0"/>
  </r>
  <r>
    <x v="0"/>
    <x v="10"/>
    <x v="2"/>
    <s v="Konventionel"/>
    <x v="1"/>
    <s v="Frø"/>
    <n v="0"/>
    <n v="0"/>
    <n v="0"/>
    <n v="0"/>
  </r>
  <r>
    <x v="0"/>
    <x v="11"/>
    <x v="2"/>
    <s v="Konventionel"/>
    <x v="1"/>
    <s v="Juletræer"/>
    <n v="0"/>
    <n v="0"/>
    <n v="0"/>
    <n v="0"/>
  </r>
  <r>
    <x v="0"/>
    <x v="12"/>
    <x v="2"/>
    <s v="Konventionel"/>
    <x v="1"/>
    <s v="Pil &amp; poppel"/>
    <n v="0"/>
    <n v="0"/>
    <n v="0"/>
    <n v="0"/>
  </r>
  <r>
    <x v="0"/>
    <x v="13"/>
    <x v="2"/>
    <s v="Konventionel"/>
    <x v="1"/>
    <s v="Græs"/>
    <n v="16855.522728429914"/>
    <n v="278925.19011005823"/>
    <n v="0"/>
    <n v="278925.19011005823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534.3823374246472"/>
    <n v="14283.88022901881"/>
    <n v="6685.5701411922537"/>
    <n v="6685.5701411922537"/>
  </r>
  <r>
    <x v="0"/>
    <x v="1"/>
    <x v="1"/>
    <s v="Økologisk"/>
    <x v="1"/>
    <s v="Halm"/>
    <n v="217.25790596638819"/>
    <n v="573.61301364869678"/>
    <n v="244.19879965845695"/>
    <n v="244.19879965845695"/>
  </r>
  <r>
    <x v="0"/>
    <x v="2"/>
    <x v="1"/>
    <s v="Økologisk"/>
    <x v="1"/>
    <s v="Halm"/>
    <n v="232.63607201117887"/>
    <n v="675.5751531204636"/>
    <n v="517.42300977496302"/>
    <n v="517.42300977496302"/>
  </r>
  <r>
    <x v="0"/>
    <x v="3"/>
    <x v="1"/>
    <s v="Økologisk"/>
    <x v="1"/>
    <s v="Græs"/>
    <n v="2146.8477880709584"/>
    <n v="99708.885660459782"/>
    <n v="0"/>
    <n v="99708.885660459782"/>
  </r>
  <r>
    <x v="0"/>
    <x v="4"/>
    <x v="1"/>
    <s v="Økologisk"/>
    <x v="1"/>
    <s v="Grøntsager"/>
    <n v="10.040887856333013"/>
    <n v="142.51032134493445"/>
    <n v="0"/>
    <n v="142.51032134493445"/>
  </r>
  <r>
    <x v="0"/>
    <x v="5"/>
    <x v="1"/>
    <s v="Økologisk"/>
    <x v="1"/>
    <s v="Kartofler"/>
    <n v="158.51959421835784"/>
    <n v="4605.0093091475055"/>
    <n v="0"/>
    <n v="4605.0093091475055"/>
  </r>
  <r>
    <x v="0"/>
    <x v="6"/>
    <x v="1"/>
    <s v="Økologisk"/>
    <x v="1"/>
    <s v="Roer"/>
    <n v="4.1588121886919351"/>
    <n v="231.13660166840896"/>
    <n v="0"/>
    <n v="231.13660166840896"/>
  </r>
  <r>
    <x v="0"/>
    <x v="7"/>
    <x v="1"/>
    <s v="Økologisk"/>
    <x v="1"/>
    <s v="Majs"/>
    <n v="536.84015696162987"/>
    <n v="23799.176364816696"/>
    <n v="0"/>
    <n v="23799.176364816696"/>
  </r>
  <r>
    <x v="0"/>
    <x v="8"/>
    <x v="1"/>
    <s v="Økologisk"/>
    <x v="1"/>
    <s v="Frugt"/>
    <n v="9.1455335711559798"/>
    <n v="53.109576733074164"/>
    <n v="0"/>
    <n v="53.109576733074164"/>
  </r>
  <r>
    <x v="0"/>
    <x v="9"/>
    <x v="1"/>
    <s v="Økologisk"/>
    <x v="1"/>
    <s v="Øvrige"/>
    <n v="161.7470049312748"/>
    <n v="3296.4727611406074"/>
    <n v="0"/>
    <n v="3296.4727611406074"/>
  </r>
  <r>
    <x v="0"/>
    <x v="10"/>
    <x v="1"/>
    <s v="Økologisk"/>
    <x v="1"/>
    <s v="Halm"/>
    <n v="399.23930722738322"/>
    <n v="3901.9976115511345"/>
    <n v="929.56325163257634"/>
    <n v="929.56325163257634"/>
  </r>
  <r>
    <x v="0"/>
    <x v="11"/>
    <x v="1"/>
    <s v="Økologisk"/>
    <x v="1"/>
    <s v="Juletræer"/>
    <n v="45.869826408699431"/>
    <n v="1568.7480631775206"/>
    <n v="0"/>
    <n v="1568.7480631775206"/>
  </r>
  <r>
    <x v="0"/>
    <x v="12"/>
    <x v="1"/>
    <s v="Økologisk"/>
    <x v="1"/>
    <s v="Pil &amp; poppel"/>
    <n v="75.335169082654659"/>
    <n v="1256.8111134764824"/>
    <n v="0"/>
    <n v="1256.8111134764824"/>
  </r>
  <r>
    <x v="0"/>
    <x v="13"/>
    <x v="1"/>
    <s v="Økologisk"/>
    <x v="1"/>
    <s v="Græs"/>
    <n v="5929.9756088565728"/>
    <n v="98129.236375358567"/>
    <n v="0"/>
    <n v="98129.236375358567"/>
  </r>
  <r>
    <x v="0"/>
    <x v="0"/>
    <x v="2"/>
    <s v="Økologisk"/>
    <x v="1"/>
    <s v="Korn"/>
    <n v="0"/>
    <n v="0"/>
    <n v="0"/>
    <n v="0"/>
  </r>
  <r>
    <x v="0"/>
    <x v="1"/>
    <x v="2"/>
    <s v="Økologisk"/>
    <x v="1"/>
    <s v="Bælgsæd"/>
    <n v="0"/>
    <n v="0"/>
    <n v="0"/>
    <n v="0"/>
  </r>
  <r>
    <x v="0"/>
    <x v="2"/>
    <x v="2"/>
    <s v="Økologisk"/>
    <x v="1"/>
    <s v="Raps"/>
    <n v="0"/>
    <n v="0"/>
    <n v="0"/>
    <n v="0"/>
  </r>
  <r>
    <x v="0"/>
    <x v="3"/>
    <x v="2"/>
    <s v="Økologisk"/>
    <x v="1"/>
    <s v="Græs"/>
    <n v="0"/>
    <n v="0"/>
    <n v="0"/>
    <n v="0"/>
  </r>
  <r>
    <x v="0"/>
    <x v="4"/>
    <x v="2"/>
    <s v="Økologisk"/>
    <x v="1"/>
    <s v="Grøntsager"/>
    <n v="0"/>
    <n v="0"/>
    <n v="0"/>
    <n v="0"/>
  </r>
  <r>
    <x v="0"/>
    <x v="5"/>
    <x v="2"/>
    <s v="Økologisk"/>
    <x v="1"/>
    <s v="Kartofler"/>
    <n v="0"/>
    <n v="0"/>
    <n v="0"/>
    <n v="0"/>
  </r>
  <r>
    <x v="0"/>
    <x v="6"/>
    <x v="2"/>
    <s v="Økologisk"/>
    <x v="1"/>
    <s v="Roer"/>
    <n v="0"/>
    <n v="0"/>
    <n v="0"/>
    <n v="0"/>
  </r>
  <r>
    <x v="0"/>
    <x v="7"/>
    <x v="2"/>
    <s v="Økologisk"/>
    <x v="1"/>
    <s v="Majs"/>
    <n v="0"/>
    <n v="0"/>
    <n v="0"/>
    <n v="0"/>
  </r>
  <r>
    <x v="0"/>
    <x v="8"/>
    <x v="2"/>
    <s v="Økologisk"/>
    <x v="1"/>
    <s v="Frugt"/>
    <n v="0"/>
    <n v="0"/>
    <n v="0"/>
    <n v="0"/>
  </r>
  <r>
    <x v="0"/>
    <x v="9"/>
    <x v="2"/>
    <s v="Økologisk"/>
    <x v="1"/>
    <s v="Øvrige"/>
    <n v="0"/>
    <n v="0"/>
    <n v="0"/>
    <n v="0"/>
  </r>
  <r>
    <x v="0"/>
    <x v="10"/>
    <x v="2"/>
    <s v="Økologisk"/>
    <x v="1"/>
    <s v="Frø"/>
    <n v="0"/>
    <n v="0"/>
    <n v="0"/>
    <n v="0"/>
  </r>
  <r>
    <x v="0"/>
    <x v="11"/>
    <x v="2"/>
    <s v="Økologisk"/>
    <x v="1"/>
    <s v="Juletræer"/>
    <n v="0"/>
    <n v="0"/>
    <n v="0"/>
    <n v="0"/>
  </r>
  <r>
    <x v="0"/>
    <x v="12"/>
    <x v="2"/>
    <s v="Økologisk"/>
    <x v="1"/>
    <s v="Pil &amp; poppel"/>
    <n v="0"/>
    <n v="0"/>
    <n v="0"/>
    <n v="0"/>
  </r>
  <r>
    <x v="0"/>
    <x v="13"/>
    <x v="2"/>
    <s v="Økologisk"/>
    <x v="1"/>
    <s v="Græs"/>
    <n v="10678.84093480608"/>
    <n v="176713.459789171"/>
    <n v="0"/>
    <n v="176713.45978917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2787.9622783121608"/>
    <n v="27361.061799355546"/>
    <n v="12806.344975188364"/>
    <n v="12806.344975188364"/>
  </r>
  <r>
    <x v="0"/>
    <x v="1"/>
    <x v="1"/>
    <s v="Konventionel"/>
    <x v="2"/>
    <s v="Halm"/>
    <n v="160.52869978546411"/>
    <n v="867.49709364064802"/>
    <n v="369.31126723702005"/>
    <n v="369.31126723702005"/>
  </r>
  <r>
    <x v="0"/>
    <x v="2"/>
    <x v="1"/>
    <s v="Konventionel"/>
    <x v="2"/>
    <s v="Halm"/>
    <n v="207.87739711582819"/>
    <n v="1280.5247662335016"/>
    <n v="980.75391845823879"/>
    <n v="980.75391845823879"/>
  </r>
  <r>
    <x v="0"/>
    <x v="3"/>
    <x v="1"/>
    <s v="Konventionel"/>
    <x v="2"/>
    <s v="Græs"/>
    <n v="4794.3089897887294"/>
    <n v="333051.05690264347"/>
    <n v="0"/>
    <n v="333051.05690264347"/>
  </r>
  <r>
    <x v="0"/>
    <x v="4"/>
    <x v="1"/>
    <s v="Konventionel"/>
    <x v="2"/>
    <s v="Grøntsager"/>
    <n v="5.5724853038537319"/>
    <n v="161.88069807695092"/>
    <n v="0"/>
    <n v="161.88069807695092"/>
  </r>
  <r>
    <x v="0"/>
    <x v="5"/>
    <x v="1"/>
    <s v="Konventionel"/>
    <x v="2"/>
    <s v="Kartofler"/>
    <n v="294.95328123236726"/>
    <n v="17537.703618164534"/>
    <n v="0"/>
    <n v="17537.703618164534"/>
  </r>
  <r>
    <x v="0"/>
    <x v="6"/>
    <x v="1"/>
    <s v="Konventionel"/>
    <x v="2"/>
    <s v="Roer"/>
    <n v="3.1896432751013108"/>
    <n v="362.83858485839028"/>
    <n v="0"/>
    <n v="362.83858485839028"/>
  </r>
  <r>
    <x v="0"/>
    <x v="7"/>
    <x v="1"/>
    <s v="Konventionel"/>
    <x v="2"/>
    <s v="Majs"/>
    <n v="396.66336654744111"/>
    <n v="24717.68102303725"/>
    <n v="0"/>
    <n v="24717.68102303725"/>
  </r>
  <r>
    <x v="0"/>
    <x v="8"/>
    <x v="1"/>
    <s v="Konventionel"/>
    <x v="2"/>
    <s v="Frugt"/>
    <n v="11.367166704679786"/>
    <n v="135.11014345182394"/>
    <n v="0"/>
    <n v="135.11014345182394"/>
  </r>
  <r>
    <x v="0"/>
    <x v="9"/>
    <x v="1"/>
    <s v="Konventionel"/>
    <x v="2"/>
    <s v="Øvrige"/>
    <n v="201.03858946351968"/>
    <n v="8386.188236468688"/>
    <n v="0"/>
    <n v="8386.188236468688"/>
  </r>
  <r>
    <x v="0"/>
    <x v="10"/>
    <x v="1"/>
    <s v="Konventionel"/>
    <x v="2"/>
    <s v="Halm"/>
    <n v="639.63757717268152"/>
    <n v="12795.569187464467"/>
    <n v="3048.2568377741309"/>
    <n v="3048.2568377741309"/>
  </r>
  <r>
    <x v="0"/>
    <x v="11"/>
    <x v="1"/>
    <s v="Konventionel"/>
    <x v="2"/>
    <s v="Juletræer"/>
    <n v="57.01252523383436"/>
    <n v="3990.8767663684057"/>
    <n v="0"/>
    <n v="3990.8767663684057"/>
  </r>
  <r>
    <x v="0"/>
    <x v="12"/>
    <x v="1"/>
    <s v="Konventionel"/>
    <x v="2"/>
    <s v="Pil &amp; poppel"/>
    <n v="134.57942530031829"/>
    <n v="4595.3950102547715"/>
    <n v="0"/>
    <n v="4595.3950102547715"/>
  </r>
  <r>
    <x v="0"/>
    <x v="13"/>
    <x v="1"/>
    <s v="Konventionel"/>
    <x v="2"/>
    <s v="Græs"/>
    <n v="21106.083420946448"/>
    <n v="407474.04652479221"/>
    <n v="0"/>
    <n v="407474.04652479221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4549.0349190359657"/>
    <n v="87823.668146908371"/>
    <n v="0"/>
    <n v="87823.66814690837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744.49815470099543"/>
    <n v="4895.3582764578305"/>
    <n v="2291.2724412960879"/>
    <n v="2291.2724412960879"/>
  </r>
  <r>
    <x v="0"/>
    <x v="1"/>
    <x v="1"/>
    <s v="Økologisk"/>
    <x v="2"/>
    <s v="Halm"/>
    <n v="42.867624751071503"/>
    <n v="132.04428716823051"/>
    <n v="56.21395550831528"/>
    <n v="56.21395550831528"/>
  </r>
  <r>
    <x v="0"/>
    <x v="2"/>
    <x v="1"/>
    <s v="Økologisk"/>
    <x v="2"/>
    <s v="Halm"/>
    <n v="55.511632908632748"/>
    <n v="188.07341229444779"/>
    <n v="144.04542647631757"/>
    <n v="144.04542647631757"/>
  </r>
  <r>
    <x v="0"/>
    <x v="3"/>
    <x v="1"/>
    <s v="Økologisk"/>
    <x v="2"/>
    <s v="Græs"/>
    <n v="1280.2734899716784"/>
    <n v="69371.670265054985"/>
    <n v="0"/>
    <n v="69371.670265054985"/>
  </r>
  <r>
    <x v="0"/>
    <x v="4"/>
    <x v="1"/>
    <s v="Økologisk"/>
    <x v="2"/>
    <s v="Grøntsager"/>
    <n v="1.4880778904688605"/>
    <n v="24.640337749328623"/>
    <n v="0"/>
    <n v="24.640337749328623"/>
  </r>
  <r>
    <x v="0"/>
    <x v="5"/>
    <x v="1"/>
    <s v="Økologisk"/>
    <x v="2"/>
    <s v="Kartofler"/>
    <n v="78.764399112832606"/>
    <n v="2669.4655115323194"/>
    <n v="0"/>
    <n v="2669.4655115323194"/>
  </r>
  <r>
    <x v="0"/>
    <x v="6"/>
    <x v="1"/>
    <s v="Økologisk"/>
    <x v="2"/>
    <s v="Roer"/>
    <n v="0.85176315007569059"/>
    <n v="55.228729463158551"/>
    <n v="0"/>
    <n v="55.228729463158551"/>
  </r>
  <r>
    <x v="0"/>
    <x v="7"/>
    <x v="1"/>
    <s v="Økologisk"/>
    <x v="2"/>
    <s v="Majs"/>
    <n v="105.92508612090651"/>
    <n v="5478.5111277266797"/>
    <n v="0"/>
    <n v="5478.5111277266797"/>
  </r>
  <r>
    <x v="0"/>
    <x v="8"/>
    <x v="1"/>
    <s v="Økologisk"/>
    <x v="2"/>
    <s v="Frugt"/>
    <n v="3.0354910830917392"/>
    <n v="20.565512797768193"/>
    <n v="0"/>
    <n v="20.565512797768193"/>
  </r>
  <r>
    <x v="0"/>
    <x v="9"/>
    <x v="1"/>
    <s v="Økologisk"/>
    <x v="2"/>
    <s v="Øvrige"/>
    <n v="53.685395976696533"/>
    <n v="1276.4864065375373"/>
    <n v="0"/>
    <n v="1276.4864065375373"/>
  </r>
  <r>
    <x v="0"/>
    <x v="10"/>
    <x v="1"/>
    <s v="Økologisk"/>
    <x v="2"/>
    <s v="Halm"/>
    <n v="170.8089810206381"/>
    <n v="1947.6512655273659"/>
    <n v="463.98414957261315"/>
    <n v="463.98414957261315"/>
  </r>
  <r>
    <x v="0"/>
    <x v="11"/>
    <x v="1"/>
    <s v="Økologisk"/>
    <x v="2"/>
    <s v="Juletræer"/>
    <n v="15.224639214677737"/>
    <n v="607.46310466564159"/>
    <n v="0"/>
    <n v="607.46310466564159"/>
  </r>
  <r>
    <x v="0"/>
    <x v="12"/>
    <x v="1"/>
    <s v="Økologisk"/>
    <x v="2"/>
    <s v="Pil &amp; poppel"/>
    <n v="35.938123903693985"/>
    <n v="699.47860671092178"/>
    <n v="0"/>
    <n v="699.47860671092178"/>
  </r>
  <r>
    <x v="0"/>
    <x v="13"/>
    <x v="1"/>
    <s v="Økologisk"/>
    <x v="2"/>
    <s v="Græs"/>
    <n v="5636.1738758434185"/>
    <n v="108811.97284703304"/>
    <n v="0"/>
    <n v="108811.97284703304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2882.0476878671443"/>
    <n v="55640.812661963086"/>
    <n v="0"/>
    <n v="55640.812661963086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97128.99278150831"/>
    <n v="1381874.2393983733"/>
    <n v="646786.23775040871"/>
    <n v="646786.23775040871"/>
  </r>
  <r>
    <x v="1"/>
    <x v="1"/>
    <x v="1"/>
    <s v="Konventionel"/>
    <x v="0"/>
    <s v="Halm"/>
    <n v="13332.580044144219"/>
    <n v="51463.758970396688"/>
    <n v="21909.175467521356"/>
    <n v="21909.175467521356"/>
  </r>
  <r>
    <x v="1"/>
    <x v="2"/>
    <x v="1"/>
    <s v="Konventionel"/>
    <x v="0"/>
    <s v="Halm"/>
    <n v="8608.2529598911933"/>
    <n v="37876.313023521252"/>
    <n v="29009.468144714927"/>
    <n v="29009.468144714927"/>
  </r>
  <r>
    <x v="1"/>
    <x v="3"/>
    <x v="1"/>
    <s v="Konventionel"/>
    <x v="0"/>
    <s v="Græs"/>
    <n v="109720.26135503023"/>
    <n v="5444319.368436601"/>
    <n v="0"/>
    <n v="5444319.368436601"/>
  </r>
  <r>
    <x v="1"/>
    <x v="4"/>
    <x v="1"/>
    <s v="Konventionel"/>
    <x v="0"/>
    <s v="Grøntsager"/>
    <n v="2240.7655015130053"/>
    <n v="46495.884156394866"/>
    <n v="0"/>
    <n v="46495.884156394866"/>
  </r>
  <r>
    <x v="1"/>
    <x v="5"/>
    <x v="1"/>
    <s v="Konventionel"/>
    <x v="0"/>
    <s v="Kartofler"/>
    <n v="9424.8678836548315"/>
    <n v="400282.61641321337"/>
    <n v="0"/>
    <n v="400282.61641321337"/>
  </r>
  <r>
    <x v="1"/>
    <x v="6"/>
    <x v="1"/>
    <s v="Konventionel"/>
    <x v="0"/>
    <s v="Roer"/>
    <n v="5796.3294281580511"/>
    <n v="470973.39413272287"/>
    <n v="0"/>
    <n v="470973.39413272287"/>
  </r>
  <r>
    <x v="1"/>
    <x v="7"/>
    <x v="1"/>
    <s v="Konventionel"/>
    <x v="0"/>
    <s v="Majs"/>
    <n v="18938.156511760622"/>
    <n v="842937.34633846546"/>
    <n v="0"/>
    <n v="842937.34633846546"/>
  </r>
  <r>
    <x v="1"/>
    <x v="8"/>
    <x v="1"/>
    <s v="Konventionel"/>
    <x v="0"/>
    <s v="Frugt"/>
    <n v="873.82004597102605"/>
    <n v="7418.732190294013"/>
    <n v="0"/>
    <n v="7418.732190294013"/>
  </r>
  <r>
    <x v="1"/>
    <x v="9"/>
    <x v="1"/>
    <s v="Konventionel"/>
    <x v="0"/>
    <s v="Øvrige"/>
    <n v="12038.069409685235"/>
    <n v="358685.63607860694"/>
    <n v="0"/>
    <n v="358685.63607860694"/>
  </r>
  <r>
    <x v="1"/>
    <x v="10"/>
    <x v="1"/>
    <s v="Konventionel"/>
    <x v="0"/>
    <s v="Halm"/>
    <n v="17386.651186309547"/>
    <n v="248435.43787506258"/>
    <n v="59184.160638197704"/>
    <n v="59184.160638197704"/>
  </r>
  <r>
    <x v="1"/>
    <x v="11"/>
    <x v="1"/>
    <s v="Konventionel"/>
    <x v="0"/>
    <s v="Juletræer"/>
    <n v="3265.5127724866597"/>
    <n v="163275.63862433299"/>
    <n v="0"/>
    <n v="163275.63862433299"/>
  </r>
  <r>
    <x v="1"/>
    <x v="12"/>
    <x v="1"/>
    <s v="Konventionel"/>
    <x v="0"/>
    <s v="Pil &amp; poppel"/>
    <n v="1255.7329808324243"/>
    <n v="30627.633678839618"/>
    <n v="0"/>
    <n v="30627.633678839618"/>
  </r>
  <r>
    <x v="1"/>
    <x v="13"/>
    <x v="1"/>
    <s v="Konventionel"/>
    <x v="0"/>
    <s v="Græs"/>
    <n v="30461.524235198161"/>
    <n v="420064.41920338268"/>
    <n v="0"/>
    <n v="420064.41920338268"/>
  </r>
  <r>
    <x v="1"/>
    <x v="0"/>
    <x v="2"/>
    <s v="Konventionel"/>
    <x v="0"/>
    <s v="Halm"/>
    <n v="111565.86474931188"/>
    <n v="782076.71189267619"/>
    <n v="366051.00500136707"/>
    <n v="366051.00500136707"/>
  </r>
  <r>
    <x v="1"/>
    <x v="1"/>
    <x v="2"/>
    <s v="Konventionel"/>
    <x v="0"/>
    <s v="Halm"/>
    <n v="10134.588787529272"/>
    <n v="39119.512719862993"/>
    <n v="16653.977197359887"/>
    <n v="16653.977197359887"/>
  </r>
  <r>
    <x v="1"/>
    <x v="2"/>
    <x v="2"/>
    <s v="Konventionel"/>
    <x v="0"/>
    <s v="Halm"/>
    <n v="6543.4524779655058"/>
    <n v="28791.190903048224"/>
    <n v="22051.173112644636"/>
    <n v="22051.173112644636"/>
  </r>
  <r>
    <x v="1"/>
    <x v="3"/>
    <x v="2"/>
    <s v="Konventionel"/>
    <x v="0"/>
    <s v="Græs"/>
    <n v="128250.53216135269"/>
    <n v="6363791.4058463201"/>
    <n v="0"/>
    <n v="6363791.4058463201"/>
  </r>
  <r>
    <x v="1"/>
    <x v="4"/>
    <x v="2"/>
    <s v="Konventionel"/>
    <x v="0"/>
    <s v="Grøntsager"/>
    <n v="1703.2889997229152"/>
    <n v="35343.246744250493"/>
    <n v="0"/>
    <n v="35343.246744250493"/>
  </r>
  <r>
    <x v="1"/>
    <x v="5"/>
    <x v="2"/>
    <s v="Konventionel"/>
    <x v="0"/>
    <s v="Kartofler"/>
    <n v="7164.1917814388025"/>
    <n v="304269.66893973155"/>
    <n v="0"/>
    <n v="304269.66893973155"/>
  </r>
  <r>
    <x v="1"/>
    <x v="6"/>
    <x v="2"/>
    <s v="Konventionel"/>
    <x v="0"/>
    <s v="Roer"/>
    <n v="4406.0050670565552"/>
    <n v="358004.3520157595"/>
    <n v="0"/>
    <n v="358004.3520157595"/>
  </r>
  <r>
    <x v="1"/>
    <x v="7"/>
    <x v="2"/>
    <s v="Konventionel"/>
    <x v="0"/>
    <s v="Majs"/>
    <n v="7852.1429735586071"/>
    <n v="349498.88375309366"/>
    <n v="0"/>
    <n v="349498.88375309366"/>
  </r>
  <r>
    <x v="1"/>
    <x v="8"/>
    <x v="2"/>
    <s v="Konventionel"/>
    <x v="0"/>
    <s v="Frugt"/>
    <n v="664.22303941882706"/>
    <n v="5639.2536046658424"/>
    <n v="0"/>
    <n v="5639.2536046658424"/>
  </r>
  <r>
    <x v="1"/>
    <x v="9"/>
    <x v="2"/>
    <s v="Konventionel"/>
    <x v="0"/>
    <s v="Øvrige"/>
    <n v="9150.5832223732941"/>
    <n v="272650.26076079207"/>
    <n v="0"/>
    <n v="272650.26076079207"/>
  </r>
  <r>
    <x v="1"/>
    <x v="10"/>
    <x v="2"/>
    <s v="Konventionel"/>
    <x v="0"/>
    <s v="Halm"/>
    <n v="13216.238686138369"/>
    <n v="188844.99435046475"/>
    <n v="44988.076487615006"/>
    <n v="44988.076487615006"/>
  </r>
  <r>
    <x v="1"/>
    <x v="11"/>
    <x v="2"/>
    <s v="Konventionel"/>
    <x v="0"/>
    <s v="Juletræer"/>
    <n v="2482.237422914432"/>
    <n v="124111.8711457216"/>
    <n v="0"/>
    <n v="124111.8711457216"/>
  </r>
  <r>
    <x v="1"/>
    <x v="12"/>
    <x v="2"/>
    <s v="Konventionel"/>
    <x v="0"/>
    <s v="Pil &amp; poppel"/>
    <n v="954.52923181695155"/>
    <n v="23281.200776023208"/>
    <n v="0"/>
    <n v="23281.200776023208"/>
  </r>
  <r>
    <x v="1"/>
    <x v="13"/>
    <x v="2"/>
    <s v="Konventionel"/>
    <x v="0"/>
    <s v="Græs"/>
    <n v="23154.934824537635"/>
    <n v="319306.55123037403"/>
    <n v="0"/>
    <n v="319306.5512303740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52641.376286033876"/>
    <n v="247240.75200261531"/>
    <n v="115721.03397482408"/>
    <n v="115721.03397482408"/>
  </r>
  <r>
    <x v="1"/>
    <x v="1"/>
    <x v="1"/>
    <s v="Økologisk"/>
    <x v="0"/>
    <s v="Halm"/>
    <n v="3560.3355603067766"/>
    <n v="7833.4502997869704"/>
    <n v="3334.8601145295929"/>
    <n v="3334.8601145295929"/>
  </r>
  <r>
    <x v="1"/>
    <x v="2"/>
    <x v="1"/>
    <s v="Økologisk"/>
    <x v="0"/>
    <s v="Halm"/>
    <n v="2298.7500561586844"/>
    <n v="5562.9751359040165"/>
    <n v="4260.6826565888859"/>
    <n v="4260.6826565888859"/>
  </r>
  <r>
    <x v="1"/>
    <x v="3"/>
    <x v="1"/>
    <s v="Økologisk"/>
    <x v="0"/>
    <s v="Græs"/>
    <n v="29299.72645167357"/>
    <n v="1134004.8926949934"/>
    <n v="0"/>
    <n v="1134004.8926949934"/>
  </r>
  <r>
    <x v="1"/>
    <x v="4"/>
    <x v="1"/>
    <s v="Økologisk"/>
    <x v="0"/>
    <s v="Grøntsager"/>
    <n v="598.37458848404606"/>
    <n v="7077.2754452950539"/>
    <n v="0"/>
    <n v="7077.2754452950539"/>
  </r>
  <r>
    <x v="1"/>
    <x v="5"/>
    <x v="1"/>
    <s v="Økologisk"/>
    <x v="0"/>
    <s v="Kartofler"/>
    <n v="2516.8191127498626"/>
    <n v="60928.195768701553"/>
    <n v="0"/>
    <n v="60928.195768701553"/>
  </r>
  <r>
    <x v="1"/>
    <x v="6"/>
    <x v="1"/>
    <s v="Økologisk"/>
    <x v="0"/>
    <s v="Roer"/>
    <n v="1547.8532822600712"/>
    <n v="71688.247210680318"/>
    <n v="0"/>
    <n v="71688.247210680318"/>
  </r>
  <r>
    <x v="1"/>
    <x v="7"/>
    <x v="1"/>
    <s v="Økologisk"/>
    <x v="0"/>
    <s v="Majs"/>
    <n v="5057.2501235491054"/>
    <n v="186831.50848931167"/>
    <n v="0"/>
    <n v="186831.50848931167"/>
  </r>
  <r>
    <x v="1"/>
    <x v="8"/>
    <x v="1"/>
    <s v="Økologisk"/>
    <x v="0"/>
    <s v="Frugt"/>
    <n v="233.34512695057583"/>
    <n v="1129.2270728519215"/>
    <n v="0"/>
    <n v="1129.2270728519215"/>
  </r>
  <r>
    <x v="1"/>
    <x v="9"/>
    <x v="1"/>
    <s v="Økologisk"/>
    <x v="0"/>
    <s v="Øvrige"/>
    <n v="3214.6491117874693"/>
    <n v="54596.596900072604"/>
    <n v="0"/>
    <n v="54596.596900072604"/>
  </r>
  <r>
    <x v="1"/>
    <x v="10"/>
    <x v="1"/>
    <s v="Økologisk"/>
    <x v="0"/>
    <s v="Halm"/>
    <n v="4642.9357474929175"/>
    <n v="37815.089574385107"/>
    <n v="9008.5953721455571"/>
    <n v="9008.5953721455571"/>
  </r>
  <r>
    <x v="1"/>
    <x v="11"/>
    <x v="1"/>
    <s v="Økologisk"/>
    <x v="0"/>
    <s v="Juletræer"/>
    <n v="872.02335992174335"/>
    <n v="24852.665757769686"/>
    <n v="0"/>
    <n v="24852.665757769686"/>
  </r>
  <r>
    <x v="1"/>
    <x v="12"/>
    <x v="1"/>
    <s v="Økologisk"/>
    <x v="0"/>
    <s v="Pil &amp; poppel"/>
    <n v="335.33125404871168"/>
    <n v="4661.9223123845286"/>
    <n v="0"/>
    <n v="4661.9223123845286"/>
  </r>
  <r>
    <x v="1"/>
    <x v="13"/>
    <x v="1"/>
    <s v="Økologisk"/>
    <x v="0"/>
    <s v="Græs"/>
    <n v="8134.4531663514217"/>
    <n v="112174.10916398611"/>
    <n v="0"/>
    <n v="112174.10916398611"/>
  </r>
  <r>
    <x v="1"/>
    <x v="0"/>
    <x v="2"/>
    <s v="Økologisk"/>
    <x v="0"/>
    <s v="Halm"/>
    <n v="70682.715843780199"/>
    <n v="331975.51150348247"/>
    <n v="155381.13815920494"/>
    <n v="155381.13815920494"/>
  </r>
  <r>
    <x v="1"/>
    <x v="1"/>
    <x v="2"/>
    <s v="Økologisk"/>
    <x v="0"/>
    <s v="Halm"/>
    <n v="6420.7834634017008"/>
    <n v="14127.007776176421"/>
    <n v="6014.1563381976594"/>
    <n v="6014.1563381976594"/>
  </r>
  <r>
    <x v="1"/>
    <x v="2"/>
    <x v="2"/>
    <s v="Økologisk"/>
    <x v="0"/>
    <s v="Halm"/>
    <n v="4145.6138324797766"/>
    <n v="10032.385474601062"/>
    <n v="7683.8040349969524"/>
    <n v="7683.8040349969524"/>
  </r>
  <r>
    <x v="1"/>
    <x v="3"/>
    <x v="2"/>
    <s v="Økologisk"/>
    <x v="0"/>
    <s v="Græs"/>
    <n v="81253.311144441221"/>
    <n v="3144795.6532099955"/>
    <n v="0"/>
    <n v="3144795.6532099955"/>
  </r>
  <r>
    <x v="1"/>
    <x v="4"/>
    <x v="2"/>
    <s v="Økologisk"/>
    <x v="0"/>
    <s v="Grøntsager"/>
    <n v="1079.1212225869831"/>
    <n v="12763.306260147541"/>
    <n v="0"/>
    <n v="12763.306260147541"/>
  </r>
  <r>
    <x v="1"/>
    <x v="5"/>
    <x v="2"/>
    <s v="Økologisk"/>
    <x v="0"/>
    <s v="Kartofler"/>
    <n v="4538.8841208341701"/>
    <n v="109879.17998742567"/>
    <n v="0"/>
    <n v="109879.17998742567"/>
  </r>
  <r>
    <x v="1"/>
    <x v="6"/>
    <x v="2"/>
    <s v="Økologisk"/>
    <x v="0"/>
    <s v="Roer"/>
    <n v="2791.4309171608429"/>
    <n v="129284.08134960398"/>
    <n v="0"/>
    <n v="129284.08134960398"/>
  </r>
  <r>
    <x v="1"/>
    <x v="7"/>
    <x v="2"/>
    <s v="Økologisk"/>
    <x v="0"/>
    <s v="Majs"/>
    <n v="4974.7365989757318"/>
    <n v="183783.18659694016"/>
    <n v="0"/>
    <n v="183783.18659694016"/>
  </r>
  <r>
    <x v="1"/>
    <x v="8"/>
    <x v="2"/>
    <s v="Økologisk"/>
    <x v="0"/>
    <s v="Frugt"/>
    <n v="420.81947249391567"/>
    <n v="2036.4716732398063"/>
    <n v="0"/>
    <n v="2036.4716732398063"/>
  </r>
  <r>
    <x v="1"/>
    <x v="9"/>
    <x v="2"/>
    <s v="Økologisk"/>
    <x v="0"/>
    <s v="Øvrige"/>
    <n v="5797.3653067199793"/>
    <n v="98460.642429948159"/>
    <n v="0"/>
    <n v="98460.642429948159"/>
  </r>
  <r>
    <x v="1"/>
    <x v="10"/>
    <x v="2"/>
    <s v="Økologisk"/>
    <x v="0"/>
    <s v="Halm"/>
    <n v="8373.167237801159"/>
    <n v="68196.521842830145"/>
    <n v="16246.28892816083"/>
    <n v="16246.28892816083"/>
  </r>
  <r>
    <x v="1"/>
    <x v="11"/>
    <x v="2"/>
    <s v="Økologisk"/>
    <x v="0"/>
    <s v="Juletræer"/>
    <n v="1572.6251287963075"/>
    <n v="44819.816170694765"/>
    <n v="0"/>
    <n v="44819.816170694765"/>
  </r>
  <r>
    <x v="1"/>
    <x v="12"/>
    <x v="2"/>
    <s v="Økologisk"/>
    <x v="0"/>
    <s v="Pil &amp; poppel"/>
    <n v="604.74338283220732"/>
    <n v="8407.4080052282479"/>
    <n v="0"/>
    <n v="8407.4080052282479"/>
  </r>
  <r>
    <x v="1"/>
    <x v="13"/>
    <x v="2"/>
    <s v="Økologisk"/>
    <x v="0"/>
    <s v="Græs"/>
    <n v="14669.842628492142"/>
    <n v="202297.12984690667"/>
    <n v="0"/>
    <n v="202297.12984690667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341.9372857635426"/>
    <n v="11288.37644784292"/>
    <n v="5283.5245964128781"/>
    <n v="5283.5245964128781"/>
  </r>
  <r>
    <x v="1"/>
    <x v="1"/>
    <x v="1"/>
    <s v="Konventionel"/>
    <x v="1"/>
    <s v="Halm"/>
    <n v="36.288129269323399"/>
    <n v="168.08661477550601"/>
    <n v="71.557912024587608"/>
    <n v="71.557912024587608"/>
  </r>
  <r>
    <x v="1"/>
    <x v="2"/>
    <x v="1"/>
    <s v="Konventionel"/>
    <x v="1"/>
    <s v="Halm"/>
    <n v="146.5734228086215"/>
    <n v="773.90767242952154"/>
    <n v="592.73588631377049"/>
    <n v="592.73588631377049"/>
  </r>
  <r>
    <x v="1"/>
    <x v="3"/>
    <x v="1"/>
    <s v="Konventionel"/>
    <x v="1"/>
    <s v="Græs"/>
    <n v="430.98727783808897"/>
    <n v="25662.706471591169"/>
    <n v="0"/>
    <n v="25662.706471591169"/>
  </r>
  <r>
    <x v="1"/>
    <x v="4"/>
    <x v="1"/>
    <s v="Konventionel"/>
    <x v="1"/>
    <s v="Grøntsager"/>
    <n v="8.1624322960479301"/>
    <n v="203.24456417159345"/>
    <n v="0"/>
    <n v="203.24456417159345"/>
  </r>
  <r>
    <x v="1"/>
    <x v="5"/>
    <x v="1"/>
    <s v="Konventionel"/>
    <x v="1"/>
    <s v="Kartofler"/>
    <n v="13.876881948726561"/>
    <n v="707.2363898566864"/>
    <n v="0"/>
    <n v="707.2363898566864"/>
  </r>
  <r>
    <x v="1"/>
    <x v="6"/>
    <x v="1"/>
    <s v="Konventionel"/>
    <x v="1"/>
    <s v="Roer"/>
    <n v="38.769088613871659"/>
    <n v="3780.1597327865784"/>
    <n v="0"/>
    <n v="3780.1597327865784"/>
  </r>
  <r>
    <x v="1"/>
    <x v="7"/>
    <x v="1"/>
    <s v="Konventionel"/>
    <x v="1"/>
    <s v="Majs"/>
    <n v="41.333831193582235"/>
    <n v="2207.7225917116143"/>
    <n v="0"/>
    <n v="2207.7225917116143"/>
  </r>
  <r>
    <x v="1"/>
    <x v="8"/>
    <x v="1"/>
    <s v="Konventionel"/>
    <x v="1"/>
    <s v="Frugt"/>
    <n v="8.9165570688709668"/>
    <n v="90.841883417657414"/>
    <n v="0"/>
    <n v="90.841883417657414"/>
  </r>
  <r>
    <x v="1"/>
    <x v="9"/>
    <x v="1"/>
    <s v="Konventionel"/>
    <x v="1"/>
    <s v="Øvrige"/>
    <n v="63.668542106239137"/>
    <n v="2276.477140615299"/>
    <n v="0"/>
    <n v="2276.477140615299"/>
  </r>
  <r>
    <x v="1"/>
    <x v="10"/>
    <x v="1"/>
    <s v="Konventionel"/>
    <x v="1"/>
    <s v="Halm"/>
    <n v="462.23059641763115"/>
    <n v="7925.6983571870942"/>
    <n v="1888.1195402467395"/>
    <n v="1888.1195402467395"/>
  </r>
  <r>
    <x v="1"/>
    <x v="11"/>
    <x v="1"/>
    <s v="Konventionel"/>
    <x v="1"/>
    <s v="Juletræer"/>
    <n v="13.972194186037328"/>
    <n v="838.33165116223972"/>
    <n v="0"/>
    <n v="838.33165116223972"/>
  </r>
  <r>
    <x v="1"/>
    <x v="12"/>
    <x v="1"/>
    <s v="Konventionel"/>
    <x v="1"/>
    <s v="Pil &amp; poppel"/>
    <n v="29.654214536198896"/>
    <n v="867.92823032777255"/>
    <n v="0"/>
    <n v="867.92823032777255"/>
  </r>
  <r>
    <x v="1"/>
    <x v="13"/>
    <x v="1"/>
    <s v="Konventionel"/>
    <x v="1"/>
    <s v="Græs"/>
    <n v="2393.3808440301391"/>
    <n v="39605.666207010741"/>
    <n v="0"/>
    <n v="39605.666207010741"/>
  </r>
  <r>
    <x v="1"/>
    <x v="0"/>
    <x v="2"/>
    <s v="Konventionel"/>
    <x v="1"/>
    <s v="Korn"/>
    <n v="0"/>
    <n v="0"/>
    <n v="0"/>
    <n v="0"/>
  </r>
  <r>
    <x v="1"/>
    <x v="1"/>
    <x v="2"/>
    <s v="Konventionel"/>
    <x v="1"/>
    <s v="Bælgsæd"/>
    <n v="0"/>
    <n v="0"/>
    <n v="0"/>
    <n v="0"/>
  </r>
  <r>
    <x v="1"/>
    <x v="2"/>
    <x v="2"/>
    <s v="Konventionel"/>
    <x v="1"/>
    <s v="Raps"/>
    <n v="0"/>
    <n v="0"/>
    <n v="0"/>
    <n v="0"/>
  </r>
  <r>
    <x v="1"/>
    <x v="3"/>
    <x v="2"/>
    <s v="Konventionel"/>
    <x v="1"/>
    <s v="Græs"/>
    <n v="0"/>
    <n v="0"/>
    <n v="0"/>
    <n v="0"/>
  </r>
  <r>
    <x v="1"/>
    <x v="4"/>
    <x v="2"/>
    <s v="Konventionel"/>
    <x v="1"/>
    <s v="Grøntsager"/>
    <n v="0"/>
    <n v="0"/>
    <n v="0"/>
    <n v="0"/>
  </r>
  <r>
    <x v="1"/>
    <x v="5"/>
    <x v="2"/>
    <s v="Konventionel"/>
    <x v="1"/>
    <s v="Kartofler"/>
    <n v="0"/>
    <n v="0"/>
    <n v="0"/>
    <n v="0"/>
  </r>
  <r>
    <x v="1"/>
    <x v="6"/>
    <x v="2"/>
    <s v="Konventionel"/>
    <x v="1"/>
    <s v="Roer"/>
    <n v="0"/>
    <n v="0"/>
    <n v="0"/>
    <n v="0"/>
  </r>
  <r>
    <x v="1"/>
    <x v="7"/>
    <x v="2"/>
    <s v="Konventionel"/>
    <x v="1"/>
    <s v="Majs"/>
    <n v="0"/>
    <n v="0"/>
    <n v="0"/>
    <n v="0"/>
  </r>
  <r>
    <x v="1"/>
    <x v="8"/>
    <x v="2"/>
    <s v="Konventionel"/>
    <x v="1"/>
    <s v="Frugt"/>
    <n v="0"/>
    <n v="0"/>
    <n v="0"/>
    <n v="0"/>
  </r>
  <r>
    <x v="1"/>
    <x v="9"/>
    <x v="2"/>
    <s v="Konventionel"/>
    <x v="1"/>
    <s v="Øvrige"/>
    <n v="0"/>
    <n v="0"/>
    <n v="0"/>
    <n v="0"/>
  </r>
  <r>
    <x v="1"/>
    <x v="10"/>
    <x v="2"/>
    <s v="Konventionel"/>
    <x v="1"/>
    <s v="Frø"/>
    <n v="0"/>
    <n v="0"/>
    <n v="0"/>
    <n v="0"/>
  </r>
  <r>
    <x v="1"/>
    <x v="11"/>
    <x v="2"/>
    <s v="Konventionel"/>
    <x v="1"/>
    <s v="Juletræer"/>
    <n v="0"/>
    <n v="0"/>
    <n v="0"/>
    <n v="0"/>
  </r>
  <r>
    <x v="1"/>
    <x v="12"/>
    <x v="2"/>
    <s v="Konventionel"/>
    <x v="1"/>
    <s v="Pil &amp; poppel"/>
    <n v="0"/>
    <n v="0"/>
    <n v="0"/>
    <n v="0"/>
  </r>
  <r>
    <x v="1"/>
    <x v="13"/>
    <x v="2"/>
    <s v="Konventionel"/>
    <x v="1"/>
    <s v="Græs"/>
    <n v="1816.6776009727953"/>
    <n v="30062.380940897816"/>
    <n v="0"/>
    <n v="30062.380940897816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58.35127352593128"/>
    <n v="2019.6821116430901"/>
    <n v="945.31221235454802"/>
    <n v="945.31221235454802"/>
  </r>
  <r>
    <x v="1"/>
    <x v="1"/>
    <x v="1"/>
    <s v="Økologisk"/>
    <x v="1"/>
    <s v="Halm"/>
    <n v="9.6903912541163457"/>
    <n v="25.584958604768143"/>
    <n v="10.892040508031604"/>
    <n v="10.892040508031604"/>
  </r>
  <r>
    <x v="1"/>
    <x v="2"/>
    <x v="1"/>
    <s v="Økologisk"/>
    <x v="1"/>
    <s v="Halm"/>
    <n v="39.141004043745959"/>
    <n v="113.66547574303827"/>
    <n v="87.056387871593003"/>
    <n v="87.056387871593003"/>
  </r>
  <r>
    <x v="1"/>
    <x v="3"/>
    <x v="1"/>
    <s v="Økologisk"/>
    <x v="1"/>
    <s v="Græs"/>
    <n v="115.09095210725641"/>
    <n v="5345.3210087740918"/>
    <n v="0"/>
    <n v="5345.3210087740918"/>
  </r>
  <r>
    <x v="1"/>
    <x v="4"/>
    <x v="1"/>
    <s v="Økologisk"/>
    <x v="1"/>
    <s v="Grøntsager"/>
    <n v="2.1796979928862137"/>
    <n v="30.936453613034026"/>
    <n v="0"/>
    <n v="30.936453613034026"/>
  </r>
  <r>
    <x v="1"/>
    <x v="5"/>
    <x v="1"/>
    <s v="Økologisk"/>
    <x v="1"/>
    <s v="Kartofler"/>
    <n v="3.705686079111902"/>
    <n v="107.65053352068445"/>
    <n v="0"/>
    <n v="107.65053352068445"/>
  </r>
  <r>
    <x v="1"/>
    <x v="6"/>
    <x v="1"/>
    <s v="Økologisk"/>
    <x v="1"/>
    <s v="Roer"/>
    <n v="10.352907267432922"/>
    <n v="575.38924447926718"/>
    <n v="0"/>
    <n v="575.38924447926718"/>
  </r>
  <r>
    <x v="1"/>
    <x v="7"/>
    <x v="1"/>
    <s v="Økologisk"/>
    <x v="1"/>
    <s v="Majs"/>
    <n v="11.037796777140914"/>
    <n v="489.32716521233988"/>
    <n v="0"/>
    <n v="489.32716521233988"/>
  </r>
  <r>
    <x v="1"/>
    <x v="8"/>
    <x v="1"/>
    <s v="Økologisk"/>
    <x v="1"/>
    <s v="Frugt"/>
    <n v="2.3810796637031362"/>
    <n v="13.827310579870304"/>
    <n v="0"/>
    <n v="13.827310579870304"/>
  </r>
  <r>
    <x v="1"/>
    <x v="9"/>
    <x v="1"/>
    <s v="Økologisk"/>
    <x v="1"/>
    <s v="Øvrige"/>
    <n v="17.002063650335472"/>
    <n v="346.50928918482077"/>
    <n v="0"/>
    <n v="346.50928918482077"/>
  </r>
  <r>
    <x v="1"/>
    <x v="10"/>
    <x v="1"/>
    <s v="Økologisk"/>
    <x v="1"/>
    <s v="Halm"/>
    <n v="123.4341758338294"/>
    <n v="1206.3938859934735"/>
    <n v="287.396235224235"/>
    <n v="287.396235224235"/>
  </r>
  <r>
    <x v="1"/>
    <x v="11"/>
    <x v="1"/>
    <s v="Økologisk"/>
    <x v="1"/>
    <s v="Juletræer"/>
    <n v="3.7311382831644075"/>
    <n v="127.60492928422273"/>
    <n v="0"/>
    <n v="127.60492928422273"/>
  </r>
  <r>
    <x v="1"/>
    <x v="12"/>
    <x v="1"/>
    <s v="Økologisk"/>
    <x v="1"/>
    <s v="Pil &amp; poppel"/>
    <n v="7.9188689793440421"/>
    <n v="132.10991175295914"/>
    <n v="0"/>
    <n v="132.10991175295914"/>
  </r>
  <r>
    <x v="1"/>
    <x v="13"/>
    <x v="1"/>
    <s v="Økologisk"/>
    <x v="1"/>
    <s v="Græs"/>
    <n v="639.12902830087648"/>
    <n v="10576.307160322904"/>
    <n v="0"/>
    <n v="10576.307160322904"/>
  </r>
  <r>
    <x v="1"/>
    <x v="0"/>
    <x v="2"/>
    <s v="Økologisk"/>
    <x v="1"/>
    <s v="Korn"/>
    <n v="0"/>
    <n v="0"/>
    <n v="0"/>
    <n v="0"/>
  </r>
  <r>
    <x v="1"/>
    <x v="1"/>
    <x v="2"/>
    <s v="Økologisk"/>
    <x v="1"/>
    <s v="Bælgsæd"/>
    <n v="0"/>
    <n v="0"/>
    <n v="0"/>
    <n v="0"/>
  </r>
  <r>
    <x v="1"/>
    <x v="2"/>
    <x v="2"/>
    <s v="Økologisk"/>
    <x v="1"/>
    <s v="Raps"/>
    <n v="0"/>
    <n v="0"/>
    <n v="0"/>
    <n v="0"/>
  </r>
  <r>
    <x v="1"/>
    <x v="3"/>
    <x v="2"/>
    <s v="Økologisk"/>
    <x v="1"/>
    <s v="Græs"/>
    <n v="0"/>
    <n v="0"/>
    <n v="0"/>
    <n v="0"/>
  </r>
  <r>
    <x v="1"/>
    <x v="4"/>
    <x v="2"/>
    <s v="Økologisk"/>
    <x v="1"/>
    <s v="Grøntsager"/>
    <n v="0"/>
    <n v="0"/>
    <n v="0"/>
    <n v="0"/>
  </r>
  <r>
    <x v="1"/>
    <x v="5"/>
    <x v="2"/>
    <s v="Økologisk"/>
    <x v="1"/>
    <s v="Kartofler"/>
    <n v="0"/>
    <n v="0"/>
    <n v="0"/>
    <n v="0"/>
  </r>
  <r>
    <x v="1"/>
    <x v="6"/>
    <x v="2"/>
    <s v="Økologisk"/>
    <x v="1"/>
    <s v="Roer"/>
    <n v="0"/>
    <n v="0"/>
    <n v="0"/>
    <n v="0"/>
  </r>
  <r>
    <x v="1"/>
    <x v="7"/>
    <x v="2"/>
    <s v="Økologisk"/>
    <x v="1"/>
    <s v="Majs"/>
    <n v="0"/>
    <n v="0"/>
    <n v="0"/>
    <n v="0"/>
  </r>
  <r>
    <x v="1"/>
    <x v="8"/>
    <x v="2"/>
    <s v="Økologisk"/>
    <x v="1"/>
    <s v="Frugt"/>
    <n v="0"/>
    <n v="0"/>
    <n v="0"/>
    <n v="0"/>
  </r>
  <r>
    <x v="1"/>
    <x v="9"/>
    <x v="2"/>
    <s v="Økologisk"/>
    <x v="1"/>
    <s v="Øvrige"/>
    <n v="0"/>
    <n v="0"/>
    <n v="0"/>
    <n v="0"/>
  </r>
  <r>
    <x v="1"/>
    <x v="10"/>
    <x v="2"/>
    <s v="Økologisk"/>
    <x v="1"/>
    <s v="Frø"/>
    <n v="0"/>
    <n v="0"/>
    <n v="0"/>
    <n v="0"/>
  </r>
  <r>
    <x v="1"/>
    <x v="11"/>
    <x v="2"/>
    <s v="Økologisk"/>
    <x v="1"/>
    <s v="Juletræer"/>
    <n v="0"/>
    <n v="0"/>
    <n v="0"/>
    <n v="0"/>
  </r>
  <r>
    <x v="1"/>
    <x v="12"/>
    <x v="2"/>
    <s v="Økologisk"/>
    <x v="1"/>
    <s v="Pil &amp; poppel"/>
    <n v="0"/>
    <n v="0"/>
    <n v="0"/>
    <n v="0"/>
  </r>
  <r>
    <x v="1"/>
    <x v="13"/>
    <x v="2"/>
    <s v="Økologisk"/>
    <x v="1"/>
    <s v="Græs"/>
    <n v="1150.9587357912035"/>
    <n v="19046.065159872836"/>
    <n v="0"/>
    <n v="19046.065159872836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429.87161527617815"/>
    <n v="4218.7600323204124"/>
    <n v="1974.5906331275689"/>
    <n v="1974.5906331275689"/>
  </r>
  <r>
    <x v="1"/>
    <x v="1"/>
    <x v="1"/>
    <s v="Konventionel"/>
    <x v="2"/>
    <s v="Halm"/>
    <n v="7.8078860767998624"/>
    <n v="42.193816359026464"/>
    <n v="17.962771176237652"/>
    <n v="17.962771176237652"/>
  </r>
  <r>
    <x v="1"/>
    <x v="2"/>
    <x v="1"/>
    <s v="Konventionel"/>
    <x v="2"/>
    <s v="Halm"/>
    <n v="38.13969650774699"/>
    <n v="234.94053048772145"/>
    <n v="179.94095230054586"/>
    <n v="179.94095230054586"/>
  </r>
  <r>
    <x v="1"/>
    <x v="3"/>
    <x v="1"/>
    <s v="Konventionel"/>
    <x v="2"/>
    <s v="Græs"/>
    <n v="280.27283492976966"/>
    <n v="19469.993296901237"/>
    <n v="0"/>
    <n v="19469.993296901237"/>
  </r>
  <r>
    <x v="1"/>
    <x v="4"/>
    <x v="1"/>
    <s v="Konventionel"/>
    <x v="2"/>
    <s v="Grøntsager"/>
    <n v="1.3191318198291107"/>
    <n v="38.320779366035666"/>
    <n v="0"/>
    <n v="38.320779366035666"/>
  </r>
  <r>
    <x v="1"/>
    <x v="5"/>
    <x v="1"/>
    <s v="Konventionel"/>
    <x v="2"/>
    <s v="Kartofler"/>
    <n v="7.5188940108426783"/>
    <n v="447.06786833358649"/>
    <n v="0"/>
    <n v="447.06786833358649"/>
  </r>
  <r>
    <x v="1"/>
    <x v="6"/>
    <x v="1"/>
    <s v="Konventionel"/>
    <x v="2"/>
    <s v="Roer"/>
    <n v="8.6586500553434007"/>
    <n v="984.96667554933219"/>
    <n v="0"/>
    <n v="984.96667554933219"/>
  </r>
  <r>
    <x v="1"/>
    <x v="7"/>
    <x v="1"/>
    <s v="Konventionel"/>
    <x v="2"/>
    <s v="Majs"/>
    <n v="8.8935376823073096"/>
    <n v="554.1919071352977"/>
    <n v="0"/>
    <n v="554.1919071352977"/>
  </r>
  <r>
    <x v="1"/>
    <x v="8"/>
    <x v="1"/>
    <s v="Konventionel"/>
    <x v="2"/>
    <s v="Frugt"/>
    <n v="3.227246687100445"/>
    <n v="38.359054122875889"/>
    <n v="0"/>
    <n v="38.359054122875889"/>
  </r>
  <r>
    <x v="1"/>
    <x v="9"/>
    <x v="1"/>
    <s v="Konventionel"/>
    <x v="2"/>
    <s v="Øvrige"/>
    <n v="23.044106598298601"/>
    <n v="961.26925775933967"/>
    <n v="0"/>
    <n v="961.26925775933967"/>
  </r>
  <r>
    <x v="1"/>
    <x v="10"/>
    <x v="1"/>
    <s v="Konventionel"/>
    <x v="2"/>
    <s v="Halm"/>
    <n v="215.65084033780454"/>
    <n v="4313.9667623565656"/>
    <n v="1027.7056447138414"/>
    <n v="1027.7056447138414"/>
  </r>
  <r>
    <x v="1"/>
    <x v="11"/>
    <x v="1"/>
    <s v="Konventionel"/>
    <x v="2"/>
    <s v="Juletræer"/>
    <n v="5.0570771935991958"/>
    <n v="353.99540355194375"/>
    <n v="0"/>
    <n v="353.99540355194375"/>
  </r>
  <r>
    <x v="1"/>
    <x v="12"/>
    <x v="1"/>
    <s v="Konventionel"/>
    <x v="2"/>
    <s v="Pil &amp; poppel"/>
    <n v="15.426205639594636"/>
    <n v="526.748485254451"/>
    <n v="0"/>
    <n v="526.748485254451"/>
  </r>
  <r>
    <x v="1"/>
    <x v="13"/>
    <x v="1"/>
    <s v="Konventionel"/>
    <x v="2"/>
    <s v="Græs"/>
    <n v="2274.800349586566"/>
    <n v="43917.295549118244"/>
    <n v="0"/>
    <n v="43917.295549118244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490.292112360109"/>
    <n v="9465.5795212242647"/>
    <n v="0"/>
    <n v="9465.579521224264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14.79302529344227"/>
    <n v="754.80776265399436"/>
    <n v="353.28777331020206"/>
    <n v="353.28777331020206"/>
  </r>
  <r>
    <x v="1"/>
    <x v="1"/>
    <x v="1"/>
    <s v="Økologisk"/>
    <x v="2"/>
    <s v="Halm"/>
    <n v="2.0850198804742326"/>
    <n v="6.4224450374271687"/>
    <n v="2.7341662962560505"/>
    <n v="2.7341662962560505"/>
  </r>
  <r>
    <x v="1"/>
    <x v="2"/>
    <x v="1"/>
    <s v="Økologisk"/>
    <x v="2"/>
    <s v="Halm"/>
    <n v="10.184834239602406"/>
    <n v="34.506218403772955"/>
    <n v="26.428312675449696"/>
    <n v="26.428312675449696"/>
  </r>
  <r>
    <x v="1"/>
    <x v="3"/>
    <x v="1"/>
    <s v="Økologisk"/>
    <x v="2"/>
    <s v="Græs"/>
    <n v="74.844129004627362"/>
    <n v="4055.4321238808939"/>
    <n v="0"/>
    <n v="4055.4321238808939"/>
  </r>
  <r>
    <x v="1"/>
    <x v="4"/>
    <x v="1"/>
    <s v="Økologisk"/>
    <x v="2"/>
    <s v="Grøntsager"/>
    <n v="0.35226129611219092"/>
    <n v="5.8329186716737125"/>
    <n v="0"/>
    <n v="5.8329186716737125"/>
  </r>
  <r>
    <x v="1"/>
    <x v="5"/>
    <x v="1"/>
    <s v="Økologisk"/>
    <x v="2"/>
    <s v="Kartofler"/>
    <n v="2.0078473658021165"/>
    <n v="68.0495167334618"/>
    <n v="0"/>
    <n v="68.0495167334618"/>
  </r>
  <r>
    <x v="1"/>
    <x v="6"/>
    <x v="1"/>
    <s v="Økologisk"/>
    <x v="2"/>
    <s v="Roer"/>
    <n v="2.3122081093247311"/>
    <n v="149.92467814681697"/>
    <n v="0"/>
    <n v="149.92467814681697"/>
  </r>
  <r>
    <x v="1"/>
    <x v="7"/>
    <x v="1"/>
    <s v="Økologisk"/>
    <x v="2"/>
    <s v="Majs"/>
    <n v="2.3749325608702505"/>
    <n v="122.8329845063971"/>
    <n v="0"/>
    <n v="122.8329845063971"/>
  </r>
  <r>
    <x v="1"/>
    <x v="8"/>
    <x v="1"/>
    <s v="Økologisk"/>
    <x v="2"/>
    <s v="Frugt"/>
    <n v="0.86180477476394313"/>
    <n v="5.8387445851212094"/>
    <n v="0"/>
    <n v="5.8387445851212094"/>
  </r>
  <r>
    <x v="1"/>
    <x v="9"/>
    <x v="1"/>
    <s v="Økologisk"/>
    <x v="2"/>
    <s v="Øvrige"/>
    <n v="6.1537040772132681"/>
    <n v="146.3176244024923"/>
    <n v="0"/>
    <n v="146.3176244024923"/>
  </r>
  <r>
    <x v="1"/>
    <x v="10"/>
    <x v="1"/>
    <s v="Økologisk"/>
    <x v="2"/>
    <s v="Halm"/>
    <n v="57.587455160409412"/>
    <n v="656.64158436797891"/>
    <n v="156.43010249809481"/>
    <n v="156.43010249809481"/>
  </r>
  <r>
    <x v="1"/>
    <x v="11"/>
    <x v="1"/>
    <s v="Økologisk"/>
    <x v="2"/>
    <s v="Juletræer"/>
    <n v="1.3504431778375496"/>
    <n v="53.882682795718225"/>
    <n v="0"/>
    <n v="53.882682795718225"/>
  </r>
  <r>
    <x v="1"/>
    <x v="12"/>
    <x v="1"/>
    <s v="Økologisk"/>
    <x v="2"/>
    <s v="Pil &amp; poppel"/>
    <n v="4.1194178709151004"/>
    <n v="80.177938072932918"/>
    <n v="0"/>
    <n v="80.177938072932918"/>
  </r>
  <r>
    <x v="1"/>
    <x v="13"/>
    <x v="1"/>
    <s v="Økologisk"/>
    <x v="2"/>
    <s v="Græs"/>
    <n v="607.46326295550796"/>
    <n v="11727.685754619037"/>
    <n v="0"/>
    <n v="11727.685754619037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310.62528073677737"/>
    <n v="5996.9316699042238"/>
    <n v="0"/>
    <n v="5996.9316699042238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849092.288531078"/>
  </r>
  <r>
    <x v="1"/>
    <x v="0"/>
    <x v="1"/>
    <n v="213692.89158762878"/>
  </r>
  <r>
    <x v="2"/>
    <x v="0"/>
    <x v="1"/>
    <n v="159579.37363726847"/>
  </r>
  <r>
    <x v="3"/>
    <x v="0"/>
    <x v="1"/>
    <n v="27042134.224778831"/>
  </r>
  <r>
    <x v="4"/>
    <x v="0"/>
    <x v="1"/>
    <n v="208875.62977638197"/>
  </r>
  <r>
    <x v="5"/>
    <x v="0"/>
    <x v="1"/>
    <n v="1676585.1390430741"/>
  </r>
  <r>
    <x v="6"/>
    <x v="0"/>
    <x v="1"/>
    <n v="1905541.9010865423"/>
  </r>
  <r>
    <x v="7"/>
    <x v="0"/>
    <x v="1"/>
    <n v="3784586.3044886771"/>
  </r>
  <r>
    <x v="8"/>
    <x v="0"/>
    <x v="1"/>
    <n v="30577.183238476249"/>
  </r>
  <r>
    <x v="9"/>
    <x v="0"/>
    <x v="1"/>
    <n v="1486568.2848710858"/>
  </r>
  <r>
    <x v="10"/>
    <x v="0"/>
    <x v="1"/>
    <n v="1051403.8466263001"/>
  </r>
  <r>
    <x v="11"/>
    <x v="0"/>
    <x v="1"/>
    <n v="677461.36910389608"/>
  </r>
  <r>
    <x v="12"/>
    <x v="0"/>
    <x v="1"/>
    <n v="139642.05031935725"/>
  </r>
  <r>
    <x v="0"/>
    <x v="0"/>
    <x v="2"/>
    <n v="4034586.8295627958"/>
  </r>
  <r>
    <x v="1"/>
    <x v="0"/>
    <x v="2"/>
    <n v="192834.50614053759"/>
  </r>
  <r>
    <x v="2"/>
    <x v="0"/>
    <x v="2"/>
    <n v="140601.20938701159"/>
  </r>
  <r>
    <x v="3"/>
    <x v="0"/>
    <x v="2"/>
    <n v="37013724.844488479"/>
  </r>
  <r>
    <x v="4"/>
    <x v="0"/>
    <x v="2"/>
    <n v="191010.78078958855"/>
  </r>
  <r>
    <x v="5"/>
    <x v="0"/>
    <x v="2"/>
    <n v="1499857.4180538384"/>
  </r>
  <r>
    <x v="6"/>
    <x v="0"/>
    <x v="2"/>
    <n v="1764735.4892043229"/>
  </r>
  <r>
    <x v="7"/>
    <x v="0"/>
    <x v="2"/>
    <n v="1931303.3736580268"/>
  </r>
  <r>
    <x v="8"/>
    <x v="0"/>
    <x v="2"/>
    <n v="27797.960870428567"/>
  </r>
  <r>
    <x v="9"/>
    <x v="0"/>
    <x v="2"/>
    <n v="1343993.6933621466"/>
  </r>
  <r>
    <x v="10"/>
    <x v="0"/>
    <x v="2"/>
    <n v="930886.6264122529"/>
  </r>
  <r>
    <x v="11"/>
    <x v="0"/>
    <x v="2"/>
    <n v="611793.18745479197"/>
  </r>
  <r>
    <x v="12"/>
    <x v="0"/>
    <x v="2"/>
    <n v="114761.6251294364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766009.1742338412"/>
  </r>
  <r>
    <x v="1"/>
    <x v="1"/>
    <x v="1"/>
    <n v="63826.34089651754"/>
  </r>
  <r>
    <x v="2"/>
    <x v="1"/>
    <x v="1"/>
    <n v="47807.242236556565"/>
  </r>
  <r>
    <x v="3"/>
    <x v="1"/>
    <x v="1"/>
    <n v="7794429.667260306"/>
  </r>
  <r>
    <x v="4"/>
    <x v="1"/>
    <x v="1"/>
    <n v="63718.477656278912"/>
  </r>
  <r>
    <x v="5"/>
    <x v="1"/>
    <x v="1"/>
    <n v="495843.75527766516"/>
  </r>
  <r>
    <x v="6"/>
    <x v="1"/>
    <x v="1"/>
    <n v="587619.03155491932"/>
  </r>
  <r>
    <x v="7"/>
    <x v="1"/>
    <x v="1"/>
    <n v="1107529.2203986393"/>
  </r>
  <r>
    <x v="8"/>
    <x v="1"/>
    <x v="1"/>
    <n v="9322.9977462727657"/>
  </r>
  <r>
    <x v="9"/>
    <x v="1"/>
    <x v="1"/>
    <n v="447037.72834356769"/>
  </r>
  <r>
    <x v="10"/>
    <x v="1"/>
    <x v="1"/>
    <n v="321978.66045818618"/>
  </r>
  <r>
    <x v="11"/>
    <x v="1"/>
    <x v="1"/>
    <n v="203146.27162041739"/>
  </r>
  <r>
    <x v="12"/>
    <x v="1"/>
    <x v="1"/>
    <n v="39553.070036709789"/>
  </r>
  <r>
    <x v="0"/>
    <x v="1"/>
    <x v="2"/>
    <n v="1281160.0569055823"/>
  </r>
  <r>
    <x v="1"/>
    <x v="1"/>
    <x v="2"/>
    <n v="61233.498570445321"/>
  </r>
  <r>
    <x v="2"/>
    <x v="1"/>
    <x v="2"/>
    <n v="44647.112834296677"/>
  </r>
  <r>
    <x v="3"/>
    <x v="1"/>
    <x v="2"/>
    <n v="11608975.952039318"/>
  </r>
  <r>
    <x v="4"/>
    <x v="1"/>
    <x v="2"/>
    <n v="60654.384977627895"/>
  </r>
  <r>
    <x v="5"/>
    <x v="1"/>
    <x v="2"/>
    <n v="476271.17626623076"/>
  </r>
  <r>
    <x v="6"/>
    <x v="1"/>
    <x v="2"/>
    <n v="560381.69837016799"/>
  </r>
  <r>
    <x v="7"/>
    <x v="1"/>
    <x v="2"/>
    <n v="613274.38090253877"/>
  </r>
  <r>
    <x v="8"/>
    <x v="1"/>
    <x v="2"/>
    <n v="8827.084069591494"/>
  </r>
  <r>
    <x v="9"/>
    <x v="1"/>
    <x v="2"/>
    <n v="426777.53866935126"/>
  </r>
  <r>
    <x v="10"/>
    <x v="1"/>
    <x v="2"/>
    <n v="295597.74362228904"/>
  </r>
  <r>
    <x v="11"/>
    <x v="1"/>
    <x v="2"/>
    <n v="194271.44041387876"/>
  </r>
  <r>
    <x v="12"/>
    <x v="1"/>
    <x v="2"/>
    <n v="36441.900098439175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84185.849197506"/>
  </r>
  <r>
    <x v="0"/>
    <x v="2"/>
    <x v="1"/>
    <s v="JB1-10"/>
    <n v="490276.74059587362"/>
  </r>
  <r>
    <x v="0"/>
    <x v="3"/>
    <x v="1"/>
    <s v="JB1-10"/>
    <n v="296519.72330078861"/>
  </r>
  <r>
    <x v="0"/>
    <x v="4"/>
    <x v="1"/>
    <s v="JB1-10"/>
    <n v="46640"/>
  </r>
  <r>
    <x v="0"/>
    <x v="0"/>
    <x v="1"/>
    <s v="OC6"/>
    <n v="0"/>
  </r>
  <r>
    <x v="0"/>
    <x v="1"/>
    <x v="1"/>
    <s v="OC6"/>
    <n v="59129.102638164186"/>
  </r>
  <r>
    <x v="0"/>
    <x v="2"/>
    <x v="1"/>
    <s v="OC6"/>
    <n v="0"/>
  </r>
  <r>
    <x v="0"/>
    <x v="3"/>
    <x v="1"/>
    <s v="OC6"/>
    <n v="87109.403474360603"/>
  </r>
  <r>
    <x v="0"/>
    <x v="4"/>
    <x v="1"/>
    <s v="OC6"/>
    <n v="0"/>
  </r>
  <r>
    <x v="0"/>
    <x v="0"/>
    <x v="1"/>
    <s v="OC12"/>
    <n v="0"/>
  </r>
  <r>
    <x v="0"/>
    <x v="1"/>
    <x v="1"/>
    <s v="OC12"/>
    <n v="39025.821581831304"/>
  </r>
  <r>
    <x v="0"/>
    <x v="2"/>
    <x v="1"/>
    <s v="OC12"/>
    <n v="0"/>
  </r>
  <r>
    <x v="0"/>
    <x v="3"/>
    <x v="1"/>
    <s v="OC12"/>
    <n v="77423.359211475472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683082.6844777358"/>
  </r>
  <r>
    <x v="0"/>
    <x v="2"/>
    <x v="2"/>
    <s v="JB1-10"/>
    <n v="591379.90531564387"/>
  </r>
  <r>
    <x v="0"/>
    <x v="3"/>
    <x v="2"/>
    <s v="JB1-10"/>
    <n v="296519.72330078861"/>
  </r>
  <r>
    <x v="0"/>
    <x v="4"/>
    <x v="2"/>
    <s v="JB1-10"/>
    <n v="46640"/>
  </r>
  <r>
    <x v="0"/>
    <x v="0"/>
    <x v="2"/>
    <s v="OC6"/>
    <n v="0"/>
  </r>
  <r>
    <x v="0"/>
    <x v="1"/>
    <x v="2"/>
    <s v="OC6"/>
    <n v="27534.363663235992"/>
  </r>
  <r>
    <x v="0"/>
    <x v="2"/>
    <x v="2"/>
    <s v="OC6"/>
    <n v="0"/>
  </r>
  <r>
    <x v="0"/>
    <x v="3"/>
    <x v="2"/>
    <s v="OC6"/>
    <n v="118704.1424492888"/>
  </r>
  <r>
    <x v="0"/>
    <x v="4"/>
    <x v="2"/>
    <s v="OC6"/>
    <n v="0"/>
  </r>
  <r>
    <x v="0"/>
    <x v="0"/>
    <x v="2"/>
    <s v="OC12"/>
    <n v="0"/>
  </r>
  <r>
    <x v="0"/>
    <x v="1"/>
    <x v="2"/>
    <s v="OC12"/>
    <n v="7431.08260690311"/>
  </r>
  <r>
    <x v="0"/>
    <x v="2"/>
    <x v="2"/>
    <s v="OC12"/>
    <n v="0"/>
  </r>
  <r>
    <x v="0"/>
    <x v="3"/>
    <x v="2"/>
    <s v="OC12"/>
    <n v="109018.09818640367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5350.15080249379"/>
  </r>
  <r>
    <x v="1"/>
    <x v="2"/>
    <x v="1"/>
    <s v="JB1-10"/>
    <n v="133223.25940412635"/>
  </r>
  <r>
    <x v="1"/>
    <x v="3"/>
    <x v="1"/>
    <s v="JB1-10"/>
    <n v="72634.276699211434"/>
  </r>
  <r>
    <x v="1"/>
    <x v="4"/>
    <x v="1"/>
    <s v="JB1-10"/>
    <n v="19220"/>
  </r>
  <r>
    <x v="1"/>
    <x v="0"/>
    <x v="1"/>
    <s v="OC6"/>
    <n v="0"/>
  </r>
  <r>
    <x v="1"/>
    <x v="1"/>
    <x v="1"/>
    <s v="OC6"/>
    <n v="6372.8973618357959"/>
  </r>
  <r>
    <x v="1"/>
    <x v="2"/>
    <x v="1"/>
    <s v="OC6"/>
    <n v="0"/>
  </r>
  <r>
    <x v="1"/>
    <x v="3"/>
    <x v="1"/>
    <s v="OC6"/>
    <n v="9388.5965256393793"/>
  </r>
  <r>
    <x v="1"/>
    <x v="4"/>
    <x v="1"/>
    <s v="OC6"/>
    <n v="0"/>
  </r>
  <r>
    <x v="1"/>
    <x v="0"/>
    <x v="1"/>
    <s v="OC12"/>
    <n v="0"/>
  </r>
  <r>
    <x v="1"/>
    <x v="1"/>
    <x v="1"/>
    <s v="OC12"/>
    <n v="4206.1784181686835"/>
  </r>
  <r>
    <x v="1"/>
    <x v="2"/>
    <x v="1"/>
    <s v="OC12"/>
    <n v="0"/>
  </r>
  <r>
    <x v="1"/>
    <x v="3"/>
    <x v="1"/>
    <s v="OC12"/>
    <n v="8344.6407885245098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34453.31552226411"/>
  </r>
  <r>
    <x v="1"/>
    <x v="2"/>
    <x v="2"/>
    <s v="JB1-10"/>
    <n v="144120.09468435613"/>
  </r>
  <r>
    <x v="1"/>
    <x v="3"/>
    <x v="2"/>
    <s v="JB1-10"/>
    <n v="72634.276699211434"/>
  </r>
  <r>
    <x v="1"/>
    <x v="4"/>
    <x v="2"/>
    <s v="JB1-10"/>
    <n v="19220"/>
  </r>
  <r>
    <x v="1"/>
    <x v="0"/>
    <x v="2"/>
    <s v="OC6"/>
    <n v="0"/>
  </r>
  <r>
    <x v="1"/>
    <x v="1"/>
    <x v="2"/>
    <s v="OC6"/>
    <n v="2967.6363367639988"/>
  </r>
  <r>
    <x v="1"/>
    <x v="2"/>
    <x v="2"/>
    <s v="OC6"/>
    <n v="0"/>
  </r>
  <r>
    <x v="1"/>
    <x v="3"/>
    <x v="2"/>
    <s v="OC6"/>
    <n v="12793.857550711176"/>
  </r>
  <r>
    <x v="1"/>
    <x v="4"/>
    <x v="2"/>
    <s v="OC6"/>
    <n v="0"/>
  </r>
  <r>
    <x v="1"/>
    <x v="0"/>
    <x v="2"/>
    <s v="OC12"/>
    <n v="0"/>
  </r>
  <r>
    <x v="1"/>
    <x v="1"/>
    <x v="2"/>
    <s v="OC12"/>
    <n v="800.91739309688637"/>
  </r>
  <r>
    <x v="1"/>
    <x v="2"/>
    <x v="2"/>
    <s v="OC12"/>
    <n v="0"/>
  </r>
  <r>
    <x v="1"/>
    <x v="3"/>
    <x v="2"/>
    <s v="OC12"/>
    <n v="11749.901813596309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344673.3939864142"/>
  </r>
  <r>
    <x v="1"/>
    <s v="Vestdanmark"/>
    <x v="15"/>
    <x v="1"/>
    <n v="9510350.8087802622"/>
  </r>
  <r>
    <x v="1"/>
    <s v="Vestdanmark"/>
    <x v="16"/>
    <x v="1"/>
    <n v="4429.7068635263258"/>
  </r>
  <r>
    <x v="1"/>
    <s v="Vestdanmark"/>
    <x v="17"/>
    <x v="1"/>
    <n v="1505476.5706157479"/>
  </r>
  <r>
    <x v="1"/>
    <s v="Vestdanmark"/>
    <x v="18"/>
    <x v="1"/>
    <n v="195082.24112879002"/>
  </r>
  <r>
    <x v="1"/>
    <s v="Vestdanmark"/>
    <x v="19"/>
    <x v="1"/>
    <n v="517960.35709807038"/>
  </r>
  <r>
    <x v="1"/>
    <s v="Vestdanmark"/>
    <x v="20"/>
    <x v="1"/>
    <n v="1444885.6485119169"/>
  </r>
  <r>
    <x v="1"/>
    <s v="Vestdanmark"/>
    <x v="21"/>
    <x v="1"/>
    <n v="71710.809021932539"/>
  </r>
  <r>
    <x v="1"/>
    <s v="Vestdanmark"/>
    <x v="22"/>
    <x v="1"/>
    <n v="56123.823182797991"/>
  </r>
  <r>
    <x v="1"/>
    <s v="Vestdanmark"/>
    <x v="0"/>
    <x v="1"/>
    <n v="2907.9932175110234"/>
  </r>
  <r>
    <x v="1"/>
    <s v="Vestdanmark"/>
    <x v="23"/>
    <x v="1"/>
    <n v="66507.389797586569"/>
  </r>
  <r>
    <x v="1"/>
    <s v="Vestdanmark"/>
    <x v="24"/>
    <x v="1"/>
    <n v="255311.1988813775"/>
  </r>
  <r>
    <x v="1"/>
    <s v="Vestdanmark"/>
    <x v="25"/>
    <x v="1"/>
    <n v="21893.59180227204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5837091.1330279922"/>
  </r>
  <r>
    <x v="1"/>
    <s v="Vestdanmark"/>
    <x v="15"/>
    <x v="2"/>
    <n v="8675656.8983039409"/>
  </r>
  <r>
    <x v="1"/>
    <s v="Vestdanmark"/>
    <x v="16"/>
    <x v="2"/>
    <n v="5033.5543916049382"/>
  </r>
  <r>
    <x v="1"/>
    <s v="Vestdanmark"/>
    <x v="17"/>
    <x v="2"/>
    <n v="1558636.1641980347"/>
  </r>
  <r>
    <x v="1"/>
    <s v="Vestdanmark"/>
    <x v="18"/>
    <x v="2"/>
    <n v="197484.23354298095"/>
  </r>
  <r>
    <x v="1"/>
    <s v="Vestdanmark"/>
    <x v="19"/>
    <x v="2"/>
    <n v="505376.89995851181"/>
  </r>
  <r>
    <x v="1"/>
    <s v="Vestdanmark"/>
    <x v="20"/>
    <x v="2"/>
    <n v="1721684.5481156046"/>
  </r>
  <r>
    <x v="1"/>
    <s v="Vestdanmark"/>
    <x v="21"/>
    <x v="2"/>
    <n v="489320.81450259848"/>
  </r>
  <r>
    <x v="1"/>
    <s v="Vestdanmark"/>
    <x v="22"/>
    <x v="2"/>
    <n v="53710.696431305973"/>
  </r>
  <r>
    <x v="1"/>
    <s v="Vestdanmark"/>
    <x v="0"/>
    <x v="2"/>
    <n v="2873.5276646840043"/>
  </r>
  <r>
    <x v="1"/>
    <s v="Vestdanmark"/>
    <x v="23"/>
    <x v="2"/>
    <n v="65221.076812905056"/>
  </r>
  <r>
    <x v="1"/>
    <s v="Vestdanmark"/>
    <x v="24"/>
    <x v="2"/>
    <n v="250485.69494585399"/>
  </r>
  <r>
    <x v="1"/>
    <s v="Vestdanmark"/>
    <x v="25"/>
    <x v="2"/>
    <n v="21741.204425481588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064221.9862591927"/>
  </r>
  <r>
    <x v="1"/>
    <s v="Østdanmark"/>
    <x v="15"/>
    <x v="1"/>
    <n v="675938.7667066186"/>
  </r>
  <r>
    <x v="1"/>
    <s v="Østdanmark"/>
    <x v="16"/>
    <x v="1"/>
    <n v="371.78366199613299"/>
  </r>
  <r>
    <x v="1"/>
    <s v="Østdanmark"/>
    <x v="17"/>
    <x v="1"/>
    <n v="1268113.1830084329"/>
  </r>
  <r>
    <x v="1"/>
    <s v="Østdanmark"/>
    <x v="18"/>
    <x v="1"/>
    <n v="168912.75887120995"/>
  </r>
  <r>
    <x v="1"/>
    <s v="Østdanmark"/>
    <x v="19"/>
    <x v="1"/>
    <n v="202446.64290192959"/>
  </r>
  <r>
    <x v="1"/>
    <s v="Østdanmark"/>
    <x v="20"/>
    <x v="1"/>
    <n v="197023.17776073213"/>
  </r>
  <r>
    <x v="1"/>
    <s v="Østdanmark"/>
    <x v="21"/>
    <x v="1"/>
    <n v="8801.8668339788037"/>
  </r>
  <r>
    <x v="1"/>
    <s v="Østdanmark"/>
    <x v="22"/>
    <x v="1"/>
    <n v="19810.176817202024"/>
  </r>
  <r>
    <x v="1"/>
    <s v="Østdanmark"/>
    <x v="0"/>
    <x v="1"/>
    <n v="878.00678248897611"/>
  </r>
  <r>
    <x v="1"/>
    <s v="Østdanmark"/>
    <x v="23"/>
    <x v="1"/>
    <n v="19169.610202413449"/>
  </r>
  <r>
    <x v="1"/>
    <s v="Østdanmark"/>
    <x v="24"/>
    <x v="1"/>
    <n v="74714.80111862249"/>
  </r>
  <r>
    <x v="1"/>
    <s v="Østdanmark"/>
    <x v="25"/>
    <x v="1"/>
    <n v="6751.408197727966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845777.6658459896"/>
  </r>
  <r>
    <x v="1"/>
    <s v="Østdanmark"/>
    <x v="15"/>
    <x v="2"/>
    <n v="616613.7235227226"/>
  </r>
  <r>
    <x v="1"/>
    <s v="Østdanmark"/>
    <x v="16"/>
    <x v="2"/>
    <n v="422.46436214017427"/>
  </r>
  <r>
    <x v="1"/>
    <s v="Østdanmark"/>
    <x v="17"/>
    <x v="2"/>
    <n v="1327153.3220649515"/>
  </r>
  <r>
    <x v="1"/>
    <s v="Østdanmark"/>
    <x v="18"/>
    <x v="2"/>
    <n v="172292.76645701908"/>
  </r>
  <r>
    <x v="1"/>
    <s v="Østdanmark"/>
    <x v="19"/>
    <x v="2"/>
    <n v="202030.10004148821"/>
  </r>
  <r>
    <x v="1"/>
    <s v="Østdanmark"/>
    <x v="20"/>
    <x v="2"/>
    <n v="239085.78047095265"/>
  </r>
  <r>
    <x v="1"/>
    <s v="Østdanmark"/>
    <x v="21"/>
    <x v="2"/>
    <n v="60059.797220090688"/>
  </r>
  <r>
    <x v="1"/>
    <s v="Østdanmark"/>
    <x v="22"/>
    <x v="2"/>
    <n v="22223.303568694027"/>
  </r>
  <r>
    <x v="1"/>
    <s v="Østdanmark"/>
    <x v="0"/>
    <x v="2"/>
    <n v="912.47233531599591"/>
  </r>
  <r>
    <x v="1"/>
    <s v="Østdanmark"/>
    <x v="23"/>
    <x v="2"/>
    <n v="20455.923187094944"/>
  </r>
  <r>
    <x v="1"/>
    <s v="Østdanmark"/>
    <x v="24"/>
    <x v="2"/>
    <n v="79540.305054146011"/>
  </r>
  <r>
    <x v="1"/>
    <s v="Østdanmark"/>
    <x v="25"/>
    <x v="2"/>
    <n v="6903.7955745184099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586010.9951558355"/>
  </r>
  <r>
    <x v="2"/>
    <s v="Vestdanmark"/>
    <x v="22"/>
    <x v="1"/>
    <n v="765718.007862392"/>
  </r>
  <r>
    <x v="2"/>
    <s v="Vestdanmark"/>
    <x v="2"/>
    <x v="1"/>
    <n v="0"/>
  </r>
  <r>
    <x v="2"/>
    <s v="Vestdanmark"/>
    <x v="5"/>
    <x v="1"/>
    <n v="61054.422265523077"/>
  </r>
  <r>
    <x v="2"/>
    <s v="Vestdanmark"/>
    <x v="25"/>
    <x v="1"/>
    <n v="868637.91677766922"/>
  </r>
  <r>
    <x v="2"/>
    <s v="Vestdanmark"/>
    <x v="24"/>
    <x v="1"/>
    <n v="3994630.6402774388"/>
  </r>
  <r>
    <x v="2"/>
    <s v="Vestdanmark"/>
    <x v="28"/>
    <x v="1"/>
    <n v="91830.748952480033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49098.107862087"/>
  </r>
  <r>
    <x v="2"/>
    <s v="Vestdanmark"/>
    <x v="29"/>
    <x v="1"/>
    <n v="1510478.9155088854"/>
  </r>
  <r>
    <x v="2"/>
    <s v="Vestdanmark"/>
    <x v="30"/>
    <x v="1"/>
    <n v="513062.37197918544"/>
  </r>
  <r>
    <x v="2"/>
    <s v="Vestdanmark"/>
    <x v="31"/>
    <x v="1"/>
    <n v="245327.76946691994"/>
  </r>
  <r>
    <x v="2"/>
    <s v="Vestdanmark"/>
    <x v="32"/>
    <x v="1"/>
    <n v="38482.787367359997"/>
  </r>
  <r>
    <x v="2"/>
    <s v="Vestdanmark"/>
    <x v="33"/>
    <x v="1"/>
    <n v="4823433.985552296"/>
  </r>
  <r>
    <x v="2"/>
    <s v="Vestdanmark"/>
    <x v="0"/>
    <x v="2"/>
    <n v="4116008.1016937736"/>
  </r>
  <r>
    <x v="2"/>
    <s v="Vestdanmark"/>
    <x v="22"/>
    <x v="2"/>
    <n v="765718.007862392"/>
  </r>
  <r>
    <x v="2"/>
    <s v="Vestdanmark"/>
    <x v="2"/>
    <x v="2"/>
    <n v="0"/>
  </r>
  <r>
    <x v="2"/>
    <s v="Vestdanmark"/>
    <x v="5"/>
    <x v="2"/>
    <n v="61054.422265523077"/>
  </r>
  <r>
    <x v="2"/>
    <s v="Vestdanmark"/>
    <x v="25"/>
    <x v="2"/>
    <n v="868637.91677766922"/>
  </r>
  <r>
    <x v="2"/>
    <s v="Vestdanmark"/>
    <x v="24"/>
    <x v="2"/>
    <n v="1547919.3731075076"/>
  </r>
  <r>
    <x v="2"/>
    <s v="Vestdanmark"/>
    <x v="28"/>
    <x v="2"/>
    <n v="65593.392108914311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49098.107862087"/>
  </r>
  <r>
    <x v="2"/>
    <s v="Vestdanmark"/>
    <x v="29"/>
    <x v="2"/>
    <n v="1510478.9155088854"/>
  </r>
  <r>
    <x v="2"/>
    <s v="Vestdanmark"/>
    <x v="30"/>
    <x v="2"/>
    <n v="1710207.9065972848"/>
  </r>
  <r>
    <x v="2"/>
    <s v="Vestdanmark"/>
    <x v="31"/>
    <x v="2"/>
    <n v="837000.62524007983"/>
  </r>
  <r>
    <x v="2"/>
    <s v="Vestdanmark"/>
    <x v="32"/>
    <x v="2"/>
    <n v="38482.787367359997"/>
  </r>
  <r>
    <x v="2"/>
    <s v="Vestdanmark"/>
    <x v="33"/>
    <x v="2"/>
    <n v="4823433.98555229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685633.38753388484"/>
  </r>
  <r>
    <x v="2"/>
    <s v="Østdanmark"/>
    <x v="22"/>
    <x v="1"/>
    <n v="93985.105307108941"/>
  </r>
  <r>
    <x v="2"/>
    <s v="Østdanmark"/>
    <x v="2"/>
    <x v="1"/>
    <n v="0"/>
  </r>
  <r>
    <x v="2"/>
    <s v="Østdanmark"/>
    <x v="5"/>
    <x v="1"/>
    <n v="7493.8897181076927"/>
  </r>
  <r>
    <x v="2"/>
    <s v="Østdanmark"/>
    <x v="25"/>
    <x v="1"/>
    <n v="106617.61280762308"/>
  </r>
  <r>
    <x v="2"/>
    <s v="Østdanmark"/>
    <x v="24"/>
    <x v="1"/>
    <n v="490305.54007415898"/>
  </r>
  <r>
    <x v="2"/>
    <s v="Østdanmark"/>
    <x v="28"/>
    <x v="1"/>
    <n v="11271.411305610249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3468.3313748275"/>
  </r>
  <r>
    <x v="2"/>
    <s v="Østdanmark"/>
    <x v="29"/>
    <x v="1"/>
    <n v="185397.91213031334"/>
  </r>
  <r>
    <x v="2"/>
    <s v="Østdanmark"/>
    <x v="30"/>
    <x v="1"/>
    <n v="62973.863177375555"/>
  </r>
  <r>
    <x v="2"/>
    <s v="Østdanmark"/>
    <x v="31"/>
    <x v="1"/>
    <n v="30111.811412759998"/>
  </r>
  <r>
    <x v="2"/>
    <s v="Østdanmark"/>
    <x v="32"/>
    <x v="1"/>
    <n v="4723.4213980800005"/>
  </r>
  <r>
    <x v="2"/>
    <s v="Østdanmark"/>
    <x v="33"/>
    <x v="1"/>
    <n v="592033.81195063831"/>
  </r>
  <r>
    <x v="2"/>
    <s v="Østdanmark"/>
    <x v="0"/>
    <x v="2"/>
    <n v="505203.54870917852"/>
  </r>
  <r>
    <x v="2"/>
    <s v="Østdanmark"/>
    <x v="22"/>
    <x v="2"/>
    <n v="93985.105307108985"/>
  </r>
  <r>
    <x v="2"/>
    <s v="Østdanmark"/>
    <x v="2"/>
    <x v="2"/>
    <n v="0"/>
  </r>
  <r>
    <x v="2"/>
    <s v="Østdanmark"/>
    <x v="5"/>
    <x v="2"/>
    <n v="7493.8897181076945"/>
  </r>
  <r>
    <x v="2"/>
    <s v="Østdanmark"/>
    <x v="25"/>
    <x v="2"/>
    <n v="106617.61280762311"/>
  </r>
  <r>
    <x v="2"/>
    <s v="Østdanmark"/>
    <x v="24"/>
    <x v="2"/>
    <n v="189993.39677873664"/>
  </r>
  <r>
    <x v="2"/>
    <s v="Østdanmark"/>
    <x v="28"/>
    <x v="2"/>
    <n v="8051.0080754358942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3468.3313748278"/>
  </r>
  <r>
    <x v="2"/>
    <s v="Østdanmark"/>
    <x v="29"/>
    <x v="2"/>
    <n v="185397.9121303134"/>
  </r>
  <r>
    <x v="2"/>
    <s v="Østdanmark"/>
    <x v="30"/>
    <x v="2"/>
    <n v="209912.87725791859"/>
  </r>
  <r>
    <x v="2"/>
    <s v="Østdanmark"/>
    <x v="31"/>
    <x v="2"/>
    <n v="102734.41540824002"/>
  </r>
  <r>
    <x v="2"/>
    <s v="Østdanmark"/>
    <x v="32"/>
    <x v="2"/>
    <n v="4723.4213980800014"/>
  </r>
  <r>
    <x v="2"/>
    <s v="Østdanmark"/>
    <x v="33"/>
    <x v="2"/>
    <n v="592033.81195063854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443113.2750780443"/>
  </r>
  <r>
    <x v="3"/>
    <s v="Vestdanmark"/>
    <x v="34"/>
    <x v="1"/>
    <n v="51065.399563925908"/>
  </r>
  <r>
    <x v="3"/>
    <s v="Vestdanmark"/>
    <x v="35"/>
    <x v="1"/>
    <n v="139642.05031935725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85672.01341585245"/>
  </r>
  <r>
    <x v="3"/>
    <s v="Østdanmark"/>
    <x v="34"/>
    <x v="1"/>
    <n v="15298.317515698101"/>
  </r>
  <r>
    <x v="3"/>
    <s v="Østdanmark"/>
    <x v="35"/>
    <x v="1"/>
    <n v="39553.070036709789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472255.64073919144"/>
  </r>
  <r>
    <x v="3"/>
    <s v="Vestdanmark"/>
    <x v="34"/>
    <x v="2"/>
    <n v="44992.387003843709"/>
  </r>
  <r>
    <x v="3"/>
    <s v="Vestdanmark"/>
    <x v="35"/>
    <x v="2"/>
    <n v="114761.6251294364"/>
  </r>
  <r>
    <x v="3"/>
    <s v="Vestdanmark"/>
    <x v="36"/>
    <x v="2"/>
    <n v="2021010.5366921518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7813.57485660876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418238.08357116987"/>
  </r>
  <r>
    <x v="3"/>
    <s v="Østdanmark"/>
    <x v="34"/>
    <x v="2"/>
    <n v="14287.076106974937"/>
  </r>
  <r>
    <x v="3"/>
    <s v="Østdanmark"/>
    <x v="35"/>
    <x v="2"/>
    <n v="36441.900098439175"/>
  </r>
  <r>
    <x v="3"/>
    <s v="Østdanmark"/>
    <x v="36"/>
    <x v="2"/>
    <n v="588379.46402837499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2120.99079899571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6513200.9342898391"/>
  </r>
  <r>
    <x v="5"/>
    <s v="Vestdanmark"/>
    <x v="15"/>
    <x v="1"/>
    <n v="3003268.6764569245"/>
  </r>
  <r>
    <x v="5"/>
    <s v="Vestdanmark"/>
    <x v="16"/>
    <x v="1"/>
    <n v="4429.7068635263258"/>
  </r>
  <r>
    <x v="5"/>
    <s v="Vestdanmark"/>
    <x v="20"/>
    <x v="1"/>
    <n v="546992.42407951143"/>
  </r>
  <r>
    <x v="5"/>
    <s v="Vestdanmark"/>
    <x v="38"/>
    <x v="1"/>
    <n v="16889344.422970317"/>
  </r>
  <r>
    <x v="5"/>
    <s v="Vestdanmark"/>
    <x v="39"/>
    <x v="1"/>
    <n v="515977.71922257601"/>
  </r>
  <r>
    <x v="5"/>
    <s v="Vestdanmark"/>
    <x v="14"/>
    <x v="2"/>
    <n v="5176288.3632512381"/>
  </r>
  <r>
    <x v="5"/>
    <s v="Vestdanmark"/>
    <x v="15"/>
    <x v="2"/>
    <n v="2739681.1257801917"/>
  </r>
  <r>
    <x v="5"/>
    <s v="Vestdanmark"/>
    <x v="16"/>
    <x v="2"/>
    <n v="5033.5543916049382"/>
  </r>
  <r>
    <x v="5"/>
    <s v="Vestdanmark"/>
    <x v="20"/>
    <x v="2"/>
    <n v="651780.57892947888"/>
  </r>
  <r>
    <x v="5"/>
    <s v="Vestdanmark"/>
    <x v="38"/>
    <x v="2"/>
    <n v="15183219.854366822"/>
  </r>
  <r>
    <x v="5"/>
    <s v="Vestdanmark"/>
    <x v="39"/>
    <x v="2"/>
    <n v="421885.5095768742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943744.02555060491"/>
  </r>
  <r>
    <x v="5"/>
    <s v="Østdanmark"/>
    <x v="15"/>
    <x v="1"/>
    <n v="213454.34738103743"/>
  </r>
  <r>
    <x v="5"/>
    <s v="Østdanmark"/>
    <x v="16"/>
    <x v="1"/>
    <n v="371.78366199613299"/>
  </r>
  <r>
    <x v="5"/>
    <s v="Østdanmark"/>
    <x v="20"/>
    <x v="1"/>
    <n v="74587.345866562871"/>
  </r>
  <r>
    <x v="5"/>
    <s v="Østdanmark"/>
    <x v="38"/>
    <x v="1"/>
    <n v="2988609.6405701884"/>
  </r>
  <r>
    <x v="5"/>
    <s v="Østdanmark"/>
    <x v="39"/>
    <x v="1"/>
    <n v="321487.6679216951"/>
  </r>
  <r>
    <x v="5"/>
    <s v="Østdanmark"/>
    <x v="14"/>
    <x v="2"/>
    <n v="750029.25084455672"/>
  </r>
  <r>
    <x v="5"/>
    <s v="Østdanmark"/>
    <x v="15"/>
    <x v="2"/>
    <n v="194720.12321770185"/>
  </r>
  <r>
    <x v="5"/>
    <s v="Østdanmark"/>
    <x v="16"/>
    <x v="2"/>
    <n v="422.46436214017427"/>
  </r>
  <r>
    <x v="5"/>
    <s v="Østdanmark"/>
    <x v="20"/>
    <x v="2"/>
    <n v="90511.045464003502"/>
  </r>
  <r>
    <x v="5"/>
    <s v="Østdanmark"/>
    <x v="38"/>
    <x v="2"/>
    <n v="2820438.968055354"/>
  </r>
  <r>
    <x v="5"/>
    <s v="Østdanmark"/>
    <x v="39"/>
    <x v="2"/>
    <n v="292821.84527900093"/>
  </r>
  <r>
    <x v="6"/>
    <s v="Vestdanmark"/>
    <x v="23"/>
    <x v="0"/>
    <n v="0"/>
  </r>
  <r>
    <x v="6"/>
    <s v="Vestdanmark"/>
    <x v="23"/>
    <x v="1"/>
    <n v="1467522.4438828453"/>
  </r>
  <r>
    <x v="6"/>
    <s v="Vestdanmark"/>
    <x v="23"/>
    <x v="2"/>
    <n v="5006841.2791297073"/>
  </r>
  <r>
    <x v="6"/>
    <s v="Østdanmark"/>
    <x v="23"/>
    <x v="0"/>
    <n v="0"/>
  </r>
  <r>
    <x v="6"/>
    <s v="Østdanmark"/>
    <x v="23"/>
    <x v="1"/>
    <n v="180125.38560234805"/>
  </r>
  <r>
    <x v="6"/>
    <s v="Østdanmark"/>
    <x v="23"/>
    <x v="2"/>
    <n v="614545.43323154061"/>
  </r>
  <r>
    <x v="7"/>
    <s v="Vestdanmark"/>
    <x v="40"/>
    <x v="0"/>
    <n v="484833.6848947219"/>
  </r>
  <r>
    <x v="7"/>
    <s v="Vestdanmark"/>
    <x v="40"/>
    <x v="1"/>
    <n v="159579.37363726847"/>
  </r>
  <r>
    <x v="7"/>
    <s v="Vestdanmark"/>
    <x v="40"/>
    <x v="2"/>
    <n v="140601.20938701159"/>
  </r>
  <r>
    <x v="7"/>
    <s v="Østdanmark"/>
    <x v="40"/>
    <x v="0"/>
    <n v="193574.13238370849"/>
  </r>
  <r>
    <x v="7"/>
    <s v="Østdanmark"/>
    <x v="40"/>
    <x v="1"/>
    <n v="47807.242236556565"/>
  </r>
  <r>
    <x v="7"/>
    <s v="Østdanmark"/>
    <x v="40"/>
    <x v="2"/>
    <n v="44647.112834296677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6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N37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63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L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1">
    <i>
      <x v="2"/>
    </i>
    <i>
      <x v="8"/>
    </i>
    <i>
      <x v="10"/>
    </i>
    <i>
      <x v="13"/>
    </i>
    <i>
      <x v="14"/>
    </i>
    <i>
      <x v="18"/>
    </i>
    <i>
      <x v="32"/>
    </i>
    <i>
      <x v="36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9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62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B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7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6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60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6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6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6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6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6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6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6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2" t="s">
        <v>272</v>
      </c>
      <c r="B1" s="422"/>
      <c r="D1" s="75" t="s">
        <v>285</v>
      </c>
    </row>
    <row r="2" spans="1:6" x14ac:dyDescent="0.25">
      <c r="A2" s="6" t="s">
        <v>0</v>
      </c>
      <c r="B2" s="223" t="s">
        <v>340</v>
      </c>
    </row>
    <row r="4" spans="1:6" ht="30" customHeight="1" thickBot="1" x14ac:dyDescent="0.3">
      <c r="A4" s="421" t="s">
        <v>271</v>
      </c>
      <c r="B4" s="421"/>
      <c r="D4" s="75"/>
    </row>
    <row r="5" spans="1:6" ht="15.75" thickTop="1" x14ac:dyDescent="0.25">
      <c r="A5" s="255" t="s">
        <v>85</v>
      </c>
      <c r="B5" s="254" t="s">
        <v>305</v>
      </c>
      <c r="D5" s="211" t="s">
        <v>43</v>
      </c>
      <c r="E5" s="212"/>
      <c r="F5" s="12"/>
    </row>
    <row r="6" spans="1:6" x14ac:dyDescent="0.25">
      <c r="A6" s="205" t="s">
        <v>83</v>
      </c>
      <c r="B6" s="206" t="s">
        <v>258</v>
      </c>
      <c r="D6" s="213" t="str" cm="1">
        <f t="array" ref="D6">[1]!Jordbund1</f>
        <v>JB1-10</v>
      </c>
      <c r="E6" s="214" t="s">
        <v>44</v>
      </c>
      <c r="F6" s="12"/>
    </row>
    <row r="7" spans="1:6" x14ac:dyDescent="0.25">
      <c r="A7" s="205"/>
      <c r="B7" s="206" t="s">
        <v>2</v>
      </c>
      <c r="D7" s="213" t="str" cm="1">
        <f t="array" ref="D7">[1]!Organ6</f>
        <v>OC6</v>
      </c>
      <c r="E7" s="214" t="s">
        <v>45</v>
      </c>
      <c r="F7" s="12"/>
    </row>
    <row r="8" spans="1:6" x14ac:dyDescent="0.25">
      <c r="A8" s="221" t="s">
        <v>91</v>
      </c>
      <c r="B8" s="206" t="s">
        <v>259</v>
      </c>
      <c r="D8" s="213" t="str" cm="1">
        <f t="array" ref="D8">[1]!Organ12</f>
        <v>OC12</v>
      </c>
      <c r="E8" s="214" t="s">
        <v>46</v>
      </c>
      <c r="F8" s="12"/>
    </row>
    <row r="9" spans="1:6" x14ac:dyDescent="0.25">
      <c r="A9" s="207" t="s">
        <v>92</v>
      </c>
      <c r="B9" s="206" t="s">
        <v>260</v>
      </c>
      <c r="D9" s="213"/>
      <c r="E9" s="214"/>
      <c r="F9" s="12"/>
    </row>
    <row r="10" spans="1:6" x14ac:dyDescent="0.25">
      <c r="A10" s="205"/>
      <c r="B10" s="206"/>
      <c r="D10" s="215" t="s">
        <v>47</v>
      </c>
      <c r="E10" s="214"/>
      <c r="F10" s="12"/>
    </row>
    <row r="11" spans="1:6" x14ac:dyDescent="0.25">
      <c r="A11" s="221" t="s">
        <v>68</v>
      </c>
      <c r="B11" s="222" t="s">
        <v>261</v>
      </c>
      <c r="D11" s="213" t="str" cm="1">
        <f t="array" ref="D11">[1]!Bebyg</f>
        <v>Bebyggelse &amp; infrastruktur</v>
      </c>
      <c r="E11" s="214"/>
      <c r="F11" s="12"/>
    </row>
    <row r="12" spans="1:6" x14ac:dyDescent="0.25">
      <c r="A12" s="205" t="s">
        <v>255</v>
      </c>
      <c r="B12" s="206" t="s">
        <v>262</v>
      </c>
      <c r="D12" s="213" t="str" cm="1">
        <f t="array" ref="D12">[1]!Afgrøder</f>
        <v>Landbrugsafgrøder</v>
      </c>
      <c r="E12" s="214"/>
      <c r="F12" s="12"/>
    </row>
    <row r="13" spans="1:6" x14ac:dyDescent="0.25">
      <c r="A13" s="205"/>
      <c r="B13" s="206"/>
      <c r="D13" s="213" t="str" cm="1">
        <f t="array" ref="D13">[1]!SkovAreal</f>
        <v>Skov</v>
      </c>
      <c r="E13" s="214"/>
      <c r="F13" s="12"/>
    </row>
    <row r="14" spans="1:6" x14ac:dyDescent="0.25">
      <c r="A14" s="221" t="s">
        <v>69</v>
      </c>
      <c r="B14" s="222" t="s">
        <v>263</v>
      </c>
      <c r="D14" s="213" t="str" cm="1">
        <f t="array" ref="D14">[1]!NaturAreal</f>
        <v>Natur</v>
      </c>
      <c r="E14" s="214"/>
      <c r="F14" s="12"/>
    </row>
    <row r="15" spans="1:6" x14ac:dyDescent="0.25">
      <c r="A15" s="205" t="s">
        <v>70</v>
      </c>
      <c r="B15" s="206" t="s">
        <v>264</v>
      </c>
      <c r="D15" s="213" t="str" cm="1">
        <f t="array" ref="D15">[1]!IKareal</f>
        <v>Ikke klassificeret</v>
      </c>
      <c r="E15" s="214"/>
      <c r="F15" s="12"/>
    </row>
    <row r="16" spans="1:6" x14ac:dyDescent="0.25">
      <c r="A16" s="205" t="s">
        <v>71</v>
      </c>
      <c r="B16" s="206"/>
      <c r="D16" s="216"/>
      <c r="E16" s="214"/>
    </row>
    <row r="17" spans="1:5" x14ac:dyDescent="0.25">
      <c r="A17" s="205" t="s">
        <v>72</v>
      </c>
      <c r="B17" s="222" t="s">
        <v>268</v>
      </c>
      <c r="D17" s="217" t="s">
        <v>93</v>
      </c>
      <c r="E17" s="214"/>
    </row>
    <row r="18" spans="1:5" x14ac:dyDescent="0.25">
      <c r="A18" s="205" t="s">
        <v>73</v>
      </c>
      <c r="B18" s="423" t="s">
        <v>273</v>
      </c>
      <c r="D18" s="213" cm="1">
        <f t="array" ref="D18">[1]!År1</f>
        <v>2019</v>
      </c>
      <c r="E18" s="214"/>
    </row>
    <row r="19" spans="1:5" x14ac:dyDescent="0.25">
      <c r="A19" s="205" t="s">
        <v>256</v>
      </c>
      <c r="B19" s="423"/>
      <c r="D19" s="213" cm="1">
        <f t="array" ref="D19">[1]!År2</f>
        <v>2030</v>
      </c>
      <c r="E19" s="214"/>
    </row>
    <row r="20" spans="1:5" ht="15.75" thickBot="1" x14ac:dyDescent="0.3">
      <c r="A20" s="205" t="s">
        <v>257</v>
      </c>
      <c r="B20" s="206"/>
      <c r="D20" s="218" cm="1">
        <f t="array" ref="D20">[1]!År3</f>
        <v>2050</v>
      </c>
      <c r="E20" s="219"/>
    </row>
    <row r="21" spans="1:5" ht="15.75" thickTop="1" x14ac:dyDescent="0.25">
      <c r="A21" s="205" t="s">
        <v>74</v>
      </c>
      <c r="B21" s="206"/>
    </row>
    <row r="22" spans="1:5" x14ac:dyDescent="0.25">
      <c r="A22" s="205"/>
      <c r="B22" s="206"/>
    </row>
    <row r="23" spans="1:5" x14ac:dyDescent="0.25">
      <c r="A23" s="256" t="s">
        <v>306</v>
      </c>
      <c r="B23" s="206"/>
    </row>
    <row r="24" spans="1:5" ht="15.75" thickBot="1" x14ac:dyDescent="0.3">
      <c r="A24" s="208" t="s">
        <v>1</v>
      </c>
      <c r="B24" s="209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zoomScale="70" zoomScaleNormal="70" workbookViewId="0">
      <selection activeCell="R55" sqref="R55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3" t="s">
        <v>299</v>
      </c>
      <c r="B1" s="252"/>
      <c r="C1" s="424" t="s">
        <v>298</v>
      </c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</row>
    <row r="2" spans="1:18" ht="15" customHeight="1" x14ac:dyDescent="0.25">
      <c r="A2" s="252"/>
      <c r="B2" s="252"/>
      <c r="C2" s="424"/>
      <c r="D2" s="424"/>
      <c r="E2" s="424"/>
      <c r="F2" s="424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</row>
    <row r="3" spans="1:18" x14ac:dyDescent="0.25">
      <c r="A3" s="75"/>
    </row>
    <row r="34" spans="16:18" ht="15.75" x14ac:dyDescent="0.25">
      <c r="P34" s="341" t="s">
        <v>93</v>
      </c>
      <c r="Q34" s="341" t="s">
        <v>337</v>
      </c>
      <c r="R34" s="341" t="s">
        <v>338</v>
      </c>
    </row>
    <row r="35" spans="16:18" ht="15.75" x14ac:dyDescent="0.25">
      <c r="P35" s="341">
        <v>1990</v>
      </c>
      <c r="Q35" s="344">
        <v>20000000</v>
      </c>
      <c r="R35" s="343"/>
    </row>
    <row r="36" spans="16:18" ht="15.75" x14ac:dyDescent="0.25">
      <c r="P36" s="341">
        <f>År1</f>
        <v>2019</v>
      </c>
      <c r="Q36" s="342">
        <f>GETPIVOTDATA("Total",'CO2-pivot'!$A$1,"År",P36,"Sted2","CO2 - atmosfære")</f>
        <v>13911562.11827757</v>
      </c>
      <c r="R36" s="343">
        <f>1-Q36/$Q$35</f>
        <v>0.30442189408612153</v>
      </c>
    </row>
    <row r="37" spans="16:18" ht="15.75" x14ac:dyDescent="0.25">
      <c r="P37" s="341">
        <f>År2</f>
        <v>2030</v>
      </c>
      <c r="Q37" s="342">
        <f>GETPIVOTDATA("Total",'CO2-pivot'!$A$1,"År",P37,"Sted2","CO2 - atmosfære")</f>
        <v>11139467.915958788</v>
      </c>
      <c r="R37" s="343">
        <f t="shared" ref="R37:R38" si="0">1-Q37/$Q$35</f>
        <v>0.44302660420206064</v>
      </c>
    </row>
    <row r="38" spans="16:18" ht="15.75" x14ac:dyDescent="0.25">
      <c r="P38" s="341">
        <f>År3</f>
        <v>2050</v>
      </c>
      <c r="Q38" s="342">
        <f>GETPIVOTDATA("Total",'CO2-pivot'!$A$1,"År",P38,"Sted2","CO2 - atmosfære")</f>
        <v>7863554.1946581304</v>
      </c>
      <c r="R38" s="343">
        <f t="shared" si="0"/>
        <v>0.60682229026709344</v>
      </c>
    </row>
    <row r="123" spans="3:3" x14ac:dyDescent="0.25">
      <c r="C123" s="180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9" customFormat="1" x14ac:dyDescent="0.25">
      <c r="A1" s="169" t="s">
        <v>339</v>
      </c>
    </row>
    <row r="2" spans="1:1" x14ac:dyDescent="0.25">
      <c r="A2" s="107">
        <v>2019</v>
      </c>
    </row>
    <row r="3" spans="1:1" x14ac:dyDescent="0.25">
      <c r="A3" s="379">
        <v>2030</v>
      </c>
    </row>
    <row r="4" spans="1:1" x14ac:dyDescent="0.25">
      <c r="A4" s="368">
        <v>2050</v>
      </c>
    </row>
    <row r="5" spans="1:1" x14ac:dyDescent="0.25">
      <c r="A5" s="358" t="s">
        <v>15</v>
      </c>
    </row>
    <row r="6" spans="1:1" x14ac:dyDescent="0.25">
      <c r="A6" s="380" t="s">
        <v>49</v>
      </c>
    </row>
    <row r="7" spans="1:1" x14ac:dyDescent="0.25">
      <c r="A7" s="378" t="s">
        <v>182</v>
      </c>
    </row>
    <row r="8" spans="1:1" x14ac:dyDescent="0.25">
      <c r="A8" s="369" t="s">
        <v>32</v>
      </c>
    </row>
    <row r="9" spans="1:1" x14ac:dyDescent="0.25">
      <c r="A9" s="356" t="s">
        <v>102</v>
      </c>
    </row>
    <row r="10" spans="1:1" x14ac:dyDescent="0.25">
      <c r="A10" s="381" t="s">
        <v>109</v>
      </c>
    </row>
    <row r="11" spans="1:1" x14ac:dyDescent="0.25">
      <c r="A11" s="370" t="s">
        <v>263</v>
      </c>
    </row>
    <row r="12" spans="1:1" x14ac:dyDescent="0.25">
      <c r="A12" s="382" t="s">
        <v>110</v>
      </c>
    </row>
    <row r="13" spans="1:1" x14ac:dyDescent="0.25">
      <c r="A13" s="356" t="s">
        <v>230</v>
      </c>
    </row>
    <row r="14" spans="1:1" s="169" customFormat="1" x14ac:dyDescent="0.25">
      <c r="A14" s="383" t="s">
        <v>208</v>
      </c>
    </row>
    <row r="15" spans="1:1" x14ac:dyDescent="0.25">
      <c r="A15" s="361" t="s">
        <v>111</v>
      </c>
    </row>
    <row r="16" spans="1:1" x14ac:dyDescent="0.25">
      <c r="A16" s="384" t="s">
        <v>101</v>
      </c>
    </row>
    <row r="17" spans="1:1" x14ac:dyDescent="0.25">
      <c r="A17" s="385" t="s">
        <v>204</v>
      </c>
    </row>
    <row r="18" spans="1:1" x14ac:dyDescent="0.25">
      <c r="A18" s="386" t="s">
        <v>19</v>
      </c>
    </row>
    <row r="19" spans="1:1" x14ac:dyDescent="0.25">
      <c r="A19" s="387" t="s">
        <v>137</v>
      </c>
    </row>
    <row r="20" spans="1:1" x14ac:dyDescent="0.25">
      <c r="A20" s="403" t="s">
        <v>96</v>
      </c>
    </row>
    <row r="21" spans="1:1" x14ac:dyDescent="0.25">
      <c r="A21" s="417" t="s">
        <v>113</v>
      </c>
    </row>
    <row r="22" spans="1:1" x14ac:dyDescent="0.25">
      <c r="A22" s="418" t="s">
        <v>54</v>
      </c>
    </row>
    <row r="23" spans="1:1" x14ac:dyDescent="0.25">
      <c r="A23" s="355" t="s">
        <v>158</v>
      </c>
    </row>
    <row r="24" spans="1:1" x14ac:dyDescent="0.25">
      <c r="A24" s="371" t="s">
        <v>51</v>
      </c>
    </row>
    <row r="25" spans="1:1" x14ac:dyDescent="0.25">
      <c r="A25" s="371" t="s">
        <v>224</v>
      </c>
    </row>
    <row r="26" spans="1:1" x14ac:dyDescent="0.25">
      <c r="A26" s="359" t="s">
        <v>203</v>
      </c>
    </row>
    <row r="27" spans="1:1" x14ac:dyDescent="0.25">
      <c r="A27" s="415" t="s">
        <v>6</v>
      </c>
    </row>
    <row r="28" spans="1:1" x14ac:dyDescent="0.25">
      <c r="A28" s="354" t="s">
        <v>67</v>
      </c>
    </row>
    <row r="29" spans="1:1" x14ac:dyDescent="0.25">
      <c r="A29" s="354" t="s">
        <v>227</v>
      </c>
    </row>
    <row r="30" spans="1:1" x14ac:dyDescent="0.25">
      <c r="A30" s="360" t="s">
        <v>200</v>
      </c>
    </row>
    <row r="31" spans="1:1" x14ac:dyDescent="0.25">
      <c r="A31" s="353" t="s">
        <v>226</v>
      </c>
    </row>
    <row r="32" spans="1:1" x14ac:dyDescent="0.25">
      <c r="A32" s="416" t="s">
        <v>162</v>
      </c>
    </row>
    <row r="33" spans="1:1" x14ac:dyDescent="0.25">
      <c r="A33" s="362" t="s">
        <v>193</v>
      </c>
    </row>
    <row r="34" spans="1:1" x14ac:dyDescent="0.25">
      <c r="A34" s="357" t="s">
        <v>222</v>
      </c>
    </row>
    <row r="35" spans="1:1" x14ac:dyDescent="0.25">
      <c r="A35" s="366" t="s">
        <v>11</v>
      </c>
    </row>
    <row r="36" spans="1:1" x14ac:dyDescent="0.25">
      <c r="A36" s="402" t="s">
        <v>159</v>
      </c>
    </row>
    <row r="37" spans="1:1" x14ac:dyDescent="0.25">
      <c r="A37" s="351" t="s">
        <v>103</v>
      </c>
    </row>
    <row r="38" spans="1:1" x14ac:dyDescent="0.25">
      <c r="A38" s="411" t="s">
        <v>56</v>
      </c>
    </row>
    <row r="39" spans="1:1" x14ac:dyDescent="0.25">
      <c r="A39" s="412" t="s">
        <v>12</v>
      </c>
    </row>
    <row r="40" spans="1:1" x14ac:dyDescent="0.25">
      <c r="A40" s="413" t="s">
        <v>48</v>
      </c>
    </row>
    <row r="41" spans="1:1" x14ac:dyDescent="0.25">
      <c r="A41" s="390" t="s">
        <v>115</v>
      </c>
    </row>
    <row r="42" spans="1:1" x14ac:dyDescent="0.25">
      <c r="A42" s="388" t="s">
        <v>136</v>
      </c>
    </row>
    <row r="43" spans="1:1" x14ac:dyDescent="0.25">
      <c r="A43" s="368" t="s">
        <v>9</v>
      </c>
    </row>
    <row r="44" spans="1:1" x14ac:dyDescent="0.25">
      <c r="A44" s="414" t="s">
        <v>108</v>
      </c>
    </row>
    <row r="45" spans="1:1" x14ac:dyDescent="0.25">
      <c r="A45" s="410" t="s">
        <v>53</v>
      </c>
    </row>
    <row r="46" spans="1:1" x14ac:dyDescent="0.25">
      <c r="A46" s="368" t="s">
        <v>194</v>
      </c>
    </row>
    <row r="47" spans="1:1" x14ac:dyDescent="0.25">
      <c r="A47" s="409" t="s">
        <v>116</v>
      </c>
    </row>
    <row r="48" spans="1:1" s="169" customFormat="1" x14ac:dyDescent="0.25">
      <c r="A48" s="408" t="s">
        <v>106</v>
      </c>
    </row>
    <row r="49" spans="1:1" x14ac:dyDescent="0.25">
      <c r="A49" s="367" t="s">
        <v>33</v>
      </c>
    </row>
    <row r="50" spans="1:1" x14ac:dyDescent="0.25">
      <c r="A50" s="404" t="s">
        <v>14</v>
      </c>
    </row>
    <row r="51" spans="1:1" s="169" customFormat="1" x14ac:dyDescent="0.25">
      <c r="A51" s="405" t="s">
        <v>55</v>
      </c>
    </row>
    <row r="52" spans="1:1" x14ac:dyDescent="0.25">
      <c r="A52" s="406" t="s">
        <v>38</v>
      </c>
    </row>
    <row r="53" spans="1:1" x14ac:dyDescent="0.25">
      <c r="A53" s="407" t="s">
        <v>95</v>
      </c>
    </row>
    <row r="54" spans="1:1" x14ac:dyDescent="0.25">
      <c r="A54" s="350" t="s">
        <v>309</v>
      </c>
    </row>
    <row r="55" spans="1:1" x14ac:dyDescent="0.25">
      <c r="A55" s="390" t="s">
        <v>310</v>
      </c>
    </row>
    <row r="56" spans="1:1" x14ac:dyDescent="0.25">
      <c r="A56" s="365" t="s">
        <v>313</v>
      </c>
    </row>
    <row r="57" spans="1:1" x14ac:dyDescent="0.25">
      <c r="A57" s="350" t="s">
        <v>315</v>
      </c>
    </row>
    <row r="58" spans="1:1" x14ac:dyDescent="0.25">
      <c r="A58" s="391" t="s">
        <v>117</v>
      </c>
    </row>
    <row r="59" spans="1:1" x14ac:dyDescent="0.25">
      <c r="A59" s="393" t="s">
        <v>50</v>
      </c>
    </row>
    <row r="60" spans="1:1" x14ac:dyDescent="0.25">
      <c r="A60" s="394" t="s">
        <v>238</v>
      </c>
    </row>
    <row r="61" spans="1:1" x14ac:dyDescent="0.25">
      <c r="A61" s="395" t="s">
        <v>231</v>
      </c>
    </row>
    <row r="62" spans="1:1" x14ac:dyDescent="0.25">
      <c r="A62" s="396" t="s">
        <v>52</v>
      </c>
    </row>
    <row r="63" spans="1:1" x14ac:dyDescent="0.25">
      <c r="A63" s="363" t="s">
        <v>10</v>
      </c>
    </row>
    <row r="64" spans="1:1" x14ac:dyDescent="0.25">
      <c r="A64" s="373" t="s">
        <v>176</v>
      </c>
    </row>
    <row r="65" spans="1:8" x14ac:dyDescent="0.25">
      <c r="A65" s="374" t="s">
        <v>177</v>
      </c>
    </row>
    <row r="66" spans="1:8" x14ac:dyDescent="0.25">
      <c r="A66" s="375" t="s">
        <v>178</v>
      </c>
    </row>
    <row r="67" spans="1:8" x14ac:dyDescent="0.25">
      <c r="A67" s="376" t="s">
        <v>179</v>
      </c>
    </row>
    <row r="68" spans="1:8" x14ac:dyDescent="0.25">
      <c r="A68" s="377" t="s">
        <v>180</v>
      </c>
    </row>
    <row r="69" spans="1:8" x14ac:dyDescent="0.25">
      <c r="A69" s="397" t="s">
        <v>121</v>
      </c>
    </row>
    <row r="70" spans="1:8" x14ac:dyDescent="0.25">
      <c r="A70" s="398" t="s">
        <v>107</v>
      </c>
    </row>
    <row r="71" spans="1:8" x14ac:dyDescent="0.25">
      <c r="A71" s="399" t="s">
        <v>140</v>
      </c>
    </row>
    <row r="72" spans="1:8" x14ac:dyDescent="0.25">
      <c r="A72" s="389" t="s">
        <v>135</v>
      </c>
    </row>
    <row r="73" spans="1:8" x14ac:dyDescent="0.25">
      <c r="A73" s="400" t="s">
        <v>13</v>
      </c>
    </row>
    <row r="74" spans="1:8" x14ac:dyDescent="0.25">
      <c r="A74" s="392" t="s">
        <v>99</v>
      </c>
      <c r="H74" s="372" t="s">
        <v>104</v>
      </c>
    </row>
    <row r="75" spans="1:8" x14ac:dyDescent="0.25">
      <c r="A75" s="401" t="s">
        <v>119</v>
      </c>
    </row>
    <row r="76" spans="1:8" x14ac:dyDescent="0.25">
      <c r="A76" s="352" t="s">
        <v>118</v>
      </c>
    </row>
    <row r="77" spans="1:8" x14ac:dyDescent="0.25">
      <c r="A77" s="364" t="s">
        <v>336</v>
      </c>
    </row>
    <row r="78" spans="1:8" x14ac:dyDescent="0.25">
      <c r="A78" s="352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H6" sqref="H6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9" t="s">
        <v>274</v>
      </c>
      <c r="B1" s="75" t="s">
        <v>300</v>
      </c>
    </row>
    <row r="2" spans="1:18" ht="42.95" customHeight="1" x14ac:dyDescent="0.25">
      <c r="A2" s="224" t="s">
        <v>284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307</v>
      </c>
      <c r="K2" s="6"/>
      <c r="L2" s="6"/>
      <c r="M2" s="6"/>
      <c r="N2" s="6"/>
      <c r="O2" s="6"/>
      <c r="P2" s="6"/>
    </row>
    <row r="3" spans="1:18" x14ac:dyDescent="0.25">
      <c r="A3" s="2" t="s">
        <v>266</v>
      </c>
      <c r="B3" s="2" t="s">
        <v>341</v>
      </c>
      <c r="C3" s="9">
        <f>70000/2</f>
        <v>35000</v>
      </c>
      <c r="D3" s="22">
        <f>70000</f>
        <v>70000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267</v>
      </c>
      <c r="B4" s="2" t="s">
        <v>341</v>
      </c>
      <c r="C4" s="9">
        <f>70000/2</f>
        <v>35000</v>
      </c>
      <c r="D4" s="22">
        <f>70000</f>
        <v>70000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0" t="s">
        <v>269</v>
      </c>
      <c r="C5" s="9">
        <f>5600*(C2-År1)</f>
        <v>61600</v>
      </c>
      <c r="D5" s="9">
        <f>5600*(D2-År1)</f>
        <v>173600</v>
      </c>
      <c r="E5" s="9" t="s">
        <v>270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 t="s">
        <v>342</v>
      </c>
      <c r="B6" s="2" t="s">
        <v>343</v>
      </c>
      <c r="C6" s="9">
        <f>8500</f>
        <v>8500</v>
      </c>
      <c r="D6" s="9">
        <v>8500</v>
      </c>
      <c r="E6" s="9" t="s">
        <v>270</v>
      </c>
      <c r="F6" s="110" t="s">
        <v>9</v>
      </c>
      <c r="G6" s="110" t="s">
        <v>33</v>
      </c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2329536</v>
      </c>
      <c r="N6" s="18">
        <f t="shared" si="1"/>
        <v>65501.999999999985</v>
      </c>
      <c r="O6" s="18">
        <f t="shared" si="1"/>
        <v>43231.999999999985</v>
      </c>
      <c r="P6" s="18">
        <f t="shared" si="1"/>
        <v>2217536</v>
      </c>
      <c r="Q6" s="18">
        <f t="shared" si="1"/>
        <v>30501.999999999993</v>
      </c>
      <c r="R6" s="18">
        <f t="shared" si="1"/>
        <v>8231.9999999999964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623500</v>
      </c>
      <c r="N7" s="18">
        <f t="shared" si="2"/>
        <v>0</v>
      </c>
      <c r="O7" s="18">
        <f t="shared" si="2"/>
        <v>0</v>
      </c>
      <c r="P7" s="18">
        <f t="shared" si="2"/>
        <v>735500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369154.00000000006</v>
      </c>
      <c r="N8" s="18">
        <f t="shared" si="3"/>
        <v>96497.999999999985</v>
      </c>
      <c r="O8" s="18">
        <f t="shared" si="3"/>
        <v>85767.999999999985</v>
      </c>
      <c r="P8" s="18">
        <f t="shared" si="3"/>
        <v>369154.00000000006</v>
      </c>
      <c r="Q8" s="18">
        <f t="shared" si="3"/>
        <v>131497.99999999997</v>
      </c>
      <c r="R8" s="18">
        <f t="shared" si="3"/>
        <v>120767.99999999999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161999.99999999997</v>
      </c>
      <c r="O10" s="21">
        <f t="shared" si="5"/>
        <v>128999.99999999997</v>
      </c>
      <c r="P10" s="21">
        <f t="shared" si="5"/>
        <v>3979280</v>
      </c>
      <c r="Q10" s="21">
        <f t="shared" si="5"/>
        <v>161999.99999999997</v>
      </c>
      <c r="R10" s="21">
        <f t="shared" si="5"/>
        <v>128999.99999999999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7"/>
      <c r="J22" s="258" t="s">
        <v>301</v>
      </c>
      <c r="K22" s="258"/>
      <c r="L22" s="258"/>
      <c r="M22" s="258"/>
      <c r="N22" s="258"/>
      <c r="O22" s="258"/>
      <c r="P22" s="258"/>
      <c r="Q22" s="257"/>
      <c r="R22" s="257"/>
    </row>
    <row r="23" spans="1:18" hidden="1" x14ac:dyDescent="0.25">
      <c r="D23" s="15"/>
      <c r="E23" s="15"/>
      <c r="F23" s="15"/>
      <c r="G23" s="15"/>
      <c r="I23" s="259" t="s">
        <v>175</v>
      </c>
      <c r="J23" s="260">
        <f>År1</f>
        <v>2019</v>
      </c>
      <c r="K23" s="260">
        <f>År1</f>
        <v>2019</v>
      </c>
      <c r="L23" s="260">
        <f>År1</f>
        <v>2019</v>
      </c>
      <c r="M23" s="260">
        <f>År2</f>
        <v>2030</v>
      </c>
      <c r="N23" s="260">
        <f>År2</f>
        <v>2030</v>
      </c>
      <c r="O23" s="260">
        <f>År2</f>
        <v>2030</v>
      </c>
      <c r="P23" s="260">
        <f>År3</f>
        <v>2050</v>
      </c>
      <c r="Q23" s="260">
        <f>År3</f>
        <v>2050</v>
      </c>
      <c r="R23" s="260">
        <f>År3</f>
        <v>2050</v>
      </c>
    </row>
    <row r="24" spans="1:18" hidden="1" x14ac:dyDescent="0.25">
      <c r="D24" s="15"/>
      <c r="E24" s="15"/>
      <c r="F24" s="15"/>
      <c r="G24" s="15"/>
      <c r="I24" s="259"/>
      <c r="J24" s="260" t="str">
        <f>Jordbund1</f>
        <v>JB1-10</v>
      </c>
      <c r="K24" s="260" t="str">
        <f>Organ6</f>
        <v>OC6</v>
      </c>
      <c r="L24" s="260" t="str">
        <f>Organ12</f>
        <v>OC12</v>
      </c>
      <c r="M24" s="260" t="str">
        <f>Jordbund1</f>
        <v>JB1-10</v>
      </c>
      <c r="N24" s="260" t="str">
        <f>Organ6</f>
        <v>OC6</v>
      </c>
      <c r="O24" s="260" t="str">
        <f>Organ12</f>
        <v>OC12</v>
      </c>
      <c r="P24" s="260" t="str">
        <f>Jordbund1</f>
        <v>JB1-10</v>
      </c>
      <c r="Q24" s="260" t="str">
        <f>Organ6</f>
        <v>OC6</v>
      </c>
      <c r="R24" s="260" t="str">
        <f>Organ12</f>
        <v>OC12</v>
      </c>
    </row>
    <row r="25" spans="1:18" hidden="1" x14ac:dyDescent="0.25">
      <c r="D25" s="15"/>
      <c r="E25" s="15"/>
      <c r="F25" s="15"/>
      <c r="G25" s="15"/>
      <c r="I25" s="261" t="str">
        <f>Bebyg</f>
        <v>Bebyggelse &amp; infrastruktur</v>
      </c>
      <c r="J25" s="267">
        <f>SUMIF([1]Arealanvendelse!$B$15:$B$22,I25,[1]Arealanvendelse!$D$15:$D$22)-SUM(K25:L25)</f>
        <v>412730</v>
      </c>
      <c r="K25" s="267"/>
      <c r="L25" s="267"/>
      <c r="M25" s="270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0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0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0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0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0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1" t="str">
        <f>Afgrøder</f>
        <v>Landbrugsafgrøder</v>
      </c>
      <c r="J26" s="267">
        <f>SUMIF([1]Arealanvendelse!$B$15:$B$22,I26,[1]Arealanvendelse!$D$15:$D$22)-SUM(K26:L26)</f>
        <v>1847465.5978301479</v>
      </c>
      <c r="K26" s="267">
        <f>[1]Jordbundstypefordeling!$D$16*[1]Jordbundstypefordeling!$F$4</f>
        <v>90723.841613092387</v>
      </c>
      <c r="L26" s="267">
        <f>[1]Jordbundstypefordeling!$D$15*[1]Jordbundstypefordeling!$F$4</f>
        <v>70620.560556759505</v>
      </c>
      <c r="M26" s="270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1784185.849197506</v>
      </c>
      <c r="N26" s="270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59129.102638164186</v>
      </c>
      <c r="O26" s="270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39025.821581831304</v>
      </c>
      <c r="P26" s="270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1683082.6844777358</v>
      </c>
      <c r="Q26" s="270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27534.363663235992</v>
      </c>
      <c r="R26" s="270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7431.08260690311</v>
      </c>
    </row>
    <row r="27" spans="1:18" hidden="1" x14ac:dyDescent="0.25">
      <c r="D27" s="15"/>
      <c r="E27" s="15"/>
      <c r="F27" s="15"/>
      <c r="G27" s="15"/>
      <c r="I27" s="261" t="str">
        <f>SkovAreal</f>
        <v>Skov</v>
      </c>
      <c r="J27" s="267">
        <f>SUMIF([1]Arealanvendelse!$B$15:$B$22,I27,[1]Arealanvendelse!$D$15:$D$22)-SUM(K27:L27)</f>
        <v>434670</v>
      </c>
      <c r="K27" s="267"/>
      <c r="L27" s="267"/>
      <c r="M27" s="270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490276.74059587362</v>
      </c>
      <c r="N27" s="270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0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0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591379.90531564387</v>
      </c>
      <c r="Q27" s="270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0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1" t="str">
        <f>NaturAreal</f>
        <v>Natur</v>
      </c>
      <c r="J28" s="267">
        <f>SUMIF([1]Arealanvendelse!$B$15:$B$22,I28,[1]Arealanvendelse!$D$15:$D$22)-SUM(K28:L28)</f>
        <v>288846.71526402031</v>
      </c>
      <c r="K28" s="267">
        <f>([1]Jordbundstypefordeling!$E$16-[1]Jordbundstypefordeling!$D$16)*SUM([1]Jordbundstypefordeling!$D$3:$D$5)</f>
        <v>55514.664499432409</v>
      </c>
      <c r="L28" s="267">
        <f>([1]Jordbundstypefordeling!$E$15-[1]Jordbundstypefordeling!$D$15)*SUM([1]Jordbundstypefordeling!D3:D5)</f>
        <v>45828.620236547278</v>
      </c>
      <c r="M28" s="270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296519.72330078861</v>
      </c>
      <c r="N28" s="270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87109.403474360603</v>
      </c>
      <c r="O28" s="270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77423.359211475472</v>
      </c>
      <c r="P28" s="270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296519.72330078861</v>
      </c>
      <c r="Q28" s="270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118704.1424492888</v>
      </c>
      <c r="R28" s="270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109018.09818640367</v>
      </c>
    </row>
    <row r="29" spans="1:18" ht="15.75" hidden="1" thickBot="1" x14ac:dyDescent="0.3">
      <c r="D29" s="15"/>
      <c r="E29" s="15"/>
      <c r="F29" s="15"/>
      <c r="G29" s="15"/>
      <c r="I29" s="262" t="str">
        <f>IKareal</f>
        <v>Ikke klassificeret</v>
      </c>
      <c r="J29" s="268">
        <f>SUMIF([1]Arealanvendelse!$B$15:$B$22,I29,[1]Arealanvendelse!$D$15:$D$22)-SUM(K29:L29)</f>
        <v>46640</v>
      </c>
      <c r="K29" s="268"/>
      <c r="L29" s="268"/>
      <c r="M29" s="271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1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1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1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1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1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3" t="s">
        <v>30</v>
      </c>
      <c r="J30" s="269">
        <f t="shared" ref="J30:R30" si="6">SUM(J25:J29)</f>
        <v>3030352.3130941684</v>
      </c>
      <c r="K30" s="269">
        <f t="shared" si="6"/>
        <v>146238.5061125248</v>
      </c>
      <c r="L30" s="269">
        <f t="shared" si="6"/>
        <v>116449.18079330679</v>
      </c>
      <c r="M30" s="272">
        <f t="shared" si="6"/>
        <v>3030352.313094168</v>
      </c>
      <c r="N30" s="272">
        <f t="shared" si="6"/>
        <v>146238.50611252477</v>
      </c>
      <c r="O30" s="272">
        <f t="shared" si="6"/>
        <v>116449.18079330678</v>
      </c>
      <c r="P30" s="272">
        <f t="shared" si="6"/>
        <v>3030352.313094168</v>
      </c>
      <c r="Q30" s="272">
        <f t="shared" si="6"/>
        <v>146238.5061125248</v>
      </c>
      <c r="R30" s="272">
        <f t="shared" si="6"/>
        <v>116449.18079330679</v>
      </c>
    </row>
    <row r="31" spans="1:18" hidden="1" x14ac:dyDescent="0.25">
      <c r="I31" s="264"/>
      <c r="J31" s="265"/>
      <c r="K31" s="265"/>
      <c r="L31" s="265"/>
      <c r="M31" s="266"/>
      <c r="N31" s="265"/>
      <c r="O31" s="265"/>
      <c r="P31" s="265"/>
      <c r="Q31" s="265"/>
      <c r="R31" s="265"/>
    </row>
    <row r="32" spans="1:18" hidden="1" x14ac:dyDescent="0.25">
      <c r="I32" s="264"/>
      <c r="J32" s="258" t="s">
        <v>302</v>
      </c>
      <c r="K32" s="258"/>
      <c r="L32" s="258"/>
      <c r="M32" s="258"/>
      <c r="N32" s="258"/>
      <c r="O32" s="258"/>
      <c r="P32" s="258"/>
      <c r="Q32" s="258"/>
      <c r="R32" s="258"/>
    </row>
    <row r="33" spans="9:18" hidden="1" x14ac:dyDescent="0.25">
      <c r="I33" s="259" t="s">
        <v>175</v>
      </c>
      <c r="J33" s="260">
        <f>År1</f>
        <v>2019</v>
      </c>
      <c r="K33" s="260">
        <f>År1</f>
        <v>2019</v>
      </c>
      <c r="L33" s="260">
        <f>År1</f>
        <v>2019</v>
      </c>
      <c r="M33" s="260">
        <v>2030</v>
      </c>
      <c r="N33" s="260">
        <v>2030</v>
      </c>
      <c r="O33" s="260">
        <v>2030</v>
      </c>
      <c r="P33" s="260">
        <f>År3</f>
        <v>2050</v>
      </c>
      <c r="Q33" s="260">
        <f>År3</f>
        <v>2050</v>
      </c>
      <c r="R33" s="260">
        <f>År3</f>
        <v>2050</v>
      </c>
    </row>
    <row r="34" spans="9:18" hidden="1" x14ac:dyDescent="0.25">
      <c r="I34" s="259"/>
      <c r="J34" s="260" t="str">
        <f>Jordbund1</f>
        <v>JB1-10</v>
      </c>
      <c r="K34" s="260" t="str">
        <f>Organ6</f>
        <v>OC6</v>
      </c>
      <c r="L34" s="260" t="str">
        <f>Organ12</f>
        <v>OC12</v>
      </c>
      <c r="M34" s="260" t="str">
        <f>Jordbund1</f>
        <v>JB1-10</v>
      </c>
      <c r="N34" s="260" t="str">
        <f>Organ6</f>
        <v>OC6</v>
      </c>
      <c r="O34" s="260" t="str">
        <f>Organ12</f>
        <v>OC12</v>
      </c>
      <c r="P34" s="260" t="str">
        <f>Jordbund1</f>
        <v>JB1-10</v>
      </c>
      <c r="Q34" s="260" t="str">
        <f>Organ6</f>
        <v>OC6</v>
      </c>
      <c r="R34" s="260" t="str">
        <f>Organ12</f>
        <v>OC12</v>
      </c>
    </row>
    <row r="35" spans="9:18" hidden="1" x14ac:dyDescent="0.25">
      <c r="I35" s="261" t="str">
        <f>Bebyg</f>
        <v>Bebyggelse &amp; infrastruktur</v>
      </c>
      <c r="J35" s="267">
        <f>SUMIF([1]Arealanvendelse!$B$15:$B$22,I35,[1]Arealanvendelse!$E$15:$E$22)-SUM(K35:L35)</f>
        <v>178500</v>
      </c>
      <c r="K35" s="267"/>
      <c r="L35" s="267"/>
      <c r="M35" s="270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0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0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0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0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0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1" t="str">
        <f>Afgrøder</f>
        <v>Landbrugsafgrøder</v>
      </c>
      <c r="J36" s="267">
        <f>SUMIF([1]Arealanvendelse!$B$15:$B$22,I36,[1]Arealanvendelse!$E$15:$E$22)-SUM(K36:L36)</f>
        <v>552170.40216985194</v>
      </c>
      <c r="K36" s="267">
        <f>[1]Jordbundstypefordeling!$D$16*[1]Jordbundstypefordeling!$G$4</f>
        <v>9778.158386907593</v>
      </c>
      <c r="L36" s="267">
        <f>[1]Jordbundstypefordeling!$D$15*[1]Jordbundstypefordeling!$G$4</f>
        <v>7611.4394432404806</v>
      </c>
      <c r="M36" s="270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545350.15080249379</v>
      </c>
      <c r="N36" s="270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6372.8973618357959</v>
      </c>
      <c r="O36" s="270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4206.1784181686835</v>
      </c>
      <c r="P36" s="270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534453.31552226411</v>
      </c>
      <c r="Q36" s="270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2967.6363367639988</v>
      </c>
      <c r="R36" s="270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800.91739309688637</v>
      </c>
    </row>
    <row r="37" spans="9:18" hidden="1" x14ac:dyDescent="0.25">
      <c r="I37" s="261" t="str">
        <f>SkovAreal</f>
        <v>Skov</v>
      </c>
      <c r="J37" s="267">
        <f>SUMIF([1]Arealanvendelse!$B$15:$B$22,I37,[1]Arealanvendelse!$E$15:$E$22)-SUM(K37:L37)</f>
        <v>127230</v>
      </c>
      <c r="K37" s="267"/>
      <c r="L37" s="267"/>
      <c r="M37" s="270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133223.25940412635</v>
      </c>
      <c r="N37" s="270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0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0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144120.09468435613</v>
      </c>
      <c r="Q37" s="270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0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1" t="str">
        <f>NaturAreal</f>
        <v>Natur</v>
      </c>
      <c r="J38" s="267">
        <f>SUMIF([1]Arealanvendelse!$B$15:$B$22,I38,[1]Arealanvendelse!$E$15:$E$22)-SUM(K38:L38)</f>
        <v>71807.284735979716</v>
      </c>
      <c r="K38" s="267">
        <f>([1]Jordbundstypefordeling!$E$16-[1]Jordbundstypefordeling!$D$16)*[1]Jordbundstypefordeling!$G$4</f>
        <v>5983.3355005675821</v>
      </c>
      <c r="L38" s="267">
        <f>([1]Jordbundstypefordeling!$E$15-[1]Jordbundstypefordeling!$D$15)*[1]Jordbundstypefordeling!$G$4</f>
        <v>4939.3797634527136</v>
      </c>
      <c r="M38" s="270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72634.276699211434</v>
      </c>
      <c r="N38" s="270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9388.5965256393793</v>
      </c>
      <c r="O38" s="270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8344.6407885245098</v>
      </c>
      <c r="P38" s="270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72634.276699211434</v>
      </c>
      <c r="Q38" s="270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12793.857550711176</v>
      </c>
      <c r="R38" s="270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11749.901813596309</v>
      </c>
    </row>
    <row r="39" spans="9:18" ht="15.75" hidden="1" thickBot="1" x14ac:dyDescent="0.3">
      <c r="I39" s="262" t="str">
        <f>IKareal</f>
        <v>Ikke klassificeret</v>
      </c>
      <c r="J39" s="268">
        <f>SUMIF([1]Arealanvendelse!$B$15:$B$22,I39,[1]Arealanvendelse!$E$15:$E$22)-SUM(K39:L39)</f>
        <v>19220</v>
      </c>
      <c r="K39" s="268"/>
      <c r="L39" s="268"/>
      <c r="M39" s="271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1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1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1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1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1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3" t="s">
        <v>30</v>
      </c>
      <c r="J40" s="269">
        <f t="shared" ref="J40:R40" si="7">SUM(J35:J39)</f>
        <v>948927.68690583168</v>
      </c>
      <c r="K40" s="269">
        <f t="shared" si="7"/>
        <v>15761.493887475175</v>
      </c>
      <c r="L40" s="269">
        <f t="shared" si="7"/>
        <v>12550.819206693195</v>
      </c>
      <c r="M40" s="272">
        <f t="shared" si="7"/>
        <v>948927.68690583156</v>
      </c>
      <c r="N40" s="272">
        <f t="shared" si="7"/>
        <v>15761.493887475175</v>
      </c>
      <c r="O40" s="272">
        <f t="shared" si="7"/>
        <v>12550.819206693193</v>
      </c>
      <c r="P40" s="272">
        <f t="shared" si="7"/>
        <v>948927.68690583168</v>
      </c>
      <c r="Q40" s="272">
        <f t="shared" si="7"/>
        <v>15761.493887475175</v>
      </c>
      <c r="R40" s="272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Q10" sqref="Q10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6" width="13.85546875" style="1" customWidth="1"/>
    <col min="7" max="7" width="12.7109375" style="1" customWidth="1"/>
    <col min="8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8" t="s">
        <v>274</v>
      </c>
    </row>
    <row r="2" spans="1:9" ht="15.75" x14ac:dyDescent="0.25">
      <c r="A2" s="225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f>(297696+23250*(D4-C4))/2625965</f>
        <v>0.21075909237175666</v>
      </c>
      <c r="E5" s="8">
        <f>(297696+23250*(E4-C4))/2625965</f>
        <v>0.3878368523571335</v>
      </c>
      <c r="F5" s="12"/>
      <c r="G5" s="419">
        <v>0.13500000000000001</v>
      </c>
      <c r="H5" s="420">
        <v>0.17499999999999999</v>
      </c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0.13730855946494946</v>
      </c>
      <c r="E6" s="8">
        <f t="shared" si="0"/>
        <v>0.3143863194503263</v>
      </c>
      <c r="F6" s="12"/>
      <c r="G6" s="13">
        <f>D5-G5</f>
        <v>7.5759092371756653E-2</v>
      </c>
      <c r="H6" s="15">
        <f>E5-H5</f>
        <v>0.21283685235713351</v>
      </c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0.24781732640293408</v>
      </c>
      <c r="E7" s="8">
        <f t="shared" si="0"/>
        <v>0.42489508638831092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0.23951349272596606</v>
      </c>
      <c r="E8" s="8">
        <f t="shared" si="0"/>
        <v>0.41659125271134284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1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v>0.74</v>
      </c>
      <c r="E17" s="3">
        <v>0.74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2"/>
    </row>
    <row r="19" spans="2:11" x14ac:dyDescent="0.25">
      <c r="F19" s="12"/>
      <c r="G19" s="12"/>
    </row>
    <row r="20" spans="2:11" x14ac:dyDescent="0.25">
      <c r="B20" s="427" t="s">
        <v>327</v>
      </c>
      <c r="C20" s="25"/>
      <c r="D20" s="25"/>
      <c r="E20" s="25"/>
      <c r="F20" s="12"/>
      <c r="I20" s="1"/>
    </row>
    <row r="21" spans="2:11" ht="29.45" customHeight="1" x14ac:dyDescent="0.25">
      <c r="B21" s="427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C22+23%</f>
        <v>0.47584476889448313</v>
      </c>
      <c r="E22" s="8">
        <v>1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C23+34.6%</f>
        <v>0.68524520978284487</v>
      </c>
      <c r="E23" s="8">
        <f>100%</f>
        <v>1</v>
      </c>
      <c r="F23" s="12"/>
      <c r="I23" s="1"/>
    </row>
    <row r="24" spans="2:11" x14ac:dyDescent="0.25">
      <c r="B24" s="328" t="str">
        <f>CONCATENATE("Omlægning til permanent græs, ", Organ6,", hektar")</f>
        <v>Omlægning til permanent græs, OC6, hektar</v>
      </c>
      <c r="C24" s="329"/>
      <c r="D24" s="10">
        <f>D22*Arealanvendelse!N6-C22*Arealanvendelse!N6</f>
        <v>15065.46</v>
      </c>
      <c r="E24" s="10">
        <f>E22*Arealanvendelse!Q6-C22*Arealanvendelse!Q6</f>
        <v>23003.242859180471</v>
      </c>
      <c r="F24" s="12"/>
      <c r="I24" s="1"/>
    </row>
    <row r="25" spans="2:11" x14ac:dyDescent="0.25">
      <c r="B25" s="328" t="str">
        <f>CONCATENATE("Omlægning til permanent græs, ", Organ12, ", hektar")</f>
        <v>Omlægning til permanent græs, OC12, hektar</v>
      </c>
      <c r="C25" s="329"/>
      <c r="D25" s="10">
        <f>D23*Arealanvendelse!O6-C23*Arealanvendelse!O6</f>
        <v>14958.271999999995</v>
      </c>
      <c r="E25" s="10">
        <f>E23*Arealanvendelse!R6-C23*Arealanvendelse!R6</f>
        <v>5439.3334330676189</v>
      </c>
      <c r="F25" s="12"/>
      <c r="G25" s="118"/>
      <c r="I25" s="1"/>
    </row>
    <row r="26" spans="2:11" x14ac:dyDescent="0.25">
      <c r="B26" s="328" t="str">
        <f>CONCATENATE("Antal hektar som 1% svarer til, ", Organ6)</f>
        <v>Antal hektar som 1% svarer til, OC6</v>
      </c>
      <c r="C26" s="329"/>
      <c r="D26" s="10">
        <f>1%*Arealanvendelse!N6</f>
        <v>655.01999999999987</v>
      </c>
      <c r="E26" s="10">
        <f>1%*Arealanvendelse!Q6</f>
        <v>305.01999999999992</v>
      </c>
      <c r="F26" s="12"/>
      <c r="G26" s="12"/>
      <c r="I26" s="1"/>
    </row>
    <row r="27" spans="2:11" ht="15.75" thickBot="1" x14ac:dyDescent="0.3">
      <c r="B27" s="330" t="str">
        <f>CONCATENATE("Antal hektar som 1% svarer til, ", Organ12)</f>
        <v>Antal hektar som 1% svarer til, OC12</v>
      </c>
      <c r="C27" s="331"/>
      <c r="D27" s="116">
        <f>1%*Arealanvendelse!O6</f>
        <v>432.31999999999988</v>
      </c>
      <c r="E27" s="116">
        <f>1%*Arealanvendelse!R6</f>
        <v>82.319999999999965</v>
      </c>
      <c r="F27" s="12"/>
      <c r="G27" s="12"/>
      <c r="H27" s="12"/>
      <c r="I27" s="1"/>
    </row>
    <row r="28" spans="2:11" ht="15.75" thickBot="1" x14ac:dyDescent="0.3">
      <c r="B28" s="233" t="s">
        <v>265</v>
      </c>
      <c r="C28" s="234"/>
      <c r="D28" s="232">
        <f>SUM(D24:D25)</f>
        <v>30023.731999999996</v>
      </c>
      <c r="E28" s="232">
        <f>SUM(E24:E25)</f>
        <v>28442.57629224809</v>
      </c>
      <c r="F28" s="327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5" t="s">
        <v>326</v>
      </c>
      <c r="C30" s="25"/>
      <c r="D30" s="25"/>
      <c r="E30" s="25"/>
      <c r="K30" s="12"/>
    </row>
    <row r="31" spans="2:11" x14ac:dyDescent="0.25">
      <c r="B31" s="426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4">
        <f>'[1]Afgrødefordeling - jordtype'!$Y4</f>
        <v>0.53753334285647836</v>
      </c>
      <c r="D32" s="90">
        <v>0.45800000000000002</v>
      </c>
      <c r="E32" s="90">
        <v>0.34100000000000003</v>
      </c>
      <c r="K32" s="12"/>
    </row>
    <row r="33" spans="2:11" x14ac:dyDescent="0.25">
      <c r="B33" s="2" t="str">
        <f>[1]Afgrødefordeling!$C3</f>
        <v>Bælgsæd</v>
      </c>
      <c r="C33" s="324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4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4">
        <f>'[1]Afgrødefordeling - jordtype'!$Y6</f>
        <v>6.5329688585482673E-2</v>
      </c>
      <c r="D34" s="90">
        <v>0.02</v>
      </c>
      <c r="E34" s="90">
        <v>0.02</v>
      </c>
      <c r="K34" s="12"/>
    </row>
    <row r="35" spans="2:11" x14ac:dyDescent="0.25">
      <c r="B35" s="2" t="str">
        <f>[1]Afgrødefordeling!$C5</f>
        <v>Græs</v>
      </c>
      <c r="C35" s="324">
        <f>'[1]Afgrødefordeling - jordtype'!$Y7</f>
        <v>0.10115967422642448</v>
      </c>
      <c r="D35" s="90">
        <f>C35+G6+7.8%</f>
        <v>0.25491876659818113</v>
      </c>
      <c r="E35" s="90">
        <f>C35+H6+7.8%</f>
        <v>0.39199652658355799</v>
      </c>
      <c r="K35" s="12"/>
    </row>
    <row r="36" spans="2:11" x14ac:dyDescent="0.25">
      <c r="B36" s="2" t="str">
        <f>[1]Afgrødefordeling!$C6</f>
        <v>Grøntsager</v>
      </c>
      <c r="C36" s="324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4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4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4">
        <f>'[1]Afgrødefordeling - jordtype'!$Y11</f>
        <v>7.2759287296729286E-2</v>
      </c>
      <c r="D39" s="90">
        <v>4.3999999999999997E-2</v>
      </c>
      <c r="E39" s="90">
        <v>2.4E-2</v>
      </c>
      <c r="K39" s="12"/>
    </row>
    <row r="40" spans="2:11" x14ac:dyDescent="0.25">
      <c r="B40" s="2" t="str">
        <f>[1]Afgrødefordeling!$C10</f>
        <v>Frugt</v>
      </c>
      <c r="C40" s="324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4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4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4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4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4">
        <f>'[1]Afgrødefordeling - jordtype'!$Y17</f>
        <v>7.0772837129970206E-2</v>
      </c>
      <c r="D45" s="90">
        <f>C45</f>
        <v>7.0772837129970206E-2</v>
      </c>
      <c r="E45" s="90">
        <f>C45</f>
        <v>7.0772837129970206E-2</v>
      </c>
      <c r="K45" s="12"/>
    </row>
    <row r="46" spans="2:11" x14ac:dyDescent="0.25">
      <c r="B46" s="25" t="s">
        <v>291</v>
      </c>
      <c r="C46" s="87"/>
      <c r="D46" s="89">
        <f>SUM(D32:D45)</f>
        <v>1.0001367736330664</v>
      </c>
      <c r="E46" s="89">
        <f>SUM(E32:E45)</f>
        <v>1.0002145336184431</v>
      </c>
      <c r="K46" s="12"/>
    </row>
    <row r="47" spans="2:11" x14ac:dyDescent="0.25">
      <c r="B47" s="25" t="s">
        <v>244</v>
      </c>
      <c r="C47" s="87"/>
      <c r="D47" s="115" cm="1">
        <f t="array" ref="D47">SUMPRODUCT((D32:D45&gt;$C$32:$C$45)*(D32:D45-$C$32:$C$45))*Arealanvendelse!M6</f>
        <v>358187.34100733255</v>
      </c>
      <c r="E47" s="115" cm="1">
        <f t="array" ref="E47">SUMPRODUCT((E32:E45&gt;$C$32:$C$45)*(E32:E45-$C$32:$C$45))*Arealanvendelse!P6</f>
        <v>644941.19022862846</v>
      </c>
      <c r="K47" s="12"/>
    </row>
    <row r="48" spans="2:11" x14ac:dyDescent="0.25">
      <c r="B48" s="25" t="s">
        <v>243</v>
      </c>
      <c r="C48" s="109"/>
      <c r="D48" s="115">
        <f>1%*Arealanvendelse!M6</f>
        <v>23295.360000000001</v>
      </c>
      <c r="E48" s="115">
        <f>1%*Arealanvendelse!P6</f>
        <v>22175.360000000001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10">
        <f>C51</f>
        <v>6.475478040220463E-3</v>
      </c>
      <c r="E51" s="210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9" sqref="E9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8" t="s">
        <v>274</v>
      </c>
    </row>
    <row r="2" spans="1:9" ht="15.75" thickBot="1" x14ac:dyDescent="0.3">
      <c r="A2" s="313"/>
      <c r="B2" s="313"/>
      <c r="C2" s="313">
        <f>År1</f>
        <v>2019</v>
      </c>
      <c r="D2" s="313">
        <f>År2</f>
        <v>2030</v>
      </c>
      <c r="E2" s="313">
        <f>År3</f>
        <v>2050</v>
      </c>
      <c r="F2" s="313" t="s">
        <v>317</v>
      </c>
    </row>
    <row r="3" spans="1:9" x14ac:dyDescent="0.25">
      <c r="A3" s="314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2">
        <v>0.38</v>
      </c>
      <c r="E3" s="312">
        <v>0.28000000000000003</v>
      </c>
      <c r="I3" s="242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2">
        <f>ROUND(C4,3)</f>
        <v>1.0999999999999999E-2</v>
      </c>
      <c r="E4" s="312">
        <f t="shared" ref="E4:E13" si="0">D4</f>
        <v>1.0999999999999999E-2</v>
      </c>
      <c r="I4" s="242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2">
        <f t="shared" ref="D5:D6" si="1">ROUND(C5,3)</f>
        <v>0</v>
      </c>
      <c r="E5" s="312">
        <f t="shared" si="0"/>
        <v>0</v>
      </c>
      <c r="I5" s="242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2">
        <f t="shared" si="1"/>
        <v>5.0000000000000001E-3</v>
      </c>
      <c r="E6" s="312">
        <f t="shared" si="0"/>
        <v>5.0000000000000001E-3</v>
      </c>
      <c r="I6" s="242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2">
        <f>ROUND(C7,3)</f>
        <v>0.01</v>
      </c>
      <c r="E7" s="312">
        <f t="shared" si="0"/>
        <v>0.01</v>
      </c>
      <c r="I7" s="242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2">
        <v>0.08</v>
      </c>
      <c r="E8" s="312">
        <v>3.1E-2</v>
      </c>
      <c r="I8" s="242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2">
        <v>7.0000000000000001E-3</v>
      </c>
      <c r="E9" s="312">
        <v>5.0000000000000001E-3</v>
      </c>
      <c r="I9" s="242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2">
        <f t="shared" ref="D10:D11" si="2">ROUND(C10,3)</f>
        <v>0</v>
      </c>
      <c r="E10" s="312">
        <f t="shared" si="0"/>
        <v>0</v>
      </c>
      <c r="I10" s="242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2">
        <f t="shared" si="2"/>
        <v>0</v>
      </c>
      <c r="E11" s="312">
        <f t="shared" si="0"/>
        <v>0</v>
      </c>
      <c r="I11" s="242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2">
        <f>ROUND(C12,3)</f>
        <v>0.154</v>
      </c>
      <c r="E12" s="312">
        <f t="shared" si="0"/>
        <v>0.154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2">
        <f>ROUND(C13,3)</f>
        <v>1.0999999999999999E-2</v>
      </c>
      <c r="E13" s="312">
        <f t="shared" si="0"/>
        <v>1.0999999999999999E-2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1.2E-2</v>
      </c>
      <c r="E14" s="119">
        <f>ROUND('[1]Processer - data'!J$491/'[1]Processer - data'!J$490*E15*'[1]Processer - data'!$H$451/'[1]Processer - data'!$H$452,3)</f>
        <v>0.04</v>
      </c>
      <c r="F14" s="1" t="s">
        <v>318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2">
        <v>5.0999999999999997E-2</v>
      </c>
      <c r="E15" s="312">
        <v>0.17399999999999999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2">
        <f>ROUND(C16,3)</f>
        <v>8.0000000000000002E-3</v>
      </c>
      <c r="E16" s="312">
        <f t="shared" ref="E16:E17" si="3">D16</f>
        <v>8.0000000000000002E-3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2">
        <f>ROUND(C17,3)</f>
        <v>0.27100000000000002</v>
      </c>
      <c r="E17" s="312">
        <f t="shared" si="3"/>
        <v>0.27100000000000002</v>
      </c>
      <c r="F17" s="313"/>
    </row>
    <row r="18" spans="1:6" ht="15.75" thickBot="1" x14ac:dyDescent="0.3">
      <c r="A18" s="243" t="s">
        <v>30</v>
      </c>
      <c r="B18" s="243" t="s">
        <v>133</v>
      </c>
      <c r="C18" s="120">
        <f>SUM(C3:C17)</f>
        <v>1</v>
      </c>
      <c r="D18" s="120">
        <f>SUM(D3:D17)</f>
        <v>1</v>
      </c>
      <c r="E18" s="121">
        <f t="shared" ref="E18" si="4">SUM(E3:E17)</f>
        <v>1</v>
      </c>
      <c r="F18" s="316" t="s">
        <v>319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7" t="s">
        <v>274</v>
      </c>
    </row>
    <row r="2" spans="1:4" x14ac:dyDescent="0.25">
      <c r="A2" s="103" t="s">
        <v>249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283</v>
      </c>
      <c r="B9" s="2"/>
      <c r="C9" s="210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282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0.5</v>
      </c>
      <c r="D15" s="8">
        <v>0.5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2" t="s">
        <v>180</v>
      </c>
      <c r="B17" s="333">
        <v>0</v>
      </c>
      <c r="C17" s="336">
        <v>0.5</v>
      </c>
      <c r="D17" s="336">
        <v>0.5</v>
      </c>
    </row>
    <row r="18" spans="1:8" ht="15.75" thickBot="1" x14ac:dyDescent="0.3">
      <c r="A18" s="334" t="s">
        <v>30</v>
      </c>
      <c r="B18" s="335"/>
      <c r="C18" s="335">
        <f>SUM(C13:C17)</f>
        <v>1</v>
      </c>
      <c r="D18" s="335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2" t="s">
        <v>185</v>
      </c>
      <c r="C21" s="182">
        <f>År1</f>
        <v>2019</v>
      </c>
      <c r="D21" s="182">
        <f>År2</f>
        <v>2030</v>
      </c>
      <c r="E21" s="182">
        <f>År3</f>
        <v>2050</v>
      </c>
      <c r="F21" s="182">
        <f>År1</f>
        <v>2019</v>
      </c>
      <c r="G21" s="182">
        <f>År2</f>
        <v>2030</v>
      </c>
      <c r="H21" s="182">
        <f>År3</f>
        <v>2050</v>
      </c>
    </row>
    <row r="22" spans="1:8" hidden="1" x14ac:dyDescent="0.25">
      <c r="A22" s="2" t="s">
        <v>182</v>
      </c>
      <c r="B22" s="183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4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84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84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5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4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177</v>
      </c>
      <c r="B28" s="184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177</v>
      </c>
      <c r="B29" s="184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177</v>
      </c>
      <c r="B30" s="185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178</v>
      </c>
      <c r="B31" s="184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45430.707820935422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44506.687717217719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8623.6498770282869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8352.3349045655723</v>
      </c>
    </row>
    <row r="32" spans="1:8" hidden="1" x14ac:dyDescent="0.25">
      <c r="A32" s="2" t="s">
        <v>178</v>
      </c>
      <c r="B32" s="184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3614.2541179942436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45487.233654140677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590.49588200574033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8640.1952603276077</v>
      </c>
    </row>
    <row r="33" spans="1:10" hidden="1" x14ac:dyDescent="0.25">
      <c r="A33" s="2" t="s">
        <v>178</v>
      </c>
      <c r="B33" s="184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45430.707820935422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8623.6498770282869</v>
      </c>
    </row>
    <row r="34" spans="1:10" hidden="1" x14ac:dyDescent="0.25">
      <c r="A34" s="2" t="s">
        <v>178</v>
      </c>
      <c r="B34" s="185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3607.6827468706178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589.42225312936625</v>
      </c>
    </row>
    <row r="35" spans="1:10" hidden="1" x14ac:dyDescent="0.25">
      <c r="A35" s="2" t="s">
        <v>179</v>
      </c>
      <c r="B35" s="184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4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4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5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4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45430.707820935422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44602.765406222912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8623.6498770282869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8370.1042680447408</v>
      </c>
    </row>
    <row r="40" spans="1:10" hidden="1" x14ac:dyDescent="0.25">
      <c r="A40" s="2" t="s">
        <v>180</v>
      </c>
      <c r="B40" s="184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3614.2541179942436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45488.438405513349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590.49588200574033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8640.3920922882753</v>
      </c>
    </row>
    <row r="41" spans="1:10" hidden="1" x14ac:dyDescent="0.25">
      <c r="A41" s="2" t="s">
        <v>180</v>
      </c>
      <c r="B41" s="184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45348.489400369312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8608.1448371615988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3592.6187270589107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586.96109755622069</v>
      </c>
    </row>
    <row r="43" spans="1:10" hidden="1" x14ac:dyDescent="0.25">
      <c r="B43" s="151"/>
    </row>
    <row r="44" spans="1:10" hidden="1" x14ac:dyDescent="0.25">
      <c r="B44" s="151"/>
    </row>
    <row r="45" spans="1:10" hidden="1" x14ac:dyDescent="0.25">
      <c r="B45" s="151"/>
    </row>
    <row r="46" spans="1:10" hidden="1" x14ac:dyDescent="0.25"/>
    <row r="47" spans="1:10" hidden="1" x14ac:dyDescent="0.25">
      <c r="A47" s="428" t="s">
        <v>290</v>
      </c>
      <c r="B47" s="2" t="s">
        <v>23</v>
      </c>
      <c r="C47" s="2"/>
      <c r="D47" s="2"/>
      <c r="E47" s="2" t="s">
        <v>24</v>
      </c>
      <c r="F47" s="2"/>
      <c r="G47" s="2"/>
      <c r="H47" s="1" t="s">
        <v>330</v>
      </c>
    </row>
    <row r="48" spans="1:10" hidden="1" x14ac:dyDescent="0.25">
      <c r="A48" s="429"/>
      <c r="B48" s="182">
        <f>År1</f>
        <v>2019</v>
      </c>
      <c r="C48" s="182">
        <f>År2</f>
        <v>2030</v>
      </c>
      <c r="D48" s="182">
        <f>År3</f>
        <v>2050</v>
      </c>
      <c r="E48" s="182">
        <f>År1</f>
        <v>2019</v>
      </c>
      <c r="F48" s="182">
        <f>År2</f>
        <v>2030</v>
      </c>
      <c r="G48" s="182">
        <f>År3</f>
        <v>2050</v>
      </c>
      <c r="H48" s="182">
        <f>År1</f>
        <v>2019</v>
      </c>
      <c r="I48" s="182">
        <f>År2</f>
        <v>2030</v>
      </c>
      <c r="J48" s="182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0</v>
      </c>
      <c r="D50" s="109">
        <f t="shared" ca="1" si="0"/>
        <v>0</v>
      </c>
      <c r="E50" s="109">
        <f t="shared" ca="1" si="0"/>
        <v>0</v>
      </c>
      <c r="F50" s="109">
        <f t="shared" ca="1" si="0"/>
        <v>0</v>
      </c>
      <c r="G50" s="109">
        <f t="shared" ca="1" si="0"/>
        <v>0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0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49044.961938929664</v>
      </c>
      <c r="D52" s="109">
        <f t="shared" ca="1" si="0"/>
        <v>139032.31193916441</v>
      </c>
      <c r="E52" s="109">
        <f t="shared" ca="1" si="0"/>
        <v>0</v>
      </c>
      <c r="F52" s="109">
        <f t="shared" ca="1" si="0"/>
        <v>9214.1457590340269</v>
      </c>
      <c r="G52" s="109">
        <f t="shared" ca="1" si="0"/>
        <v>26205.60229505083</v>
      </c>
      <c r="H52" s="109">
        <f t="shared" ca="1" si="2"/>
        <v>0</v>
      </c>
      <c r="I52" s="109">
        <f t="shared" ca="1" si="1"/>
        <v>58259.107697963693</v>
      </c>
      <c r="J52" s="109">
        <f t="shared" ca="1" si="1"/>
        <v>165237.91423421525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49044.961938929664</v>
      </c>
      <c r="D54" s="109">
        <f t="shared" ca="1" si="0"/>
        <v>139032.31193916447</v>
      </c>
      <c r="E54" s="109">
        <f t="shared" ca="1" si="0"/>
        <v>0</v>
      </c>
      <c r="F54" s="109">
        <f t="shared" ca="1" si="0"/>
        <v>9214.1457590340269</v>
      </c>
      <c r="G54" s="109">
        <f t="shared" ca="1" si="0"/>
        <v>26205.602295050838</v>
      </c>
      <c r="H54" s="109">
        <f t="shared" ca="1" si="2"/>
        <v>0</v>
      </c>
      <c r="I54" s="109">
        <f t="shared" ca="1" si="1"/>
        <v>58259.107697963693</v>
      </c>
      <c r="J54" s="109">
        <f t="shared" ca="1" si="1"/>
        <v>165237.91423421531</v>
      </c>
    </row>
    <row r="55" spans="1:10" hidden="1" x14ac:dyDescent="0.25"/>
    <row r="57" spans="1:10" x14ac:dyDescent="0.25">
      <c r="A57" s="1" t="s">
        <v>331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7" t="s">
        <v>119</v>
      </c>
      <c r="B60" s="333">
        <f>'[1]Processer - data'!$H424</f>
        <v>0.52</v>
      </c>
      <c r="C60" s="336">
        <f>B60</f>
        <v>0.52</v>
      </c>
      <c r="D60" s="336">
        <f>C60</f>
        <v>0.52</v>
      </c>
    </row>
    <row r="61" spans="1:10" ht="15.75" thickBot="1" x14ac:dyDescent="0.3">
      <c r="A61" s="334" t="s">
        <v>30</v>
      </c>
      <c r="B61" s="335">
        <f>SUM(B59:B60)</f>
        <v>1</v>
      </c>
      <c r="C61" s="335">
        <f t="shared" ref="C61:D61" si="3">SUM(C59:C60)</f>
        <v>1</v>
      </c>
      <c r="D61" s="335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9" bestFit="1" customWidth="1"/>
    <col min="2" max="2" width="12.7109375" style="169" bestFit="1" customWidth="1"/>
    <col min="4" max="5" width="9.140625" style="169"/>
  </cols>
  <sheetData>
    <row r="1" spans="1:38" x14ac:dyDescent="0.25">
      <c r="D1" s="188" t="s">
        <v>333</v>
      </c>
      <c r="E1" s="169" t="s">
        <v>332</v>
      </c>
      <c r="F1">
        <v>1</v>
      </c>
      <c r="G1">
        <v>2</v>
      </c>
      <c r="H1">
        <v>3</v>
      </c>
      <c r="I1">
        <v>4</v>
      </c>
      <c r="J1">
        <v>5</v>
      </c>
      <c r="K1" s="169">
        <v>6</v>
      </c>
      <c r="L1" s="169">
        <v>7</v>
      </c>
      <c r="M1" s="169">
        <v>8</v>
      </c>
      <c r="N1" s="169">
        <v>9</v>
      </c>
      <c r="O1" s="169">
        <v>10</v>
      </c>
      <c r="P1" s="169">
        <v>11</v>
      </c>
      <c r="Q1" s="169">
        <v>12</v>
      </c>
      <c r="R1" s="169">
        <v>13</v>
      </c>
      <c r="S1" s="169">
        <v>14</v>
      </c>
      <c r="T1" s="169">
        <v>15</v>
      </c>
      <c r="U1" s="169">
        <v>16</v>
      </c>
      <c r="V1" s="169">
        <v>17</v>
      </c>
      <c r="W1" s="169">
        <v>18</v>
      </c>
      <c r="X1" s="169">
        <v>19</v>
      </c>
      <c r="Y1" s="169">
        <v>20</v>
      </c>
      <c r="Z1" s="169">
        <v>21</v>
      </c>
      <c r="AA1" s="169">
        <v>22</v>
      </c>
      <c r="AB1" s="169">
        <v>23</v>
      </c>
      <c r="AC1" s="169">
        <v>24</v>
      </c>
      <c r="AD1" s="169">
        <v>25</v>
      </c>
      <c r="AE1" s="169">
        <v>26</v>
      </c>
      <c r="AF1" s="169">
        <v>27</v>
      </c>
      <c r="AG1" s="169">
        <v>28</v>
      </c>
      <c r="AH1" s="169">
        <v>29</v>
      </c>
      <c r="AI1" s="169">
        <v>30</v>
      </c>
      <c r="AJ1" s="169">
        <v>31</v>
      </c>
      <c r="AK1" s="169"/>
      <c r="AL1" s="169"/>
    </row>
    <row r="2" spans="1:38" s="169" customFormat="1" x14ac:dyDescent="0.25">
      <c r="A2" s="169" t="s">
        <v>176</v>
      </c>
      <c r="B2" s="169" t="s">
        <v>23</v>
      </c>
      <c r="C2" s="169">
        <v>2020</v>
      </c>
      <c r="D2" s="169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0</v>
      </c>
      <c r="E2" s="169">
        <f t="shared" ref="E2:E63" si="0">IF(C2=2020,SUM(G2:AJ2),SUM(F1:AJ1)-SUM(G2:AJ2))</f>
        <v>0</v>
      </c>
      <c r="F2" s="169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9">
        <f>IF($C2-G$1&lt;År1,0,F1*(1-VLOOKUP($A2,[1]Hugst!$R$5:$W$9,MATCH(ROUNDUP((G$1)/10,0)*10,[1]Hugst!$R$4:$W$4,0))))</f>
        <v>0</v>
      </c>
      <c r="H2" s="169">
        <f>IF($C2-H$1&lt;År1,0,G1*(1-VLOOKUP($A2,[1]Hugst!$R$5:$W$9,MATCH(ROUNDUP((H$1)/10,0)*10,[1]Hugst!$R$4:$W$4,0))))</f>
        <v>0</v>
      </c>
      <c r="I2" s="169">
        <f>IF($C2-I$1&lt;År1,0,H1*(1-VLOOKUP($A2,[1]Hugst!$R$5:$W$9,MATCH(ROUNDUP((I$1)/10,0)*10,[1]Hugst!$R$4:$W$4,0))))</f>
        <v>0</v>
      </c>
      <c r="J2" s="169">
        <f>IF($C2-J$1&lt;År1,0,I1*(1-VLOOKUP($A2,[1]Hugst!$R$5:$W$9,MATCH(ROUNDUP((J$1)/10,0)*10,[1]Hugst!$R$4:$W$4,0))))</f>
        <v>0</v>
      </c>
      <c r="K2" s="169">
        <f>IF($C2-K$1&lt;År1,0,J1*(1-VLOOKUP($A2,[1]Hugst!$R$5:$W$9,MATCH(ROUNDUP((K$1)/10,0)*10,[1]Hugst!$R$4:$W$4,0))))</f>
        <v>0</v>
      </c>
      <c r="L2" s="169">
        <f>IF($C2-L$1&lt;År1,0,K1*(1-VLOOKUP($A2,[1]Hugst!$R$5:$W$9,MATCH(ROUNDUP((L$1)/10,0)*10,[1]Hugst!$R$4:$W$4,0))))</f>
        <v>0</v>
      </c>
      <c r="M2" s="169">
        <f>IF($C2-M$1&lt;År1,0,L1*(1-VLOOKUP($A2,[1]Hugst!$R$5:$W$9,MATCH(ROUNDUP((M$1)/10,0)*10,[1]Hugst!$R$4:$W$4,0))))</f>
        <v>0</v>
      </c>
      <c r="N2" s="169">
        <f>IF($C2-N$1&lt;År1,0,M1*(1-VLOOKUP($A2,[1]Hugst!$R$5:$W$9,MATCH(ROUNDUP((N$1)/10,0)*10,[1]Hugst!$R$4:$W$4,0))))</f>
        <v>0</v>
      </c>
      <c r="O2" s="169">
        <f>IF($C2-O$1&lt;År1,0,N1*(1-VLOOKUP($A2,[1]Hugst!$R$5:$W$9,MATCH(ROUNDUP((O$1)/10,0)*10,[1]Hugst!$R$4:$W$4,0))))</f>
        <v>0</v>
      </c>
      <c r="P2" s="169">
        <f>IF($C2-P$1&lt;År1,0,O1*(1-VLOOKUP($A2,[1]Hugst!$R$5:$W$9,MATCH(ROUNDUP((P$1)/10,0)*10,[1]Hugst!$R$4:$W$4,0))))</f>
        <v>0</v>
      </c>
      <c r="Q2" s="169">
        <f>IF($C2-Q$1&lt;År1,0,P1*(1-VLOOKUP($A2,[1]Hugst!$R$5:$W$9,MATCH(ROUNDUP((Q$1)/10,0)*10,[1]Hugst!$R$4:$W$4,0))))</f>
        <v>0</v>
      </c>
      <c r="R2" s="169">
        <f>IF($C2-R$1&lt;År1,0,Q1*(1-VLOOKUP($A2,[1]Hugst!$R$5:$W$9,MATCH(ROUNDUP((R$1)/10,0)*10,[1]Hugst!$R$4:$W$4,0))))</f>
        <v>0</v>
      </c>
      <c r="S2" s="169">
        <f>IF($C2-S$1&lt;År1,0,R1*(1-VLOOKUP($A2,[1]Hugst!$R$5:$W$9,MATCH(ROUNDUP((S$1)/10,0)*10,[1]Hugst!$R$4:$W$4,0))))</f>
        <v>0</v>
      </c>
      <c r="T2" s="169">
        <f>IF($C2-T$1&lt;År1,0,S1*(1-VLOOKUP($A2,[1]Hugst!$R$5:$W$9,MATCH(ROUNDUP((T$1)/10,0)*10,[1]Hugst!$R$4:$W$4,0))))</f>
        <v>0</v>
      </c>
      <c r="U2" s="169">
        <f>IF($C2-U$1&lt;År1,0,T1*(1-VLOOKUP($A2,[1]Hugst!$R$5:$W$9,MATCH(ROUNDUP((U$1)/10,0)*10,[1]Hugst!$R$4:$W$4,0))))</f>
        <v>0</v>
      </c>
      <c r="V2" s="169">
        <f>IF($C2-V$1&lt;År1,0,U1*(1-VLOOKUP($A2,[1]Hugst!$R$5:$W$9,MATCH(ROUNDUP((V$1)/10,0)*10,[1]Hugst!$R$4:$W$4,0))))</f>
        <v>0</v>
      </c>
      <c r="W2" s="169">
        <f>IF($C2-W$1&lt;År1,0,V1*(1-VLOOKUP($A2,[1]Hugst!$R$5:$W$9,MATCH(ROUNDUP((W$1)/10,0)*10,[1]Hugst!$R$4:$W$4,0))))</f>
        <v>0</v>
      </c>
      <c r="X2" s="169">
        <f>IF($C2-X$1&lt;År1,0,W1*(1-VLOOKUP($A2,[1]Hugst!$R$5:$W$9,MATCH(ROUNDUP((X$1)/10,0)*10,[1]Hugst!$R$4:$W$4,0))))</f>
        <v>0</v>
      </c>
      <c r="Y2" s="169">
        <f>IF($C2-Y$1&lt;År1,0,X1*(1-VLOOKUP($A2,[1]Hugst!$R$5:$W$9,MATCH(ROUNDUP((Y$1)/10,0)*10,[1]Hugst!$R$4:$W$4,0))))</f>
        <v>0</v>
      </c>
      <c r="Z2" s="169">
        <f>IF($C2-Z$1&lt;År1,0,Y1*(1-VLOOKUP($A2,[1]Hugst!$R$5:$W$9,MATCH(ROUNDUP((Z$1)/10,0)*10,[1]Hugst!$R$4:$W$4,0))))</f>
        <v>0</v>
      </c>
      <c r="AA2" s="169">
        <f>IF($C2-AA$1&lt;År1,0,Z1*(1-VLOOKUP($A2,[1]Hugst!$R$5:$W$9,MATCH(ROUNDUP((AA$1)/10,0)*10,[1]Hugst!$R$4:$W$4,0))))</f>
        <v>0</v>
      </c>
      <c r="AB2" s="169">
        <f>IF($C2-AB$1&lt;År1,0,AA1*(1-VLOOKUP($A2,[1]Hugst!$R$5:$W$9,MATCH(ROUNDUP((AB$1)/10,0)*10,[1]Hugst!$R$4:$W$4,0))))</f>
        <v>0</v>
      </c>
      <c r="AC2" s="169">
        <f>IF($C2-AC$1&lt;År1,0,AB1*(1-VLOOKUP($A2,[1]Hugst!$R$5:$W$9,MATCH(ROUNDUP((AC$1)/10,0)*10,[1]Hugst!$R$4:$W$4,0))))</f>
        <v>0</v>
      </c>
      <c r="AD2" s="169">
        <f>IF($C2-AD$1&lt;År1,0,AC1*(1-VLOOKUP($A2,[1]Hugst!$R$5:$W$9,MATCH(ROUNDUP((AD$1)/10,0)*10,[1]Hugst!$R$4:$W$4,0))))</f>
        <v>0</v>
      </c>
      <c r="AE2" s="169">
        <f>IF($C2-AE$1&lt;År1,0,AD1*(1-VLOOKUP($A2,[1]Hugst!$R$5:$W$9,MATCH(ROUNDUP((AE$1)/10,0)*10,[1]Hugst!$R$4:$W$4,0))))</f>
        <v>0</v>
      </c>
      <c r="AF2" s="169">
        <f>IF($C2-AF$1&lt;År1,0,AE1*(1-VLOOKUP($A2,[1]Hugst!$R$5:$W$9,MATCH(ROUNDUP((AF$1)/10,0)*10,[1]Hugst!$R$4:$W$4,0))))</f>
        <v>0</v>
      </c>
      <c r="AG2" s="169">
        <f>IF($C2-AG$1&lt;År1,0,AF1*(1-VLOOKUP($A2,[1]Hugst!$R$5:$W$9,MATCH(ROUNDUP((AG$1)/10,0)*10,[1]Hugst!$R$4:$W$4,0))))</f>
        <v>0</v>
      </c>
      <c r="AH2" s="169">
        <f>IF($C2-AH$1&lt;År1,0,AG1*(1-VLOOKUP($A2,[1]Hugst!$R$5:$W$9,MATCH(ROUNDUP((AH$1)/10,0)*10,[1]Hugst!$R$4:$W$4,0))))</f>
        <v>0</v>
      </c>
      <c r="AI2" s="169">
        <f>IF($C2-AI$1&lt;År1,0,AH1*(1-VLOOKUP($A2,[1]Hugst!$R$5:$W$9,MATCH(ROUNDUP((AI$1)/10,0)*10,[1]Hugst!$R$4:$W$4,0))))</f>
        <v>0</v>
      </c>
      <c r="AJ2" s="169">
        <f>IF($C2-AJ$1&lt;År1,0,AI1*(1-VLOOKUP($A2,[1]Hugst!$R$5:$W$9,MATCH(ROUNDUP((AJ$1)/10,0)*10,[1]Hugst!$R$4:$W$4,0))))</f>
        <v>0</v>
      </c>
    </row>
    <row r="3" spans="1:38" s="169" customFormat="1" x14ac:dyDescent="0.25">
      <c r="A3" s="169" t="s">
        <v>176</v>
      </c>
      <c r="B3" s="169" t="s">
        <v>23</v>
      </c>
      <c r="C3" s="169">
        <v>2021</v>
      </c>
      <c r="D3" s="169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0</v>
      </c>
      <c r="E3" s="169">
        <f t="shared" ca="1" si="0"/>
        <v>0</v>
      </c>
      <c r="F3" s="169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9">
        <f ca="1">IF($C3-G$1&lt;År1,0,F2*(1-VLOOKUP($A3,[1]Hugst!$R$5:$W$9,MATCH(ROUNDUP((G$1)/10,0)*10,[1]Hugst!$R$4:$W$4,0))))</f>
        <v>0</v>
      </c>
      <c r="H3" s="169">
        <f>IF($C3-H$1&lt;År1,0,G2*(1-VLOOKUP($A3,[1]Hugst!$R$5:$W$9,MATCH(ROUNDUP((H$1)/10,0)*10,[1]Hugst!$R$4:$W$4,0))))</f>
        <v>0</v>
      </c>
      <c r="I3" s="169">
        <f>IF($C3-I$1&lt;År1,0,H2*(1-VLOOKUP($A3,[1]Hugst!$R$5:$W$9,MATCH(ROUNDUP((I$1)/10,0)*10,[1]Hugst!$R$4:$W$4,0))))</f>
        <v>0</v>
      </c>
      <c r="J3" s="169">
        <f>IF($C3-J$1&lt;År1,0,I2*(1-VLOOKUP($A3,[1]Hugst!$R$5:$W$9,MATCH(ROUNDUP((J$1)/10,0)*10,[1]Hugst!$R$4:$W$4,0))))</f>
        <v>0</v>
      </c>
      <c r="K3" s="169">
        <f>IF($C3-K$1&lt;År1,0,J2*(1-VLOOKUP($A3,[1]Hugst!$R$5:$W$9,MATCH(ROUNDUP((K$1)/10,0)*10,[1]Hugst!$R$4:$W$4,0))))</f>
        <v>0</v>
      </c>
      <c r="L3" s="169">
        <f>IF($C3-L$1&lt;År1,0,K2*(1-VLOOKUP($A3,[1]Hugst!$R$5:$W$9,MATCH(ROUNDUP((L$1)/10,0)*10,[1]Hugst!$R$4:$W$4,0))))</f>
        <v>0</v>
      </c>
      <c r="M3" s="169">
        <f>IF($C3-M$1&lt;År1,0,L2*(1-VLOOKUP($A3,[1]Hugst!$R$5:$W$9,MATCH(ROUNDUP((M$1)/10,0)*10,[1]Hugst!$R$4:$W$4,0))))</f>
        <v>0</v>
      </c>
      <c r="N3" s="169">
        <f>IF($C3-N$1&lt;År1,0,M2*(1-VLOOKUP($A3,[1]Hugst!$R$5:$W$9,MATCH(ROUNDUP((N$1)/10,0)*10,[1]Hugst!$R$4:$W$4,0))))</f>
        <v>0</v>
      </c>
      <c r="O3" s="169">
        <f>IF($C3-O$1&lt;År1,0,N2*(1-VLOOKUP($A3,[1]Hugst!$R$5:$W$9,MATCH(ROUNDUP((O$1)/10,0)*10,[1]Hugst!$R$4:$W$4,0))))</f>
        <v>0</v>
      </c>
      <c r="P3" s="169">
        <f>IF($C3-P$1&lt;År1,0,O2*(1-VLOOKUP($A3,[1]Hugst!$R$5:$W$9,MATCH(ROUNDUP((P$1)/10,0)*10,[1]Hugst!$R$4:$W$4,0))))</f>
        <v>0</v>
      </c>
      <c r="Q3" s="169">
        <f>IF($C3-Q$1&lt;År1,0,P2*(1-VLOOKUP($A3,[1]Hugst!$R$5:$W$9,MATCH(ROUNDUP((Q$1)/10,0)*10,[1]Hugst!$R$4:$W$4,0))))</f>
        <v>0</v>
      </c>
      <c r="R3" s="169">
        <f>IF($C3-R$1&lt;År1,0,Q2*(1-VLOOKUP($A3,[1]Hugst!$R$5:$W$9,MATCH(ROUNDUP((R$1)/10,0)*10,[1]Hugst!$R$4:$W$4,0))))</f>
        <v>0</v>
      </c>
      <c r="S3" s="169">
        <f>IF($C3-S$1&lt;År1,0,R2*(1-VLOOKUP($A3,[1]Hugst!$R$5:$W$9,MATCH(ROUNDUP((S$1)/10,0)*10,[1]Hugst!$R$4:$W$4,0))))</f>
        <v>0</v>
      </c>
      <c r="T3" s="169">
        <f>IF($C3-T$1&lt;År1,0,S2*(1-VLOOKUP($A3,[1]Hugst!$R$5:$W$9,MATCH(ROUNDUP((T$1)/10,0)*10,[1]Hugst!$R$4:$W$4,0))))</f>
        <v>0</v>
      </c>
      <c r="U3" s="169">
        <f>IF($C3-U$1&lt;År1,0,T2*(1-VLOOKUP($A3,[1]Hugst!$R$5:$W$9,MATCH(ROUNDUP((U$1)/10,0)*10,[1]Hugst!$R$4:$W$4,0))))</f>
        <v>0</v>
      </c>
      <c r="V3" s="169">
        <f>IF($C3-V$1&lt;År1,0,U2*(1-VLOOKUP($A3,[1]Hugst!$R$5:$W$9,MATCH(ROUNDUP((V$1)/10,0)*10,[1]Hugst!$R$4:$W$4,0))))</f>
        <v>0</v>
      </c>
      <c r="W3" s="169">
        <f>IF($C3-W$1&lt;År1,0,V2*(1-VLOOKUP($A3,[1]Hugst!$R$5:$W$9,MATCH(ROUNDUP((W$1)/10,0)*10,[1]Hugst!$R$4:$W$4,0))))</f>
        <v>0</v>
      </c>
      <c r="X3" s="169">
        <f>IF($C3-X$1&lt;År1,0,W2*(1-VLOOKUP($A3,[1]Hugst!$R$5:$W$9,MATCH(ROUNDUP((X$1)/10,0)*10,[1]Hugst!$R$4:$W$4,0))))</f>
        <v>0</v>
      </c>
      <c r="Y3" s="169">
        <f>IF($C3-Y$1&lt;År1,0,X2*(1-VLOOKUP($A3,[1]Hugst!$R$5:$W$9,MATCH(ROUNDUP((Y$1)/10,0)*10,[1]Hugst!$R$4:$W$4,0))))</f>
        <v>0</v>
      </c>
      <c r="Z3" s="169">
        <f>IF($C3-Z$1&lt;År1,0,Y2*(1-VLOOKUP($A3,[1]Hugst!$R$5:$W$9,MATCH(ROUNDUP((Z$1)/10,0)*10,[1]Hugst!$R$4:$W$4,0))))</f>
        <v>0</v>
      </c>
      <c r="AA3" s="169">
        <f>IF($C3-AA$1&lt;År1,0,Z2*(1-VLOOKUP($A3,[1]Hugst!$R$5:$W$9,MATCH(ROUNDUP((AA$1)/10,0)*10,[1]Hugst!$R$4:$W$4,0))))</f>
        <v>0</v>
      </c>
      <c r="AB3" s="169">
        <f>IF($C3-AB$1&lt;År1,0,AA2*(1-VLOOKUP($A3,[1]Hugst!$R$5:$W$9,MATCH(ROUNDUP((AB$1)/10,0)*10,[1]Hugst!$R$4:$W$4,0))))</f>
        <v>0</v>
      </c>
      <c r="AC3" s="169">
        <f>IF($C3-AC$1&lt;År1,0,AB2*(1-VLOOKUP($A3,[1]Hugst!$R$5:$W$9,MATCH(ROUNDUP((AC$1)/10,0)*10,[1]Hugst!$R$4:$W$4,0))))</f>
        <v>0</v>
      </c>
      <c r="AD3" s="169">
        <f>IF($C3-AD$1&lt;År1,0,AC2*(1-VLOOKUP($A3,[1]Hugst!$R$5:$W$9,MATCH(ROUNDUP((AD$1)/10,0)*10,[1]Hugst!$R$4:$W$4,0))))</f>
        <v>0</v>
      </c>
      <c r="AE3" s="169">
        <f>IF($C3-AE$1&lt;År1,0,AD2*(1-VLOOKUP($A3,[1]Hugst!$R$5:$W$9,MATCH(ROUNDUP((AE$1)/10,0)*10,[1]Hugst!$R$4:$W$4,0))))</f>
        <v>0</v>
      </c>
      <c r="AF3" s="169">
        <f>IF($C3-AF$1&lt;År1,0,AE2*(1-VLOOKUP($A3,[1]Hugst!$R$5:$W$9,MATCH(ROUNDUP((AF$1)/10,0)*10,[1]Hugst!$R$4:$W$4,0))))</f>
        <v>0</v>
      </c>
      <c r="AG3" s="169">
        <f>IF($C3-AG$1&lt;År1,0,AF2*(1-VLOOKUP($A3,[1]Hugst!$R$5:$W$9,MATCH(ROUNDUP((AG$1)/10,0)*10,[1]Hugst!$R$4:$W$4,0))))</f>
        <v>0</v>
      </c>
      <c r="AH3" s="169">
        <f>IF($C3-AH$1&lt;År1,0,AG2*(1-VLOOKUP($A3,[1]Hugst!$R$5:$W$9,MATCH(ROUNDUP((AH$1)/10,0)*10,[1]Hugst!$R$4:$W$4,0))))</f>
        <v>0</v>
      </c>
      <c r="AI3" s="169">
        <f>IF($C3-AI$1&lt;År1,0,AH2*(1-VLOOKUP($A3,[1]Hugst!$R$5:$W$9,MATCH(ROUNDUP((AI$1)/10,0)*10,[1]Hugst!$R$4:$W$4,0))))</f>
        <v>0</v>
      </c>
      <c r="AJ3" s="169">
        <f>IF($C3-AJ$1&lt;År1,0,AI2*(1-VLOOKUP($A3,[1]Hugst!$R$5:$W$9,MATCH(ROUNDUP((AJ$1)/10,0)*10,[1]Hugst!$R$4:$W$4,0))))</f>
        <v>0</v>
      </c>
    </row>
    <row r="4" spans="1:38" s="169" customFormat="1" x14ac:dyDescent="0.25">
      <c r="A4" s="169" t="s">
        <v>176</v>
      </c>
      <c r="B4" s="169" t="s">
        <v>23</v>
      </c>
      <c r="C4" s="169">
        <v>2022</v>
      </c>
      <c r="D4" s="169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0</v>
      </c>
      <c r="E4" s="169">
        <f t="shared" ca="1" si="0"/>
        <v>0</v>
      </c>
      <c r="F4" s="169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9">
        <f ca="1">IF($C4-G$1&lt;År1,0,F3*(1-VLOOKUP($A4,[1]Hugst!$R$5:$W$9,MATCH(ROUNDUP((G$1)/10,0)*10,[1]Hugst!$R$4:$W$4,0))))</f>
        <v>0</v>
      </c>
      <c r="H4" s="169">
        <f ca="1">IF($C4-H$1&lt;År1,0,G3*(1-VLOOKUP($A4,[1]Hugst!$R$5:$W$9,MATCH(ROUNDUP((H$1)/10,0)*10,[1]Hugst!$R$4:$W$4,0))))</f>
        <v>0</v>
      </c>
      <c r="I4" s="169">
        <f>IF($C4-I$1&lt;År1,0,H3*(1-VLOOKUP($A4,[1]Hugst!$R$5:$W$9,MATCH(ROUNDUP((I$1)/10,0)*10,[1]Hugst!$R$4:$W$4,0))))</f>
        <v>0</v>
      </c>
      <c r="J4" s="169">
        <f>IF($C4-J$1&lt;År1,0,I3*(1-VLOOKUP($A4,[1]Hugst!$R$5:$W$9,MATCH(ROUNDUP((J$1)/10,0)*10,[1]Hugst!$R$4:$W$4,0))))</f>
        <v>0</v>
      </c>
      <c r="K4" s="169">
        <f>IF($C4-K$1&lt;År1,0,J3*(1-VLOOKUP($A4,[1]Hugst!$R$5:$W$9,MATCH(ROUNDUP((K$1)/10,0)*10,[1]Hugst!$R$4:$W$4,0))))</f>
        <v>0</v>
      </c>
      <c r="L4" s="169">
        <f>IF($C4-L$1&lt;År1,0,K3*(1-VLOOKUP($A4,[1]Hugst!$R$5:$W$9,MATCH(ROUNDUP((L$1)/10,0)*10,[1]Hugst!$R$4:$W$4,0))))</f>
        <v>0</v>
      </c>
      <c r="M4" s="169">
        <f>IF($C4-M$1&lt;År1,0,L3*(1-VLOOKUP($A4,[1]Hugst!$R$5:$W$9,MATCH(ROUNDUP((M$1)/10,0)*10,[1]Hugst!$R$4:$W$4,0))))</f>
        <v>0</v>
      </c>
      <c r="N4" s="169">
        <f>IF($C4-N$1&lt;År1,0,M3*(1-VLOOKUP($A4,[1]Hugst!$R$5:$W$9,MATCH(ROUNDUP((N$1)/10,0)*10,[1]Hugst!$R$4:$W$4,0))))</f>
        <v>0</v>
      </c>
      <c r="O4" s="169">
        <f>IF($C4-O$1&lt;År1,0,N3*(1-VLOOKUP($A4,[1]Hugst!$R$5:$W$9,MATCH(ROUNDUP((O$1)/10,0)*10,[1]Hugst!$R$4:$W$4,0))))</f>
        <v>0</v>
      </c>
      <c r="P4" s="169">
        <f>IF($C4-P$1&lt;År1,0,O3*(1-VLOOKUP($A4,[1]Hugst!$R$5:$W$9,MATCH(ROUNDUP((P$1)/10,0)*10,[1]Hugst!$R$4:$W$4,0))))</f>
        <v>0</v>
      </c>
      <c r="Q4" s="169">
        <f>IF($C4-Q$1&lt;År1,0,P3*(1-VLOOKUP($A4,[1]Hugst!$R$5:$W$9,MATCH(ROUNDUP((Q$1)/10,0)*10,[1]Hugst!$R$4:$W$4,0))))</f>
        <v>0</v>
      </c>
      <c r="R4" s="169">
        <f>IF($C4-R$1&lt;År1,0,Q3*(1-VLOOKUP($A4,[1]Hugst!$R$5:$W$9,MATCH(ROUNDUP((R$1)/10,0)*10,[1]Hugst!$R$4:$W$4,0))))</f>
        <v>0</v>
      </c>
      <c r="S4" s="169">
        <f>IF($C4-S$1&lt;År1,0,R3*(1-VLOOKUP($A4,[1]Hugst!$R$5:$W$9,MATCH(ROUNDUP((S$1)/10,0)*10,[1]Hugst!$R$4:$W$4,0))))</f>
        <v>0</v>
      </c>
      <c r="T4" s="169">
        <f>IF($C4-T$1&lt;År1,0,S3*(1-VLOOKUP($A4,[1]Hugst!$R$5:$W$9,MATCH(ROUNDUP((T$1)/10,0)*10,[1]Hugst!$R$4:$W$4,0))))</f>
        <v>0</v>
      </c>
      <c r="U4" s="169">
        <f>IF($C4-U$1&lt;År1,0,T3*(1-VLOOKUP($A4,[1]Hugst!$R$5:$W$9,MATCH(ROUNDUP((U$1)/10,0)*10,[1]Hugst!$R$4:$W$4,0))))</f>
        <v>0</v>
      </c>
      <c r="V4" s="169">
        <f>IF($C4-V$1&lt;År1,0,U3*(1-VLOOKUP($A4,[1]Hugst!$R$5:$W$9,MATCH(ROUNDUP((V$1)/10,0)*10,[1]Hugst!$R$4:$W$4,0))))</f>
        <v>0</v>
      </c>
      <c r="W4" s="169">
        <f>IF($C4-W$1&lt;År1,0,V3*(1-VLOOKUP($A4,[1]Hugst!$R$5:$W$9,MATCH(ROUNDUP((W$1)/10,0)*10,[1]Hugst!$R$4:$W$4,0))))</f>
        <v>0</v>
      </c>
      <c r="X4" s="169">
        <f>IF($C4-X$1&lt;År1,0,W3*(1-VLOOKUP($A4,[1]Hugst!$R$5:$W$9,MATCH(ROUNDUP((X$1)/10,0)*10,[1]Hugst!$R$4:$W$4,0))))</f>
        <v>0</v>
      </c>
      <c r="Y4" s="169">
        <f>IF($C4-Y$1&lt;År1,0,X3*(1-VLOOKUP($A4,[1]Hugst!$R$5:$W$9,MATCH(ROUNDUP((Y$1)/10,0)*10,[1]Hugst!$R$4:$W$4,0))))</f>
        <v>0</v>
      </c>
      <c r="Z4" s="169">
        <f>IF($C4-Z$1&lt;År1,0,Y3*(1-VLOOKUP($A4,[1]Hugst!$R$5:$W$9,MATCH(ROUNDUP((Z$1)/10,0)*10,[1]Hugst!$R$4:$W$4,0))))</f>
        <v>0</v>
      </c>
      <c r="AA4" s="169">
        <f>IF($C4-AA$1&lt;År1,0,Z3*(1-VLOOKUP($A4,[1]Hugst!$R$5:$W$9,MATCH(ROUNDUP((AA$1)/10,0)*10,[1]Hugst!$R$4:$W$4,0))))</f>
        <v>0</v>
      </c>
      <c r="AB4" s="169">
        <f>IF($C4-AB$1&lt;År1,0,AA3*(1-VLOOKUP($A4,[1]Hugst!$R$5:$W$9,MATCH(ROUNDUP((AB$1)/10,0)*10,[1]Hugst!$R$4:$W$4,0))))</f>
        <v>0</v>
      </c>
      <c r="AC4" s="169">
        <f>IF($C4-AC$1&lt;År1,0,AB3*(1-VLOOKUP($A4,[1]Hugst!$R$5:$W$9,MATCH(ROUNDUP((AC$1)/10,0)*10,[1]Hugst!$R$4:$W$4,0))))</f>
        <v>0</v>
      </c>
      <c r="AD4" s="169">
        <f>IF($C4-AD$1&lt;År1,0,AC3*(1-VLOOKUP($A4,[1]Hugst!$R$5:$W$9,MATCH(ROUNDUP((AD$1)/10,0)*10,[1]Hugst!$R$4:$W$4,0))))</f>
        <v>0</v>
      </c>
      <c r="AE4" s="169">
        <f>IF($C4-AE$1&lt;År1,0,AD3*(1-VLOOKUP($A4,[1]Hugst!$R$5:$W$9,MATCH(ROUNDUP((AE$1)/10,0)*10,[1]Hugst!$R$4:$W$4,0))))</f>
        <v>0</v>
      </c>
      <c r="AF4" s="169">
        <f>IF($C4-AF$1&lt;År1,0,AE3*(1-VLOOKUP($A4,[1]Hugst!$R$5:$W$9,MATCH(ROUNDUP((AF$1)/10,0)*10,[1]Hugst!$R$4:$W$4,0))))</f>
        <v>0</v>
      </c>
      <c r="AG4" s="169">
        <f>IF($C4-AG$1&lt;År1,0,AF3*(1-VLOOKUP($A4,[1]Hugst!$R$5:$W$9,MATCH(ROUNDUP((AG$1)/10,0)*10,[1]Hugst!$R$4:$W$4,0))))</f>
        <v>0</v>
      </c>
      <c r="AH4" s="169">
        <f>IF($C4-AH$1&lt;År1,0,AG3*(1-VLOOKUP($A4,[1]Hugst!$R$5:$W$9,MATCH(ROUNDUP((AH$1)/10,0)*10,[1]Hugst!$R$4:$W$4,0))))</f>
        <v>0</v>
      </c>
      <c r="AI4" s="169">
        <f>IF($C4-AI$1&lt;År1,0,AH3*(1-VLOOKUP($A4,[1]Hugst!$R$5:$W$9,MATCH(ROUNDUP((AI$1)/10,0)*10,[1]Hugst!$R$4:$W$4,0))))</f>
        <v>0</v>
      </c>
      <c r="AJ4" s="169">
        <f>IF($C4-AJ$1&lt;År1,0,AI3*(1-VLOOKUP($A4,[1]Hugst!$R$5:$W$9,MATCH(ROUNDUP((AJ$1)/10,0)*10,[1]Hugst!$R$4:$W$4,0))))</f>
        <v>0</v>
      </c>
    </row>
    <row r="5" spans="1:38" s="169" customFormat="1" x14ac:dyDescent="0.25">
      <c r="A5" s="169" t="s">
        <v>176</v>
      </c>
      <c r="B5" s="169" t="s">
        <v>23</v>
      </c>
      <c r="C5" s="169">
        <v>2023</v>
      </c>
      <c r="D5" s="169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0</v>
      </c>
      <c r="E5" s="169">
        <f t="shared" ca="1" si="0"/>
        <v>0</v>
      </c>
      <c r="F5" s="169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9">
        <f ca="1">IF($C5-G$1&lt;År1,0,F4*(1-VLOOKUP($A5,[1]Hugst!$R$5:$W$9,MATCH(ROUNDUP((G$1)/10,0)*10,[1]Hugst!$R$4:$W$4,0))))</f>
        <v>0</v>
      </c>
      <c r="H5" s="169">
        <f ca="1">IF($C5-H$1&lt;År1,0,G4*(1-VLOOKUP($A5,[1]Hugst!$R$5:$W$9,MATCH(ROUNDUP((H$1)/10,0)*10,[1]Hugst!$R$4:$W$4,0))))</f>
        <v>0</v>
      </c>
      <c r="I5" s="169">
        <f ca="1">IF($C5-I$1&lt;År1,0,H4*(1-VLOOKUP($A5,[1]Hugst!$R$5:$W$9,MATCH(ROUNDUP((I$1)/10,0)*10,[1]Hugst!$R$4:$W$4,0))))</f>
        <v>0</v>
      </c>
      <c r="J5" s="169">
        <f>IF($C5-J$1&lt;År1,0,I4*(1-VLOOKUP($A5,[1]Hugst!$R$5:$W$9,MATCH(ROUNDUP((J$1)/10,0)*10,[1]Hugst!$R$4:$W$4,0))))</f>
        <v>0</v>
      </c>
      <c r="K5" s="169">
        <f>IF($C5-K$1&lt;År1,0,J4*(1-VLOOKUP($A5,[1]Hugst!$R$5:$W$9,MATCH(ROUNDUP((K$1)/10,0)*10,[1]Hugst!$R$4:$W$4,0))))</f>
        <v>0</v>
      </c>
      <c r="L5" s="169">
        <f>IF($C5-L$1&lt;År1,0,K4*(1-VLOOKUP($A5,[1]Hugst!$R$5:$W$9,MATCH(ROUNDUP((L$1)/10,0)*10,[1]Hugst!$R$4:$W$4,0))))</f>
        <v>0</v>
      </c>
      <c r="M5" s="169">
        <f>IF($C5-M$1&lt;År1,0,L4*(1-VLOOKUP($A5,[1]Hugst!$R$5:$W$9,MATCH(ROUNDUP((M$1)/10,0)*10,[1]Hugst!$R$4:$W$4,0))))</f>
        <v>0</v>
      </c>
      <c r="N5" s="169">
        <f>IF($C5-N$1&lt;År1,0,M4*(1-VLOOKUP($A5,[1]Hugst!$R$5:$W$9,MATCH(ROUNDUP((N$1)/10,0)*10,[1]Hugst!$R$4:$W$4,0))))</f>
        <v>0</v>
      </c>
      <c r="O5" s="169">
        <f>IF($C5-O$1&lt;År1,0,N4*(1-VLOOKUP($A5,[1]Hugst!$R$5:$W$9,MATCH(ROUNDUP((O$1)/10,0)*10,[1]Hugst!$R$4:$W$4,0))))</f>
        <v>0</v>
      </c>
      <c r="P5" s="169">
        <f>IF($C5-P$1&lt;År1,0,O4*(1-VLOOKUP($A5,[1]Hugst!$R$5:$W$9,MATCH(ROUNDUP((P$1)/10,0)*10,[1]Hugst!$R$4:$W$4,0))))</f>
        <v>0</v>
      </c>
      <c r="Q5" s="169">
        <f>IF($C5-Q$1&lt;År1,0,P4*(1-VLOOKUP($A5,[1]Hugst!$R$5:$W$9,MATCH(ROUNDUP((Q$1)/10,0)*10,[1]Hugst!$R$4:$W$4,0))))</f>
        <v>0</v>
      </c>
      <c r="R5" s="169">
        <f>IF($C5-R$1&lt;År1,0,Q4*(1-VLOOKUP($A5,[1]Hugst!$R$5:$W$9,MATCH(ROUNDUP((R$1)/10,0)*10,[1]Hugst!$R$4:$W$4,0))))</f>
        <v>0</v>
      </c>
      <c r="S5" s="169">
        <f>IF($C5-S$1&lt;År1,0,R4*(1-VLOOKUP($A5,[1]Hugst!$R$5:$W$9,MATCH(ROUNDUP((S$1)/10,0)*10,[1]Hugst!$R$4:$W$4,0))))</f>
        <v>0</v>
      </c>
      <c r="T5" s="169">
        <f>IF($C5-T$1&lt;År1,0,S4*(1-VLOOKUP($A5,[1]Hugst!$R$5:$W$9,MATCH(ROUNDUP((T$1)/10,0)*10,[1]Hugst!$R$4:$W$4,0))))</f>
        <v>0</v>
      </c>
      <c r="U5" s="169">
        <f>IF($C5-U$1&lt;År1,0,T4*(1-VLOOKUP($A5,[1]Hugst!$R$5:$W$9,MATCH(ROUNDUP((U$1)/10,0)*10,[1]Hugst!$R$4:$W$4,0))))</f>
        <v>0</v>
      </c>
      <c r="V5" s="169">
        <f>IF($C5-V$1&lt;År1,0,U4*(1-VLOOKUP($A5,[1]Hugst!$R$5:$W$9,MATCH(ROUNDUP((V$1)/10,0)*10,[1]Hugst!$R$4:$W$4,0))))</f>
        <v>0</v>
      </c>
      <c r="W5" s="169">
        <f>IF($C5-W$1&lt;År1,0,V4*(1-VLOOKUP($A5,[1]Hugst!$R$5:$W$9,MATCH(ROUNDUP((W$1)/10,0)*10,[1]Hugst!$R$4:$W$4,0))))</f>
        <v>0</v>
      </c>
      <c r="X5" s="169">
        <f>IF($C5-X$1&lt;År1,0,W4*(1-VLOOKUP($A5,[1]Hugst!$R$5:$W$9,MATCH(ROUNDUP((X$1)/10,0)*10,[1]Hugst!$R$4:$W$4,0))))</f>
        <v>0</v>
      </c>
      <c r="Y5" s="169">
        <f>IF($C5-Y$1&lt;År1,0,X4*(1-VLOOKUP($A5,[1]Hugst!$R$5:$W$9,MATCH(ROUNDUP((Y$1)/10,0)*10,[1]Hugst!$R$4:$W$4,0))))</f>
        <v>0</v>
      </c>
      <c r="Z5" s="169">
        <f>IF($C5-Z$1&lt;År1,0,Y4*(1-VLOOKUP($A5,[1]Hugst!$R$5:$W$9,MATCH(ROUNDUP((Z$1)/10,0)*10,[1]Hugst!$R$4:$W$4,0))))</f>
        <v>0</v>
      </c>
      <c r="AA5" s="169">
        <f>IF($C5-AA$1&lt;År1,0,Z4*(1-VLOOKUP($A5,[1]Hugst!$R$5:$W$9,MATCH(ROUNDUP((AA$1)/10,0)*10,[1]Hugst!$R$4:$W$4,0))))</f>
        <v>0</v>
      </c>
      <c r="AB5" s="169">
        <f>IF($C5-AB$1&lt;År1,0,AA4*(1-VLOOKUP($A5,[1]Hugst!$R$5:$W$9,MATCH(ROUNDUP((AB$1)/10,0)*10,[1]Hugst!$R$4:$W$4,0))))</f>
        <v>0</v>
      </c>
      <c r="AC5" s="169">
        <f>IF($C5-AC$1&lt;År1,0,AB4*(1-VLOOKUP($A5,[1]Hugst!$R$5:$W$9,MATCH(ROUNDUP((AC$1)/10,0)*10,[1]Hugst!$R$4:$W$4,0))))</f>
        <v>0</v>
      </c>
      <c r="AD5" s="169">
        <f>IF($C5-AD$1&lt;År1,0,AC4*(1-VLOOKUP($A5,[1]Hugst!$R$5:$W$9,MATCH(ROUNDUP((AD$1)/10,0)*10,[1]Hugst!$R$4:$W$4,0))))</f>
        <v>0</v>
      </c>
      <c r="AE5" s="169">
        <f>IF($C5-AE$1&lt;År1,0,AD4*(1-VLOOKUP($A5,[1]Hugst!$R$5:$W$9,MATCH(ROUNDUP((AE$1)/10,0)*10,[1]Hugst!$R$4:$W$4,0))))</f>
        <v>0</v>
      </c>
      <c r="AF5" s="169">
        <f>IF($C5-AF$1&lt;År1,0,AE4*(1-VLOOKUP($A5,[1]Hugst!$R$5:$W$9,MATCH(ROUNDUP((AF$1)/10,0)*10,[1]Hugst!$R$4:$W$4,0))))</f>
        <v>0</v>
      </c>
      <c r="AG5" s="169">
        <f>IF($C5-AG$1&lt;År1,0,AF4*(1-VLOOKUP($A5,[1]Hugst!$R$5:$W$9,MATCH(ROUNDUP((AG$1)/10,0)*10,[1]Hugst!$R$4:$W$4,0))))</f>
        <v>0</v>
      </c>
      <c r="AH5" s="169">
        <f>IF($C5-AH$1&lt;År1,0,AG4*(1-VLOOKUP($A5,[1]Hugst!$R$5:$W$9,MATCH(ROUNDUP((AH$1)/10,0)*10,[1]Hugst!$R$4:$W$4,0))))</f>
        <v>0</v>
      </c>
      <c r="AI5" s="169">
        <f>IF($C5-AI$1&lt;År1,0,AH4*(1-VLOOKUP($A5,[1]Hugst!$R$5:$W$9,MATCH(ROUNDUP((AI$1)/10,0)*10,[1]Hugst!$R$4:$W$4,0))))</f>
        <v>0</v>
      </c>
      <c r="AJ5" s="169">
        <f>IF($C5-AJ$1&lt;År1,0,AI4*(1-VLOOKUP($A5,[1]Hugst!$R$5:$W$9,MATCH(ROUNDUP((AJ$1)/10,0)*10,[1]Hugst!$R$4:$W$4,0))))</f>
        <v>0</v>
      </c>
    </row>
    <row r="6" spans="1:38" s="169" customFormat="1" x14ac:dyDescent="0.25">
      <c r="A6" s="169" t="s">
        <v>176</v>
      </c>
      <c r="B6" s="169" t="s">
        <v>23</v>
      </c>
      <c r="C6" s="169">
        <v>2024</v>
      </c>
      <c r="D6" s="169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0</v>
      </c>
      <c r="E6" s="169">
        <f t="shared" ca="1" si="0"/>
        <v>0</v>
      </c>
      <c r="F6" s="169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9">
        <f ca="1">IF($C6-G$1&lt;År1,0,F5*(1-VLOOKUP($A6,[1]Hugst!$R$5:$W$9,MATCH(ROUNDUP((G$1)/10,0)*10,[1]Hugst!$R$4:$W$4,0))))</f>
        <v>0</v>
      </c>
      <c r="H6" s="169">
        <f ca="1">IF($C6-H$1&lt;År1,0,G5*(1-VLOOKUP($A6,[1]Hugst!$R$5:$W$9,MATCH(ROUNDUP((H$1)/10,0)*10,[1]Hugst!$R$4:$W$4,0))))</f>
        <v>0</v>
      </c>
      <c r="I6" s="169">
        <f ca="1">IF($C6-I$1&lt;År1,0,H5*(1-VLOOKUP($A6,[1]Hugst!$R$5:$W$9,MATCH(ROUNDUP((I$1)/10,0)*10,[1]Hugst!$R$4:$W$4,0))))</f>
        <v>0</v>
      </c>
      <c r="J6" s="169">
        <f ca="1">IF($C6-J$1&lt;År1,0,I5*(1-VLOOKUP($A6,[1]Hugst!$R$5:$W$9,MATCH(ROUNDUP((J$1)/10,0)*10,[1]Hugst!$R$4:$W$4,0))))</f>
        <v>0</v>
      </c>
      <c r="K6" s="169">
        <f>IF($C6-K$1&lt;År1,0,J5*(1-VLOOKUP($A6,[1]Hugst!$R$5:$W$9,MATCH(ROUNDUP((K$1)/10,0)*10,[1]Hugst!$R$4:$W$4,0))))</f>
        <v>0</v>
      </c>
      <c r="L6" s="169">
        <f>IF($C6-L$1&lt;År1,0,K5*(1-VLOOKUP($A6,[1]Hugst!$R$5:$W$9,MATCH(ROUNDUP((L$1)/10,0)*10,[1]Hugst!$R$4:$W$4,0))))</f>
        <v>0</v>
      </c>
      <c r="M6" s="169">
        <f>IF($C6-M$1&lt;År1,0,L5*(1-VLOOKUP($A6,[1]Hugst!$R$5:$W$9,MATCH(ROUNDUP((M$1)/10,0)*10,[1]Hugst!$R$4:$W$4,0))))</f>
        <v>0</v>
      </c>
      <c r="N6" s="169">
        <f>IF($C6-N$1&lt;År1,0,M5*(1-VLOOKUP($A6,[1]Hugst!$R$5:$W$9,MATCH(ROUNDUP((N$1)/10,0)*10,[1]Hugst!$R$4:$W$4,0))))</f>
        <v>0</v>
      </c>
      <c r="O6" s="169">
        <f>IF($C6-O$1&lt;År1,0,N5*(1-VLOOKUP($A6,[1]Hugst!$R$5:$W$9,MATCH(ROUNDUP((O$1)/10,0)*10,[1]Hugst!$R$4:$W$4,0))))</f>
        <v>0</v>
      </c>
      <c r="P6" s="169">
        <f>IF($C6-P$1&lt;År1,0,O5*(1-VLOOKUP($A6,[1]Hugst!$R$5:$W$9,MATCH(ROUNDUP((P$1)/10,0)*10,[1]Hugst!$R$4:$W$4,0))))</f>
        <v>0</v>
      </c>
      <c r="Q6" s="169">
        <f>IF($C6-Q$1&lt;År1,0,P5*(1-VLOOKUP($A6,[1]Hugst!$R$5:$W$9,MATCH(ROUNDUP((Q$1)/10,0)*10,[1]Hugst!$R$4:$W$4,0))))</f>
        <v>0</v>
      </c>
      <c r="R6" s="169">
        <f>IF($C6-R$1&lt;År1,0,Q5*(1-VLOOKUP($A6,[1]Hugst!$R$5:$W$9,MATCH(ROUNDUP((R$1)/10,0)*10,[1]Hugst!$R$4:$W$4,0))))</f>
        <v>0</v>
      </c>
      <c r="S6" s="169">
        <f>IF($C6-S$1&lt;År1,0,R5*(1-VLOOKUP($A6,[1]Hugst!$R$5:$W$9,MATCH(ROUNDUP((S$1)/10,0)*10,[1]Hugst!$R$4:$W$4,0))))</f>
        <v>0</v>
      </c>
      <c r="T6" s="169">
        <f>IF($C6-T$1&lt;År1,0,S5*(1-VLOOKUP($A6,[1]Hugst!$R$5:$W$9,MATCH(ROUNDUP((T$1)/10,0)*10,[1]Hugst!$R$4:$W$4,0))))</f>
        <v>0</v>
      </c>
      <c r="U6" s="169">
        <f>IF($C6-U$1&lt;År1,0,T5*(1-VLOOKUP($A6,[1]Hugst!$R$5:$W$9,MATCH(ROUNDUP((U$1)/10,0)*10,[1]Hugst!$R$4:$W$4,0))))</f>
        <v>0</v>
      </c>
      <c r="V6" s="169">
        <f>IF($C6-V$1&lt;År1,0,U5*(1-VLOOKUP($A6,[1]Hugst!$R$5:$W$9,MATCH(ROUNDUP((V$1)/10,0)*10,[1]Hugst!$R$4:$W$4,0))))</f>
        <v>0</v>
      </c>
      <c r="W6" s="169">
        <f>IF($C6-W$1&lt;År1,0,V5*(1-VLOOKUP($A6,[1]Hugst!$R$5:$W$9,MATCH(ROUNDUP((W$1)/10,0)*10,[1]Hugst!$R$4:$W$4,0))))</f>
        <v>0</v>
      </c>
      <c r="X6" s="169">
        <f>IF($C6-X$1&lt;År1,0,W5*(1-VLOOKUP($A6,[1]Hugst!$R$5:$W$9,MATCH(ROUNDUP((X$1)/10,0)*10,[1]Hugst!$R$4:$W$4,0))))</f>
        <v>0</v>
      </c>
      <c r="Y6" s="169">
        <f>IF($C6-Y$1&lt;År1,0,X5*(1-VLOOKUP($A6,[1]Hugst!$R$5:$W$9,MATCH(ROUNDUP((Y$1)/10,0)*10,[1]Hugst!$R$4:$W$4,0))))</f>
        <v>0</v>
      </c>
      <c r="Z6" s="169">
        <f>IF($C6-Z$1&lt;År1,0,Y5*(1-VLOOKUP($A6,[1]Hugst!$R$5:$W$9,MATCH(ROUNDUP((Z$1)/10,0)*10,[1]Hugst!$R$4:$W$4,0))))</f>
        <v>0</v>
      </c>
      <c r="AA6" s="169">
        <f>IF($C6-AA$1&lt;År1,0,Z5*(1-VLOOKUP($A6,[1]Hugst!$R$5:$W$9,MATCH(ROUNDUP((AA$1)/10,0)*10,[1]Hugst!$R$4:$W$4,0))))</f>
        <v>0</v>
      </c>
      <c r="AB6" s="169">
        <f>IF($C6-AB$1&lt;År1,0,AA5*(1-VLOOKUP($A6,[1]Hugst!$R$5:$W$9,MATCH(ROUNDUP((AB$1)/10,0)*10,[1]Hugst!$R$4:$W$4,0))))</f>
        <v>0</v>
      </c>
      <c r="AC6" s="169">
        <f>IF($C6-AC$1&lt;År1,0,AB5*(1-VLOOKUP($A6,[1]Hugst!$R$5:$W$9,MATCH(ROUNDUP((AC$1)/10,0)*10,[1]Hugst!$R$4:$W$4,0))))</f>
        <v>0</v>
      </c>
      <c r="AD6" s="169">
        <f>IF($C6-AD$1&lt;År1,0,AC5*(1-VLOOKUP($A6,[1]Hugst!$R$5:$W$9,MATCH(ROUNDUP((AD$1)/10,0)*10,[1]Hugst!$R$4:$W$4,0))))</f>
        <v>0</v>
      </c>
      <c r="AE6" s="169">
        <f>IF($C6-AE$1&lt;År1,0,AD5*(1-VLOOKUP($A6,[1]Hugst!$R$5:$W$9,MATCH(ROUNDUP((AE$1)/10,0)*10,[1]Hugst!$R$4:$W$4,0))))</f>
        <v>0</v>
      </c>
      <c r="AF6" s="169">
        <f>IF($C6-AF$1&lt;År1,0,AE5*(1-VLOOKUP($A6,[1]Hugst!$R$5:$W$9,MATCH(ROUNDUP((AF$1)/10,0)*10,[1]Hugst!$R$4:$W$4,0))))</f>
        <v>0</v>
      </c>
      <c r="AG6" s="169">
        <f>IF($C6-AG$1&lt;År1,0,AF5*(1-VLOOKUP($A6,[1]Hugst!$R$5:$W$9,MATCH(ROUNDUP((AG$1)/10,0)*10,[1]Hugst!$R$4:$W$4,0))))</f>
        <v>0</v>
      </c>
      <c r="AH6" s="169">
        <f>IF($C6-AH$1&lt;År1,0,AG5*(1-VLOOKUP($A6,[1]Hugst!$R$5:$W$9,MATCH(ROUNDUP((AH$1)/10,0)*10,[1]Hugst!$R$4:$W$4,0))))</f>
        <v>0</v>
      </c>
      <c r="AI6" s="169">
        <f>IF($C6-AI$1&lt;År1,0,AH5*(1-VLOOKUP($A6,[1]Hugst!$R$5:$W$9,MATCH(ROUNDUP((AI$1)/10,0)*10,[1]Hugst!$R$4:$W$4,0))))</f>
        <v>0</v>
      </c>
      <c r="AJ6" s="169">
        <f>IF($C6-AJ$1&lt;År1,0,AI5*(1-VLOOKUP($A6,[1]Hugst!$R$5:$W$9,MATCH(ROUNDUP((AJ$1)/10,0)*10,[1]Hugst!$R$4:$W$4,0))))</f>
        <v>0</v>
      </c>
    </row>
    <row r="7" spans="1:38" s="169" customFormat="1" x14ac:dyDescent="0.25">
      <c r="A7" s="169" t="s">
        <v>176</v>
      </c>
      <c r="B7" s="169" t="s">
        <v>23</v>
      </c>
      <c r="C7" s="169">
        <v>2025</v>
      </c>
      <c r="D7" s="169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0</v>
      </c>
      <c r="E7" s="169">
        <f t="shared" ca="1" si="0"/>
        <v>0</v>
      </c>
      <c r="F7" s="169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9">
        <f ca="1">IF($C7-G$1&lt;År1,0,F6*(1-VLOOKUP($A7,[1]Hugst!$R$5:$W$9,MATCH(ROUNDUP((G$1)/10,0)*10,[1]Hugst!$R$4:$W$4,0))))</f>
        <v>0</v>
      </c>
      <c r="H7" s="169">
        <f ca="1">IF($C7-H$1&lt;År1,0,G6*(1-VLOOKUP($A7,[1]Hugst!$R$5:$W$9,MATCH(ROUNDUP((H$1)/10,0)*10,[1]Hugst!$R$4:$W$4,0))))</f>
        <v>0</v>
      </c>
      <c r="I7" s="169">
        <f ca="1">IF($C7-I$1&lt;År1,0,H6*(1-VLOOKUP($A7,[1]Hugst!$R$5:$W$9,MATCH(ROUNDUP((I$1)/10,0)*10,[1]Hugst!$R$4:$W$4,0))))</f>
        <v>0</v>
      </c>
      <c r="J7" s="169">
        <f ca="1">IF($C7-J$1&lt;År1,0,I6*(1-VLOOKUP($A7,[1]Hugst!$R$5:$W$9,MATCH(ROUNDUP((J$1)/10,0)*10,[1]Hugst!$R$4:$W$4,0))))</f>
        <v>0</v>
      </c>
      <c r="K7" s="169">
        <f ca="1">IF($C7-K$1&lt;År1,0,J6*(1-VLOOKUP($A7,[1]Hugst!$R$5:$W$9,MATCH(ROUNDUP((K$1)/10,0)*10,[1]Hugst!$R$4:$W$4,0))))</f>
        <v>0</v>
      </c>
      <c r="L7" s="169">
        <f>IF($C7-L$1&lt;År1,0,K6*(1-VLOOKUP($A7,[1]Hugst!$R$5:$W$9,MATCH(ROUNDUP((L$1)/10,0)*10,[1]Hugst!$R$4:$W$4,0))))</f>
        <v>0</v>
      </c>
      <c r="M7" s="169">
        <f>IF($C7-M$1&lt;År1,0,L6*(1-VLOOKUP($A7,[1]Hugst!$R$5:$W$9,MATCH(ROUNDUP((M$1)/10,0)*10,[1]Hugst!$R$4:$W$4,0))))</f>
        <v>0</v>
      </c>
      <c r="N7" s="169">
        <f>IF($C7-N$1&lt;År1,0,M6*(1-VLOOKUP($A7,[1]Hugst!$R$5:$W$9,MATCH(ROUNDUP((N$1)/10,0)*10,[1]Hugst!$R$4:$W$4,0))))</f>
        <v>0</v>
      </c>
      <c r="O7" s="169">
        <f>IF($C7-O$1&lt;År1,0,N6*(1-VLOOKUP($A7,[1]Hugst!$R$5:$W$9,MATCH(ROUNDUP((O$1)/10,0)*10,[1]Hugst!$R$4:$W$4,0))))</f>
        <v>0</v>
      </c>
      <c r="P7" s="169">
        <f>IF($C7-P$1&lt;År1,0,O6*(1-VLOOKUP($A7,[1]Hugst!$R$5:$W$9,MATCH(ROUNDUP((P$1)/10,0)*10,[1]Hugst!$R$4:$W$4,0))))</f>
        <v>0</v>
      </c>
      <c r="Q7" s="169">
        <f>IF($C7-Q$1&lt;År1,0,P6*(1-VLOOKUP($A7,[1]Hugst!$R$5:$W$9,MATCH(ROUNDUP((Q$1)/10,0)*10,[1]Hugst!$R$4:$W$4,0))))</f>
        <v>0</v>
      </c>
      <c r="R7" s="169">
        <f>IF($C7-R$1&lt;År1,0,Q6*(1-VLOOKUP($A7,[1]Hugst!$R$5:$W$9,MATCH(ROUNDUP((R$1)/10,0)*10,[1]Hugst!$R$4:$W$4,0))))</f>
        <v>0</v>
      </c>
      <c r="S7" s="169">
        <f>IF($C7-S$1&lt;År1,0,R6*(1-VLOOKUP($A7,[1]Hugst!$R$5:$W$9,MATCH(ROUNDUP((S$1)/10,0)*10,[1]Hugst!$R$4:$W$4,0))))</f>
        <v>0</v>
      </c>
      <c r="T7" s="169">
        <f>IF($C7-T$1&lt;År1,0,S6*(1-VLOOKUP($A7,[1]Hugst!$R$5:$W$9,MATCH(ROUNDUP((T$1)/10,0)*10,[1]Hugst!$R$4:$W$4,0))))</f>
        <v>0</v>
      </c>
      <c r="U7" s="169">
        <f>IF($C7-U$1&lt;År1,0,T6*(1-VLOOKUP($A7,[1]Hugst!$R$5:$W$9,MATCH(ROUNDUP((U$1)/10,0)*10,[1]Hugst!$R$4:$W$4,0))))</f>
        <v>0</v>
      </c>
      <c r="V7" s="169">
        <f>IF($C7-V$1&lt;År1,0,U6*(1-VLOOKUP($A7,[1]Hugst!$R$5:$W$9,MATCH(ROUNDUP((V$1)/10,0)*10,[1]Hugst!$R$4:$W$4,0))))</f>
        <v>0</v>
      </c>
      <c r="W7" s="169">
        <f>IF($C7-W$1&lt;År1,0,V6*(1-VLOOKUP($A7,[1]Hugst!$R$5:$W$9,MATCH(ROUNDUP((W$1)/10,0)*10,[1]Hugst!$R$4:$W$4,0))))</f>
        <v>0</v>
      </c>
      <c r="X7" s="169">
        <f>IF($C7-X$1&lt;År1,0,W6*(1-VLOOKUP($A7,[1]Hugst!$R$5:$W$9,MATCH(ROUNDUP((X$1)/10,0)*10,[1]Hugst!$R$4:$W$4,0))))</f>
        <v>0</v>
      </c>
      <c r="Y7" s="169">
        <f>IF($C7-Y$1&lt;År1,0,X6*(1-VLOOKUP($A7,[1]Hugst!$R$5:$W$9,MATCH(ROUNDUP((Y$1)/10,0)*10,[1]Hugst!$R$4:$W$4,0))))</f>
        <v>0</v>
      </c>
      <c r="Z7" s="169">
        <f>IF($C7-Z$1&lt;År1,0,Y6*(1-VLOOKUP($A7,[1]Hugst!$R$5:$W$9,MATCH(ROUNDUP((Z$1)/10,0)*10,[1]Hugst!$R$4:$W$4,0))))</f>
        <v>0</v>
      </c>
      <c r="AA7" s="169">
        <f>IF($C7-AA$1&lt;År1,0,Z6*(1-VLOOKUP($A7,[1]Hugst!$R$5:$W$9,MATCH(ROUNDUP((AA$1)/10,0)*10,[1]Hugst!$R$4:$W$4,0))))</f>
        <v>0</v>
      </c>
      <c r="AB7" s="169">
        <f>IF($C7-AB$1&lt;År1,0,AA6*(1-VLOOKUP($A7,[1]Hugst!$R$5:$W$9,MATCH(ROUNDUP((AB$1)/10,0)*10,[1]Hugst!$R$4:$W$4,0))))</f>
        <v>0</v>
      </c>
      <c r="AC7" s="169">
        <f>IF($C7-AC$1&lt;År1,0,AB6*(1-VLOOKUP($A7,[1]Hugst!$R$5:$W$9,MATCH(ROUNDUP((AC$1)/10,0)*10,[1]Hugst!$R$4:$W$4,0))))</f>
        <v>0</v>
      </c>
      <c r="AD7" s="169">
        <f>IF($C7-AD$1&lt;År1,0,AC6*(1-VLOOKUP($A7,[1]Hugst!$R$5:$W$9,MATCH(ROUNDUP((AD$1)/10,0)*10,[1]Hugst!$R$4:$W$4,0))))</f>
        <v>0</v>
      </c>
      <c r="AE7" s="169">
        <f>IF($C7-AE$1&lt;År1,0,AD6*(1-VLOOKUP($A7,[1]Hugst!$R$5:$W$9,MATCH(ROUNDUP((AE$1)/10,0)*10,[1]Hugst!$R$4:$W$4,0))))</f>
        <v>0</v>
      </c>
      <c r="AF7" s="169">
        <f>IF($C7-AF$1&lt;År1,0,AE6*(1-VLOOKUP($A7,[1]Hugst!$R$5:$W$9,MATCH(ROUNDUP((AF$1)/10,0)*10,[1]Hugst!$R$4:$W$4,0))))</f>
        <v>0</v>
      </c>
      <c r="AG7" s="169">
        <f>IF($C7-AG$1&lt;År1,0,AF6*(1-VLOOKUP($A7,[1]Hugst!$R$5:$W$9,MATCH(ROUNDUP((AG$1)/10,0)*10,[1]Hugst!$R$4:$W$4,0))))</f>
        <v>0</v>
      </c>
      <c r="AH7" s="169">
        <f>IF($C7-AH$1&lt;År1,0,AG6*(1-VLOOKUP($A7,[1]Hugst!$R$5:$W$9,MATCH(ROUNDUP((AH$1)/10,0)*10,[1]Hugst!$R$4:$W$4,0))))</f>
        <v>0</v>
      </c>
      <c r="AI7" s="169">
        <f>IF($C7-AI$1&lt;År1,0,AH6*(1-VLOOKUP($A7,[1]Hugst!$R$5:$W$9,MATCH(ROUNDUP((AI$1)/10,0)*10,[1]Hugst!$R$4:$W$4,0))))</f>
        <v>0</v>
      </c>
      <c r="AJ7" s="169">
        <f>IF($C7-AJ$1&lt;År1,0,AI6*(1-VLOOKUP($A7,[1]Hugst!$R$5:$W$9,MATCH(ROUNDUP((AJ$1)/10,0)*10,[1]Hugst!$R$4:$W$4,0))))</f>
        <v>0</v>
      </c>
    </row>
    <row r="8" spans="1:38" s="169" customFormat="1" x14ac:dyDescent="0.25">
      <c r="A8" s="169" t="s">
        <v>176</v>
      </c>
      <c r="B8" s="169" t="s">
        <v>23</v>
      </c>
      <c r="C8" s="169">
        <v>2026</v>
      </c>
      <c r="D8" s="169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0</v>
      </c>
      <c r="E8" s="169">
        <f t="shared" ca="1" si="0"/>
        <v>0</v>
      </c>
      <c r="F8" s="169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9">
        <f ca="1">IF($C8-G$1&lt;År1,0,F7*(1-VLOOKUP($A8,[1]Hugst!$R$5:$W$9,MATCH(ROUNDUP((G$1)/10,0)*10,[1]Hugst!$R$4:$W$4,0))))</f>
        <v>0</v>
      </c>
      <c r="H8" s="169">
        <f ca="1">IF($C8-H$1&lt;År1,0,G7*(1-VLOOKUP($A8,[1]Hugst!$R$5:$W$9,MATCH(ROUNDUP((H$1)/10,0)*10,[1]Hugst!$R$4:$W$4,0))))</f>
        <v>0</v>
      </c>
      <c r="I8" s="169">
        <f ca="1">IF($C8-I$1&lt;År1,0,H7*(1-VLOOKUP($A8,[1]Hugst!$R$5:$W$9,MATCH(ROUNDUP((I$1)/10,0)*10,[1]Hugst!$R$4:$W$4,0))))</f>
        <v>0</v>
      </c>
      <c r="J8" s="169">
        <f ca="1">IF($C8-J$1&lt;År1,0,I7*(1-VLOOKUP($A8,[1]Hugst!$R$5:$W$9,MATCH(ROUNDUP((J$1)/10,0)*10,[1]Hugst!$R$4:$W$4,0))))</f>
        <v>0</v>
      </c>
      <c r="K8" s="169">
        <f ca="1">IF($C8-K$1&lt;År1,0,J7*(1-VLOOKUP($A8,[1]Hugst!$R$5:$W$9,MATCH(ROUNDUP((K$1)/10,0)*10,[1]Hugst!$R$4:$W$4,0))))</f>
        <v>0</v>
      </c>
      <c r="L8" s="169">
        <f ca="1">IF($C8-L$1&lt;År1,0,K7*(1-VLOOKUP($A8,[1]Hugst!$R$5:$W$9,MATCH(ROUNDUP((L$1)/10,0)*10,[1]Hugst!$R$4:$W$4,0))))</f>
        <v>0</v>
      </c>
      <c r="M8" s="169">
        <f>IF($C8-M$1&lt;År1,0,L7*(1-VLOOKUP($A8,[1]Hugst!$R$5:$W$9,MATCH(ROUNDUP((M$1)/10,0)*10,[1]Hugst!$R$4:$W$4,0))))</f>
        <v>0</v>
      </c>
      <c r="N8" s="169">
        <f>IF($C8-N$1&lt;År1,0,M7*(1-VLOOKUP($A8,[1]Hugst!$R$5:$W$9,MATCH(ROUNDUP((N$1)/10,0)*10,[1]Hugst!$R$4:$W$4,0))))</f>
        <v>0</v>
      </c>
      <c r="O8" s="169">
        <f>IF($C8-O$1&lt;År1,0,N7*(1-VLOOKUP($A8,[1]Hugst!$R$5:$W$9,MATCH(ROUNDUP((O$1)/10,0)*10,[1]Hugst!$R$4:$W$4,0))))</f>
        <v>0</v>
      </c>
      <c r="P8" s="169">
        <f>IF($C8-P$1&lt;År1,0,O7*(1-VLOOKUP($A8,[1]Hugst!$R$5:$W$9,MATCH(ROUNDUP((P$1)/10,0)*10,[1]Hugst!$R$4:$W$4,0))))</f>
        <v>0</v>
      </c>
      <c r="Q8" s="169">
        <f>IF($C8-Q$1&lt;År1,0,P7*(1-VLOOKUP($A8,[1]Hugst!$R$5:$W$9,MATCH(ROUNDUP((Q$1)/10,0)*10,[1]Hugst!$R$4:$W$4,0))))</f>
        <v>0</v>
      </c>
      <c r="R8" s="169">
        <f>IF($C8-R$1&lt;År1,0,Q7*(1-VLOOKUP($A8,[1]Hugst!$R$5:$W$9,MATCH(ROUNDUP((R$1)/10,0)*10,[1]Hugst!$R$4:$W$4,0))))</f>
        <v>0</v>
      </c>
      <c r="S8" s="169">
        <f>IF($C8-S$1&lt;År1,0,R7*(1-VLOOKUP($A8,[1]Hugst!$R$5:$W$9,MATCH(ROUNDUP((S$1)/10,0)*10,[1]Hugst!$R$4:$W$4,0))))</f>
        <v>0</v>
      </c>
      <c r="T8" s="169">
        <f>IF($C8-T$1&lt;År1,0,S7*(1-VLOOKUP($A8,[1]Hugst!$R$5:$W$9,MATCH(ROUNDUP((T$1)/10,0)*10,[1]Hugst!$R$4:$W$4,0))))</f>
        <v>0</v>
      </c>
      <c r="U8" s="169">
        <f>IF($C8-U$1&lt;År1,0,T7*(1-VLOOKUP($A8,[1]Hugst!$R$5:$W$9,MATCH(ROUNDUP((U$1)/10,0)*10,[1]Hugst!$R$4:$W$4,0))))</f>
        <v>0</v>
      </c>
      <c r="V8" s="169">
        <f>IF($C8-V$1&lt;År1,0,U7*(1-VLOOKUP($A8,[1]Hugst!$R$5:$W$9,MATCH(ROUNDUP((V$1)/10,0)*10,[1]Hugst!$R$4:$W$4,0))))</f>
        <v>0</v>
      </c>
      <c r="W8" s="169">
        <f>IF($C8-W$1&lt;År1,0,V7*(1-VLOOKUP($A8,[1]Hugst!$R$5:$W$9,MATCH(ROUNDUP((W$1)/10,0)*10,[1]Hugst!$R$4:$W$4,0))))</f>
        <v>0</v>
      </c>
      <c r="X8" s="169">
        <f>IF($C8-X$1&lt;År1,0,W7*(1-VLOOKUP($A8,[1]Hugst!$R$5:$W$9,MATCH(ROUNDUP((X$1)/10,0)*10,[1]Hugst!$R$4:$W$4,0))))</f>
        <v>0</v>
      </c>
      <c r="Y8" s="169">
        <f>IF($C8-Y$1&lt;År1,0,X7*(1-VLOOKUP($A8,[1]Hugst!$R$5:$W$9,MATCH(ROUNDUP((Y$1)/10,0)*10,[1]Hugst!$R$4:$W$4,0))))</f>
        <v>0</v>
      </c>
      <c r="Z8" s="169">
        <f>IF($C8-Z$1&lt;År1,0,Y7*(1-VLOOKUP($A8,[1]Hugst!$R$5:$W$9,MATCH(ROUNDUP((Z$1)/10,0)*10,[1]Hugst!$R$4:$W$4,0))))</f>
        <v>0</v>
      </c>
      <c r="AA8" s="169">
        <f>IF($C8-AA$1&lt;År1,0,Z7*(1-VLOOKUP($A8,[1]Hugst!$R$5:$W$9,MATCH(ROUNDUP((AA$1)/10,0)*10,[1]Hugst!$R$4:$W$4,0))))</f>
        <v>0</v>
      </c>
      <c r="AB8" s="169">
        <f>IF($C8-AB$1&lt;År1,0,AA7*(1-VLOOKUP($A8,[1]Hugst!$R$5:$W$9,MATCH(ROUNDUP((AB$1)/10,0)*10,[1]Hugst!$R$4:$W$4,0))))</f>
        <v>0</v>
      </c>
      <c r="AC8" s="169">
        <f>IF($C8-AC$1&lt;År1,0,AB7*(1-VLOOKUP($A8,[1]Hugst!$R$5:$W$9,MATCH(ROUNDUP((AC$1)/10,0)*10,[1]Hugst!$R$4:$W$4,0))))</f>
        <v>0</v>
      </c>
      <c r="AD8" s="169">
        <f>IF($C8-AD$1&lt;År1,0,AC7*(1-VLOOKUP($A8,[1]Hugst!$R$5:$W$9,MATCH(ROUNDUP((AD$1)/10,0)*10,[1]Hugst!$R$4:$W$4,0))))</f>
        <v>0</v>
      </c>
      <c r="AE8" s="169">
        <f>IF($C8-AE$1&lt;År1,0,AD7*(1-VLOOKUP($A8,[1]Hugst!$R$5:$W$9,MATCH(ROUNDUP((AE$1)/10,0)*10,[1]Hugst!$R$4:$W$4,0))))</f>
        <v>0</v>
      </c>
      <c r="AF8" s="169">
        <f>IF($C8-AF$1&lt;År1,0,AE7*(1-VLOOKUP($A8,[1]Hugst!$R$5:$W$9,MATCH(ROUNDUP((AF$1)/10,0)*10,[1]Hugst!$R$4:$W$4,0))))</f>
        <v>0</v>
      </c>
      <c r="AG8" s="169">
        <f>IF($C8-AG$1&lt;År1,0,AF7*(1-VLOOKUP($A8,[1]Hugst!$R$5:$W$9,MATCH(ROUNDUP((AG$1)/10,0)*10,[1]Hugst!$R$4:$W$4,0))))</f>
        <v>0</v>
      </c>
      <c r="AH8" s="169">
        <f>IF($C8-AH$1&lt;År1,0,AG7*(1-VLOOKUP($A8,[1]Hugst!$R$5:$W$9,MATCH(ROUNDUP((AH$1)/10,0)*10,[1]Hugst!$R$4:$W$4,0))))</f>
        <v>0</v>
      </c>
      <c r="AI8" s="169">
        <f>IF($C8-AI$1&lt;År1,0,AH7*(1-VLOOKUP($A8,[1]Hugst!$R$5:$W$9,MATCH(ROUNDUP((AI$1)/10,0)*10,[1]Hugst!$R$4:$W$4,0))))</f>
        <v>0</v>
      </c>
      <c r="AJ8" s="169">
        <f>IF($C8-AJ$1&lt;År1,0,AI7*(1-VLOOKUP($A8,[1]Hugst!$R$5:$W$9,MATCH(ROUNDUP((AJ$1)/10,0)*10,[1]Hugst!$R$4:$W$4,0))))</f>
        <v>0</v>
      </c>
    </row>
    <row r="9" spans="1:38" s="169" customFormat="1" x14ac:dyDescent="0.25">
      <c r="A9" s="169" t="s">
        <v>176</v>
      </c>
      <c r="B9" s="169" t="s">
        <v>23</v>
      </c>
      <c r="C9" s="169">
        <v>2027</v>
      </c>
      <c r="D9" s="169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0</v>
      </c>
      <c r="E9" s="169">
        <f t="shared" ca="1" si="0"/>
        <v>0</v>
      </c>
      <c r="F9" s="169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9">
        <f ca="1">IF($C9-G$1&lt;År1,0,F8*(1-VLOOKUP($A9,[1]Hugst!$R$5:$W$9,MATCH(ROUNDUP((G$1)/10,0)*10,[1]Hugst!$R$4:$W$4,0))))</f>
        <v>0</v>
      </c>
      <c r="H9" s="169">
        <f ca="1">IF($C9-H$1&lt;År1,0,G8*(1-VLOOKUP($A9,[1]Hugst!$R$5:$W$9,MATCH(ROUNDUP((H$1)/10,0)*10,[1]Hugst!$R$4:$W$4,0))))</f>
        <v>0</v>
      </c>
      <c r="I9" s="169">
        <f ca="1">IF($C9-I$1&lt;År1,0,H8*(1-VLOOKUP($A9,[1]Hugst!$R$5:$W$9,MATCH(ROUNDUP((I$1)/10,0)*10,[1]Hugst!$R$4:$W$4,0))))</f>
        <v>0</v>
      </c>
      <c r="J9" s="169">
        <f ca="1">IF($C9-J$1&lt;År1,0,I8*(1-VLOOKUP($A9,[1]Hugst!$R$5:$W$9,MATCH(ROUNDUP((J$1)/10,0)*10,[1]Hugst!$R$4:$W$4,0))))</f>
        <v>0</v>
      </c>
      <c r="K9" s="169">
        <f ca="1">IF($C9-K$1&lt;År1,0,J8*(1-VLOOKUP($A9,[1]Hugst!$R$5:$W$9,MATCH(ROUNDUP((K$1)/10,0)*10,[1]Hugst!$R$4:$W$4,0))))</f>
        <v>0</v>
      </c>
      <c r="L9" s="169">
        <f ca="1">IF($C9-L$1&lt;År1,0,K8*(1-VLOOKUP($A9,[1]Hugst!$R$5:$W$9,MATCH(ROUNDUP((L$1)/10,0)*10,[1]Hugst!$R$4:$W$4,0))))</f>
        <v>0</v>
      </c>
      <c r="M9" s="169">
        <f ca="1">IF($C9-M$1&lt;År1,0,L8*(1-VLOOKUP($A9,[1]Hugst!$R$5:$W$9,MATCH(ROUNDUP((M$1)/10,0)*10,[1]Hugst!$R$4:$W$4,0))))</f>
        <v>0</v>
      </c>
      <c r="N9" s="169">
        <f>IF($C9-N$1&lt;År1,0,M8*(1-VLOOKUP($A9,[1]Hugst!$R$5:$W$9,MATCH(ROUNDUP((N$1)/10,0)*10,[1]Hugst!$R$4:$W$4,0))))</f>
        <v>0</v>
      </c>
      <c r="O9" s="169">
        <f>IF($C9-O$1&lt;År1,0,N8*(1-VLOOKUP($A9,[1]Hugst!$R$5:$W$9,MATCH(ROUNDUP((O$1)/10,0)*10,[1]Hugst!$R$4:$W$4,0))))</f>
        <v>0</v>
      </c>
      <c r="P9" s="169">
        <f>IF($C9-P$1&lt;År1,0,O8*(1-VLOOKUP($A9,[1]Hugst!$R$5:$W$9,MATCH(ROUNDUP((P$1)/10,0)*10,[1]Hugst!$R$4:$W$4,0))))</f>
        <v>0</v>
      </c>
      <c r="Q9" s="169">
        <f>IF($C9-Q$1&lt;År1,0,P8*(1-VLOOKUP($A9,[1]Hugst!$R$5:$W$9,MATCH(ROUNDUP((Q$1)/10,0)*10,[1]Hugst!$R$4:$W$4,0))))</f>
        <v>0</v>
      </c>
      <c r="R9" s="169">
        <f>IF($C9-R$1&lt;År1,0,Q8*(1-VLOOKUP($A9,[1]Hugst!$R$5:$W$9,MATCH(ROUNDUP((R$1)/10,0)*10,[1]Hugst!$R$4:$W$4,0))))</f>
        <v>0</v>
      </c>
      <c r="S9" s="169">
        <f>IF($C9-S$1&lt;År1,0,R8*(1-VLOOKUP($A9,[1]Hugst!$R$5:$W$9,MATCH(ROUNDUP((S$1)/10,0)*10,[1]Hugst!$R$4:$W$4,0))))</f>
        <v>0</v>
      </c>
      <c r="T9" s="169">
        <f>IF($C9-T$1&lt;År1,0,S8*(1-VLOOKUP($A9,[1]Hugst!$R$5:$W$9,MATCH(ROUNDUP((T$1)/10,0)*10,[1]Hugst!$R$4:$W$4,0))))</f>
        <v>0</v>
      </c>
      <c r="U9" s="169">
        <f>IF($C9-U$1&lt;År1,0,T8*(1-VLOOKUP($A9,[1]Hugst!$R$5:$W$9,MATCH(ROUNDUP((U$1)/10,0)*10,[1]Hugst!$R$4:$W$4,0))))</f>
        <v>0</v>
      </c>
      <c r="V9" s="169">
        <f>IF($C9-V$1&lt;År1,0,U8*(1-VLOOKUP($A9,[1]Hugst!$R$5:$W$9,MATCH(ROUNDUP((V$1)/10,0)*10,[1]Hugst!$R$4:$W$4,0))))</f>
        <v>0</v>
      </c>
      <c r="W9" s="169">
        <f>IF($C9-W$1&lt;År1,0,V8*(1-VLOOKUP($A9,[1]Hugst!$R$5:$W$9,MATCH(ROUNDUP((W$1)/10,0)*10,[1]Hugst!$R$4:$W$4,0))))</f>
        <v>0</v>
      </c>
      <c r="X9" s="169">
        <f>IF($C9-X$1&lt;År1,0,W8*(1-VLOOKUP($A9,[1]Hugst!$R$5:$W$9,MATCH(ROUNDUP((X$1)/10,0)*10,[1]Hugst!$R$4:$W$4,0))))</f>
        <v>0</v>
      </c>
      <c r="Y9" s="169">
        <f>IF($C9-Y$1&lt;År1,0,X8*(1-VLOOKUP($A9,[1]Hugst!$R$5:$W$9,MATCH(ROUNDUP((Y$1)/10,0)*10,[1]Hugst!$R$4:$W$4,0))))</f>
        <v>0</v>
      </c>
      <c r="Z9" s="169">
        <f>IF($C9-Z$1&lt;År1,0,Y8*(1-VLOOKUP($A9,[1]Hugst!$R$5:$W$9,MATCH(ROUNDUP((Z$1)/10,0)*10,[1]Hugst!$R$4:$W$4,0))))</f>
        <v>0</v>
      </c>
      <c r="AA9" s="169">
        <f>IF($C9-AA$1&lt;År1,0,Z8*(1-VLOOKUP($A9,[1]Hugst!$R$5:$W$9,MATCH(ROUNDUP((AA$1)/10,0)*10,[1]Hugst!$R$4:$W$4,0))))</f>
        <v>0</v>
      </c>
      <c r="AB9" s="169">
        <f>IF($C9-AB$1&lt;År1,0,AA8*(1-VLOOKUP($A9,[1]Hugst!$R$5:$W$9,MATCH(ROUNDUP((AB$1)/10,0)*10,[1]Hugst!$R$4:$W$4,0))))</f>
        <v>0</v>
      </c>
      <c r="AC9" s="169">
        <f>IF($C9-AC$1&lt;År1,0,AB8*(1-VLOOKUP($A9,[1]Hugst!$R$5:$W$9,MATCH(ROUNDUP((AC$1)/10,0)*10,[1]Hugst!$R$4:$W$4,0))))</f>
        <v>0</v>
      </c>
      <c r="AD9" s="169">
        <f>IF($C9-AD$1&lt;År1,0,AC8*(1-VLOOKUP($A9,[1]Hugst!$R$5:$W$9,MATCH(ROUNDUP((AD$1)/10,0)*10,[1]Hugst!$R$4:$W$4,0))))</f>
        <v>0</v>
      </c>
      <c r="AE9" s="169">
        <f>IF($C9-AE$1&lt;År1,0,AD8*(1-VLOOKUP($A9,[1]Hugst!$R$5:$W$9,MATCH(ROUNDUP((AE$1)/10,0)*10,[1]Hugst!$R$4:$W$4,0))))</f>
        <v>0</v>
      </c>
      <c r="AF9" s="169">
        <f>IF($C9-AF$1&lt;År1,0,AE8*(1-VLOOKUP($A9,[1]Hugst!$R$5:$W$9,MATCH(ROUNDUP((AF$1)/10,0)*10,[1]Hugst!$R$4:$W$4,0))))</f>
        <v>0</v>
      </c>
      <c r="AG9" s="169">
        <f>IF($C9-AG$1&lt;År1,0,AF8*(1-VLOOKUP($A9,[1]Hugst!$R$5:$W$9,MATCH(ROUNDUP((AG$1)/10,0)*10,[1]Hugst!$R$4:$W$4,0))))</f>
        <v>0</v>
      </c>
      <c r="AH9" s="169">
        <f>IF($C9-AH$1&lt;År1,0,AG8*(1-VLOOKUP($A9,[1]Hugst!$R$5:$W$9,MATCH(ROUNDUP((AH$1)/10,0)*10,[1]Hugst!$R$4:$W$4,0))))</f>
        <v>0</v>
      </c>
      <c r="AI9" s="169">
        <f>IF($C9-AI$1&lt;År1,0,AH8*(1-VLOOKUP($A9,[1]Hugst!$R$5:$W$9,MATCH(ROUNDUP((AI$1)/10,0)*10,[1]Hugst!$R$4:$W$4,0))))</f>
        <v>0</v>
      </c>
      <c r="AJ9" s="169">
        <f>IF($C9-AJ$1&lt;År1,0,AI8*(1-VLOOKUP($A9,[1]Hugst!$R$5:$W$9,MATCH(ROUNDUP((AJ$1)/10,0)*10,[1]Hugst!$R$4:$W$4,0))))</f>
        <v>0</v>
      </c>
    </row>
    <row r="10" spans="1:38" s="169" customFormat="1" x14ac:dyDescent="0.25">
      <c r="A10" s="169" t="s">
        <v>176</v>
      </c>
      <c r="B10" s="169" t="s">
        <v>23</v>
      </c>
      <c r="C10" s="169">
        <v>2028</v>
      </c>
      <c r="D10" s="169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0</v>
      </c>
      <c r="E10" s="169">
        <f t="shared" ca="1" si="0"/>
        <v>0</v>
      </c>
      <c r="F10" s="169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9">
        <f ca="1">IF($C10-G$1&lt;År1,0,F9*(1-VLOOKUP($A10,[1]Hugst!$R$5:$W$9,MATCH(ROUNDUP((G$1)/10,0)*10,[1]Hugst!$R$4:$W$4,0))))</f>
        <v>0</v>
      </c>
      <c r="H10" s="169">
        <f ca="1">IF($C10-H$1&lt;År1,0,G9*(1-VLOOKUP($A10,[1]Hugst!$R$5:$W$9,MATCH(ROUNDUP((H$1)/10,0)*10,[1]Hugst!$R$4:$W$4,0))))</f>
        <v>0</v>
      </c>
      <c r="I10" s="169">
        <f ca="1">IF($C10-I$1&lt;År1,0,H9*(1-VLOOKUP($A10,[1]Hugst!$R$5:$W$9,MATCH(ROUNDUP((I$1)/10,0)*10,[1]Hugst!$R$4:$W$4,0))))</f>
        <v>0</v>
      </c>
      <c r="J10" s="169">
        <f ca="1">IF($C10-J$1&lt;År1,0,I9*(1-VLOOKUP($A10,[1]Hugst!$R$5:$W$9,MATCH(ROUNDUP((J$1)/10,0)*10,[1]Hugst!$R$4:$W$4,0))))</f>
        <v>0</v>
      </c>
      <c r="K10" s="169">
        <f ca="1">IF($C10-K$1&lt;År1,0,J9*(1-VLOOKUP($A10,[1]Hugst!$R$5:$W$9,MATCH(ROUNDUP((K$1)/10,0)*10,[1]Hugst!$R$4:$W$4,0))))</f>
        <v>0</v>
      </c>
      <c r="L10" s="169">
        <f ca="1">IF($C10-L$1&lt;År1,0,K9*(1-VLOOKUP($A10,[1]Hugst!$R$5:$W$9,MATCH(ROUNDUP((L$1)/10,0)*10,[1]Hugst!$R$4:$W$4,0))))</f>
        <v>0</v>
      </c>
      <c r="M10" s="169">
        <f ca="1">IF($C10-M$1&lt;År1,0,L9*(1-VLOOKUP($A10,[1]Hugst!$R$5:$W$9,MATCH(ROUNDUP((M$1)/10,0)*10,[1]Hugst!$R$4:$W$4,0))))</f>
        <v>0</v>
      </c>
      <c r="N10" s="169">
        <f ca="1">IF($C10-N$1&lt;År1,0,M9*(1-VLOOKUP($A10,[1]Hugst!$R$5:$W$9,MATCH(ROUNDUP((N$1)/10,0)*10,[1]Hugst!$R$4:$W$4,0))))</f>
        <v>0</v>
      </c>
      <c r="O10" s="169">
        <f>IF($C10-O$1&lt;År1,0,N9*(1-VLOOKUP($A10,[1]Hugst!$R$5:$W$9,MATCH(ROUNDUP((O$1)/10,0)*10,[1]Hugst!$R$4:$W$4,0))))</f>
        <v>0</v>
      </c>
      <c r="P10" s="169">
        <f>IF($C10-P$1&lt;År1,0,O9*(1-VLOOKUP($A10,[1]Hugst!$R$5:$W$9,MATCH(ROUNDUP((P$1)/10,0)*10,[1]Hugst!$R$4:$W$4,0))))</f>
        <v>0</v>
      </c>
      <c r="Q10" s="169">
        <f>IF($C10-Q$1&lt;År1,0,P9*(1-VLOOKUP($A10,[1]Hugst!$R$5:$W$9,MATCH(ROUNDUP((Q$1)/10,0)*10,[1]Hugst!$R$4:$W$4,0))))</f>
        <v>0</v>
      </c>
      <c r="R10" s="169">
        <f>IF($C10-R$1&lt;År1,0,Q9*(1-VLOOKUP($A10,[1]Hugst!$R$5:$W$9,MATCH(ROUNDUP((R$1)/10,0)*10,[1]Hugst!$R$4:$W$4,0))))</f>
        <v>0</v>
      </c>
      <c r="S10" s="169">
        <f>IF($C10-S$1&lt;År1,0,R9*(1-VLOOKUP($A10,[1]Hugst!$R$5:$W$9,MATCH(ROUNDUP((S$1)/10,0)*10,[1]Hugst!$R$4:$W$4,0))))</f>
        <v>0</v>
      </c>
      <c r="T10" s="169">
        <f>IF($C10-T$1&lt;År1,0,S9*(1-VLOOKUP($A10,[1]Hugst!$R$5:$W$9,MATCH(ROUNDUP((T$1)/10,0)*10,[1]Hugst!$R$4:$W$4,0))))</f>
        <v>0</v>
      </c>
      <c r="U10" s="169">
        <f>IF($C10-U$1&lt;År1,0,T9*(1-VLOOKUP($A10,[1]Hugst!$R$5:$W$9,MATCH(ROUNDUP((U$1)/10,0)*10,[1]Hugst!$R$4:$W$4,0))))</f>
        <v>0</v>
      </c>
      <c r="V10" s="169">
        <f>IF($C10-V$1&lt;År1,0,U9*(1-VLOOKUP($A10,[1]Hugst!$R$5:$W$9,MATCH(ROUNDUP((V$1)/10,0)*10,[1]Hugst!$R$4:$W$4,0))))</f>
        <v>0</v>
      </c>
      <c r="W10" s="169">
        <f>IF($C10-W$1&lt;År1,0,V9*(1-VLOOKUP($A10,[1]Hugst!$R$5:$W$9,MATCH(ROUNDUP((W$1)/10,0)*10,[1]Hugst!$R$4:$W$4,0))))</f>
        <v>0</v>
      </c>
      <c r="X10" s="169">
        <f>IF($C10-X$1&lt;År1,0,W9*(1-VLOOKUP($A10,[1]Hugst!$R$5:$W$9,MATCH(ROUNDUP((X$1)/10,0)*10,[1]Hugst!$R$4:$W$4,0))))</f>
        <v>0</v>
      </c>
      <c r="Y10" s="169">
        <f>IF($C10-Y$1&lt;År1,0,X9*(1-VLOOKUP($A10,[1]Hugst!$R$5:$W$9,MATCH(ROUNDUP((Y$1)/10,0)*10,[1]Hugst!$R$4:$W$4,0))))</f>
        <v>0</v>
      </c>
      <c r="Z10" s="169">
        <f>IF($C10-Z$1&lt;År1,0,Y9*(1-VLOOKUP($A10,[1]Hugst!$R$5:$W$9,MATCH(ROUNDUP((Z$1)/10,0)*10,[1]Hugst!$R$4:$W$4,0))))</f>
        <v>0</v>
      </c>
      <c r="AA10" s="169">
        <f>IF($C10-AA$1&lt;År1,0,Z9*(1-VLOOKUP($A10,[1]Hugst!$R$5:$W$9,MATCH(ROUNDUP((AA$1)/10,0)*10,[1]Hugst!$R$4:$W$4,0))))</f>
        <v>0</v>
      </c>
      <c r="AB10" s="169">
        <f>IF($C10-AB$1&lt;År1,0,AA9*(1-VLOOKUP($A10,[1]Hugst!$R$5:$W$9,MATCH(ROUNDUP((AB$1)/10,0)*10,[1]Hugst!$R$4:$W$4,0))))</f>
        <v>0</v>
      </c>
      <c r="AC10" s="169">
        <f>IF($C10-AC$1&lt;År1,0,AB9*(1-VLOOKUP($A10,[1]Hugst!$R$5:$W$9,MATCH(ROUNDUP((AC$1)/10,0)*10,[1]Hugst!$R$4:$W$4,0))))</f>
        <v>0</v>
      </c>
      <c r="AD10" s="169">
        <f>IF($C10-AD$1&lt;År1,0,AC9*(1-VLOOKUP($A10,[1]Hugst!$R$5:$W$9,MATCH(ROUNDUP((AD$1)/10,0)*10,[1]Hugst!$R$4:$W$4,0))))</f>
        <v>0</v>
      </c>
      <c r="AE10" s="169">
        <f>IF($C10-AE$1&lt;År1,0,AD9*(1-VLOOKUP($A10,[1]Hugst!$R$5:$W$9,MATCH(ROUNDUP((AE$1)/10,0)*10,[1]Hugst!$R$4:$W$4,0))))</f>
        <v>0</v>
      </c>
      <c r="AF10" s="169">
        <f>IF($C10-AF$1&lt;År1,0,AE9*(1-VLOOKUP($A10,[1]Hugst!$R$5:$W$9,MATCH(ROUNDUP((AF$1)/10,0)*10,[1]Hugst!$R$4:$W$4,0))))</f>
        <v>0</v>
      </c>
      <c r="AG10" s="169">
        <f>IF($C10-AG$1&lt;År1,0,AF9*(1-VLOOKUP($A10,[1]Hugst!$R$5:$W$9,MATCH(ROUNDUP((AG$1)/10,0)*10,[1]Hugst!$R$4:$W$4,0))))</f>
        <v>0</v>
      </c>
      <c r="AH10" s="169">
        <f>IF($C10-AH$1&lt;År1,0,AG9*(1-VLOOKUP($A10,[1]Hugst!$R$5:$W$9,MATCH(ROUNDUP((AH$1)/10,0)*10,[1]Hugst!$R$4:$W$4,0))))</f>
        <v>0</v>
      </c>
      <c r="AI10" s="169">
        <f>IF($C10-AI$1&lt;År1,0,AH9*(1-VLOOKUP($A10,[1]Hugst!$R$5:$W$9,MATCH(ROUNDUP((AI$1)/10,0)*10,[1]Hugst!$R$4:$W$4,0))))</f>
        <v>0</v>
      </c>
      <c r="AJ10" s="169">
        <f>IF($C10-AJ$1&lt;År1,0,AI9*(1-VLOOKUP($A10,[1]Hugst!$R$5:$W$9,MATCH(ROUNDUP((AJ$1)/10,0)*10,[1]Hugst!$R$4:$W$4,0))))</f>
        <v>0</v>
      </c>
    </row>
    <row r="11" spans="1:38" s="169" customFormat="1" x14ac:dyDescent="0.25">
      <c r="A11" s="169" t="s">
        <v>176</v>
      </c>
      <c r="B11" s="169" t="s">
        <v>23</v>
      </c>
      <c r="C11" s="169">
        <v>2029</v>
      </c>
      <c r="D11" s="169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0</v>
      </c>
      <c r="E11" s="169">
        <f t="shared" ca="1" si="0"/>
        <v>0</v>
      </c>
      <c r="F11" s="169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9">
        <f ca="1">IF($C11-G$1&lt;År1,0,F10*(1-VLOOKUP($A11,[1]Hugst!$R$5:$W$9,MATCH(ROUNDUP((G$1)/10,0)*10,[1]Hugst!$R$4:$W$4,0))))</f>
        <v>0</v>
      </c>
      <c r="H11" s="169">
        <f ca="1">IF($C11-H$1&lt;År1,0,G10*(1-VLOOKUP($A11,[1]Hugst!$R$5:$W$9,MATCH(ROUNDUP((H$1)/10,0)*10,[1]Hugst!$R$4:$W$4,0))))</f>
        <v>0</v>
      </c>
      <c r="I11" s="169">
        <f ca="1">IF($C11-I$1&lt;År1,0,H10*(1-VLOOKUP($A11,[1]Hugst!$R$5:$W$9,MATCH(ROUNDUP((I$1)/10,0)*10,[1]Hugst!$R$4:$W$4,0))))</f>
        <v>0</v>
      </c>
      <c r="J11" s="169">
        <f ca="1">IF($C11-J$1&lt;År1,0,I10*(1-VLOOKUP($A11,[1]Hugst!$R$5:$W$9,MATCH(ROUNDUP((J$1)/10,0)*10,[1]Hugst!$R$4:$W$4,0))))</f>
        <v>0</v>
      </c>
      <c r="K11" s="169">
        <f ca="1">IF($C11-K$1&lt;År1,0,J10*(1-VLOOKUP($A11,[1]Hugst!$R$5:$W$9,MATCH(ROUNDUP((K$1)/10,0)*10,[1]Hugst!$R$4:$W$4,0))))</f>
        <v>0</v>
      </c>
      <c r="L11" s="169">
        <f ca="1">IF($C11-L$1&lt;År1,0,K10*(1-VLOOKUP($A11,[1]Hugst!$R$5:$W$9,MATCH(ROUNDUP((L$1)/10,0)*10,[1]Hugst!$R$4:$W$4,0))))</f>
        <v>0</v>
      </c>
      <c r="M11" s="169">
        <f ca="1">IF($C11-M$1&lt;År1,0,L10*(1-VLOOKUP($A11,[1]Hugst!$R$5:$W$9,MATCH(ROUNDUP((M$1)/10,0)*10,[1]Hugst!$R$4:$W$4,0))))</f>
        <v>0</v>
      </c>
      <c r="N11" s="169">
        <f ca="1">IF($C11-N$1&lt;År1,0,M10*(1-VLOOKUP($A11,[1]Hugst!$R$5:$W$9,MATCH(ROUNDUP((N$1)/10,0)*10,[1]Hugst!$R$4:$W$4,0))))</f>
        <v>0</v>
      </c>
      <c r="O11" s="169">
        <f ca="1">IF($C11-O$1&lt;År1,0,N10*(1-VLOOKUP($A11,[1]Hugst!$R$5:$W$9,MATCH(ROUNDUP((O$1)/10,0)*10,[1]Hugst!$R$4:$W$4,0))))</f>
        <v>0</v>
      </c>
      <c r="P11" s="169">
        <f>IF($C11-P$1&lt;År1,0,O10*(1-VLOOKUP($A11,[1]Hugst!$R$5:$W$9,MATCH(ROUNDUP((P$1)/10,0)*10,[1]Hugst!$R$4:$W$4,0))))</f>
        <v>0</v>
      </c>
      <c r="Q11" s="169">
        <f>IF($C11-Q$1&lt;År1,0,P10*(1-VLOOKUP($A11,[1]Hugst!$R$5:$W$9,MATCH(ROUNDUP((Q$1)/10,0)*10,[1]Hugst!$R$4:$W$4,0))))</f>
        <v>0</v>
      </c>
      <c r="R11" s="169">
        <f>IF($C11-R$1&lt;År1,0,Q10*(1-VLOOKUP($A11,[1]Hugst!$R$5:$W$9,MATCH(ROUNDUP((R$1)/10,0)*10,[1]Hugst!$R$4:$W$4,0))))</f>
        <v>0</v>
      </c>
      <c r="S11" s="169">
        <f>IF($C11-S$1&lt;År1,0,R10*(1-VLOOKUP($A11,[1]Hugst!$R$5:$W$9,MATCH(ROUNDUP((S$1)/10,0)*10,[1]Hugst!$R$4:$W$4,0))))</f>
        <v>0</v>
      </c>
      <c r="T11" s="169">
        <f>IF($C11-T$1&lt;År1,0,S10*(1-VLOOKUP($A11,[1]Hugst!$R$5:$W$9,MATCH(ROUNDUP((T$1)/10,0)*10,[1]Hugst!$R$4:$W$4,0))))</f>
        <v>0</v>
      </c>
      <c r="U11" s="169">
        <f>IF($C11-U$1&lt;År1,0,T10*(1-VLOOKUP($A11,[1]Hugst!$R$5:$W$9,MATCH(ROUNDUP((U$1)/10,0)*10,[1]Hugst!$R$4:$W$4,0))))</f>
        <v>0</v>
      </c>
      <c r="V11" s="169">
        <f>IF($C11-V$1&lt;År1,0,U10*(1-VLOOKUP($A11,[1]Hugst!$R$5:$W$9,MATCH(ROUNDUP((V$1)/10,0)*10,[1]Hugst!$R$4:$W$4,0))))</f>
        <v>0</v>
      </c>
      <c r="W11" s="169">
        <f>IF($C11-W$1&lt;År1,0,V10*(1-VLOOKUP($A11,[1]Hugst!$R$5:$W$9,MATCH(ROUNDUP((W$1)/10,0)*10,[1]Hugst!$R$4:$W$4,0))))</f>
        <v>0</v>
      </c>
      <c r="X11" s="169">
        <f>IF($C11-X$1&lt;År1,0,W10*(1-VLOOKUP($A11,[1]Hugst!$R$5:$W$9,MATCH(ROUNDUP((X$1)/10,0)*10,[1]Hugst!$R$4:$W$4,0))))</f>
        <v>0</v>
      </c>
      <c r="Y11" s="169">
        <f>IF($C11-Y$1&lt;År1,0,X10*(1-VLOOKUP($A11,[1]Hugst!$R$5:$W$9,MATCH(ROUNDUP((Y$1)/10,0)*10,[1]Hugst!$R$4:$W$4,0))))</f>
        <v>0</v>
      </c>
      <c r="Z11" s="169">
        <f>IF($C11-Z$1&lt;År1,0,Y10*(1-VLOOKUP($A11,[1]Hugst!$R$5:$W$9,MATCH(ROUNDUP((Z$1)/10,0)*10,[1]Hugst!$R$4:$W$4,0))))</f>
        <v>0</v>
      </c>
      <c r="AA11" s="169">
        <f>IF($C11-AA$1&lt;År1,0,Z10*(1-VLOOKUP($A11,[1]Hugst!$R$5:$W$9,MATCH(ROUNDUP((AA$1)/10,0)*10,[1]Hugst!$R$4:$W$4,0))))</f>
        <v>0</v>
      </c>
      <c r="AB11" s="169">
        <f>IF($C11-AB$1&lt;År1,0,AA10*(1-VLOOKUP($A11,[1]Hugst!$R$5:$W$9,MATCH(ROUNDUP((AB$1)/10,0)*10,[1]Hugst!$R$4:$W$4,0))))</f>
        <v>0</v>
      </c>
      <c r="AC11" s="169">
        <f>IF($C11-AC$1&lt;År1,0,AB10*(1-VLOOKUP($A11,[1]Hugst!$R$5:$W$9,MATCH(ROUNDUP((AC$1)/10,0)*10,[1]Hugst!$R$4:$W$4,0))))</f>
        <v>0</v>
      </c>
      <c r="AD11" s="169">
        <f>IF($C11-AD$1&lt;År1,0,AC10*(1-VLOOKUP($A11,[1]Hugst!$R$5:$W$9,MATCH(ROUNDUP((AD$1)/10,0)*10,[1]Hugst!$R$4:$W$4,0))))</f>
        <v>0</v>
      </c>
      <c r="AE11" s="169">
        <f>IF($C11-AE$1&lt;År1,0,AD10*(1-VLOOKUP($A11,[1]Hugst!$R$5:$W$9,MATCH(ROUNDUP((AE$1)/10,0)*10,[1]Hugst!$R$4:$W$4,0))))</f>
        <v>0</v>
      </c>
      <c r="AF11" s="169">
        <f>IF($C11-AF$1&lt;År1,0,AE10*(1-VLOOKUP($A11,[1]Hugst!$R$5:$W$9,MATCH(ROUNDUP((AF$1)/10,0)*10,[1]Hugst!$R$4:$W$4,0))))</f>
        <v>0</v>
      </c>
      <c r="AG11" s="169">
        <f>IF($C11-AG$1&lt;År1,0,AF10*(1-VLOOKUP($A11,[1]Hugst!$R$5:$W$9,MATCH(ROUNDUP((AG$1)/10,0)*10,[1]Hugst!$R$4:$W$4,0))))</f>
        <v>0</v>
      </c>
      <c r="AH11" s="169">
        <f>IF($C11-AH$1&lt;År1,0,AG10*(1-VLOOKUP($A11,[1]Hugst!$R$5:$W$9,MATCH(ROUNDUP((AH$1)/10,0)*10,[1]Hugst!$R$4:$W$4,0))))</f>
        <v>0</v>
      </c>
      <c r="AI11" s="169">
        <f>IF($C11-AI$1&lt;År1,0,AH10*(1-VLOOKUP($A11,[1]Hugst!$R$5:$W$9,MATCH(ROUNDUP((AI$1)/10,0)*10,[1]Hugst!$R$4:$W$4,0))))</f>
        <v>0</v>
      </c>
      <c r="AJ11" s="169">
        <f>IF($C11-AJ$1&lt;År1,0,AI10*(1-VLOOKUP($A11,[1]Hugst!$R$5:$W$9,MATCH(ROUNDUP((AJ$1)/10,0)*10,[1]Hugst!$R$4:$W$4,0))))</f>
        <v>0</v>
      </c>
    </row>
    <row r="12" spans="1:38" s="169" customFormat="1" x14ac:dyDescent="0.25">
      <c r="A12" s="169" t="s">
        <v>176</v>
      </c>
      <c r="B12" s="169" t="s">
        <v>23</v>
      </c>
      <c r="C12" s="169">
        <v>2030</v>
      </c>
      <c r="D12" s="169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0</v>
      </c>
      <c r="E12" s="169">
        <f t="shared" ca="1" si="0"/>
        <v>0</v>
      </c>
      <c r="F12" s="169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9">
        <f ca="1">IF($C12-G$1&lt;År1,0,F11*(1-VLOOKUP($A12,[1]Hugst!$R$5:$W$9,MATCH(ROUNDUP((G$1)/10,0)*10,[1]Hugst!$R$4:$W$4,0))))</f>
        <v>0</v>
      </c>
      <c r="H12" s="169">
        <f ca="1">IF($C12-H$1&lt;År1,0,G11*(1-VLOOKUP($A12,[1]Hugst!$R$5:$W$9,MATCH(ROUNDUP((H$1)/10,0)*10,[1]Hugst!$R$4:$W$4,0))))</f>
        <v>0</v>
      </c>
      <c r="I12" s="169">
        <f ca="1">IF($C12-I$1&lt;År1,0,H11*(1-VLOOKUP($A12,[1]Hugst!$R$5:$W$9,MATCH(ROUNDUP((I$1)/10,0)*10,[1]Hugst!$R$4:$W$4,0))))</f>
        <v>0</v>
      </c>
      <c r="J12" s="169">
        <f ca="1">IF($C12-J$1&lt;År1,0,I11*(1-VLOOKUP($A12,[1]Hugst!$R$5:$W$9,MATCH(ROUNDUP((J$1)/10,0)*10,[1]Hugst!$R$4:$W$4,0))))</f>
        <v>0</v>
      </c>
      <c r="K12" s="169">
        <f ca="1">IF($C12-K$1&lt;År1,0,J11*(1-VLOOKUP($A12,[1]Hugst!$R$5:$W$9,MATCH(ROUNDUP((K$1)/10,0)*10,[1]Hugst!$R$4:$W$4,0))))</f>
        <v>0</v>
      </c>
      <c r="L12" s="169">
        <f ca="1">IF($C12-L$1&lt;År1,0,K11*(1-VLOOKUP($A12,[1]Hugst!$R$5:$W$9,MATCH(ROUNDUP((L$1)/10,0)*10,[1]Hugst!$R$4:$W$4,0))))</f>
        <v>0</v>
      </c>
      <c r="M12" s="169">
        <f ca="1">IF($C12-M$1&lt;År1,0,L11*(1-VLOOKUP($A12,[1]Hugst!$R$5:$W$9,MATCH(ROUNDUP((M$1)/10,0)*10,[1]Hugst!$R$4:$W$4,0))))</f>
        <v>0</v>
      </c>
      <c r="N12" s="169">
        <f ca="1">IF($C12-N$1&lt;År1,0,M11*(1-VLOOKUP($A12,[1]Hugst!$R$5:$W$9,MATCH(ROUNDUP((N$1)/10,0)*10,[1]Hugst!$R$4:$W$4,0))))</f>
        <v>0</v>
      </c>
      <c r="O12" s="169">
        <f ca="1">IF($C12-O$1&lt;År1,0,N11*(1-VLOOKUP($A12,[1]Hugst!$R$5:$W$9,MATCH(ROUNDUP((O$1)/10,0)*10,[1]Hugst!$R$4:$W$4,0))))</f>
        <v>0</v>
      </c>
      <c r="P12" s="169">
        <f ca="1">IF($C12-P$1&lt;År1,0,O11*(1-VLOOKUP($A12,[1]Hugst!$R$5:$W$9,MATCH(ROUNDUP((P$1)/10,0)*10,[1]Hugst!$R$4:$W$4,0))))</f>
        <v>0</v>
      </c>
      <c r="Q12" s="169">
        <f>IF($C12-Q$1&lt;År1,0,P11*(1-VLOOKUP($A12,[1]Hugst!$R$5:$W$9,MATCH(ROUNDUP((Q$1)/10,0)*10,[1]Hugst!$R$4:$W$4,0))))</f>
        <v>0</v>
      </c>
      <c r="R12" s="169">
        <f>IF($C12-R$1&lt;År1,0,Q11*(1-VLOOKUP($A12,[1]Hugst!$R$5:$W$9,MATCH(ROUNDUP((R$1)/10,0)*10,[1]Hugst!$R$4:$W$4,0))))</f>
        <v>0</v>
      </c>
      <c r="S12" s="169">
        <f>IF($C12-S$1&lt;År1,0,R11*(1-VLOOKUP($A12,[1]Hugst!$R$5:$W$9,MATCH(ROUNDUP((S$1)/10,0)*10,[1]Hugst!$R$4:$W$4,0))))</f>
        <v>0</v>
      </c>
      <c r="T12" s="169">
        <f>IF($C12-T$1&lt;År1,0,S11*(1-VLOOKUP($A12,[1]Hugst!$R$5:$W$9,MATCH(ROUNDUP((T$1)/10,0)*10,[1]Hugst!$R$4:$W$4,0))))</f>
        <v>0</v>
      </c>
      <c r="U12" s="169">
        <f>IF($C12-U$1&lt;År1,0,T11*(1-VLOOKUP($A12,[1]Hugst!$R$5:$W$9,MATCH(ROUNDUP((U$1)/10,0)*10,[1]Hugst!$R$4:$W$4,0))))</f>
        <v>0</v>
      </c>
      <c r="V12" s="169">
        <f>IF($C12-V$1&lt;År1,0,U11*(1-VLOOKUP($A12,[1]Hugst!$R$5:$W$9,MATCH(ROUNDUP((V$1)/10,0)*10,[1]Hugst!$R$4:$W$4,0))))</f>
        <v>0</v>
      </c>
      <c r="W12" s="169">
        <f>IF($C12-W$1&lt;År1,0,V11*(1-VLOOKUP($A12,[1]Hugst!$R$5:$W$9,MATCH(ROUNDUP((W$1)/10,0)*10,[1]Hugst!$R$4:$W$4,0))))</f>
        <v>0</v>
      </c>
      <c r="X12" s="169">
        <f>IF($C12-X$1&lt;År1,0,W11*(1-VLOOKUP($A12,[1]Hugst!$R$5:$W$9,MATCH(ROUNDUP((X$1)/10,0)*10,[1]Hugst!$R$4:$W$4,0))))</f>
        <v>0</v>
      </c>
      <c r="Y12" s="169">
        <f>IF($C12-Y$1&lt;År1,0,X11*(1-VLOOKUP($A12,[1]Hugst!$R$5:$W$9,MATCH(ROUNDUP((Y$1)/10,0)*10,[1]Hugst!$R$4:$W$4,0))))</f>
        <v>0</v>
      </c>
      <c r="Z12" s="169">
        <f>IF($C12-Z$1&lt;År1,0,Y11*(1-VLOOKUP($A12,[1]Hugst!$R$5:$W$9,MATCH(ROUNDUP((Z$1)/10,0)*10,[1]Hugst!$R$4:$W$4,0))))</f>
        <v>0</v>
      </c>
      <c r="AA12" s="169">
        <f>IF($C12-AA$1&lt;År1,0,Z11*(1-VLOOKUP($A12,[1]Hugst!$R$5:$W$9,MATCH(ROUNDUP((AA$1)/10,0)*10,[1]Hugst!$R$4:$W$4,0))))</f>
        <v>0</v>
      </c>
      <c r="AB12" s="169">
        <f>IF($C12-AB$1&lt;År1,0,AA11*(1-VLOOKUP($A12,[1]Hugst!$R$5:$W$9,MATCH(ROUNDUP((AB$1)/10,0)*10,[1]Hugst!$R$4:$W$4,0))))</f>
        <v>0</v>
      </c>
      <c r="AC12" s="169">
        <f>IF($C12-AC$1&lt;År1,0,AB11*(1-VLOOKUP($A12,[1]Hugst!$R$5:$W$9,MATCH(ROUNDUP((AC$1)/10,0)*10,[1]Hugst!$R$4:$W$4,0))))</f>
        <v>0</v>
      </c>
      <c r="AD12" s="169">
        <f>IF($C12-AD$1&lt;År1,0,AC11*(1-VLOOKUP($A12,[1]Hugst!$R$5:$W$9,MATCH(ROUNDUP((AD$1)/10,0)*10,[1]Hugst!$R$4:$W$4,0))))</f>
        <v>0</v>
      </c>
      <c r="AE12" s="169">
        <f>IF($C12-AE$1&lt;År1,0,AD11*(1-VLOOKUP($A12,[1]Hugst!$R$5:$W$9,MATCH(ROUNDUP((AE$1)/10,0)*10,[1]Hugst!$R$4:$W$4,0))))</f>
        <v>0</v>
      </c>
      <c r="AF12" s="169">
        <f>IF($C12-AF$1&lt;År1,0,AE11*(1-VLOOKUP($A12,[1]Hugst!$R$5:$W$9,MATCH(ROUNDUP((AF$1)/10,0)*10,[1]Hugst!$R$4:$W$4,0))))</f>
        <v>0</v>
      </c>
      <c r="AG12" s="169">
        <f>IF($C12-AG$1&lt;År1,0,AF11*(1-VLOOKUP($A12,[1]Hugst!$R$5:$W$9,MATCH(ROUNDUP((AG$1)/10,0)*10,[1]Hugst!$R$4:$W$4,0))))</f>
        <v>0</v>
      </c>
      <c r="AH12" s="169">
        <f>IF($C12-AH$1&lt;År1,0,AG11*(1-VLOOKUP($A12,[1]Hugst!$R$5:$W$9,MATCH(ROUNDUP((AH$1)/10,0)*10,[1]Hugst!$R$4:$W$4,0))))</f>
        <v>0</v>
      </c>
      <c r="AI12" s="169">
        <f>IF($C12-AI$1&lt;År1,0,AH11*(1-VLOOKUP($A12,[1]Hugst!$R$5:$W$9,MATCH(ROUNDUP((AI$1)/10,0)*10,[1]Hugst!$R$4:$W$4,0))))</f>
        <v>0</v>
      </c>
      <c r="AJ12" s="169">
        <f>IF($C12-AJ$1&lt;År1,0,AI11*(1-VLOOKUP($A12,[1]Hugst!$R$5:$W$9,MATCH(ROUNDUP((AJ$1)/10,0)*10,[1]Hugst!$R$4:$W$4,0))))</f>
        <v>0</v>
      </c>
    </row>
    <row r="13" spans="1:38" s="169" customFormat="1" x14ac:dyDescent="0.25">
      <c r="A13" s="169" t="s">
        <v>176</v>
      </c>
      <c r="B13" s="169" t="s">
        <v>23</v>
      </c>
      <c r="C13" s="169">
        <v>2031</v>
      </c>
      <c r="D13" s="169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0</v>
      </c>
      <c r="E13" s="169">
        <f t="shared" ca="1" si="0"/>
        <v>0</v>
      </c>
      <c r="F13" s="169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 s="169">
        <f ca="1">IF($C13-G$1&lt;År1,0,F12*(1-VLOOKUP($A13,[1]Hugst!$R$5:$W$9,MATCH(ROUNDUP((G$1)/10,0)*10,[1]Hugst!$R$4:$W$4,0))))</f>
        <v>0</v>
      </c>
      <c r="H13" s="169">
        <f ca="1">IF($C13-H$1&lt;År1,0,G12*(1-VLOOKUP($A13,[1]Hugst!$R$5:$W$9,MATCH(ROUNDUP((H$1)/10,0)*10,[1]Hugst!$R$4:$W$4,0))))</f>
        <v>0</v>
      </c>
      <c r="I13" s="169">
        <f ca="1">IF($C13-I$1&lt;År1,0,H12*(1-VLOOKUP($A13,[1]Hugst!$R$5:$W$9,MATCH(ROUNDUP((I$1)/10,0)*10,[1]Hugst!$R$4:$W$4,0))))</f>
        <v>0</v>
      </c>
      <c r="J13" s="169">
        <f ca="1">IF($C13-J$1&lt;År1,0,I12*(1-VLOOKUP($A13,[1]Hugst!$R$5:$W$9,MATCH(ROUNDUP((J$1)/10,0)*10,[1]Hugst!$R$4:$W$4,0))))</f>
        <v>0</v>
      </c>
      <c r="K13" s="169">
        <f ca="1">IF($C13-K$1&lt;År1,0,J12*(1-VLOOKUP($A13,[1]Hugst!$R$5:$W$9,MATCH(ROUNDUP((K$1)/10,0)*10,[1]Hugst!$R$4:$W$4,0))))</f>
        <v>0</v>
      </c>
      <c r="L13" s="169">
        <f ca="1">IF($C13-L$1&lt;År1,0,K12*(1-VLOOKUP($A13,[1]Hugst!$R$5:$W$9,MATCH(ROUNDUP((L$1)/10,0)*10,[1]Hugst!$R$4:$W$4,0))))</f>
        <v>0</v>
      </c>
      <c r="M13" s="169">
        <f ca="1">IF($C13-M$1&lt;År1,0,L12*(1-VLOOKUP($A13,[1]Hugst!$R$5:$W$9,MATCH(ROUNDUP((M$1)/10,0)*10,[1]Hugst!$R$4:$W$4,0))))</f>
        <v>0</v>
      </c>
      <c r="N13" s="169">
        <f ca="1">IF($C13-N$1&lt;År1,0,M12*(1-VLOOKUP($A13,[1]Hugst!$R$5:$W$9,MATCH(ROUNDUP((N$1)/10,0)*10,[1]Hugst!$R$4:$W$4,0))))</f>
        <v>0</v>
      </c>
      <c r="O13" s="169">
        <f ca="1">IF($C13-O$1&lt;År1,0,N12*(1-VLOOKUP($A13,[1]Hugst!$R$5:$W$9,MATCH(ROUNDUP((O$1)/10,0)*10,[1]Hugst!$R$4:$W$4,0))))</f>
        <v>0</v>
      </c>
      <c r="P13" s="169">
        <f ca="1">IF($C13-P$1&lt;År1,0,O12*(1-VLOOKUP($A13,[1]Hugst!$R$5:$W$9,MATCH(ROUNDUP((P$1)/10,0)*10,[1]Hugst!$R$4:$W$4,0))))</f>
        <v>0</v>
      </c>
      <c r="Q13" s="169">
        <f ca="1">IF($C13-Q$1&lt;År1,0,P12*(1-VLOOKUP($A13,[1]Hugst!$R$5:$W$9,MATCH(ROUNDUP((Q$1)/10,0)*10,[1]Hugst!$R$4:$W$4,0))))</f>
        <v>0</v>
      </c>
      <c r="R13" s="169">
        <f>IF($C13-R$1&lt;År1,0,Q12*(1-VLOOKUP($A13,[1]Hugst!$R$5:$W$9,MATCH(ROUNDUP((R$1)/10,0)*10,[1]Hugst!$R$4:$W$4,0))))</f>
        <v>0</v>
      </c>
      <c r="S13" s="169">
        <f>IF($C13-S$1&lt;År1,0,R12*(1-VLOOKUP($A13,[1]Hugst!$R$5:$W$9,MATCH(ROUNDUP((S$1)/10,0)*10,[1]Hugst!$R$4:$W$4,0))))</f>
        <v>0</v>
      </c>
      <c r="T13" s="169">
        <f>IF($C13-T$1&lt;År1,0,S12*(1-VLOOKUP($A13,[1]Hugst!$R$5:$W$9,MATCH(ROUNDUP((T$1)/10,0)*10,[1]Hugst!$R$4:$W$4,0))))</f>
        <v>0</v>
      </c>
      <c r="U13" s="169">
        <f>IF($C13-U$1&lt;År1,0,T12*(1-VLOOKUP($A13,[1]Hugst!$R$5:$W$9,MATCH(ROUNDUP((U$1)/10,0)*10,[1]Hugst!$R$4:$W$4,0))))</f>
        <v>0</v>
      </c>
      <c r="V13" s="169">
        <f>IF($C13-V$1&lt;År1,0,U12*(1-VLOOKUP($A13,[1]Hugst!$R$5:$W$9,MATCH(ROUNDUP((V$1)/10,0)*10,[1]Hugst!$R$4:$W$4,0))))</f>
        <v>0</v>
      </c>
      <c r="W13" s="169">
        <f>IF($C13-W$1&lt;År1,0,V12*(1-VLOOKUP($A13,[1]Hugst!$R$5:$W$9,MATCH(ROUNDUP((W$1)/10,0)*10,[1]Hugst!$R$4:$W$4,0))))</f>
        <v>0</v>
      </c>
      <c r="X13" s="169">
        <f>IF($C13-X$1&lt;År1,0,W12*(1-VLOOKUP($A13,[1]Hugst!$R$5:$W$9,MATCH(ROUNDUP((X$1)/10,0)*10,[1]Hugst!$R$4:$W$4,0))))</f>
        <v>0</v>
      </c>
      <c r="Y13" s="169">
        <f>IF($C13-Y$1&lt;År1,0,X12*(1-VLOOKUP($A13,[1]Hugst!$R$5:$W$9,MATCH(ROUNDUP((Y$1)/10,0)*10,[1]Hugst!$R$4:$W$4,0))))</f>
        <v>0</v>
      </c>
      <c r="Z13" s="169">
        <f>IF($C13-Z$1&lt;År1,0,Y12*(1-VLOOKUP($A13,[1]Hugst!$R$5:$W$9,MATCH(ROUNDUP((Z$1)/10,0)*10,[1]Hugst!$R$4:$W$4,0))))</f>
        <v>0</v>
      </c>
      <c r="AA13" s="169">
        <f>IF($C13-AA$1&lt;År1,0,Z12*(1-VLOOKUP($A13,[1]Hugst!$R$5:$W$9,MATCH(ROUNDUP((AA$1)/10,0)*10,[1]Hugst!$R$4:$W$4,0))))</f>
        <v>0</v>
      </c>
      <c r="AB13" s="169">
        <f>IF($C13-AB$1&lt;År1,0,AA12*(1-VLOOKUP($A13,[1]Hugst!$R$5:$W$9,MATCH(ROUNDUP((AB$1)/10,0)*10,[1]Hugst!$R$4:$W$4,0))))</f>
        <v>0</v>
      </c>
      <c r="AC13" s="169">
        <f>IF($C13-AC$1&lt;År1,0,AB12*(1-VLOOKUP($A13,[1]Hugst!$R$5:$W$9,MATCH(ROUNDUP((AC$1)/10,0)*10,[1]Hugst!$R$4:$W$4,0))))</f>
        <v>0</v>
      </c>
      <c r="AD13" s="169">
        <f>IF($C13-AD$1&lt;År1,0,AC12*(1-VLOOKUP($A13,[1]Hugst!$R$5:$W$9,MATCH(ROUNDUP((AD$1)/10,0)*10,[1]Hugst!$R$4:$W$4,0))))</f>
        <v>0</v>
      </c>
      <c r="AE13" s="169">
        <f>IF($C13-AE$1&lt;År1,0,AD12*(1-VLOOKUP($A13,[1]Hugst!$R$5:$W$9,MATCH(ROUNDUP((AE$1)/10,0)*10,[1]Hugst!$R$4:$W$4,0))))</f>
        <v>0</v>
      </c>
      <c r="AF13" s="169">
        <f>IF($C13-AF$1&lt;År1,0,AE12*(1-VLOOKUP($A13,[1]Hugst!$R$5:$W$9,MATCH(ROUNDUP((AF$1)/10,0)*10,[1]Hugst!$R$4:$W$4,0))))</f>
        <v>0</v>
      </c>
      <c r="AG13" s="169">
        <f>IF($C13-AG$1&lt;År1,0,AF12*(1-VLOOKUP($A13,[1]Hugst!$R$5:$W$9,MATCH(ROUNDUP((AG$1)/10,0)*10,[1]Hugst!$R$4:$W$4,0))))</f>
        <v>0</v>
      </c>
      <c r="AH13" s="169">
        <f>IF($C13-AH$1&lt;År1,0,AG12*(1-VLOOKUP($A13,[1]Hugst!$R$5:$W$9,MATCH(ROUNDUP((AH$1)/10,0)*10,[1]Hugst!$R$4:$W$4,0))))</f>
        <v>0</v>
      </c>
      <c r="AI13" s="169">
        <f>IF($C13-AI$1&lt;År1,0,AH12*(1-VLOOKUP($A13,[1]Hugst!$R$5:$W$9,MATCH(ROUNDUP((AI$1)/10,0)*10,[1]Hugst!$R$4:$W$4,0))))</f>
        <v>0</v>
      </c>
      <c r="AJ13" s="169">
        <f>IF($C13-AJ$1&lt;År1,0,AI12*(1-VLOOKUP($A13,[1]Hugst!$R$5:$W$9,MATCH(ROUNDUP((AJ$1)/10,0)*10,[1]Hugst!$R$4:$W$4,0))))</f>
        <v>0</v>
      </c>
    </row>
    <row r="14" spans="1:38" s="169" customFormat="1" x14ac:dyDescent="0.25">
      <c r="A14" s="169" t="s">
        <v>176</v>
      </c>
      <c r="B14" s="169" t="s">
        <v>23</v>
      </c>
      <c r="C14" s="169">
        <v>2032</v>
      </c>
      <c r="D14" s="169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0</v>
      </c>
      <c r="E14" s="169">
        <f t="shared" ca="1" si="0"/>
        <v>0</v>
      </c>
      <c r="F14" s="169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 s="169">
        <f ca="1">IF($C14-G$1&lt;År1,0,F13*(1-VLOOKUP($A14,[1]Hugst!$R$5:$W$9,MATCH(ROUNDUP((G$1)/10,0)*10,[1]Hugst!$R$4:$W$4,0))))</f>
        <v>0</v>
      </c>
      <c r="H14" s="169">
        <f ca="1">IF($C14-H$1&lt;År1,0,G13*(1-VLOOKUP($A14,[1]Hugst!$R$5:$W$9,MATCH(ROUNDUP((H$1)/10,0)*10,[1]Hugst!$R$4:$W$4,0))))</f>
        <v>0</v>
      </c>
      <c r="I14" s="169">
        <f ca="1">IF($C14-I$1&lt;År1,0,H13*(1-VLOOKUP($A14,[1]Hugst!$R$5:$W$9,MATCH(ROUNDUP((I$1)/10,0)*10,[1]Hugst!$R$4:$W$4,0))))</f>
        <v>0</v>
      </c>
      <c r="J14" s="169">
        <f ca="1">IF($C14-J$1&lt;År1,0,I13*(1-VLOOKUP($A14,[1]Hugst!$R$5:$W$9,MATCH(ROUNDUP((J$1)/10,0)*10,[1]Hugst!$R$4:$W$4,0))))</f>
        <v>0</v>
      </c>
      <c r="K14" s="169">
        <f ca="1">IF($C14-K$1&lt;År1,0,J13*(1-VLOOKUP($A14,[1]Hugst!$R$5:$W$9,MATCH(ROUNDUP((K$1)/10,0)*10,[1]Hugst!$R$4:$W$4,0))))</f>
        <v>0</v>
      </c>
      <c r="L14" s="169">
        <f ca="1">IF($C14-L$1&lt;År1,0,K13*(1-VLOOKUP($A14,[1]Hugst!$R$5:$W$9,MATCH(ROUNDUP((L$1)/10,0)*10,[1]Hugst!$R$4:$W$4,0))))</f>
        <v>0</v>
      </c>
      <c r="M14" s="169">
        <f ca="1">IF($C14-M$1&lt;År1,0,L13*(1-VLOOKUP($A14,[1]Hugst!$R$5:$W$9,MATCH(ROUNDUP((M$1)/10,0)*10,[1]Hugst!$R$4:$W$4,0))))</f>
        <v>0</v>
      </c>
      <c r="N14" s="169">
        <f ca="1">IF($C14-N$1&lt;År1,0,M13*(1-VLOOKUP($A14,[1]Hugst!$R$5:$W$9,MATCH(ROUNDUP((N$1)/10,0)*10,[1]Hugst!$R$4:$W$4,0))))</f>
        <v>0</v>
      </c>
      <c r="O14" s="169">
        <f ca="1">IF($C14-O$1&lt;År1,0,N13*(1-VLOOKUP($A14,[1]Hugst!$R$5:$W$9,MATCH(ROUNDUP((O$1)/10,0)*10,[1]Hugst!$R$4:$W$4,0))))</f>
        <v>0</v>
      </c>
      <c r="P14" s="169">
        <f ca="1">IF($C14-P$1&lt;År1,0,O13*(1-VLOOKUP($A14,[1]Hugst!$R$5:$W$9,MATCH(ROUNDUP((P$1)/10,0)*10,[1]Hugst!$R$4:$W$4,0))))</f>
        <v>0</v>
      </c>
      <c r="Q14" s="169">
        <f ca="1">IF($C14-Q$1&lt;År1,0,P13*(1-VLOOKUP($A14,[1]Hugst!$R$5:$W$9,MATCH(ROUNDUP((Q$1)/10,0)*10,[1]Hugst!$R$4:$W$4,0))))</f>
        <v>0</v>
      </c>
      <c r="R14" s="169">
        <f ca="1">IF($C14-R$1&lt;År1,0,Q13*(1-VLOOKUP($A14,[1]Hugst!$R$5:$W$9,MATCH(ROUNDUP((R$1)/10,0)*10,[1]Hugst!$R$4:$W$4,0))))</f>
        <v>0</v>
      </c>
      <c r="S14" s="169">
        <f>IF($C14-S$1&lt;År1,0,R13*(1-VLOOKUP($A14,[1]Hugst!$R$5:$W$9,MATCH(ROUNDUP((S$1)/10,0)*10,[1]Hugst!$R$4:$W$4,0))))</f>
        <v>0</v>
      </c>
      <c r="T14" s="169">
        <f>IF($C14-T$1&lt;År1,0,S13*(1-VLOOKUP($A14,[1]Hugst!$R$5:$W$9,MATCH(ROUNDUP((T$1)/10,0)*10,[1]Hugst!$R$4:$W$4,0))))</f>
        <v>0</v>
      </c>
      <c r="U14" s="169">
        <f>IF($C14-U$1&lt;År1,0,T13*(1-VLOOKUP($A14,[1]Hugst!$R$5:$W$9,MATCH(ROUNDUP((U$1)/10,0)*10,[1]Hugst!$R$4:$W$4,0))))</f>
        <v>0</v>
      </c>
      <c r="V14" s="169">
        <f>IF($C14-V$1&lt;År1,0,U13*(1-VLOOKUP($A14,[1]Hugst!$R$5:$W$9,MATCH(ROUNDUP((V$1)/10,0)*10,[1]Hugst!$R$4:$W$4,0))))</f>
        <v>0</v>
      </c>
      <c r="W14" s="169">
        <f>IF($C14-W$1&lt;År1,0,V13*(1-VLOOKUP($A14,[1]Hugst!$R$5:$W$9,MATCH(ROUNDUP((W$1)/10,0)*10,[1]Hugst!$R$4:$W$4,0))))</f>
        <v>0</v>
      </c>
      <c r="X14" s="169">
        <f>IF($C14-X$1&lt;År1,0,W13*(1-VLOOKUP($A14,[1]Hugst!$R$5:$W$9,MATCH(ROUNDUP((X$1)/10,0)*10,[1]Hugst!$R$4:$W$4,0))))</f>
        <v>0</v>
      </c>
      <c r="Y14" s="169">
        <f>IF($C14-Y$1&lt;År1,0,X13*(1-VLOOKUP($A14,[1]Hugst!$R$5:$W$9,MATCH(ROUNDUP((Y$1)/10,0)*10,[1]Hugst!$R$4:$W$4,0))))</f>
        <v>0</v>
      </c>
      <c r="Z14" s="169">
        <f>IF($C14-Z$1&lt;År1,0,Y13*(1-VLOOKUP($A14,[1]Hugst!$R$5:$W$9,MATCH(ROUNDUP((Z$1)/10,0)*10,[1]Hugst!$R$4:$W$4,0))))</f>
        <v>0</v>
      </c>
      <c r="AA14" s="169">
        <f>IF($C14-AA$1&lt;År1,0,Z13*(1-VLOOKUP($A14,[1]Hugst!$R$5:$W$9,MATCH(ROUNDUP((AA$1)/10,0)*10,[1]Hugst!$R$4:$W$4,0))))</f>
        <v>0</v>
      </c>
      <c r="AB14" s="169">
        <f>IF($C14-AB$1&lt;År1,0,AA13*(1-VLOOKUP($A14,[1]Hugst!$R$5:$W$9,MATCH(ROUNDUP((AB$1)/10,0)*10,[1]Hugst!$R$4:$W$4,0))))</f>
        <v>0</v>
      </c>
      <c r="AC14" s="169">
        <f>IF($C14-AC$1&lt;År1,0,AB13*(1-VLOOKUP($A14,[1]Hugst!$R$5:$W$9,MATCH(ROUNDUP((AC$1)/10,0)*10,[1]Hugst!$R$4:$W$4,0))))</f>
        <v>0</v>
      </c>
      <c r="AD14" s="169">
        <f>IF($C14-AD$1&lt;År1,0,AC13*(1-VLOOKUP($A14,[1]Hugst!$R$5:$W$9,MATCH(ROUNDUP((AD$1)/10,0)*10,[1]Hugst!$R$4:$W$4,0))))</f>
        <v>0</v>
      </c>
      <c r="AE14" s="169">
        <f>IF($C14-AE$1&lt;År1,0,AD13*(1-VLOOKUP($A14,[1]Hugst!$R$5:$W$9,MATCH(ROUNDUP((AE$1)/10,0)*10,[1]Hugst!$R$4:$W$4,0))))</f>
        <v>0</v>
      </c>
      <c r="AF14" s="169">
        <f>IF($C14-AF$1&lt;År1,0,AE13*(1-VLOOKUP($A14,[1]Hugst!$R$5:$W$9,MATCH(ROUNDUP((AF$1)/10,0)*10,[1]Hugst!$R$4:$W$4,0))))</f>
        <v>0</v>
      </c>
      <c r="AG14" s="169">
        <f>IF($C14-AG$1&lt;År1,0,AF13*(1-VLOOKUP($A14,[1]Hugst!$R$5:$W$9,MATCH(ROUNDUP((AG$1)/10,0)*10,[1]Hugst!$R$4:$W$4,0))))</f>
        <v>0</v>
      </c>
      <c r="AH14" s="169">
        <f>IF($C14-AH$1&lt;År1,0,AG13*(1-VLOOKUP($A14,[1]Hugst!$R$5:$W$9,MATCH(ROUNDUP((AH$1)/10,0)*10,[1]Hugst!$R$4:$W$4,0))))</f>
        <v>0</v>
      </c>
      <c r="AI14" s="169">
        <f>IF($C14-AI$1&lt;År1,0,AH13*(1-VLOOKUP($A14,[1]Hugst!$R$5:$W$9,MATCH(ROUNDUP((AI$1)/10,0)*10,[1]Hugst!$R$4:$W$4,0))))</f>
        <v>0</v>
      </c>
      <c r="AJ14" s="169">
        <f>IF($C14-AJ$1&lt;År1,0,AI13*(1-VLOOKUP($A14,[1]Hugst!$R$5:$W$9,MATCH(ROUNDUP((AJ$1)/10,0)*10,[1]Hugst!$R$4:$W$4,0))))</f>
        <v>0</v>
      </c>
    </row>
    <row r="15" spans="1:38" s="169" customFormat="1" x14ac:dyDescent="0.25">
      <c r="A15" s="169" t="s">
        <v>176</v>
      </c>
      <c r="B15" s="169" t="s">
        <v>23</v>
      </c>
      <c r="C15" s="169">
        <v>2033</v>
      </c>
      <c r="D15" s="169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0</v>
      </c>
      <c r="E15" s="169">
        <f t="shared" ca="1" si="0"/>
        <v>0</v>
      </c>
      <c r="F15" s="169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 s="169">
        <f ca="1">IF($C15-G$1&lt;År1,0,F14*(1-VLOOKUP($A15,[1]Hugst!$R$5:$W$9,MATCH(ROUNDUP((G$1)/10,0)*10,[1]Hugst!$R$4:$W$4,0))))</f>
        <v>0</v>
      </c>
      <c r="H15" s="169">
        <f ca="1">IF($C15-H$1&lt;År1,0,G14*(1-VLOOKUP($A15,[1]Hugst!$R$5:$W$9,MATCH(ROUNDUP((H$1)/10,0)*10,[1]Hugst!$R$4:$W$4,0))))</f>
        <v>0</v>
      </c>
      <c r="I15" s="169">
        <f ca="1">IF($C15-I$1&lt;År1,0,H14*(1-VLOOKUP($A15,[1]Hugst!$R$5:$W$9,MATCH(ROUNDUP((I$1)/10,0)*10,[1]Hugst!$R$4:$W$4,0))))</f>
        <v>0</v>
      </c>
      <c r="J15" s="169">
        <f ca="1">IF($C15-J$1&lt;År1,0,I14*(1-VLOOKUP($A15,[1]Hugst!$R$5:$W$9,MATCH(ROUNDUP((J$1)/10,0)*10,[1]Hugst!$R$4:$W$4,0))))</f>
        <v>0</v>
      </c>
      <c r="K15" s="169">
        <f ca="1">IF($C15-K$1&lt;År1,0,J14*(1-VLOOKUP($A15,[1]Hugst!$R$5:$W$9,MATCH(ROUNDUP((K$1)/10,0)*10,[1]Hugst!$R$4:$W$4,0))))</f>
        <v>0</v>
      </c>
      <c r="L15" s="169">
        <f ca="1">IF($C15-L$1&lt;År1,0,K14*(1-VLOOKUP($A15,[1]Hugst!$R$5:$W$9,MATCH(ROUNDUP((L$1)/10,0)*10,[1]Hugst!$R$4:$W$4,0))))</f>
        <v>0</v>
      </c>
      <c r="M15" s="169">
        <f ca="1">IF($C15-M$1&lt;År1,0,L14*(1-VLOOKUP($A15,[1]Hugst!$R$5:$W$9,MATCH(ROUNDUP((M$1)/10,0)*10,[1]Hugst!$R$4:$W$4,0))))</f>
        <v>0</v>
      </c>
      <c r="N15" s="169">
        <f ca="1">IF($C15-N$1&lt;År1,0,M14*(1-VLOOKUP($A15,[1]Hugst!$R$5:$W$9,MATCH(ROUNDUP((N$1)/10,0)*10,[1]Hugst!$R$4:$W$4,0))))</f>
        <v>0</v>
      </c>
      <c r="O15" s="169">
        <f ca="1">IF($C15-O$1&lt;År1,0,N14*(1-VLOOKUP($A15,[1]Hugst!$R$5:$W$9,MATCH(ROUNDUP((O$1)/10,0)*10,[1]Hugst!$R$4:$W$4,0))))</f>
        <v>0</v>
      </c>
      <c r="P15" s="169">
        <f ca="1">IF($C15-P$1&lt;År1,0,O14*(1-VLOOKUP($A15,[1]Hugst!$R$5:$W$9,MATCH(ROUNDUP((P$1)/10,0)*10,[1]Hugst!$R$4:$W$4,0))))</f>
        <v>0</v>
      </c>
      <c r="Q15" s="169">
        <f ca="1">IF($C15-Q$1&lt;År1,0,P14*(1-VLOOKUP($A15,[1]Hugst!$R$5:$W$9,MATCH(ROUNDUP((Q$1)/10,0)*10,[1]Hugst!$R$4:$W$4,0))))</f>
        <v>0</v>
      </c>
      <c r="R15" s="169">
        <f ca="1">IF($C15-R$1&lt;År1,0,Q14*(1-VLOOKUP($A15,[1]Hugst!$R$5:$W$9,MATCH(ROUNDUP((R$1)/10,0)*10,[1]Hugst!$R$4:$W$4,0))))</f>
        <v>0</v>
      </c>
      <c r="S15" s="169">
        <f ca="1">IF($C15-S$1&lt;År1,0,R14*(1-VLOOKUP($A15,[1]Hugst!$R$5:$W$9,MATCH(ROUNDUP((S$1)/10,0)*10,[1]Hugst!$R$4:$W$4,0))))</f>
        <v>0</v>
      </c>
      <c r="T15" s="169">
        <f>IF($C15-T$1&lt;År1,0,S14*(1-VLOOKUP($A15,[1]Hugst!$R$5:$W$9,MATCH(ROUNDUP((T$1)/10,0)*10,[1]Hugst!$R$4:$W$4,0))))</f>
        <v>0</v>
      </c>
      <c r="U15" s="169">
        <f>IF($C15-U$1&lt;År1,0,T14*(1-VLOOKUP($A15,[1]Hugst!$R$5:$W$9,MATCH(ROUNDUP((U$1)/10,0)*10,[1]Hugst!$R$4:$W$4,0))))</f>
        <v>0</v>
      </c>
      <c r="V15" s="169">
        <f>IF($C15-V$1&lt;År1,0,U14*(1-VLOOKUP($A15,[1]Hugst!$R$5:$W$9,MATCH(ROUNDUP((V$1)/10,0)*10,[1]Hugst!$R$4:$W$4,0))))</f>
        <v>0</v>
      </c>
      <c r="W15" s="169">
        <f>IF($C15-W$1&lt;År1,0,V14*(1-VLOOKUP($A15,[1]Hugst!$R$5:$W$9,MATCH(ROUNDUP((W$1)/10,0)*10,[1]Hugst!$R$4:$W$4,0))))</f>
        <v>0</v>
      </c>
      <c r="X15" s="169">
        <f>IF($C15-X$1&lt;År1,0,W14*(1-VLOOKUP($A15,[1]Hugst!$R$5:$W$9,MATCH(ROUNDUP((X$1)/10,0)*10,[1]Hugst!$R$4:$W$4,0))))</f>
        <v>0</v>
      </c>
      <c r="Y15" s="169">
        <f>IF($C15-Y$1&lt;År1,0,X14*(1-VLOOKUP($A15,[1]Hugst!$R$5:$W$9,MATCH(ROUNDUP((Y$1)/10,0)*10,[1]Hugst!$R$4:$W$4,0))))</f>
        <v>0</v>
      </c>
      <c r="Z15" s="169">
        <f>IF($C15-Z$1&lt;År1,0,Y14*(1-VLOOKUP($A15,[1]Hugst!$R$5:$W$9,MATCH(ROUNDUP((Z$1)/10,0)*10,[1]Hugst!$R$4:$W$4,0))))</f>
        <v>0</v>
      </c>
      <c r="AA15" s="169">
        <f>IF($C15-AA$1&lt;År1,0,Z14*(1-VLOOKUP($A15,[1]Hugst!$R$5:$W$9,MATCH(ROUNDUP((AA$1)/10,0)*10,[1]Hugst!$R$4:$W$4,0))))</f>
        <v>0</v>
      </c>
      <c r="AB15" s="169">
        <f>IF($C15-AB$1&lt;År1,0,AA14*(1-VLOOKUP($A15,[1]Hugst!$R$5:$W$9,MATCH(ROUNDUP((AB$1)/10,0)*10,[1]Hugst!$R$4:$W$4,0))))</f>
        <v>0</v>
      </c>
      <c r="AC15" s="169">
        <f>IF($C15-AC$1&lt;År1,0,AB14*(1-VLOOKUP($A15,[1]Hugst!$R$5:$W$9,MATCH(ROUNDUP((AC$1)/10,0)*10,[1]Hugst!$R$4:$W$4,0))))</f>
        <v>0</v>
      </c>
      <c r="AD15" s="169">
        <f>IF($C15-AD$1&lt;År1,0,AC14*(1-VLOOKUP($A15,[1]Hugst!$R$5:$W$9,MATCH(ROUNDUP((AD$1)/10,0)*10,[1]Hugst!$R$4:$W$4,0))))</f>
        <v>0</v>
      </c>
      <c r="AE15" s="169">
        <f>IF($C15-AE$1&lt;År1,0,AD14*(1-VLOOKUP($A15,[1]Hugst!$R$5:$W$9,MATCH(ROUNDUP((AE$1)/10,0)*10,[1]Hugst!$R$4:$W$4,0))))</f>
        <v>0</v>
      </c>
      <c r="AF15" s="169">
        <f>IF($C15-AF$1&lt;År1,0,AE14*(1-VLOOKUP($A15,[1]Hugst!$R$5:$W$9,MATCH(ROUNDUP((AF$1)/10,0)*10,[1]Hugst!$R$4:$W$4,0))))</f>
        <v>0</v>
      </c>
      <c r="AG15" s="169">
        <f>IF($C15-AG$1&lt;År1,0,AF14*(1-VLOOKUP($A15,[1]Hugst!$R$5:$W$9,MATCH(ROUNDUP((AG$1)/10,0)*10,[1]Hugst!$R$4:$W$4,0))))</f>
        <v>0</v>
      </c>
      <c r="AH15" s="169">
        <f>IF($C15-AH$1&lt;År1,0,AG14*(1-VLOOKUP($A15,[1]Hugst!$R$5:$W$9,MATCH(ROUNDUP((AH$1)/10,0)*10,[1]Hugst!$R$4:$W$4,0))))</f>
        <v>0</v>
      </c>
      <c r="AI15" s="169">
        <f>IF($C15-AI$1&lt;År1,0,AH14*(1-VLOOKUP($A15,[1]Hugst!$R$5:$W$9,MATCH(ROUNDUP((AI$1)/10,0)*10,[1]Hugst!$R$4:$W$4,0))))</f>
        <v>0</v>
      </c>
      <c r="AJ15" s="169">
        <f>IF($C15-AJ$1&lt;År1,0,AI14*(1-VLOOKUP($A15,[1]Hugst!$R$5:$W$9,MATCH(ROUNDUP((AJ$1)/10,0)*10,[1]Hugst!$R$4:$W$4,0))))</f>
        <v>0</v>
      </c>
    </row>
    <row r="16" spans="1:38" s="169" customFormat="1" x14ac:dyDescent="0.25">
      <c r="A16" s="169" t="s">
        <v>176</v>
      </c>
      <c r="B16" s="169" t="s">
        <v>23</v>
      </c>
      <c r="C16" s="169">
        <v>2034</v>
      </c>
      <c r="D16" s="169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0</v>
      </c>
      <c r="E16" s="169">
        <f t="shared" ca="1" si="0"/>
        <v>0</v>
      </c>
      <c r="F16" s="169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 s="169">
        <f ca="1">IF($C16-G$1&lt;År1,0,F15*(1-VLOOKUP($A16,[1]Hugst!$R$5:$W$9,MATCH(ROUNDUP((G$1)/10,0)*10,[1]Hugst!$R$4:$W$4,0))))</f>
        <v>0</v>
      </c>
      <c r="H16" s="169">
        <f ca="1">IF($C16-H$1&lt;År1,0,G15*(1-VLOOKUP($A16,[1]Hugst!$R$5:$W$9,MATCH(ROUNDUP((H$1)/10,0)*10,[1]Hugst!$R$4:$W$4,0))))</f>
        <v>0</v>
      </c>
      <c r="I16" s="169">
        <f ca="1">IF($C16-I$1&lt;År1,0,H15*(1-VLOOKUP($A16,[1]Hugst!$R$5:$W$9,MATCH(ROUNDUP((I$1)/10,0)*10,[1]Hugst!$R$4:$W$4,0))))</f>
        <v>0</v>
      </c>
      <c r="J16" s="169">
        <f ca="1">IF($C16-J$1&lt;År1,0,I15*(1-VLOOKUP($A16,[1]Hugst!$R$5:$W$9,MATCH(ROUNDUP((J$1)/10,0)*10,[1]Hugst!$R$4:$W$4,0))))</f>
        <v>0</v>
      </c>
      <c r="K16" s="169">
        <f ca="1">IF($C16-K$1&lt;År1,0,J15*(1-VLOOKUP($A16,[1]Hugst!$R$5:$W$9,MATCH(ROUNDUP((K$1)/10,0)*10,[1]Hugst!$R$4:$W$4,0))))</f>
        <v>0</v>
      </c>
      <c r="L16" s="169">
        <f ca="1">IF($C16-L$1&lt;År1,0,K15*(1-VLOOKUP($A16,[1]Hugst!$R$5:$W$9,MATCH(ROUNDUP((L$1)/10,0)*10,[1]Hugst!$R$4:$W$4,0))))</f>
        <v>0</v>
      </c>
      <c r="M16" s="169">
        <f ca="1">IF($C16-M$1&lt;År1,0,L15*(1-VLOOKUP($A16,[1]Hugst!$R$5:$W$9,MATCH(ROUNDUP((M$1)/10,0)*10,[1]Hugst!$R$4:$W$4,0))))</f>
        <v>0</v>
      </c>
      <c r="N16" s="169">
        <f ca="1">IF($C16-N$1&lt;År1,0,M15*(1-VLOOKUP($A16,[1]Hugst!$R$5:$W$9,MATCH(ROUNDUP((N$1)/10,0)*10,[1]Hugst!$R$4:$W$4,0))))</f>
        <v>0</v>
      </c>
      <c r="O16" s="169">
        <f ca="1">IF($C16-O$1&lt;År1,0,N15*(1-VLOOKUP($A16,[1]Hugst!$R$5:$W$9,MATCH(ROUNDUP((O$1)/10,0)*10,[1]Hugst!$R$4:$W$4,0))))</f>
        <v>0</v>
      </c>
      <c r="P16" s="169">
        <f ca="1">IF($C16-P$1&lt;År1,0,O15*(1-VLOOKUP($A16,[1]Hugst!$R$5:$W$9,MATCH(ROUNDUP((P$1)/10,0)*10,[1]Hugst!$R$4:$W$4,0))))</f>
        <v>0</v>
      </c>
      <c r="Q16" s="169">
        <f ca="1">IF($C16-Q$1&lt;År1,0,P15*(1-VLOOKUP($A16,[1]Hugst!$R$5:$W$9,MATCH(ROUNDUP((Q$1)/10,0)*10,[1]Hugst!$R$4:$W$4,0))))</f>
        <v>0</v>
      </c>
      <c r="R16" s="169">
        <f ca="1">IF($C16-R$1&lt;År1,0,Q15*(1-VLOOKUP($A16,[1]Hugst!$R$5:$W$9,MATCH(ROUNDUP((R$1)/10,0)*10,[1]Hugst!$R$4:$W$4,0))))</f>
        <v>0</v>
      </c>
      <c r="S16" s="169">
        <f ca="1">IF($C16-S$1&lt;År1,0,R15*(1-VLOOKUP($A16,[1]Hugst!$R$5:$W$9,MATCH(ROUNDUP((S$1)/10,0)*10,[1]Hugst!$R$4:$W$4,0))))</f>
        <v>0</v>
      </c>
      <c r="T16" s="169">
        <f ca="1">IF($C16-T$1&lt;År1,0,S15*(1-VLOOKUP($A16,[1]Hugst!$R$5:$W$9,MATCH(ROUNDUP((T$1)/10,0)*10,[1]Hugst!$R$4:$W$4,0))))</f>
        <v>0</v>
      </c>
      <c r="U16" s="169">
        <f>IF($C16-U$1&lt;År1,0,T15*(1-VLOOKUP($A16,[1]Hugst!$R$5:$W$9,MATCH(ROUNDUP((U$1)/10,0)*10,[1]Hugst!$R$4:$W$4,0))))</f>
        <v>0</v>
      </c>
      <c r="V16" s="169">
        <f>IF($C16-V$1&lt;År1,0,U15*(1-VLOOKUP($A16,[1]Hugst!$R$5:$W$9,MATCH(ROUNDUP((V$1)/10,0)*10,[1]Hugst!$R$4:$W$4,0))))</f>
        <v>0</v>
      </c>
      <c r="W16" s="169">
        <f>IF($C16-W$1&lt;År1,0,V15*(1-VLOOKUP($A16,[1]Hugst!$R$5:$W$9,MATCH(ROUNDUP((W$1)/10,0)*10,[1]Hugst!$R$4:$W$4,0))))</f>
        <v>0</v>
      </c>
      <c r="X16" s="169">
        <f>IF($C16-X$1&lt;År1,0,W15*(1-VLOOKUP($A16,[1]Hugst!$R$5:$W$9,MATCH(ROUNDUP((X$1)/10,0)*10,[1]Hugst!$R$4:$W$4,0))))</f>
        <v>0</v>
      </c>
      <c r="Y16" s="169">
        <f>IF($C16-Y$1&lt;År1,0,X15*(1-VLOOKUP($A16,[1]Hugst!$R$5:$W$9,MATCH(ROUNDUP((Y$1)/10,0)*10,[1]Hugst!$R$4:$W$4,0))))</f>
        <v>0</v>
      </c>
      <c r="Z16" s="169">
        <f>IF($C16-Z$1&lt;År1,0,Y15*(1-VLOOKUP($A16,[1]Hugst!$R$5:$W$9,MATCH(ROUNDUP((Z$1)/10,0)*10,[1]Hugst!$R$4:$W$4,0))))</f>
        <v>0</v>
      </c>
      <c r="AA16" s="169">
        <f>IF($C16-AA$1&lt;År1,0,Z15*(1-VLOOKUP($A16,[1]Hugst!$R$5:$W$9,MATCH(ROUNDUP((AA$1)/10,0)*10,[1]Hugst!$R$4:$W$4,0))))</f>
        <v>0</v>
      </c>
      <c r="AB16" s="169">
        <f>IF($C16-AB$1&lt;År1,0,AA15*(1-VLOOKUP($A16,[1]Hugst!$R$5:$W$9,MATCH(ROUNDUP((AB$1)/10,0)*10,[1]Hugst!$R$4:$W$4,0))))</f>
        <v>0</v>
      </c>
      <c r="AC16" s="169">
        <f>IF($C16-AC$1&lt;År1,0,AB15*(1-VLOOKUP($A16,[1]Hugst!$R$5:$W$9,MATCH(ROUNDUP((AC$1)/10,0)*10,[1]Hugst!$R$4:$W$4,0))))</f>
        <v>0</v>
      </c>
      <c r="AD16" s="169">
        <f>IF($C16-AD$1&lt;År1,0,AC15*(1-VLOOKUP($A16,[1]Hugst!$R$5:$W$9,MATCH(ROUNDUP((AD$1)/10,0)*10,[1]Hugst!$R$4:$W$4,0))))</f>
        <v>0</v>
      </c>
      <c r="AE16" s="169">
        <f>IF($C16-AE$1&lt;År1,0,AD15*(1-VLOOKUP($A16,[1]Hugst!$R$5:$W$9,MATCH(ROUNDUP((AE$1)/10,0)*10,[1]Hugst!$R$4:$W$4,0))))</f>
        <v>0</v>
      </c>
      <c r="AF16" s="169">
        <f>IF($C16-AF$1&lt;År1,0,AE15*(1-VLOOKUP($A16,[1]Hugst!$R$5:$W$9,MATCH(ROUNDUP((AF$1)/10,0)*10,[1]Hugst!$R$4:$W$4,0))))</f>
        <v>0</v>
      </c>
      <c r="AG16" s="169">
        <f>IF($C16-AG$1&lt;År1,0,AF15*(1-VLOOKUP($A16,[1]Hugst!$R$5:$W$9,MATCH(ROUNDUP((AG$1)/10,0)*10,[1]Hugst!$R$4:$W$4,0))))</f>
        <v>0</v>
      </c>
      <c r="AH16" s="169">
        <f>IF($C16-AH$1&lt;År1,0,AG15*(1-VLOOKUP($A16,[1]Hugst!$R$5:$W$9,MATCH(ROUNDUP((AH$1)/10,0)*10,[1]Hugst!$R$4:$W$4,0))))</f>
        <v>0</v>
      </c>
      <c r="AI16" s="169">
        <f>IF($C16-AI$1&lt;År1,0,AH15*(1-VLOOKUP($A16,[1]Hugst!$R$5:$W$9,MATCH(ROUNDUP((AI$1)/10,0)*10,[1]Hugst!$R$4:$W$4,0))))</f>
        <v>0</v>
      </c>
      <c r="AJ16" s="169">
        <f>IF($C16-AJ$1&lt;År1,0,AI15*(1-VLOOKUP($A16,[1]Hugst!$R$5:$W$9,MATCH(ROUNDUP((AJ$1)/10,0)*10,[1]Hugst!$R$4:$W$4,0))))</f>
        <v>0</v>
      </c>
    </row>
    <row r="17" spans="1:38" s="169" customFormat="1" x14ac:dyDescent="0.25">
      <c r="A17" s="169" t="s">
        <v>176</v>
      </c>
      <c r="B17" s="169" t="s">
        <v>23</v>
      </c>
      <c r="C17" s="169">
        <v>2035</v>
      </c>
      <c r="D17" s="169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0</v>
      </c>
      <c r="E17" s="169">
        <f t="shared" ca="1" si="0"/>
        <v>0</v>
      </c>
      <c r="F17" s="169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 s="169">
        <f ca="1">IF($C17-G$1&lt;År1,0,F16*(1-VLOOKUP($A17,[1]Hugst!$R$5:$W$9,MATCH(ROUNDUP((G$1)/10,0)*10,[1]Hugst!$R$4:$W$4,0))))</f>
        <v>0</v>
      </c>
      <c r="H17" s="169">
        <f ca="1">IF($C17-H$1&lt;År1,0,G16*(1-VLOOKUP($A17,[1]Hugst!$R$5:$W$9,MATCH(ROUNDUP((H$1)/10,0)*10,[1]Hugst!$R$4:$W$4,0))))</f>
        <v>0</v>
      </c>
      <c r="I17" s="169">
        <f ca="1">IF($C17-I$1&lt;År1,0,H16*(1-VLOOKUP($A17,[1]Hugst!$R$5:$W$9,MATCH(ROUNDUP((I$1)/10,0)*10,[1]Hugst!$R$4:$W$4,0))))</f>
        <v>0</v>
      </c>
      <c r="J17" s="169">
        <f ca="1">IF($C17-J$1&lt;År1,0,I16*(1-VLOOKUP($A17,[1]Hugst!$R$5:$W$9,MATCH(ROUNDUP((J$1)/10,0)*10,[1]Hugst!$R$4:$W$4,0))))</f>
        <v>0</v>
      </c>
      <c r="K17" s="169">
        <f ca="1">IF($C17-K$1&lt;År1,0,J16*(1-VLOOKUP($A17,[1]Hugst!$R$5:$W$9,MATCH(ROUNDUP((K$1)/10,0)*10,[1]Hugst!$R$4:$W$4,0))))</f>
        <v>0</v>
      </c>
      <c r="L17" s="169">
        <f ca="1">IF($C17-L$1&lt;År1,0,K16*(1-VLOOKUP($A17,[1]Hugst!$R$5:$W$9,MATCH(ROUNDUP((L$1)/10,0)*10,[1]Hugst!$R$4:$W$4,0))))</f>
        <v>0</v>
      </c>
      <c r="M17" s="169">
        <f ca="1">IF($C17-M$1&lt;År1,0,L16*(1-VLOOKUP($A17,[1]Hugst!$R$5:$W$9,MATCH(ROUNDUP((M$1)/10,0)*10,[1]Hugst!$R$4:$W$4,0))))</f>
        <v>0</v>
      </c>
      <c r="N17" s="169">
        <f ca="1">IF($C17-N$1&lt;År1,0,M16*(1-VLOOKUP($A17,[1]Hugst!$R$5:$W$9,MATCH(ROUNDUP((N$1)/10,0)*10,[1]Hugst!$R$4:$W$4,0))))</f>
        <v>0</v>
      </c>
      <c r="O17" s="169">
        <f ca="1">IF($C17-O$1&lt;År1,0,N16*(1-VLOOKUP($A17,[1]Hugst!$R$5:$W$9,MATCH(ROUNDUP((O$1)/10,0)*10,[1]Hugst!$R$4:$W$4,0))))</f>
        <v>0</v>
      </c>
      <c r="P17" s="169">
        <f ca="1">IF($C17-P$1&lt;År1,0,O16*(1-VLOOKUP($A17,[1]Hugst!$R$5:$W$9,MATCH(ROUNDUP((P$1)/10,0)*10,[1]Hugst!$R$4:$W$4,0))))</f>
        <v>0</v>
      </c>
      <c r="Q17" s="169">
        <f ca="1">IF($C17-Q$1&lt;År1,0,P16*(1-VLOOKUP($A17,[1]Hugst!$R$5:$W$9,MATCH(ROUNDUP((Q$1)/10,0)*10,[1]Hugst!$R$4:$W$4,0))))</f>
        <v>0</v>
      </c>
      <c r="R17" s="169">
        <f ca="1">IF($C17-R$1&lt;År1,0,Q16*(1-VLOOKUP($A17,[1]Hugst!$R$5:$W$9,MATCH(ROUNDUP((R$1)/10,0)*10,[1]Hugst!$R$4:$W$4,0))))</f>
        <v>0</v>
      </c>
      <c r="S17" s="169">
        <f ca="1">IF($C17-S$1&lt;År1,0,R16*(1-VLOOKUP($A17,[1]Hugst!$R$5:$W$9,MATCH(ROUNDUP((S$1)/10,0)*10,[1]Hugst!$R$4:$W$4,0))))</f>
        <v>0</v>
      </c>
      <c r="T17" s="169">
        <f ca="1">IF($C17-T$1&lt;År1,0,S16*(1-VLOOKUP($A17,[1]Hugst!$R$5:$W$9,MATCH(ROUNDUP((T$1)/10,0)*10,[1]Hugst!$R$4:$W$4,0))))</f>
        <v>0</v>
      </c>
      <c r="U17" s="169">
        <f ca="1">IF($C17-U$1&lt;År1,0,T16*(1-VLOOKUP($A17,[1]Hugst!$R$5:$W$9,MATCH(ROUNDUP((U$1)/10,0)*10,[1]Hugst!$R$4:$W$4,0))))</f>
        <v>0</v>
      </c>
      <c r="V17" s="169">
        <f>IF($C17-V$1&lt;År1,0,U16*(1-VLOOKUP($A17,[1]Hugst!$R$5:$W$9,MATCH(ROUNDUP((V$1)/10,0)*10,[1]Hugst!$R$4:$W$4,0))))</f>
        <v>0</v>
      </c>
      <c r="W17" s="169">
        <f>IF($C17-W$1&lt;År1,0,V16*(1-VLOOKUP($A17,[1]Hugst!$R$5:$W$9,MATCH(ROUNDUP((W$1)/10,0)*10,[1]Hugst!$R$4:$W$4,0))))</f>
        <v>0</v>
      </c>
      <c r="X17" s="169">
        <f>IF($C17-X$1&lt;År1,0,W16*(1-VLOOKUP($A17,[1]Hugst!$R$5:$W$9,MATCH(ROUNDUP((X$1)/10,0)*10,[1]Hugst!$R$4:$W$4,0))))</f>
        <v>0</v>
      </c>
      <c r="Y17" s="169">
        <f>IF($C17-Y$1&lt;År1,0,X16*(1-VLOOKUP($A17,[1]Hugst!$R$5:$W$9,MATCH(ROUNDUP((Y$1)/10,0)*10,[1]Hugst!$R$4:$W$4,0))))</f>
        <v>0</v>
      </c>
      <c r="Z17" s="169">
        <f>IF($C17-Z$1&lt;År1,0,Y16*(1-VLOOKUP($A17,[1]Hugst!$R$5:$W$9,MATCH(ROUNDUP((Z$1)/10,0)*10,[1]Hugst!$R$4:$W$4,0))))</f>
        <v>0</v>
      </c>
      <c r="AA17" s="169">
        <f>IF($C17-AA$1&lt;År1,0,Z16*(1-VLOOKUP($A17,[1]Hugst!$R$5:$W$9,MATCH(ROUNDUP((AA$1)/10,0)*10,[1]Hugst!$R$4:$W$4,0))))</f>
        <v>0</v>
      </c>
      <c r="AB17" s="169">
        <f>IF($C17-AB$1&lt;År1,0,AA16*(1-VLOOKUP($A17,[1]Hugst!$R$5:$W$9,MATCH(ROUNDUP((AB$1)/10,0)*10,[1]Hugst!$R$4:$W$4,0))))</f>
        <v>0</v>
      </c>
      <c r="AC17" s="169">
        <f>IF($C17-AC$1&lt;År1,0,AB16*(1-VLOOKUP($A17,[1]Hugst!$R$5:$W$9,MATCH(ROUNDUP((AC$1)/10,0)*10,[1]Hugst!$R$4:$W$4,0))))</f>
        <v>0</v>
      </c>
      <c r="AD17" s="169">
        <f>IF($C17-AD$1&lt;År1,0,AC16*(1-VLOOKUP($A17,[1]Hugst!$R$5:$W$9,MATCH(ROUNDUP((AD$1)/10,0)*10,[1]Hugst!$R$4:$W$4,0))))</f>
        <v>0</v>
      </c>
      <c r="AE17" s="169">
        <f>IF($C17-AE$1&lt;År1,0,AD16*(1-VLOOKUP($A17,[1]Hugst!$R$5:$W$9,MATCH(ROUNDUP((AE$1)/10,0)*10,[1]Hugst!$R$4:$W$4,0))))</f>
        <v>0</v>
      </c>
      <c r="AF17" s="169">
        <f>IF($C17-AF$1&lt;År1,0,AE16*(1-VLOOKUP($A17,[1]Hugst!$R$5:$W$9,MATCH(ROUNDUP((AF$1)/10,0)*10,[1]Hugst!$R$4:$W$4,0))))</f>
        <v>0</v>
      </c>
      <c r="AG17" s="169">
        <f>IF($C17-AG$1&lt;År1,0,AF16*(1-VLOOKUP($A17,[1]Hugst!$R$5:$W$9,MATCH(ROUNDUP((AG$1)/10,0)*10,[1]Hugst!$R$4:$W$4,0))))</f>
        <v>0</v>
      </c>
      <c r="AH17" s="169">
        <f>IF($C17-AH$1&lt;År1,0,AG16*(1-VLOOKUP($A17,[1]Hugst!$R$5:$W$9,MATCH(ROUNDUP((AH$1)/10,0)*10,[1]Hugst!$R$4:$W$4,0))))</f>
        <v>0</v>
      </c>
      <c r="AI17" s="169">
        <f>IF($C17-AI$1&lt;År1,0,AH16*(1-VLOOKUP($A17,[1]Hugst!$R$5:$W$9,MATCH(ROUNDUP((AI$1)/10,0)*10,[1]Hugst!$R$4:$W$4,0))))</f>
        <v>0</v>
      </c>
      <c r="AJ17" s="169">
        <f>IF($C17-AJ$1&lt;År1,0,AI16*(1-VLOOKUP($A17,[1]Hugst!$R$5:$W$9,MATCH(ROUNDUP((AJ$1)/10,0)*10,[1]Hugst!$R$4:$W$4,0))))</f>
        <v>0</v>
      </c>
    </row>
    <row r="18" spans="1:38" s="169" customFormat="1" x14ac:dyDescent="0.25">
      <c r="A18" s="169" t="s">
        <v>176</v>
      </c>
      <c r="B18" s="169" t="s">
        <v>23</v>
      </c>
      <c r="C18" s="169">
        <v>2036</v>
      </c>
      <c r="D18" s="169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0</v>
      </c>
      <c r="E18" s="169">
        <f t="shared" ca="1" si="0"/>
        <v>0</v>
      </c>
      <c r="F18" s="169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 s="169">
        <f ca="1">IF($C18-G$1&lt;År1,0,F17*(1-VLOOKUP($A18,[1]Hugst!$R$5:$W$9,MATCH(ROUNDUP((G$1)/10,0)*10,[1]Hugst!$R$4:$W$4,0))))</f>
        <v>0</v>
      </c>
      <c r="H18" s="169">
        <f ca="1">IF($C18-H$1&lt;År1,0,G17*(1-VLOOKUP($A18,[1]Hugst!$R$5:$W$9,MATCH(ROUNDUP((H$1)/10,0)*10,[1]Hugst!$R$4:$W$4,0))))</f>
        <v>0</v>
      </c>
      <c r="I18" s="169">
        <f ca="1">IF($C18-I$1&lt;År1,0,H17*(1-VLOOKUP($A18,[1]Hugst!$R$5:$W$9,MATCH(ROUNDUP((I$1)/10,0)*10,[1]Hugst!$R$4:$W$4,0))))</f>
        <v>0</v>
      </c>
      <c r="J18" s="169">
        <f ca="1">IF($C18-J$1&lt;År1,0,I17*(1-VLOOKUP($A18,[1]Hugst!$R$5:$W$9,MATCH(ROUNDUP((J$1)/10,0)*10,[1]Hugst!$R$4:$W$4,0))))</f>
        <v>0</v>
      </c>
      <c r="K18" s="169">
        <f ca="1">IF($C18-K$1&lt;År1,0,J17*(1-VLOOKUP($A18,[1]Hugst!$R$5:$W$9,MATCH(ROUNDUP((K$1)/10,0)*10,[1]Hugst!$R$4:$W$4,0))))</f>
        <v>0</v>
      </c>
      <c r="L18" s="169">
        <f ca="1">IF($C18-L$1&lt;År1,0,K17*(1-VLOOKUP($A18,[1]Hugst!$R$5:$W$9,MATCH(ROUNDUP((L$1)/10,0)*10,[1]Hugst!$R$4:$W$4,0))))</f>
        <v>0</v>
      </c>
      <c r="M18" s="169">
        <f ca="1">IF($C18-M$1&lt;År1,0,L17*(1-VLOOKUP($A18,[1]Hugst!$R$5:$W$9,MATCH(ROUNDUP((M$1)/10,0)*10,[1]Hugst!$R$4:$W$4,0))))</f>
        <v>0</v>
      </c>
      <c r="N18" s="169">
        <f ca="1">IF($C18-N$1&lt;År1,0,M17*(1-VLOOKUP($A18,[1]Hugst!$R$5:$W$9,MATCH(ROUNDUP((N$1)/10,0)*10,[1]Hugst!$R$4:$W$4,0))))</f>
        <v>0</v>
      </c>
      <c r="O18" s="169">
        <f ca="1">IF($C18-O$1&lt;År1,0,N17*(1-VLOOKUP($A18,[1]Hugst!$R$5:$W$9,MATCH(ROUNDUP((O$1)/10,0)*10,[1]Hugst!$R$4:$W$4,0))))</f>
        <v>0</v>
      </c>
      <c r="P18" s="169">
        <f ca="1">IF($C18-P$1&lt;År1,0,O17*(1-VLOOKUP($A18,[1]Hugst!$R$5:$W$9,MATCH(ROUNDUP((P$1)/10,0)*10,[1]Hugst!$R$4:$W$4,0))))</f>
        <v>0</v>
      </c>
      <c r="Q18" s="169">
        <f ca="1">IF($C18-Q$1&lt;År1,0,P17*(1-VLOOKUP($A18,[1]Hugst!$R$5:$W$9,MATCH(ROUNDUP((Q$1)/10,0)*10,[1]Hugst!$R$4:$W$4,0))))</f>
        <v>0</v>
      </c>
      <c r="R18" s="169">
        <f ca="1">IF($C18-R$1&lt;År1,0,Q17*(1-VLOOKUP($A18,[1]Hugst!$R$5:$W$9,MATCH(ROUNDUP((R$1)/10,0)*10,[1]Hugst!$R$4:$W$4,0))))</f>
        <v>0</v>
      </c>
      <c r="S18" s="169">
        <f ca="1">IF($C18-S$1&lt;År1,0,R17*(1-VLOOKUP($A18,[1]Hugst!$R$5:$W$9,MATCH(ROUNDUP((S$1)/10,0)*10,[1]Hugst!$R$4:$W$4,0))))</f>
        <v>0</v>
      </c>
      <c r="T18" s="169">
        <f ca="1">IF($C18-T$1&lt;År1,0,S17*(1-VLOOKUP($A18,[1]Hugst!$R$5:$W$9,MATCH(ROUNDUP((T$1)/10,0)*10,[1]Hugst!$R$4:$W$4,0))))</f>
        <v>0</v>
      </c>
      <c r="U18" s="169">
        <f ca="1">IF($C18-U$1&lt;År1,0,T17*(1-VLOOKUP($A18,[1]Hugst!$R$5:$W$9,MATCH(ROUNDUP((U$1)/10,0)*10,[1]Hugst!$R$4:$W$4,0))))</f>
        <v>0</v>
      </c>
      <c r="V18" s="169">
        <f ca="1">IF($C18-V$1&lt;År1,0,U17*(1-VLOOKUP($A18,[1]Hugst!$R$5:$W$9,MATCH(ROUNDUP((V$1)/10,0)*10,[1]Hugst!$R$4:$W$4,0))))</f>
        <v>0</v>
      </c>
      <c r="W18" s="169">
        <f>IF($C18-W$1&lt;År1,0,V17*(1-VLOOKUP($A18,[1]Hugst!$R$5:$W$9,MATCH(ROUNDUP((W$1)/10,0)*10,[1]Hugst!$R$4:$W$4,0))))</f>
        <v>0</v>
      </c>
      <c r="X18" s="169">
        <f>IF($C18-X$1&lt;År1,0,W17*(1-VLOOKUP($A18,[1]Hugst!$R$5:$W$9,MATCH(ROUNDUP((X$1)/10,0)*10,[1]Hugst!$R$4:$W$4,0))))</f>
        <v>0</v>
      </c>
      <c r="Y18" s="169">
        <f>IF($C18-Y$1&lt;År1,0,X17*(1-VLOOKUP($A18,[1]Hugst!$R$5:$W$9,MATCH(ROUNDUP((Y$1)/10,0)*10,[1]Hugst!$R$4:$W$4,0))))</f>
        <v>0</v>
      </c>
      <c r="Z18" s="169">
        <f>IF($C18-Z$1&lt;År1,0,Y17*(1-VLOOKUP($A18,[1]Hugst!$R$5:$W$9,MATCH(ROUNDUP((Z$1)/10,0)*10,[1]Hugst!$R$4:$W$4,0))))</f>
        <v>0</v>
      </c>
      <c r="AA18" s="169">
        <f>IF($C18-AA$1&lt;År1,0,Z17*(1-VLOOKUP($A18,[1]Hugst!$R$5:$W$9,MATCH(ROUNDUP((AA$1)/10,0)*10,[1]Hugst!$R$4:$W$4,0))))</f>
        <v>0</v>
      </c>
      <c r="AB18" s="169">
        <f>IF($C18-AB$1&lt;År1,0,AA17*(1-VLOOKUP($A18,[1]Hugst!$R$5:$W$9,MATCH(ROUNDUP((AB$1)/10,0)*10,[1]Hugst!$R$4:$W$4,0))))</f>
        <v>0</v>
      </c>
      <c r="AC18" s="169">
        <f>IF($C18-AC$1&lt;År1,0,AB17*(1-VLOOKUP($A18,[1]Hugst!$R$5:$W$9,MATCH(ROUNDUP((AC$1)/10,0)*10,[1]Hugst!$R$4:$W$4,0))))</f>
        <v>0</v>
      </c>
      <c r="AD18" s="169">
        <f>IF($C18-AD$1&lt;År1,0,AC17*(1-VLOOKUP($A18,[1]Hugst!$R$5:$W$9,MATCH(ROUNDUP((AD$1)/10,0)*10,[1]Hugst!$R$4:$W$4,0))))</f>
        <v>0</v>
      </c>
      <c r="AE18" s="169">
        <f>IF($C18-AE$1&lt;År1,0,AD17*(1-VLOOKUP($A18,[1]Hugst!$R$5:$W$9,MATCH(ROUNDUP((AE$1)/10,0)*10,[1]Hugst!$R$4:$W$4,0))))</f>
        <v>0</v>
      </c>
      <c r="AF18" s="169">
        <f>IF($C18-AF$1&lt;År1,0,AE17*(1-VLOOKUP($A18,[1]Hugst!$R$5:$W$9,MATCH(ROUNDUP((AF$1)/10,0)*10,[1]Hugst!$R$4:$W$4,0))))</f>
        <v>0</v>
      </c>
      <c r="AG18" s="169">
        <f>IF($C18-AG$1&lt;År1,0,AF17*(1-VLOOKUP($A18,[1]Hugst!$R$5:$W$9,MATCH(ROUNDUP((AG$1)/10,0)*10,[1]Hugst!$R$4:$W$4,0))))</f>
        <v>0</v>
      </c>
      <c r="AH18" s="169">
        <f>IF($C18-AH$1&lt;År1,0,AG17*(1-VLOOKUP($A18,[1]Hugst!$R$5:$W$9,MATCH(ROUNDUP((AH$1)/10,0)*10,[1]Hugst!$R$4:$W$4,0))))</f>
        <v>0</v>
      </c>
      <c r="AI18" s="169">
        <f>IF($C18-AI$1&lt;År1,0,AH17*(1-VLOOKUP($A18,[1]Hugst!$R$5:$W$9,MATCH(ROUNDUP((AI$1)/10,0)*10,[1]Hugst!$R$4:$W$4,0))))</f>
        <v>0</v>
      </c>
      <c r="AJ18" s="169">
        <f>IF($C18-AJ$1&lt;År1,0,AI17*(1-VLOOKUP($A18,[1]Hugst!$R$5:$W$9,MATCH(ROUNDUP((AJ$1)/10,0)*10,[1]Hugst!$R$4:$W$4,0))))</f>
        <v>0</v>
      </c>
    </row>
    <row r="19" spans="1:38" s="169" customFormat="1" x14ac:dyDescent="0.25">
      <c r="A19" s="169" t="s">
        <v>176</v>
      </c>
      <c r="B19" s="169" t="s">
        <v>23</v>
      </c>
      <c r="C19" s="169">
        <v>2037</v>
      </c>
      <c r="D19" s="169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0</v>
      </c>
      <c r="E19" s="169">
        <f t="shared" ca="1" si="0"/>
        <v>0</v>
      </c>
      <c r="F19" s="169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 s="169">
        <f ca="1">IF($C19-G$1&lt;År1,0,F18*(1-VLOOKUP($A19,[1]Hugst!$R$5:$W$9,MATCH(ROUNDUP((G$1)/10,0)*10,[1]Hugst!$R$4:$W$4,0))))</f>
        <v>0</v>
      </c>
      <c r="H19" s="169">
        <f ca="1">IF($C19-H$1&lt;År1,0,G18*(1-VLOOKUP($A19,[1]Hugst!$R$5:$W$9,MATCH(ROUNDUP((H$1)/10,0)*10,[1]Hugst!$R$4:$W$4,0))))</f>
        <v>0</v>
      </c>
      <c r="I19" s="169">
        <f ca="1">IF($C19-I$1&lt;År1,0,H18*(1-VLOOKUP($A19,[1]Hugst!$R$5:$W$9,MATCH(ROUNDUP((I$1)/10,0)*10,[1]Hugst!$R$4:$W$4,0))))</f>
        <v>0</v>
      </c>
      <c r="J19" s="169">
        <f ca="1">IF($C19-J$1&lt;År1,0,I18*(1-VLOOKUP($A19,[1]Hugst!$R$5:$W$9,MATCH(ROUNDUP((J$1)/10,0)*10,[1]Hugst!$R$4:$W$4,0))))</f>
        <v>0</v>
      </c>
      <c r="K19" s="169">
        <f ca="1">IF($C19-K$1&lt;År1,0,J18*(1-VLOOKUP($A19,[1]Hugst!$R$5:$W$9,MATCH(ROUNDUP((K$1)/10,0)*10,[1]Hugst!$R$4:$W$4,0))))</f>
        <v>0</v>
      </c>
      <c r="L19" s="169">
        <f ca="1">IF($C19-L$1&lt;År1,0,K18*(1-VLOOKUP($A19,[1]Hugst!$R$5:$W$9,MATCH(ROUNDUP((L$1)/10,0)*10,[1]Hugst!$R$4:$W$4,0))))</f>
        <v>0</v>
      </c>
      <c r="M19" s="169">
        <f ca="1">IF($C19-M$1&lt;År1,0,L18*(1-VLOOKUP($A19,[1]Hugst!$R$5:$W$9,MATCH(ROUNDUP((M$1)/10,0)*10,[1]Hugst!$R$4:$W$4,0))))</f>
        <v>0</v>
      </c>
      <c r="N19" s="169">
        <f ca="1">IF($C19-N$1&lt;År1,0,M18*(1-VLOOKUP($A19,[1]Hugst!$R$5:$W$9,MATCH(ROUNDUP((N$1)/10,0)*10,[1]Hugst!$R$4:$W$4,0))))</f>
        <v>0</v>
      </c>
      <c r="O19" s="169">
        <f ca="1">IF($C19-O$1&lt;År1,0,N18*(1-VLOOKUP($A19,[1]Hugst!$R$5:$W$9,MATCH(ROUNDUP((O$1)/10,0)*10,[1]Hugst!$R$4:$W$4,0))))</f>
        <v>0</v>
      </c>
      <c r="P19" s="169">
        <f ca="1">IF($C19-P$1&lt;År1,0,O18*(1-VLOOKUP($A19,[1]Hugst!$R$5:$W$9,MATCH(ROUNDUP((P$1)/10,0)*10,[1]Hugst!$R$4:$W$4,0))))</f>
        <v>0</v>
      </c>
      <c r="Q19" s="169">
        <f ca="1">IF($C19-Q$1&lt;År1,0,P18*(1-VLOOKUP($A19,[1]Hugst!$R$5:$W$9,MATCH(ROUNDUP((Q$1)/10,0)*10,[1]Hugst!$R$4:$W$4,0))))</f>
        <v>0</v>
      </c>
      <c r="R19" s="169">
        <f ca="1">IF($C19-R$1&lt;År1,0,Q18*(1-VLOOKUP($A19,[1]Hugst!$R$5:$W$9,MATCH(ROUNDUP((R$1)/10,0)*10,[1]Hugst!$R$4:$W$4,0))))</f>
        <v>0</v>
      </c>
      <c r="S19" s="169">
        <f ca="1">IF($C19-S$1&lt;År1,0,R18*(1-VLOOKUP($A19,[1]Hugst!$R$5:$W$9,MATCH(ROUNDUP((S$1)/10,0)*10,[1]Hugst!$R$4:$W$4,0))))</f>
        <v>0</v>
      </c>
      <c r="T19" s="169">
        <f ca="1">IF($C19-T$1&lt;År1,0,S18*(1-VLOOKUP($A19,[1]Hugst!$R$5:$W$9,MATCH(ROUNDUP((T$1)/10,0)*10,[1]Hugst!$R$4:$W$4,0))))</f>
        <v>0</v>
      </c>
      <c r="U19" s="169">
        <f ca="1">IF($C19-U$1&lt;År1,0,T18*(1-VLOOKUP($A19,[1]Hugst!$R$5:$W$9,MATCH(ROUNDUP((U$1)/10,0)*10,[1]Hugst!$R$4:$W$4,0))))</f>
        <v>0</v>
      </c>
      <c r="V19" s="169">
        <f ca="1">IF($C19-V$1&lt;År1,0,U18*(1-VLOOKUP($A19,[1]Hugst!$R$5:$W$9,MATCH(ROUNDUP((V$1)/10,0)*10,[1]Hugst!$R$4:$W$4,0))))</f>
        <v>0</v>
      </c>
      <c r="W19" s="169">
        <f ca="1">IF($C19-W$1&lt;År1,0,V18*(1-VLOOKUP($A19,[1]Hugst!$R$5:$W$9,MATCH(ROUNDUP((W$1)/10,0)*10,[1]Hugst!$R$4:$W$4,0))))</f>
        <v>0</v>
      </c>
      <c r="X19" s="169">
        <f>IF($C19-X$1&lt;År1,0,W18*(1-VLOOKUP($A19,[1]Hugst!$R$5:$W$9,MATCH(ROUNDUP((X$1)/10,0)*10,[1]Hugst!$R$4:$W$4,0))))</f>
        <v>0</v>
      </c>
      <c r="Y19" s="169">
        <f>IF($C19-Y$1&lt;År1,0,X18*(1-VLOOKUP($A19,[1]Hugst!$R$5:$W$9,MATCH(ROUNDUP((Y$1)/10,0)*10,[1]Hugst!$R$4:$W$4,0))))</f>
        <v>0</v>
      </c>
      <c r="Z19" s="169">
        <f>IF($C19-Z$1&lt;År1,0,Y18*(1-VLOOKUP($A19,[1]Hugst!$R$5:$W$9,MATCH(ROUNDUP((Z$1)/10,0)*10,[1]Hugst!$R$4:$W$4,0))))</f>
        <v>0</v>
      </c>
      <c r="AA19" s="169">
        <f>IF($C19-AA$1&lt;År1,0,Z18*(1-VLOOKUP($A19,[1]Hugst!$R$5:$W$9,MATCH(ROUNDUP((AA$1)/10,0)*10,[1]Hugst!$R$4:$W$4,0))))</f>
        <v>0</v>
      </c>
      <c r="AB19" s="169">
        <f>IF($C19-AB$1&lt;År1,0,AA18*(1-VLOOKUP($A19,[1]Hugst!$R$5:$W$9,MATCH(ROUNDUP((AB$1)/10,0)*10,[1]Hugst!$R$4:$W$4,0))))</f>
        <v>0</v>
      </c>
      <c r="AC19" s="169">
        <f>IF($C19-AC$1&lt;År1,0,AB18*(1-VLOOKUP($A19,[1]Hugst!$R$5:$W$9,MATCH(ROUNDUP((AC$1)/10,0)*10,[1]Hugst!$R$4:$W$4,0))))</f>
        <v>0</v>
      </c>
      <c r="AD19" s="169">
        <f>IF($C19-AD$1&lt;År1,0,AC18*(1-VLOOKUP($A19,[1]Hugst!$R$5:$W$9,MATCH(ROUNDUP((AD$1)/10,0)*10,[1]Hugst!$R$4:$W$4,0))))</f>
        <v>0</v>
      </c>
      <c r="AE19" s="169">
        <f>IF($C19-AE$1&lt;År1,0,AD18*(1-VLOOKUP($A19,[1]Hugst!$R$5:$W$9,MATCH(ROUNDUP((AE$1)/10,0)*10,[1]Hugst!$R$4:$W$4,0))))</f>
        <v>0</v>
      </c>
      <c r="AF19" s="169">
        <f>IF($C19-AF$1&lt;År1,0,AE18*(1-VLOOKUP($A19,[1]Hugst!$R$5:$W$9,MATCH(ROUNDUP((AF$1)/10,0)*10,[1]Hugst!$R$4:$W$4,0))))</f>
        <v>0</v>
      </c>
      <c r="AG19" s="169">
        <f>IF($C19-AG$1&lt;År1,0,AF18*(1-VLOOKUP($A19,[1]Hugst!$R$5:$W$9,MATCH(ROUNDUP((AG$1)/10,0)*10,[1]Hugst!$R$4:$W$4,0))))</f>
        <v>0</v>
      </c>
      <c r="AH19" s="169">
        <f>IF($C19-AH$1&lt;År1,0,AG18*(1-VLOOKUP($A19,[1]Hugst!$R$5:$W$9,MATCH(ROUNDUP((AH$1)/10,0)*10,[1]Hugst!$R$4:$W$4,0))))</f>
        <v>0</v>
      </c>
      <c r="AI19" s="169">
        <f>IF($C19-AI$1&lt;År1,0,AH18*(1-VLOOKUP($A19,[1]Hugst!$R$5:$W$9,MATCH(ROUNDUP((AI$1)/10,0)*10,[1]Hugst!$R$4:$W$4,0))))</f>
        <v>0</v>
      </c>
      <c r="AJ19" s="169">
        <f>IF($C19-AJ$1&lt;År1,0,AI18*(1-VLOOKUP($A19,[1]Hugst!$R$5:$W$9,MATCH(ROUNDUP((AJ$1)/10,0)*10,[1]Hugst!$R$4:$W$4,0))))</f>
        <v>0</v>
      </c>
    </row>
    <row r="20" spans="1:38" s="169" customFormat="1" x14ac:dyDescent="0.25">
      <c r="A20" s="169" t="s">
        <v>176</v>
      </c>
      <c r="B20" s="169" t="s">
        <v>23</v>
      </c>
      <c r="C20" s="169">
        <v>2038</v>
      </c>
      <c r="D20" s="169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0</v>
      </c>
      <c r="E20" s="169">
        <f t="shared" ca="1" si="0"/>
        <v>0</v>
      </c>
      <c r="F20" s="169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 s="169">
        <f ca="1">IF($C20-G$1&lt;År1,0,F19*(1-VLOOKUP($A20,[1]Hugst!$R$5:$W$9,MATCH(ROUNDUP((G$1)/10,0)*10,[1]Hugst!$R$4:$W$4,0))))</f>
        <v>0</v>
      </c>
      <c r="H20" s="169">
        <f ca="1">IF($C20-H$1&lt;År1,0,G19*(1-VLOOKUP($A20,[1]Hugst!$R$5:$W$9,MATCH(ROUNDUP((H$1)/10,0)*10,[1]Hugst!$R$4:$W$4,0))))</f>
        <v>0</v>
      </c>
      <c r="I20" s="169">
        <f ca="1">IF($C20-I$1&lt;År1,0,H19*(1-VLOOKUP($A20,[1]Hugst!$R$5:$W$9,MATCH(ROUNDUP((I$1)/10,0)*10,[1]Hugst!$R$4:$W$4,0))))</f>
        <v>0</v>
      </c>
      <c r="J20" s="169">
        <f ca="1">IF($C20-J$1&lt;År1,0,I19*(1-VLOOKUP($A20,[1]Hugst!$R$5:$W$9,MATCH(ROUNDUP((J$1)/10,0)*10,[1]Hugst!$R$4:$W$4,0))))</f>
        <v>0</v>
      </c>
      <c r="K20" s="169">
        <f ca="1">IF($C20-K$1&lt;År1,0,J19*(1-VLOOKUP($A20,[1]Hugst!$R$5:$W$9,MATCH(ROUNDUP((K$1)/10,0)*10,[1]Hugst!$R$4:$W$4,0))))</f>
        <v>0</v>
      </c>
      <c r="L20" s="169">
        <f ca="1">IF($C20-L$1&lt;År1,0,K19*(1-VLOOKUP($A20,[1]Hugst!$R$5:$W$9,MATCH(ROUNDUP((L$1)/10,0)*10,[1]Hugst!$R$4:$W$4,0))))</f>
        <v>0</v>
      </c>
      <c r="M20" s="169">
        <f ca="1">IF($C20-M$1&lt;År1,0,L19*(1-VLOOKUP($A20,[1]Hugst!$R$5:$W$9,MATCH(ROUNDUP((M$1)/10,0)*10,[1]Hugst!$R$4:$W$4,0))))</f>
        <v>0</v>
      </c>
      <c r="N20" s="169">
        <f ca="1">IF($C20-N$1&lt;År1,0,M19*(1-VLOOKUP($A20,[1]Hugst!$R$5:$W$9,MATCH(ROUNDUP((N$1)/10,0)*10,[1]Hugst!$R$4:$W$4,0))))</f>
        <v>0</v>
      </c>
      <c r="O20" s="169">
        <f ca="1">IF($C20-O$1&lt;År1,0,N19*(1-VLOOKUP($A20,[1]Hugst!$R$5:$W$9,MATCH(ROUNDUP((O$1)/10,0)*10,[1]Hugst!$R$4:$W$4,0))))</f>
        <v>0</v>
      </c>
      <c r="P20" s="169">
        <f ca="1">IF($C20-P$1&lt;År1,0,O19*(1-VLOOKUP($A20,[1]Hugst!$R$5:$W$9,MATCH(ROUNDUP((P$1)/10,0)*10,[1]Hugst!$R$4:$W$4,0))))</f>
        <v>0</v>
      </c>
      <c r="Q20" s="169">
        <f ca="1">IF($C20-Q$1&lt;År1,0,P19*(1-VLOOKUP($A20,[1]Hugst!$R$5:$W$9,MATCH(ROUNDUP((Q$1)/10,0)*10,[1]Hugst!$R$4:$W$4,0))))</f>
        <v>0</v>
      </c>
      <c r="R20" s="169">
        <f ca="1">IF($C20-R$1&lt;År1,0,Q19*(1-VLOOKUP($A20,[1]Hugst!$R$5:$W$9,MATCH(ROUNDUP((R$1)/10,0)*10,[1]Hugst!$R$4:$W$4,0))))</f>
        <v>0</v>
      </c>
      <c r="S20" s="169">
        <f ca="1">IF($C20-S$1&lt;År1,0,R19*(1-VLOOKUP($A20,[1]Hugst!$R$5:$W$9,MATCH(ROUNDUP((S$1)/10,0)*10,[1]Hugst!$R$4:$W$4,0))))</f>
        <v>0</v>
      </c>
      <c r="T20" s="169">
        <f ca="1">IF($C20-T$1&lt;År1,0,S19*(1-VLOOKUP($A20,[1]Hugst!$R$5:$W$9,MATCH(ROUNDUP((T$1)/10,0)*10,[1]Hugst!$R$4:$W$4,0))))</f>
        <v>0</v>
      </c>
      <c r="U20" s="169">
        <f ca="1">IF($C20-U$1&lt;År1,0,T19*(1-VLOOKUP($A20,[1]Hugst!$R$5:$W$9,MATCH(ROUNDUP((U$1)/10,0)*10,[1]Hugst!$R$4:$W$4,0))))</f>
        <v>0</v>
      </c>
      <c r="V20" s="169">
        <f ca="1">IF($C20-V$1&lt;År1,0,U19*(1-VLOOKUP($A20,[1]Hugst!$R$5:$W$9,MATCH(ROUNDUP((V$1)/10,0)*10,[1]Hugst!$R$4:$W$4,0))))</f>
        <v>0</v>
      </c>
      <c r="W20" s="169">
        <f ca="1">IF($C20-W$1&lt;År1,0,V19*(1-VLOOKUP($A20,[1]Hugst!$R$5:$W$9,MATCH(ROUNDUP((W$1)/10,0)*10,[1]Hugst!$R$4:$W$4,0))))</f>
        <v>0</v>
      </c>
      <c r="X20" s="169">
        <f ca="1">IF($C20-X$1&lt;År1,0,W19*(1-VLOOKUP($A20,[1]Hugst!$R$5:$W$9,MATCH(ROUNDUP((X$1)/10,0)*10,[1]Hugst!$R$4:$W$4,0))))</f>
        <v>0</v>
      </c>
      <c r="Y20" s="169">
        <f>IF($C20-Y$1&lt;År1,0,X19*(1-VLOOKUP($A20,[1]Hugst!$R$5:$W$9,MATCH(ROUNDUP((Y$1)/10,0)*10,[1]Hugst!$R$4:$W$4,0))))</f>
        <v>0</v>
      </c>
      <c r="Z20" s="169">
        <f>IF($C20-Z$1&lt;År1,0,Y19*(1-VLOOKUP($A20,[1]Hugst!$R$5:$W$9,MATCH(ROUNDUP((Z$1)/10,0)*10,[1]Hugst!$R$4:$W$4,0))))</f>
        <v>0</v>
      </c>
      <c r="AA20" s="169">
        <f>IF($C20-AA$1&lt;År1,0,Z19*(1-VLOOKUP($A20,[1]Hugst!$R$5:$W$9,MATCH(ROUNDUP((AA$1)/10,0)*10,[1]Hugst!$R$4:$W$4,0))))</f>
        <v>0</v>
      </c>
      <c r="AB20" s="169">
        <f>IF($C20-AB$1&lt;År1,0,AA19*(1-VLOOKUP($A20,[1]Hugst!$R$5:$W$9,MATCH(ROUNDUP((AB$1)/10,0)*10,[1]Hugst!$R$4:$W$4,0))))</f>
        <v>0</v>
      </c>
      <c r="AC20" s="169">
        <f>IF($C20-AC$1&lt;År1,0,AB19*(1-VLOOKUP($A20,[1]Hugst!$R$5:$W$9,MATCH(ROUNDUP((AC$1)/10,0)*10,[1]Hugst!$R$4:$W$4,0))))</f>
        <v>0</v>
      </c>
      <c r="AD20" s="169">
        <f>IF($C20-AD$1&lt;År1,0,AC19*(1-VLOOKUP($A20,[1]Hugst!$R$5:$W$9,MATCH(ROUNDUP((AD$1)/10,0)*10,[1]Hugst!$R$4:$W$4,0))))</f>
        <v>0</v>
      </c>
      <c r="AE20" s="169">
        <f>IF($C20-AE$1&lt;År1,0,AD19*(1-VLOOKUP($A20,[1]Hugst!$R$5:$W$9,MATCH(ROUNDUP((AE$1)/10,0)*10,[1]Hugst!$R$4:$W$4,0))))</f>
        <v>0</v>
      </c>
      <c r="AF20" s="169">
        <f>IF($C20-AF$1&lt;År1,0,AE19*(1-VLOOKUP($A20,[1]Hugst!$R$5:$W$9,MATCH(ROUNDUP((AF$1)/10,0)*10,[1]Hugst!$R$4:$W$4,0))))</f>
        <v>0</v>
      </c>
      <c r="AG20" s="169">
        <f>IF($C20-AG$1&lt;År1,0,AF19*(1-VLOOKUP($A20,[1]Hugst!$R$5:$W$9,MATCH(ROUNDUP((AG$1)/10,0)*10,[1]Hugst!$R$4:$W$4,0))))</f>
        <v>0</v>
      </c>
      <c r="AH20" s="169">
        <f>IF($C20-AH$1&lt;År1,0,AG19*(1-VLOOKUP($A20,[1]Hugst!$R$5:$W$9,MATCH(ROUNDUP((AH$1)/10,0)*10,[1]Hugst!$R$4:$W$4,0))))</f>
        <v>0</v>
      </c>
      <c r="AI20" s="169">
        <f>IF($C20-AI$1&lt;År1,0,AH19*(1-VLOOKUP($A20,[1]Hugst!$R$5:$W$9,MATCH(ROUNDUP((AI$1)/10,0)*10,[1]Hugst!$R$4:$W$4,0))))</f>
        <v>0</v>
      </c>
      <c r="AJ20" s="169">
        <f>IF($C20-AJ$1&lt;År1,0,AI19*(1-VLOOKUP($A20,[1]Hugst!$R$5:$W$9,MATCH(ROUNDUP((AJ$1)/10,0)*10,[1]Hugst!$R$4:$W$4,0))))</f>
        <v>0</v>
      </c>
    </row>
    <row r="21" spans="1:38" s="169" customFormat="1" x14ac:dyDescent="0.25">
      <c r="A21" s="169" t="s">
        <v>176</v>
      </c>
      <c r="B21" s="169" t="s">
        <v>23</v>
      </c>
      <c r="C21" s="169">
        <v>2039</v>
      </c>
      <c r="D21" s="169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0</v>
      </c>
      <c r="E21" s="169">
        <f t="shared" ca="1" si="0"/>
        <v>0</v>
      </c>
      <c r="F21" s="169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 s="169">
        <f ca="1">IF($C21-G$1&lt;År1,0,F20*(1-VLOOKUP($A21,[1]Hugst!$R$5:$W$9,MATCH(ROUNDUP((G$1)/10,0)*10,[1]Hugst!$R$4:$W$4,0))))</f>
        <v>0</v>
      </c>
      <c r="H21" s="169">
        <f ca="1">IF($C21-H$1&lt;År1,0,G20*(1-VLOOKUP($A21,[1]Hugst!$R$5:$W$9,MATCH(ROUNDUP((H$1)/10,0)*10,[1]Hugst!$R$4:$W$4,0))))</f>
        <v>0</v>
      </c>
      <c r="I21" s="169">
        <f ca="1">IF($C21-I$1&lt;År1,0,H20*(1-VLOOKUP($A21,[1]Hugst!$R$5:$W$9,MATCH(ROUNDUP((I$1)/10,0)*10,[1]Hugst!$R$4:$W$4,0))))</f>
        <v>0</v>
      </c>
      <c r="J21" s="169">
        <f ca="1">IF($C21-J$1&lt;År1,0,I20*(1-VLOOKUP($A21,[1]Hugst!$R$5:$W$9,MATCH(ROUNDUP((J$1)/10,0)*10,[1]Hugst!$R$4:$W$4,0))))</f>
        <v>0</v>
      </c>
      <c r="K21" s="169">
        <f ca="1">IF($C21-K$1&lt;År1,0,J20*(1-VLOOKUP($A21,[1]Hugst!$R$5:$W$9,MATCH(ROUNDUP((K$1)/10,0)*10,[1]Hugst!$R$4:$W$4,0))))</f>
        <v>0</v>
      </c>
      <c r="L21" s="169">
        <f ca="1">IF($C21-L$1&lt;År1,0,K20*(1-VLOOKUP($A21,[1]Hugst!$R$5:$W$9,MATCH(ROUNDUP((L$1)/10,0)*10,[1]Hugst!$R$4:$W$4,0))))</f>
        <v>0</v>
      </c>
      <c r="M21" s="169">
        <f ca="1">IF($C21-M$1&lt;År1,0,L20*(1-VLOOKUP($A21,[1]Hugst!$R$5:$W$9,MATCH(ROUNDUP((M$1)/10,0)*10,[1]Hugst!$R$4:$W$4,0))))</f>
        <v>0</v>
      </c>
      <c r="N21" s="169">
        <f ca="1">IF($C21-N$1&lt;År1,0,M20*(1-VLOOKUP($A21,[1]Hugst!$R$5:$W$9,MATCH(ROUNDUP((N$1)/10,0)*10,[1]Hugst!$R$4:$W$4,0))))</f>
        <v>0</v>
      </c>
      <c r="O21" s="169">
        <f ca="1">IF($C21-O$1&lt;År1,0,N20*(1-VLOOKUP($A21,[1]Hugst!$R$5:$W$9,MATCH(ROUNDUP((O$1)/10,0)*10,[1]Hugst!$R$4:$W$4,0))))</f>
        <v>0</v>
      </c>
      <c r="P21" s="169">
        <f ca="1">IF($C21-P$1&lt;År1,0,O20*(1-VLOOKUP($A21,[1]Hugst!$R$5:$W$9,MATCH(ROUNDUP((P$1)/10,0)*10,[1]Hugst!$R$4:$W$4,0))))</f>
        <v>0</v>
      </c>
      <c r="Q21" s="169">
        <f ca="1">IF($C21-Q$1&lt;År1,0,P20*(1-VLOOKUP($A21,[1]Hugst!$R$5:$W$9,MATCH(ROUNDUP((Q$1)/10,0)*10,[1]Hugst!$R$4:$W$4,0))))</f>
        <v>0</v>
      </c>
      <c r="R21" s="169">
        <f ca="1">IF($C21-R$1&lt;År1,0,Q20*(1-VLOOKUP($A21,[1]Hugst!$R$5:$W$9,MATCH(ROUNDUP((R$1)/10,0)*10,[1]Hugst!$R$4:$W$4,0))))</f>
        <v>0</v>
      </c>
      <c r="S21" s="169">
        <f ca="1">IF($C21-S$1&lt;År1,0,R20*(1-VLOOKUP($A21,[1]Hugst!$R$5:$W$9,MATCH(ROUNDUP((S$1)/10,0)*10,[1]Hugst!$R$4:$W$4,0))))</f>
        <v>0</v>
      </c>
      <c r="T21" s="169">
        <f ca="1">IF($C21-T$1&lt;År1,0,S20*(1-VLOOKUP($A21,[1]Hugst!$R$5:$W$9,MATCH(ROUNDUP((T$1)/10,0)*10,[1]Hugst!$R$4:$W$4,0))))</f>
        <v>0</v>
      </c>
      <c r="U21" s="169">
        <f ca="1">IF($C21-U$1&lt;År1,0,T20*(1-VLOOKUP($A21,[1]Hugst!$R$5:$W$9,MATCH(ROUNDUP((U$1)/10,0)*10,[1]Hugst!$R$4:$W$4,0))))</f>
        <v>0</v>
      </c>
      <c r="V21" s="169">
        <f ca="1">IF($C21-V$1&lt;År1,0,U20*(1-VLOOKUP($A21,[1]Hugst!$R$5:$W$9,MATCH(ROUNDUP((V$1)/10,0)*10,[1]Hugst!$R$4:$W$4,0))))</f>
        <v>0</v>
      </c>
      <c r="W21" s="169">
        <f ca="1">IF($C21-W$1&lt;År1,0,V20*(1-VLOOKUP($A21,[1]Hugst!$R$5:$W$9,MATCH(ROUNDUP((W$1)/10,0)*10,[1]Hugst!$R$4:$W$4,0))))</f>
        <v>0</v>
      </c>
      <c r="X21" s="169">
        <f ca="1">IF($C21-X$1&lt;År1,0,W20*(1-VLOOKUP($A21,[1]Hugst!$R$5:$W$9,MATCH(ROUNDUP((X$1)/10,0)*10,[1]Hugst!$R$4:$W$4,0))))</f>
        <v>0</v>
      </c>
      <c r="Y21" s="169">
        <f ca="1">IF($C21-Y$1&lt;År1,0,X20*(1-VLOOKUP($A21,[1]Hugst!$R$5:$W$9,MATCH(ROUNDUP((Y$1)/10,0)*10,[1]Hugst!$R$4:$W$4,0))))</f>
        <v>0</v>
      </c>
      <c r="Z21" s="169">
        <f>IF($C21-Z$1&lt;År1,0,Y20*(1-VLOOKUP($A21,[1]Hugst!$R$5:$W$9,MATCH(ROUNDUP((Z$1)/10,0)*10,[1]Hugst!$R$4:$W$4,0))))</f>
        <v>0</v>
      </c>
      <c r="AA21" s="169">
        <f>IF($C21-AA$1&lt;År1,0,Z20*(1-VLOOKUP($A21,[1]Hugst!$R$5:$W$9,MATCH(ROUNDUP((AA$1)/10,0)*10,[1]Hugst!$R$4:$W$4,0))))</f>
        <v>0</v>
      </c>
      <c r="AB21" s="169">
        <f>IF($C21-AB$1&lt;År1,0,AA20*(1-VLOOKUP($A21,[1]Hugst!$R$5:$W$9,MATCH(ROUNDUP((AB$1)/10,0)*10,[1]Hugst!$R$4:$W$4,0))))</f>
        <v>0</v>
      </c>
      <c r="AC21" s="169">
        <f>IF($C21-AC$1&lt;År1,0,AB20*(1-VLOOKUP($A21,[1]Hugst!$R$5:$W$9,MATCH(ROUNDUP((AC$1)/10,0)*10,[1]Hugst!$R$4:$W$4,0))))</f>
        <v>0</v>
      </c>
      <c r="AD21" s="169">
        <f>IF($C21-AD$1&lt;År1,0,AC20*(1-VLOOKUP($A21,[1]Hugst!$R$5:$W$9,MATCH(ROUNDUP((AD$1)/10,0)*10,[1]Hugst!$R$4:$W$4,0))))</f>
        <v>0</v>
      </c>
      <c r="AE21" s="169">
        <f>IF($C21-AE$1&lt;År1,0,AD20*(1-VLOOKUP($A21,[1]Hugst!$R$5:$W$9,MATCH(ROUNDUP((AE$1)/10,0)*10,[1]Hugst!$R$4:$W$4,0))))</f>
        <v>0</v>
      </c>
      <c r="AF21" s="169">
        <f>IF($C21-AF$1&lt;År1,0,AE20*(1-VLOOKUP($A21,[1]Hugst!$R$5:$W$9,MATCH(ROUNDUP((AF$1)/10,0)*10,[1]Hugst!$R$4:$W$4,0))))</f>
        <v>0</v>
      </c>
      <c r="AG21" s="169">
        <f>IF($C21-AG$1&lt;År1,0,AF20*(1-VLOOKUP($A21,[1]Hugst!$R$5:$W$9,MATCH(ROUNDUP((AG$1)/10,0)*10,[1]Hugst!$R$4:$W$4,0))))</f>
        <v>0</v>
      </c>
      <c r="AH21" s="169">
        <f>IF($C21-AH$1&lt;År1,0,AG20*(1-VLOOKUP($A21,[1]Hugst!$R$5:$W$9,MATCH(ROUNDUP((AH$1)/10,0)*10,[1]Hugst!$R$4:$W$4,0))))</f>
        <v>0</v>
      </c>
      <c r="AI21" s="169">
        <f>IF($C21-AI$1&lt;År1,0,AH20*(1-VLOOKUP($A21,[1]Hugst!$R$5:$W$9,MATCH(ROUNDUP((AI$1)/10,0)*10,[1]Hugst!$R$4:$W$4,0))))</f>
        <v>0</v>
      </c>
      <c r="AJ21" s="169">
        <f>IF($C21-AJ$1&lt;År1,0,AI20*(1-VLOOKUP($A21,[1]Hugst!$R$5:$W$9,MATCH(ROUNDUP((AJ$1)/10,0)*10,[1]Hugst!$R$4:$W$4,0))))</f>
        <v>0</v>
      </c>
    </row>
    <row r="22" spans="1:38" s="169" customFormat="1" x14ac:dyDescent="0.25">
      <c r="A22" s="169" t="s">
        <v>176</v>
      </c>
      <c r="B22" s="169" t="s">
        <v>23</v>
      </c>
      <c r="C22" s="169">
        <v>2040</v>
      </c>
      <c r="D22" s="169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0</v>
      </c>
      <c r="E22" s="169">
        <f t="shared" ca="1" si="0"/>
        <v>0</v>
      </c>
      <c r="F22" s="169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 s="169">
        <f ca="1">IF($C22-G$1&lt;År1,0,F21*(1-VLOOKUP($A22,[1]Hugst!$R$5:$W$9,MATCH(ROUNDUP((G$1)/10,0)*10,[1]Hugst!$R$4:$W$4,0))))</f>
        <v>0</v>
      </c>
      <c r="H22" s="169">
        <f ca="1">IF($C22-H$1&lt;År1,0,G21*(1-VLOOKUP($A22,[1]Hugst!$R$5:$W$9,MATCH(ROUNDUP((H$1)/10,0)*10,[1]Hugst!$R$4:$W$4,0))))</f>
        <v>0</v>
      </c>
      <c r="I22" s="169">
        <f ca="1">IF($C22-I$1&lt;År1,0,H21*(1-VLOOKUP($A22,[1]Hugst!$R$5:$W$9,MATCH(ROUNDUP((I$1)/10,0)*10,[1]Hugst!$R$4:$W$4,0))))</f>
        <v>0</v>
      </c>
      <c r="J22" s="169">
        <f ca="1">IF($C22-J$1&lt;År1,0,I21*(1-VLOOKUP($A22,[1]Hugst!$R$5:$W$9,MATCH(ROUNDUP((J$1)/10,0)*10,[1]Hugst!$R$4:$W$4,0))))</f>
        <v>0</v>
      </c>
      <c r="K22" s="169">
        <f ca="1">IF($C22-K$1&lt;År1,0,J21*(1-VLOOKUP($A22,[1]Hugst!$R$5:$W$9,MATCH(ROUNDUP((K$1)/10,0)*10,[1]Hugst!$R$4:$W$4,0))))</f>
        <v>0</v>
      </c>
      <c r="L22" s="169">
        <f ca="1">IF($C22-L$1&lt;År1,0,K21*(1-VLOOKUP($A22,[1]Hugst!$R$5:$W$9,MATCH(ROUNDUP((L$1)/10,0)*10,[1]Hugst!$R$4:$W$4,0))))</f>
        <v>0</v>
      </c>
      <c r="M22" s="169">
        <f ca="1">IF($C22-M$1&lt;År1,0,L21*(1-VLOOKUP($A22,[1]Hugst!$R$5:$W$9,MATCH(ROUNDUP((M$1)/10,0)*10,[1]Hugst!$R$4:$W$4,0))))</f>
        <v>0</v>
      </c>
      <c r="N22" s="169">
        <f ca="1">IF($C22-N$1&lt;År1,0,M21*(1-VLOOKUP($A22,[1]Hugst!$R$5:$W$9,MATCH(ROUNDUP((N$1)/10,0)*10,[1]Hugst!$R$4:$W$4,0))))</f>
        <v>0</v>
      </c>
      <c r="O22" s="169">
        <f ca="1">IF($C22-O$1&lt;År1,0,N21*(1-VLOOKUP($A22,[1]Hugst!$R$5:$W$9,MATCH(ROUNDUP((O$1)/10,0)*10,[1]Hugst!$R$4:$W$4,0))))</f>
        <v>0</v>
      </c>
      <c r="P22" s="169">
        <f ca="1">IF($C22-P$1&lt;År1,0,O21*(1-VLOOKUP($A22,[1]Hugst!$R$5:$W$9,MATCH(ROUNDUP((P$1)/10,0)*10,[1]Hugst!$R$4:$W$4,0))))</f>
        <v>0</v>
      </c>
      <c r="Q22" s="169">
        <f ca="1">IF($C22-Q$1&lt;År1,0,P21*(1-VLOOKUP($A22,[1]Hugst!$R$5:$W$9,MATCH(ROUNDUP((Q$1)/10,0)*10,[1]Hugst!$R$4:$W$4,0))))</f>
        <v>0</v>
      </c>
      <c r="R22" s="169">
        <f ca="1">IF($C22-R$1&lt;År1,0,Q21*(1-VLOOKUP($A22,[1]Hugst!$R$5:$W$9,MATCH(ROUNDUP((R$1)/10,0)*10,[1]Hugst!$R$4:$W$4,0))))</f>
        <v>0</v>
      </c>
      <c r="S22" s="169">
        <f ca="1">IF($C22-S$1&lt;År1,0,R21*(1-VLOOKUP($A22,[1]Hugst!$R$5:$W$9,MATCH(ROUNDUP((S$1)/10,0)*10,[1]Hugst!$R$4:$W$4,0))))</f>
        <v>0</v>
      </c>
      <c r="T22" s="169">
        <f ca="1">IF($C22-T$1&lt;År1,0,S21*(1-VLOOKUP($A22,[1]Hugst!$R$5:$W$9,MATCH(ROUNDUP((T$1)/10,0)*10,[1]Hugst!$R$4:$W$4,0))))</f>
        <v>0</v>
      </c>
      <c r="U22" s="169">
        <f ca="1">IF($C22-U$1&lt;År1,0,T21*(1-VLOOKUP($A22,[1]Hugst!$R$5:$W$9,MATCH(ROUNDUP((U$1)/10,0)*10,[1]Hugst!$R$4:$W$4,0))))</f>
        <v>0</v>
      </c>
      <c r="V22" s="169">
        <f ca="1">IF($C22-V$1&lt;År1,0,U21*(1-VLOOKUP($A22,[1]Hugst!$R$5:$W$9,MATCH(ROUNDUP((V$1)/10,0)*10,[1]Hugst!$R$4:$W$4,0))))</f>
        <v>0</v>
      </c>
      <c r="W22" s="169">
        <f ca="1">IF($C22-W$1&lt;År1,0,V21*(1-VLOOKUP($A22,[1]Hugst!$R$5:$W$9,MATCH(ROUNDUP((W$1)/10,0)*10,[1]Hugst!$R$4:$W$4,0))))</f>
        <v>0</v>
      </c>
      <c r="X22" s="169">
        <f ca="1">IF($C22-X$1&lt;År1,0,W21*(1-VLOOKUP($A22,[1]Hugst!$R$5:$W$9,MATCH(ROUNDUP((X$1)/10,0)*10,[1]Hugst!$R$4:$W$4,0))))</f>
        <v>0</v>
      </c>
      <c r="Y22" s="169">
        <f ca="1">IF($C22-Y$1&lt;År1,0,X21*(1-VLOOKUP($A22,[1]Hugst!$R$5:$W$9,MATCH(ROUNDUP((Y$1)/10,0)*10,[1]Hugst!$R$4:$W$4,0))))</f>
        <v>0</v>
      </c>
      <c r="Z22" s="169">
        <f ca="1">IF($C22-Z$1&lt;År1,0,Y21*(1-VLOOKUP($A22,[1]Hugst!$R$5:$W$9,MATCH(ROUNDUP((Z$1)/10,0)*10,[1]Hugst!$R$4:$W$4,0))))</f>
        <v>0</v>
      </c>
      <c r="AA22" s="169">
        <f>IF($C22-AA$1&lt;År1,0,Z21*(1-VLOOKUP($A22,[1]Hugst!$R$5:$W$9,MATCH(ROUNDUP((AA$1)/10,0)*10,[1]Hugst!$R$4:$W$4,0))))</f>
        <v>0</v>
      </c>
      <c r="AB22" s="169">
        <f>IF($C22-AB$1&lt;År1,0,AA21*(1-VLOOKUP($A22,[1]Hugst!$R$5:$W$9,MATCH(ROUNDUP((AB$1)/10,0)*10,[1]Hugst!$R$4:$W$4,0))))</f>
        <v>0</v>
      </c>
      <c r="AC22" s="169">
        <f>IF($C22-AC$1&lt;År1,0,AB21*(1-VLOOKUP($A22,[1]Hugst!$R$5:$W$9,MATCH(ROUNDUP((AC$1)/10,0)*10,[1]Hugst!$R$4:$W$4,0))))</f>
        <v>0</v>
      </c>
      <c r="AD22" s="169">
        <f>IF($C22-AD$1&lt;År1,0,AC21*(1-VLOOKUP($A22,[1]Hugst!$R$5:$W$9,MATCH(ROUNDUP((AD$1)/10,0)*10,[1]Hugst!$R$4:$W$4,0))))</f>
        <v>0</v>
      </c>
      <c r="AE22" s="169">
        <f>IF($C22-AE$1&lt;År1,0,AD21*(1-VLOOKUP($A22,[1]Hugst!$R$5:$W$9,MATCH(ROUNDUP((AE$1)/10,0)*10,[1]Hugst!$R$4:$W$4,0))))</f>
        <v>0</v>
      </c>
      <c r="AF22" s="169">
        <f>IF($C22-AF$1&lt;År1,0,AE21*(1-VLOOKUP($A22,[1]Hugst!$R$5:$W$9,MATCH(ROUNDUP((AF$1)/10,0)*10,[1]Hugst!$R$4:$W$4,0))))</f>
        <v>0</v>
      </c>
      <c r="AG22" s="169">
        <f>IF($C22-AG$1&lt;År1,0,AF21*(1-VLOOKUP($A22,[1]Hugst!$R$5:$W$9,MATCH(ROUNDUP((AG$1)/10,0)*10,[1]Hugst!$R$4:$W$4,0))))</f>
        <v>0</v>
      </c>
      <c r="AH22" s="169">
        <f>IF($C22-AH$1&lt;År1,0,AG21*(1-VLOOKUP($A22,[1]Hugst!$R$5:$W$9,MATCH(ROUNDUP((AH$1)/10,0)*10,[1]Hugst!$R$4:$W$4,0))))</f>
        <v>0</v>
      </c>
      <c r="AI22" s="169">
        <f>IF($C22-AI$1&lt;År1,0,AH21*(1-VLOOKUP($A22,[1]Hugst!$R$5:$W$9,MATCH(ROUNDUP((AI$1)/10,0)*10,[1]Hugst!$R$4:$W$4,0))))</f>
        <v>0</v>
      </c>
      <c r="AJ22" s="169">
        <f>IF($C22-AJ$1&lt;År1,0,AI21*(1-VLOOKUP($A22,[1]Hugst!$R$5:$W$9,MATCH(ROUNDUP((AJ$1)/10,0)*10,[1]Hugst!$R$4:$W$4,0))))</f>
        <v>0</v>
      </c>
    </row>
    <row r="23" spans="1:38" s="169" customFormat="1" x14ac:dyDescent="0.25">
      <c r="A23" s="169" t="s">
        <v>176</v>
      </c>
      <c r="B23" s="169" t="s">
        <v>23</v>
      </c>
      <c r="C23" s="169">
        <v>2041</v>
      </c>
      <c r="D23" s="169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0</v>
      </c>
      <c r="E23" s="169">
        <f t="shared" ca="1" si="0"/>
        <v>0</v>
      </c>
      <c r="F23" s="169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 s="169">
        <f ca="1">IF($C23-G$1&lt;År1,0,F22*(1-VLOOKUP($A23,[1]Hugst!$R$5:$W$9,MATCH(ROUNDUP((G$1)/10,0)*10,[1]Hugst!$R$4:$W$4,0))))</f>
        <v>0</v>
      </c>
      <c r="H23" s="169">
        <f ca="1">IF($C23-H$1&lt;År1,0,G22*(1-VLOOKUP($A23,[1]Hugst!$R$5:$W$9,MATCH(ROUNDUP((H$1)/10,0)*10,[1]Hugst!$R$4:$W$4,0))))</f>
        <v>0</v>
      </c>
      <c r="I23" s="169">
        <f ca="1">IF($C23-I$1&lt;År1,0,H22*(1-VLOOKUP($A23,[1]Hugst!$R$5:$W$9,MATCH(ROUNDUP((I$1)/10,0)*10,[1]Hugst!$R$4:$W$4,0))))</f>
        <v>0</v>
      </c>
      <c r="J23" s="169">
        <f ca="1">IF($C23-J$1&lt;År1,0,I22*(1-VLOOKUP($A23,[1]Hugst!$R$5:$W$9,MATCH(ROUNDUP((J$1)/10,0)*10,[1]Hugst!$R$4:$W$4,0))))</f>
        <v>0</v>
      </c>
      <c r="K23" s="169">
        <f ca="1">IF($C23-K$1&lt;År1,0,J22*(1-VLOOKUP($A23,[1]Hugst!$R$5:$W$9,MATCH(ROUNDUP((K$1)/10,0)*10,[1]Hugst!$R$4:$W$4,0))))</f>
        <v>0</v>
      </c>
      <c r="L23" s="169">
        <f ca="1">IF($C23-L$1&lt;År1,0,K22*(1-VLOOKUP($A23,[1]Hugst!$R$5:$W$9,MATCH(ROUNDUP((L$1)/10,0)*10,[1]Hugst!$R$4:$W$4,0))))</f>
        <v>0</v>
      </c>
      <c r="M23" s="169">
        <f ca="1">IF($C23-M$1&lt;År1,0,L22*(1-VLOOKUP($A23,[1]Hugst!$R$5:$W$9,MATCH(ROUNDUP((M$1)/10,0)*10,[1]Hugst!$R$4:$W$4,0))))</f>
        <v>0</v>
      </c>
      <c r="N23" s="169">
        <f ca="1">IF($C23-N$1&lt;År1,0,M22*(1-VLOOKUP($A23,[1]Hugst!$R$5:$W$9,MATCH(ROUNDUP((N$1)/10,0)*10,[1]Hugst!$R$4:$W$4,0))))</f>
        <v>0</v>
      </c>
      <c r="O23" s="169">
        <f ca="1">IF($C23-O$1&lt;År1,0,N22*(1-VLOOKUP($A23,[1]Hugst!$R$5:$W$9,MATCH(ROUNDUP((O$1)/10,0)*10,[1]Hugst!$R$4:$W$4,0))))</f>
        <v>0</v>
      </c>
      <c r="P23" s="169">
        <f ca="1">IF($C23-P$1&lt;År1,0,O22*(1-VLOOKUP($A23,[1]Hugst!$R$5:$W$9,MATCH(ROUNDUP((P$1)/10,0)*10,[1]Hugst!$R$4:$W$4,0))))</f>
        <v>0</v>
      </c>
      <c r="Q23" s="169">
        <f ca="1">IF($C23-Q$1&lt;År1,0,P22*(1-VLOOKUP($A23,[1]Hugst!$R$5:$W$9,MATCH(ROUNDUP((Q$1)/10,0)*10,[1]Hugst!$R$4:$W$4,0))))</f>
        <v>0</v>
      </c>
      <c r="R23" s="169">
        <f ca="1">IF($C23-R$1&lt;År1,0,Q22*(1-VLOOKUP($A23,[1]Hugst!$R$5:$W$9,MATCH(ROUNDUP((R$1)/10,0)*10,[1]Hugst!$R$4:$W$4,0))))</f>
        <v>0</v>
      </c>
      <c r="S23" s="169">
        <f ca="1">IF($C23-S$1&lt;År1,0,R22*(1-VLOOKUP($A23,[1]Hugst!$R$5:$W$9,MATCH(ROUNDUP((S$1)/10,0)*10,[1]Hugst!$R$4:$W$4,0))))</f>
        <v>0</v>
      </c>
      <c r="T23" s="169">
        <f ca="1">IF($C23-T$1&lt;År1,0,S22*(1-VLOOKUP($A23,[1]Hugst!$R$5:$W$9,MATCH(ROUNDUP((T$1)/10,0)*10,[1]Hugst!$R$4:$W$4,0))))</f>
        <v>0</v>
      </c>
      <c r="U23" s="169">
        <f ca="1">IF($C23-U$1&lt;År1,0,T22*(1-VLOOKUP($A23,[1]Hugst!$R$5:$W$9,MATCH(ROUNDUP((U$1)/10,0)*10,[1]Hugst!$R$4:$W$4,0))))</f>
        <v>0</v>
      </c>
      <c r="V23" s="169">
        <f ca="1">IF($C23-V$1&lt;År1,0,U22*(1-VLOOKUP($A23,[1]Hugst!$R$5:$W$9,MATCH(ROUNDUP((V$1)/10,0)*10,[1]Hugst!$R$4:$W$4,0))))</f>
        <v>0</v>
      </c>
      <c r="W23" s="169">
        <f ca="1">IF($C23-W$1&lt;År1,0,V22*(1-VLOOKUP($A23,[1]Hugst!$R$5:$W$9,MATCH(ROUNDUP((W$1)/10,0)*10,[1]Hugst!$R$4:$W$4,0))))</f>
        <v>0</v>
      </c>
      <c r="X23" s="169">
        <f ca="1">IF($C23-X$1&lt;År1,0,W22*(1-VLOOKUP($A23,[1]Hugst!$R$5:$W$9,MATCH(ROUNDUP((X$1)/10,0)*10,[1]Hugst!$R$4:$W$4,0))))</f>
        <v>0</v>
      </c>
      <c r="Y23" s="169">
        <f ca="1">IF($C23-Y$1&lt;År1,0,X22*(1-VLOOKUP($A23,[1]Hugst!$R$5:$W$9,MATCH(ROUNDUP((Y$1)/10,0)*10,[1]Hugst!$R$4:$W$4,0))))</f>
        <v>0</v>
      </c>
      <c r="Z23" s="169">
        <f ca="1">IF($C23-Z$1&lt;År1,0,Y22*(1-VLOOKUP($A23,[1]Hugst!$R$5:$W$9,MATCH(ROUNDUP((Z$1)/10,0)*10,[1]Hugst!$R$4:$W$4,0))))</f>
        <v>0</v>
      </c>
      <c r="AA23" s="169">
        <f ca="1">IF($C23-AA$1&lt;År1,0,Z22*(1-VLOOKUP($A23,[1]Hugst!$R$5:$W$9,MATCH(ROUNDUP((AA$1)/10,0)*10,[1]Hugst!$R$4:$W$4,0))))</f>
        <v>0</v>
      </c>
      <c r="AB23" s="169">
        <f>IF($C23-AB$1&lt;År1,0,AA22*(1-VLOOKUP($A23,[1]Hugst!$R$5:$W$9,MATCH(ROUNDUP((AB$1)/10,0)*10,[1]Hugst!$R$4:$W$4,0))))</f>
        <v>0</v>
      </c>
      <c r="AC23" s="169">
        <f>IF($C23-AC$1&lt;År1,0,AB22*(1-VLOOKUP($A23,[1]Hugst!$R$5:$W$9,MATCH(ROUNDUP((AC$1)/10,0)*10,[1]Hugst!$R$4:$W$4,0))))</f>
        <v>0</v>
      </c>
      <c r="AD23" s="169">
        <f>IF($C23-AD$1&lt;År1,0,AC22*(1-VLOOKUP($A23,[1]Hugst!$R$5:$W$9,MATCH(ROUNDUP((AD$1)/10,0)*10,[1]Hugst!$R$4:$W$4,0))))</f>
        <v>0</v>
      </c>
      <c r="AE23" s="169">
        <f>IF($C23-AE$1&lt;År1,0,AD22*(1-VLOOKUP($A23,[1]Hugst!$R$5:$W$9,MATCH(ROUNDUP((AE$1)/10,0)*10,[1]Hugst!$R$4:$W$4,0))))</f>
        <v>0</v>
      </c>
      <c r="AF23" s="169">
        <f>IF($C23-AF$1&lt;År1,0,AE22*(1-VLOOKUP($A23,[1]Hugst!$R$5:$W$9,MATCH(ROUNDUP((AF$1)/10,0)*10,[1]Hugst!$R$4:$W$4,0))))</f>
        <v>0</v>
      </c>
      <c r="AG23" s="169">
        <f>IF($C23-AG$1&lt;År1,0,AF22*(1-VLOOKUP($A23,[1]Hugst!$R$5:$W$9,MATCH(ROUNDUP((AG$1)/10,0)*10,[1]Hugst!$R$4:$W$4,0))))</f>
        <v>0</v>
      </c>
      <c r="AH23" s="169">
        <f>IF($C23-AH$1&lt;År1,0,AG22*(1-VLOOKUP($A23,[1]Hugst!$R$5:$W$9,MATCH(ROUNDUP((AH$1)/10,0)*10,[1]Hugst!$R$4:$W$4,0))))</f>
        <v>0</v>
      </c>
      <c r="AI23" s="169">
        <f>IF($C23-AI$1&lt;År1,0,AH22*(1-VLOOKUP($A23,[1]Hugst!$R$5:$W$9,MATCH(ROUNDUP((AI$1)/10,0)*10,[1]Hugst!$R$4:$W$4,0))))</f>
        <v>0</v>
      </c>
      <c r="AJ23" s="169">
        <f>IF($C23-AJ$1&lt;År1,0,AI22*(1-VLOOKUP($A23,[1]Hugst!$R$5:$W$9,MATCH(ROUNDUP((AJ$1)/10,0)*10,[1]Hugst!$R$4:$W$4,0))))</f>
        <v>0</v>
      </c>
    </row>
    <row r="24" spans="1:38" s="169" customFormat="1" x14ac:dyDescent="0.25">
      <c r="A24" s="169" t="s">
        <v>176</v>
      </c>
      <c r="B24" s="169" t="s">
        <v>23</v>
      </c>
      <c r="C24" s="169">
        <v>2042</v>
      </c>
      <c r="D24" s="169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0</v>
      </c>
      <c r="E24" s="169">
        <f t="shared" ca="1" si="0"/>
        <v>0</v>
      </c>
      <c r="F24" s="169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 s="169">
        <f ca="1">IF($C24-G$1&lt;År1,0,F23*(1-VLOOKUP($A24,[1]Hugst!$R$5:$W$9,MATCH(ROUNDUP((G$1)/10,0)*10,[1]Hugst!$R$4:$W$4,0))))</f>
        <v>0</v>
      </c>
      <c r="H24" s="169">
        <f ca="1">IF($C24-H$1&lt;År1,0,G23*(1-VLOOKUP($A24,[1]Hugst!$R$5:$W$9,MATCH(ROUNDUP((H$1)/10,0)*10,[1]Hugst!$R$4:$W$4,0))))</f>
        <v>0</v>
      </c>
      <c r="I24" s="169">
        <f ca="1">IF($C24-I$1&lt;År1,0,H23*(1-VLOOKUP($A24,[1]Hugst!$R$5:$W$9,MATCH(ROUNDUP((I$1)/10,0)*10,[1]Hugst!$R$4:$W$4,0))))</f>
        <v>0</v>
      </c>
      <c r="J24" s="169">
        <f ca="1">IF($C24-J$1&lt;År1,0,I23*(1-VLOOKUP($A24,[1]Hugst!$R$5:$W$9,MATCH(ROUNDUP((J$1)/10,0)*10,[1]Hugst!$R$4:$W$4,0))))</f>
        <v>0</v>
      </c>
      <c r="K24" s="169">
        <f ca="1">IF($C24-K$1&lt;År1,0,J23*(1-VLOOKUP($A24,[1]Hugst!$R$5:$W$9,MATCH(ROUNDUP((K$1)/10,0)*10,[1]Hugst!$R$4:$W$4,0))))</f>
        <v>0</v>
      </c>
      <c r="L24" s="169">
        <f ca="1">IF($C24-L$1&lt;År1,0,K23*(1-VLOOKUP($A24,[1]Hugst!$R$5:$W$9,MATCH(ROUNDUP((L$1)/10,0)*10,[1]Hugst!$R$4:$W$4,0))))</f>
        <v>0</v>
      </c>
      <c r="M24" s="169">
        <f ca="1">IF($C24-M$1&lt;År1,0,L23*(1-VLOOKUP($A24,[1]Hugst!$R$5:$W$9,MATCH(ROUNDUP((M$1)/10,0)*10,[1]Hugst!$R$4:$W$4,0))))</f>
        <v>0</v>
      </c>
      <c r="N24" s="169">
        <f ca="1">IF($C24-N$1&lt;År1,0,M23*(1-VLOOKUP($A24,[1]Hugst!$R$5:$W$9,MATCH(ROUNDUP((N$1)/10,0)*10,[1]Hugst!$R$4:$W$4,0))))</f>
        <v>0</v>
      </c>
      <c r="O24" s="169">
        <f ca="1">IF($C24-O$1&lt;År1,0,N23*(1-VLOOKUP($A24,[1]Hugst!$R$5:$W$9,MATCH(ROUNDUP((O$1)/10,0)*10,[1]Hugst!$R$4:$W$4,0))))</f>
        <v>0</v>
      </c>
      <c r="P24" s="169">
        <f ca="1">IF($C24-P$1&lt;År1,0,O23*(1-VLOOKUP($A24,[1]Hugst!$R$5:$W$9,MATCH(ROUNDUP((P$1)/10,0)*10,[1]Hugst!$R$4:$W$4,0))))</f>
        <v>0</v>
      </c>
      <c r="Q24" s="169">
        <f ca="1">IF($C24-Q$1&lt;År1,0,P23*(1-VLOOKUP($A24,[1]Hugst!$R$5:$W$9,MATCH(ROUNDUP((Q$1)/10,0)*10,[1]Hugst!$R$4:$W$4,0))))</f>
        <v>0</v>
      </c>
      <c r="R24" s="169">
        <f ca="1">IF($C24-R$1&lt;År1,0,Q23*(1-VLOOKUP($A24,[1]Hugst!$R$5:$W$9,MATCH(ROUNDUP((R$1)/10,0)*10,[1]Hugst!$R$4:$W$4,0))))</f>
        <v>0</v>
      </c>
      <c r="S24" s="169">
        <f ca="1">IF($C24-S$1&lt;År1,0,R23*(1-VLOOKUP($A24,[1]Hugst!$R$5:$W$9,MATCH(ROUNDUP((S$1)/10,0)*10,[1]Hugst!$R$4:$W$4,0))))</f>
        <v>0</v>
      </c>
      <c r="T24" s="169">
        <f ca="1">IF($C24-T$1&lt;År1,0,S23*(1-VLOOKUP($A24,[1]Hugst!$R$5:$W$9,MATCH(ROUNDUP((T$1)/10,0)*10,[1]Hugst!$R$4:$W$4,0))))</f>
        <v>0</v>
      </c>
      <c r="U24" s="169">
        <f ca="1">IF($C24-U$1&lt;År1,0,T23*(1-VLOOKUP($A24,[1]Hugst!$R$5:$W$9,MATCH(ROUNDUP((U$1)/10,0)*10,[1]Hugst!$R$4:$W$4,0))))</f>
        <v>0</v>
      </c>
      <c r="V24" s="169">
        <f ca="1">IF($C24-V$1&lt;År1,0,U23*(1-VLOOKUP($A24,[1]Hugst!$R$5:$W$9,MATCH(ROUNDUP((V$1)/10,0)*10,[1]Hugst!$R$4:$W$4,0))))</f>
        <v>0</v>
      </c>
      <c r="W24" s="169">
        <f ca="1">IF($C24-W$1&lt;År1,0,V23*(1-VLOOKUP($A24,[1]Hugst!$R$5:$W$9,MATCH(ROUNDUP((W$1)/10,0)*10,[1]Hugst!$R$4:$W$4,0))))</f>
        <v>0</v>
      </c>
      <c r="X24" s="169">
        <f ca="1">IF($C24-X$1&lt;År1,0,W23*(1-VLOOKUP($A24,[1]Hugst!$R$5:$W$9,MATCH(ROUNDUP((X$1)/10,0)*10,[1]Hugst!$R$4:$W$4,0))))</f>
        <v>0</v>
      </c>
      <c r="Y24" s="169">
        <f ca="1">IF($C24-Y$1&lt;År1,0,X23*(1-VLOOKUP($A24,[1]Hugst!$R$5:$W$9,MATCH(ROUNDUP((Y$1)/10,0)*10,[1]Hugst!$R$4:$W$4,0))))</f>
        <v>0</v>
      </c>
      <c r="Z24" s="169">
        <f ca="1">IF($C24-Z$1&lt;År1,0,Y23*(1-VLOOKUP($A24,[1]Hugst!$R$5:$W$9,MATCH(ROUNDUP((Z$1)/10,0)*10,[1]Hugst!$R$4:$W$4,0))))</f>
        <v>0</v>
      </c>
      <c r="AA24" s="169">
        <f ca="1">IF($C24-AA$1&lt;År1,0,Z23*(1-VLOOKUP($A24,[1]Hugst!$R$5:$W$9,MATCH(ROUNDUP((AA$1)/10,0)*10,[1]Hugst!$R$4:$W$4,0))))</f>
        <v>0</v>
      </c>
      <c r="AB24" s="169">
        <f ca="1">IF($C24-AB$1&lt;År1,0,AA23*(1-VLOOKUP($A24,[1]Hugst!$R$5:$W$9,MATCH(ROUNDUP((AB$1)/10,0)*10,[1]Hugst!$R$4:$W$4,0))))</f>
        <v>0</v>
      </c>
      <c r="AC24" s="169">
        <f>IF($C24-AC$1&lt;År1,0,AB23*(1-VLOOKUP($A24,[1]Hugst!$R$5:$W$9,MATCH(ROUNDUP((AC$1)/10,0)*10,[1]Hugst!$R$4:$W$4,0))))</f>
        <v>0</v>
      </c>
      <c r="AD24" s="169">
        <f>IF($C24-AD$1&lt;År1,0,AC23*(1-VLOOKUP($A24,[1]Hugst!$R$5:$W$9,MATCH(ROUNDUP((AD$1)/10,0)*10,[1]Hugst!$R$4:$W$4,0))))</f>
        <v>0</v>
      </c>
      <c r="AE24" s="169">
        <f>IF($C24-AE$1&lt;År1,0,AD23*(1-VLOOKUP($A24,[1]Hugst!$R$5:$W$9,MATCH(ROUNDUP((AE$1)/10,0)*10,[1]Hugst!$R$4:$W$4,0))))</f>
        <v>0</v>
      </c>
      <c r="AF24" s="169">
        <f>IF($C24-AF$1&lt;År1,0,AE23*(1-VLOOKUP($A24,[1]Hugst!$R$5:$W$9,MATCH(ROUNDUP((AF$1)/10,0)*10,[1]Hugst!$R$4:$W$4,0))))</f>
        <v>0</v>
      </c>
      <c r="AG24" s="169">
        <f>IF($C24-AG$1&lt;År1,0,AF23*(1-VLOOKUP($A24,[1]Hugst!$R$5:$W$9,MATCH(ROUNDUP((AG$1)/10,0)*10,[1]Hugst!$R$4:$W$4,0))))</f>
        <v>0</v>
      </c>
      <c r="AH24" s="169">
        <f>IF($C24-AH$1&lt;År1,0,AG23*(1-VLOOKUP($A24,[1]Hugst!$R$5:$W$9,MATCH(ROUNDUP((AH$1)/10,0)*10,[1]Hugst!$R$4:$W$4,0))))</f>
        <v>0</v>
      </c>
      <c r="AI24" s="169">
        <f>IF($C24-AI$1&lt;År1,0,AH23*(1-VLOOKUP($A24,[1]Hugst!$R$5:$W$9,MATCH(ROUNDUP((AI$1)/10,0)*10,[1]Hugst!$R$4:$W$4,0))))</f>
        <v>0</v>
      </c>
      <c r="AJ24" s="169">
        <f>IF($C24-AJ$1&lt;År1,0,AI23*(1-VLOOKUP($A24,[1]Hugst!$R$5:$W$9,MATCH(ROUNDUP((AJ$1)/10,0)*10,[1]Hugst!$R$4:$W$4,0))))</f>
        <v>0</v>
      </c>
    </row>
    <row r="25" spans="1:38" s="169" customFormat="1" x14ac:dyDescent="0.25">
      <c r="A25" s="169" t="s">
        <v>176</v>
      </c>
      <c r="B25" s="169" t="s">
        <v>23</v>
      </c>
      <c r="C25" s="169">
        <v>2043</v>
      </c>
      <c r="D25" s="169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0</v>
      </c>
      <c r="E25" s="169">
        <f t="shared" ca="1" si="0"/>
        <v>0</v>
      </c>
      <c r="F25" s="169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 s="169">
        <f ca="1">IF($C25-G$1&lt;År1,0,F24*(1-VLOOKUP($A25,[1]Hugst!$R$5:$W$9,MATCH(ROUNDUP((G$1)/10,0)*10,[1]Hugst!$R$4:$W$4,0))))</f>
        <v>0</v>
      </c>
      <c r="H25" s="169">
        <f ca="1">IF($C25-H$1&lt;År1,0,G24*(1-VLOOKUP($A25,[1]Hugst!$R$5:$W$9,MATCH(ROUNDUP((H$1)/10,0)*10,[1]Hugst!$R$4:$W$4,0))))</f>
        <v>0</v>
      </c>
      <c r="I25" s="169">
        <f ca="1">IF($C25-I$1&lt;År1,0,H24*(1-VLOOKUP($A25,[1]Hugst!$R$5:$W$9,MATCH(ROUNDUP((I$1)/10,0)*10,[1]Hugst!$R$4:$W$4,0))))</f>
        <v>0</v>
      </c>
      <c r="J25" s="169">
        <f ca="1">IF($C25-J$1&lt;År1,0,I24*(1-VLOOKUP($A25,[1]Hugst!$R$5:$W$9,MATCH(ROUNDUP((J$1)/10,0)*10,[1]Hugst!$R$4:$W$4,0))))</f>
        <v>0</v>
      </c>
      <c r="K25" s="169">
        <f ca="1">IF($C25-K$1&lt;År1,0,J24*(1-VLOOKUP($A25,[1]Hugst!$R$5:$W$9,MATCH(ROUNDUP((K$1)/10,0)*10,[1]Hugst!$R$4:$W$4,0))))</f>
        <v>0</v>
      </c>
      <c r="L25" s="169">
        <f ca="1">IF($C25-L$1&lt;År1,0,K24*(1-VLOOKUP($A25,[1]Hugst!$R$5:$W$9,MATCH(ROUNDUP((L$1)/10,0)*10,[1]Hugst!$R$4:$W$4,0))))</f>
        <v>0</v>
      </c>
      <c r="M25" s="169">
        <f ca="1">IF($C25-M$1&lt;År1,0,L24*(1-VLOOKUP($A25,[1]Hugst!$R$5:$W$9,MATCH(ROUNDUP((M$1)/10,0)*10,[1]Hugst!$R$4:$W$4,0))))</f>
        <v>0</v>
      </c>
      <c r="N25" s="169">
        <f ca="1">IF($C25-N$1&lt;År1,0,M24*(1-VLOOKUP($A25,[1]Hugst!$R$5:$W$9,MATCH(ROUNDUP((N$1)/10,0)*10,[1]Hugst!$R$4:$W$4,0))))</f>
        <v>0</v>
      </c>
      <c r="O25" s="169">
        <f ca="1">IF($C25-O$1&lt;År1,0,N24*(1-VLOOKUP($A25,[1]Hugst!$R$5:$W$9,MATCH(ROUNDUP((O$1)/10,0)*10,[1]Hugst!$R$4:$W$4,0))))</f>
        <v>0</v>
      </c>
      <c r="P25" s="169">
        <f ca="1">IF($C25-P$1&lt;År1,0,O24*(1-VLOOKUP($A25,[1]Hugst!$R$5:$W$9,MATCH(ROUNDUP((P$1)/10,0)*10,[1]Hugst!$R$4:$W$4,0))))</f>
        <v>0</v>
      </c>
      <c r="Q25" s="169">
        <f ca="1">IF($C25-Q$1&lt;År1,0,P24*(1-VLOOKUP($A25,[1]Hugst!$R$5:$W$9,MATCH(ROUNDUP((Q$1)/10,0)*10,[1]Hugst!$R$4:$W$4,0))))</f>
        <v>0</v>
      </c>
      <c r="R25" s="169">
        <f ca="1">IF($C25-R$1&lt;År1,0,Q24*(1-VLOOKUP($A25,[1]Hugst!$R$5:$W$9,MATCH(ROUNDUP((R$1)/10,0)*10,[1]Hugst!$R$4:$W$4,0))))</f>
        <v>0</v>
      </c>
      <c r="S25" s="169">
        <f ca="1">IF($C25-S$1&lt;År1,0,R24*(1-VLOOKUP($A25,[1]Hugst!$R$5:$W$9,MATCH(ROUNDUP((S$1)/10,0)*10,[1]Hugst!$R$4:$W$4,0))))</f>
        <v>0</v>
      </c>
      <c r="T25" s="169">
        <f ca="1">IF($C25-T$1&lt;År1,0,S24*(1-VLOOKUP($A25,[1]Hugst!$R$5:$W$9,MATCH(ROUNDUP((T$1)/10,0)*10,[1]Hugst!$R$4:$W$4,0))))</f>
        <v>0</v>
      </c>
      <c r="U25" s="169">
        <f ca="1">IF($C25-U$1&lt;År1,0,T24*(1-VLOOKUP($A25,[1]Hugst!$R$5:$W$9,MATCH(ROUNDUP((U$1)/10,0)*10,[1]Hugst!$R$4:$W$4,0))))</f>
        <v>0</v>
      </c>
      <c r="V25" s="169">
        <f ca="1">IF($C25-V$1&lt;År1,0,U24*(1-VLOOKUP($A25,[1]Hugst!$R$5:$W$9,MATCH(ROUNDUP((V$1)/10,0)*10,[1]Hugst!$R$4:$W$4,0))))</f>
        <v>0</v>
      </c>
      <c r="W25" s="169">
        <f ca="1">IF($C25-W$1&lt;År1,0,V24*(1-VLOOKUP($A25,[1]Hugst!$R$5:$W$9,MATCH(ROUNDUP((W$1)/10,0)*10,[1]Hugst!$R$4:$W$4,0))))</f>
        <v>0</v>
      </c>
      <c r="X25" s="169">
        <f ca="1">IF($C25-X$1&lt;År1,0,W24*(1-VLOOKUP($A25,[1]Hugst!$R$5:$W$9,MATCH(ROUNDUP((X$1)/10,0)*10,[1]Hugst!$R$4:$W$4,0))))</f>
        <v>0</v>
      </c>
      <c r="Y25" s="169">
        <f ca="1">IF($C25-Y$1&lt;År1,0,X24*(1-VLOOKUP($A25,[1]Hugst!$R$5:$W$9,MATCH(ROUNDUP((Y$1)/10,0)*10,[1]Hugst!$R$4:$W$4,0))))</f>
        <v>0</v>
      </c>
      <c r="Z25" s="169">
        <f ca="1">IF($C25-Z$1&lt;År1,0,Y24*(1-VLOOKUP($A25,[1]Hugst!$R$5:$W$9,MATCH(ROUNDUP((Z$1)/10,0)*10,[1]Hugst!$R$4:$W$4,0))))</f>
        <v>0</v>
      </c>
      <c r="AA25" s="169">
        <f ca="1">IF($C25-AA$1&lt;År1,0,Z24*(1-VLOOKUP($A25,[1]Hugst!$R$5:$W$9,MATCH(ROUNDUP((AA$1)/10,0)*10,[1]Hugst!$R$4:$W$4,0))))</f>
        <v>0</v>
      </c>
      <c r="AB25" s="169">
        <f ca="1">IF($C25-AB$1&lt;År1,0,AA24*(1-VLOOKUP($A25,[1]Hugst!$R$5:$W$9,MATCH(ROUNDUP((AB$1)/10,0)*10,[1]Hugst!$R$4:$W$4,0))))</f>
        <v>0</v>
      </c>
      <c r="AC25" s="169">
        <f ca="1">IF($C25-AC$1&lt;År1,0,AB24*(1-VLOOKUP($A25,[1]Hugst!$R$5:$W$9,MATCH(ROUNDUP((AC$1)/10,0)*10,[1]Hugst!$R$4:$W$4,0))))</f>
        <v>0</v>
      </c>
      <c r="AD25" s="169">
        <f>IF($C25-AD$1&lt;År1,0,AC24*(1-VLOOKUP($A25,[1]Hugst!$R$5:$W$9,MATCH(ROUNDUP((AD$1)/10,0)*10,[1]Hugst!$R$4:$W$4,0))))</f>
        <v>0</v>
      </c>
      <c r="AE25" s="169">
        <f>IF($C25-AE$1&lt;År1,0,AD24*(1-VLOOKUP($A25,[1]Hugst!$R$5:$W$9,MATCH(ROUNDUP((AE$1)/10,0)*10,[1]Hugst!$R$4:$W$4,0))))</f>
        <v>0</v>
      </c>
      <c r="AF25" s="169">
        <f>IF($C25-AF$1&lt;År1,0,AE24*(1-VLOOKUP($A25,[1]Hugst!$R$5:$W$9,MATCH(ROUNDUP((AF$1)/10,0)*10,[1]Hugst!$R$4:$W$4,0))))</f>
        <v>0</v>
      </c>
      <c r="AG25" s="169">
        <f>IF($C25-AG$1&lt;År1,0,AF24*(1-VLOOKUP($A25,[1]Hugst!$R$5:$W$9,MATCH(ROUNDUP((AG$1)/10,0)*10,[1]Hugst!$R$4:$W$4,0))))</f>
        <v>0</v>
      </c>
      <c r="AH25" s="169">
        <f>IF($C25-AH$1&lt;År1,0,AG24*(1-VLOOKUP($A25,[1]Hugst!$R$5:$W$9,MATCH(ROUNDUP((AH$1)/10,0)*10,[1]Hugst!$R$4:$W$4,0))))</f>
        <v>0</v>
      </c>
      <c r="AI25" s="169">
        <f>IF($C25-AI$1&lt;År1,0,AH24*(1-VLOOKUP($A25,[1]Hugst!$R$5:$W$9,MATCH(ROUNDUP((AI$1)/10,0)*10,[1]Hugst!$R$4:$W$4,0))))</f>
        <v>0</v>
      </c>
      <c r="AJ25" s="169">
        <f>IF($C25-AJ$1&lt;År1,0,AI24*(1-VLOOKUP($A25,[1]Hugst!$R$5:$W$9,MATCH(ROUNDUP((AJ$1)/10,0)*10,[1]Hugst!$R$4:$W$4,0))))</f>
        <v>0</v>
      </c>
    </row>
    <row r="26" spans="1:38" s="169" customFormat="1" x14ac:dyDescent="0.25">
      <c r="A26" s="169" t="s">
        <v>176</v>
      </c>
      <c r="B26" s="169" t="s">
        <v>23</v>
      </c>
      <c r="C26" s="169">
        <v>2044</v>
      </c>
      <c r="D26" s="169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0</v>
      </c>
      <c r="E26" s="169">
        <f t="shared" ca="1" si="0"/>
        <v>0</v>
      </c>
      <c r="F26" s="169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 s="169">
        <f ca="1">IF($C26-G$1&lt;År1,0,F25*(1-VLOOKUP($A26,[1]Hugst!$R$5:$W$9,MATCH(ROUNDUP((G$1)/10,0)*10,[1]Hugst!$R$4:$W$4,0))))</f>
        <v>0</v>
      </c>
      <c r="H26" s="169">
        <f ca="1">IF($C26-H$1&lt;År1,0,G25*(1-VLOOKUP($A26,[1]Hugst!$R$5:$W$9,MATCH(ROUNDUP((H$1)/10,0)*10,[1]Hugst!$R$4:$W$4,0))))</f>
        <v>0</v>
      </c>
      <c r="I26" s="169">
        <f ca="1">IF($C26-I$1&lt;År1,0,H25*(1-VLOOKUP($A26,[1]Hugst!$R$5:$W$9,MATCH(ROUNDUP((I$1)/10,0)*10,[1]Hugst!$R$4:$W$4,0))))</f>
        <v>0</v>
      </c>
      <c r="J26" s="169">
        <f ca="1">IF($C26-J$1&lt;År1,0,I25*(1-VLOOKUP($A26,[1]Hugst!$R$5:$W$9,MATCH(ROUNDUP((J$1)/10,0)*10,[1]Hugst!$R$4:$W$4,0))))</f>
        <v>0</v>
      </c>
      <c r="K26" s="169">
        <f ca="1">IF($C26-K$1&lt;År1,0,J25*(1-VLOOKUP($A26,[1]Hugst!$R$5:$W$9,MATCH(ROUNDUP((K$1)/10,0)*10,[1]Hugst!$R$4:$W$4,0))))</f>
        <v>0</v>
      </c>
      <c r="L26" s="169">
        <f ca="1">IF($C26-L$1&lt;År1,0,K25*(1-VLOOKUP($A26,[1]Hugst!$R$5:$W$9,MATCH(ROUNDUP((L$1)/10,0)*10,[1]Hugst!$R$4:$W$4,0))))</f>
        <v>0</v>
      </c>
      <c r="M26" s="169">
        <f ca="1">IF($C26-M$1&lt;År1,0,L25*(1-VLOOKUP($A26,[1]Hugst!$R$5:$W$9,MATCH(ROUNDUP((M$1)/10,0)*10,[1]Hugst!$R$4:$W$4,0))))</f>
        <v>0</v>
      </c>
      <c r="N26" s="169">
        <f ca="1">IF($C26-N$1&lt;År1,0,M25*(1-VLOOKUP($A26,[1]Hugst!$R$5:$W$9,MATCH(ROUNDUP((N$1)/10,0)*10,[1]Hugst!$R$4:$W$4,0))))</f>
        <v>0</v>
      </c>
      <c r="O26" s="169">
        <f ca="1">IF($C26-O$1&lt;År1,0,N25*(1-VLOOKUP($A26,[1]Hugst!$R$5:$W$9,MATCH(ROUNDUP((O$1)/10,0)*10,[1]Hugst!$R$4:$W$4,0))))</f>
        <v>0</v>
      </c>
      <c r="P26" s="169">
        <f ca="1">IF($C26-P$1&lt;År1,0,O25*(1-VLOOKUP($A26,[1]Hugst!$R$5:$W$9,MATCH(ROUNDUP((P$1)/10,0)*10,[1]Hugst!$R$4:$W$4,0))))</f>
        <v>0</v>
      </c>
      <c r="Q26" s="169">
        <f ca="1">IF($C26-Q$1&lt;År1,0,P25*(1-VLOOKUP($A26,[1]Hugst!$R$5:$W$9,MATCH(ROUNDUP((Q$1)/10,0)*10,[1]Hugst!$R$4:$W$4,0))))</f>
        <v>0</v>
      </c>
      <c r="R26" s="169">
        <f ca="1">IF($C26-R$1&lt;År1,0,Q25*(1-VLOOKUP($A26,[1]Hugst!$R$5:$W$9,MATCH(ROUNDUP((R$1)/10,0)*10,[1]Hugst!$R$4:$W$4,0))))</f>
        <v>0</v>
      </c>
      <c r="S26" s="169">
        <f ca="1">IF($C26-S$1&lt;År1,0,R25*(1-VLOOKUP($A26,[1]Hugst!$R$5:$W$9,MATCH(ROUNDUP((S$1)/10,0)*10,[1]Hugst!$R$4:$W$4,0))))</f>
        <v>0</v>
      </c>
      <c r="T26" s="169">
        <f ca="1">IF($C26-T$1&lt;År1,0,S25*(1-VLOOKUP($A26,[1]Hugst!$R$5:$W$9,MATCH(ROUNDUP((T$1)/10,0)*10,[1]Hugst!$R$4:$W$4,0))))</f>
        <v>0</v>
      </c>
      <c r="U26" s="169">
        <f ca="1">IF($C26-U$1&lt;År1,0,T25*(1-VLOOKUP($A26,[1]Hugst!$R$5:$W$9,MATCH(ROUNDUP((U$1)/10,0)*10,[1]Hugst!$R$4:$W$4,0))))</f>
        <v>0</v>
      </c>
      <c r="V26" s="169">
        <f ca="1">IF($C26-V$1&lt;År1,0,U25*(1-VLOOKUP($A26,[1]Hugst!$R$5:$W$9,MATCH(ROUNDUP((V$1)/10,0)*10,[1]Hugst!$R$4:$W$4,0))))</f>
        <v>0</v>
      </c>
      <c r="W26" s="169">
        <f ca="1">IF($C26-W$1&lt;År1,0,V25*(1-VLOOKUP($A26,[1]Hugst!$R$5:$W$9,MATCH(ROUNDUP((W$1)/10,0)*10,[1]Hugst!$R$4:$W$4,0))))</f>
        <v>0</v>
      </c>
      <c r="X26" s="169">
        <f ca="1">IF($C26-X$1&lt;År1,0,W25*(1-VLOOKUP($A26,[1]Hugst!$R$5:$W$9,MATCH(ROUNDUP((X$1)/10,0)*10,[1]Hugst!$R$4:$W$4,0))))</f>
        <v>0</v>
      </c>
      <c r="Y26" s="169">
        <f ca="1">IF($C26-Y$1&lt;År1,0,X25*(1-VLOOKUP($A26,[1]Hugst!$R$5:$W$9,MATCH(ROUNDUP((Y$1)/10,0)*10,[1]Hugst!$R$4:$W$4,0))))</f>
        <v>0</v>
      </c>
      <c r="Z26" s="169">
        <f ca="1">IF($C26-Z$1&lt;År1,0,Y25*(1-VLOOKUP($A26,[1]Hugst!$R$5:$W$9,MATCH(ROUNDUP((Z$1)/10,0)*10,[1]Hugst!$R$4:$W$4,0))))</f>
        <v>0</v>
      </c>
      <c r="AA26" s="169">
        <f ca="1">IF($C26-AA$1&lt;År1,0,Z25*(1-VLOOKUP($A26,[1]Hugst!$R$5:$W$9,MATCH(ROUNDUP((AA$1)/10,0)*10,[1]Hugst!$R$4:$W$4,0))))</f>
        <v>0</v>
      </c>
      <c r="AB26" s="169">
        <f ca="1">IF($C26-AB$1&lt;År1,0,AA25*(1-VLOOKUP($A26,[1]Hugst!$R$5:$W$9,MATCH(ROUNDUP((AB$1)/10,0)*10,[1]Hugst!$R$4:$W$4,0))))</f>
        <v>0</v>
      </c>
      <c r="AC26" s="169">
        <f ca="1">IF($C26-AC$1&lt;År1,0,AB25*(1-VLOOKUP($A26,[1]Hugst!$R$5:$W$9,MATCH(ROUNDUP((AC$1)/10,0)*10,[1]Hugst!$R$4:$W$4,0))))</f>
        <v>0</v>
      </c>
      <c r="AD26" s="169">
        <f ca="1">IF($C26-AD$1&lt;År1,0,AC25*(1-VLOOKUP($A26,[1]Hugst!$R$5:$W$9,MATCH(ROUNDUP((AD$1)/10,0)*10,[1]Hugst!$R$4:$W$4,0))))</f>
        <v>0</v>
      </c>
      <c r="AE26" s="169">
        <f>IF($C26-AE$1&lt;År1,0,AD25*(1-VLOOKUP($A26,[1]Hugst!$R$5:$W$9,MATCH(ROUNDUP((AE$1)/10,0)*10,[1]Hugst!$R$4:$W$4,0))))</f>
        <v>0</v>
      </c>
      <c r="AF26" s="169">
        <f>IF($C26-AF$1&lt;År1,0,AE25*(1-VLOOKUP($A26,[1]Hugst!$R$5:$W$9,MATCH(ROUNDUP((AF$1)/10,0)*10,[1]Hugst!$R$4:$W$4,0))))</f>
        <v>0</v>
      </c>
      <c r="AG26" s="169">
        <f>IF($C26-AG$1&lt;År1,0,AF25*(1-VLOOKUP($A26,[1]Hugst!$R$5:$W$9,MATCH(ROUNDUP((AG$1)/10,0)*10,[1]Hugst!$R$4:$W$4,0))))</f>
        <v>0</v>
      </c>
      <c r="AH26" s="169">
        <f>IF($C26-AH$1&lt;År1,0,AG25*(1-VLOOKUP($A26,[1]Hugst!$R$5:$W$9,MATCH(ROUNDUP((AH$1)/10,0)*10,[1]Hugst!$R$4:$W$4,0))))</f>
        <v>0</v>
      </c>
      <c r="AI26" s="169">
        <f>IF($C26-AI$1&lt;År1,0,AH25*(1-VLOOKUP($A26,[1]Hugst!$R$5:$W$9,MATCH(ROUNDUP((AI$1)/10,0)*10,[1]Hugst!$R$4:$W$4,0))))</f>
        <v>0</v>
      </c>
      <c r="AJ26" s="169">
        <f>IF($C26-AJ$1&lt;År1,0,AI25*(1-VLOOKUP($A26,[1]Hugst!$R$5:$W$9,MATCH(ROUNDUP((AJ$1)/10,0)*10,[1]Hugst!$R$4:$W$4,0))))</f>
        <v>0</v>
      </c>
    </row>
    <row r="27" spans="1:38" s="169" customFormat="1" x14ac:dyDescent="0.25">
      <c r="A27" s="169" t="s">
        <v>176</v>
      </c>
      <c r="B27" s="169" t="s">
        <v>23</v>
      </c>
      <c r="C27" s="169">
        <v>2045</v>
      </c>
      <c r="D27" s="169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0</v>
      </c>
      <c r="E27" s="169">
        <f t="shared" ca="1" si="0"/>
        <v>0</v>
      </c>
      <c r="F27" s="169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 s="169">
        <f ca="1">IF($C27-G$1&lt;År1,0,F26*(1-VLOOKUP($A27,[1]Hugst!$R$5:$W$9,MATCH(ROUNDUP((G$1)/10,0)*10,[1]Hugst!$R$4:$W$4,0))))</f>
        <v>0</v>
      </c>
      <c r="H27" s="169">
        <f ca="1">IF($C27-H$1&lt;År1,0,G26*(1-VLOOKUP($A27,[1]Hugst!$R$5:$W$9,MATCH(ROUNDUP((H$1)/10,0)*10,[1]Hugst!$R$4:$W$4,0))))</f>
        <v>0</v>
      </c>
      <c r="I27" s="169">
        <f ca="1">IF($C27-I$1&lt;År1,0,H26*(1-VLOOKUP($A27,[1]Hugst!$R$5:$W$9,MATCH(ROUNDUP((I$1)/10,0)*10,[1]Hugst!$R$4:$W$4,0))))</f>
        <v>0</v>
      </c>
      <c r="J27" s="169">
        <f ca="1">IF($C27-J$1&lt;År1,0,I26*(1-VLOOKUP($A27,[1]Hugst!$R$5:$W$9,MATCH(ROUNDUP((J$1)/10,0)*10,[1]Hugst!$R$4:$W$4,0))))</f>
        <v>0</v>
      </c>
      <c r="K27" s="169">
        <f ca="1">IF($C27-K$1&lt;År1,0,J26*(1-VLOOKUP($A27,[1]Hugst!$R$5:$W$9,MATCH(ROUNDUP((K$1)/10,0)*10,[1]Hugst!$R$4:$W$4,0))))</f>
        <v>0</v>
      </c>
      <c r="L27" s="169">
        <f ca="1">IF($C27-L$1&lt;År1,0,K26*(1-VLOOKUP($A27,[1]Hugst!$R$5:$W$9,MATCH(ROUNDUP((L$1)/10,0)*10,[1]Hugst!$R$4:$W$4,0))))</f>
        <v>0</v>
      </c>
      <c r="M27" s="169">
        <f ca="1">IF($C27-M$1&lt;År1,0,L26*(1-VLOOKUP($A27,[1]Hugst!$R$5:$W$9,MATCH(ROUNDUP((M$1)/10,0)*10,[1]Hugst!$R$4:$W$4,0))))</f>
        <v>0</v>
      </c>
      <c r="N27" s="169">
        <f ca="1">IF($C27-N$1&lt;År1,0,M26*(1-VLOOKUP($A27,[1]Hugst!$R$5:$W$9,MATCH(ROUNDUP((N$1)/10,0)*10,[1]Hugst!$R$4:$W$4,0))))</f>
        <v>0</v>
      </c>
      <c r="O27" s="169">
        <f ca="1">IF($C27-O$1&lt;År1,0,N26*(1-VLOOKUP($A27,[1]Hugst!$R$5:$W$9,MATCH(ROUNDUP((O$1)/10,0)*10,[1]Hugst!$R$4:$W$4,0))))</f>
        <v>0</v>
      </c>
      <c r="P27" s="169">
        <f ca="1">IF($C27-P$1&lt;År1,0,O26*(1-VLOOKUP($A27,[1]Hugst!$R$5:$W$9,MATCH(ROUNDUP((P$1)/10,0)*10,[1]Hugst!$R$4:$W$4,0))))</f>
        <v>0</v>
      </c>
      <c r="Q27" s="169">
        <f ca="1">IF($C27-Q$1&lt;År1,0,P26*(1-VLOOKUP($A27,[1]Hugst!$R$5:$W$9,MATCH(ROUNDUP((Q$1)/10,0)*10,[1]Hugst!$R$4:$W$4,0))))</f>
        <v>0</v>
      </c>
      <c r="R27" s="169">
        <f ca="1">IF($C27-R$1&lt;År1,0,Q26*(1-VLOOKUP($A27,[1]Hugst!$R$5:$W$9,MATCH(ROUNDUP((R$1)/10,0)*10,[1]Hugst!$R$4:$W$4,0))))</f>
        <v>0</v>
      </c>
      <c r="S27" s="169">
        <f ca="1">IF($C27-S$1&lt;År1,0,R26*(1-VLOOKUP($A27,[1]Hugst!$R$5:$W$9,MATCH(ROUNDUP((S$1)/10,0)*10,[1]Hugst!$R$4:$W$4,0))))</f>
        <v>0</v>
      </c>
      <c r="T27" s="169">
        <f ca="1">IF($C27-T$1&lt;År1,0,S26*(1-VLOOKUP($A27,[1]Hugst!$R$5:$W$9,MATCH(ROUNDUP((T$1)/10,0)*10,[1]Hugst!$R$4:$W$4,0))))</f>
        <v>0</v>
      </c>
      <c r="U27" s="169">
        <f ca="1">IF($C27-U$1&lt;År1,0,T26*(1-VLOOKUP($A27,[1]Hugst!$R$5:$W$9,MATCH(ROUNDUP((U$1)/10,0)*10,[1]Hugst!$R$4:$W$4,0))))</f>
        <v>0</v>
      </c>
      <c r="V27" s="169">
        <f ca="1">IF($C27-V$1&lt;År1,0,U26*(1-VLOOKUP($A27,[1]Hugst!$R$5:$W$9,MATCH(ROUNDUP((V$1)/10,0)*10,[1]Hugst!$R$4:$W$4,0))))</f>
        <v>0</v>
      </c>
      <c r="W27" s="169">
        <f ca="1">IF($C27-W$1&lt;År1,0,V26*(1-VLOOKUP($A27,[1]Hugst!$R$5:$W$9,MATCH(ROUNDUP((W$1)/10,0)*10,[1]Hugst!$R$4:$W$4,0))))</f>
        <v>0</v>
      </c>
      <c r="X27" s="169">
        <f ca="1">IF($C27-X$1&lt;År1,0,W26*(1-VLOOKUP($A27,[1]Hugst!$R$5:$W$9,MATCH(ROUNDUP((X$1)/10,0)*10,[1]Hugst!$R$4:$W$4,0))))</f>
        <v>0</v>
      </c>
      <c r="Y27" s="169">
        <f ca="1">IF($C27-Y$1&lt;År1,0,X26*(1-VLOOKUP($A27,[1]Hugst!$R$5:$W$9,MATCH(ROUNDUP((Y$1)/10,0)*10,[1]Hugst!$R$4:$W$4,0))))</f>
        <v>0</v>
      </c>
      <c r="Z27" s="169">
        <f ca="1">IF($C27-Z$1&lt;År1,0,Y26*(1-VLOOKUP($A27,[1]Hugst!$R$5:$W$9,MATCH(ROUNDUP((Z$1)/10,0)*10,[1]Hugst!$R$4:$W$4,0))))</f>
        <v>0</v>
      </c>
      <c r="AA27" s="169">
        <f ca="1">IF($C27-AA$1&lt;År1,0,Z26*(1-VLOOKUP($A27,[1]Hugst!$R$5:$W$9,MATCH(ROUNDUP((AA$1)/10,0)*10,[1]Hugst!$R$4:$W$4,0))))</f>
        <v>0</v>
      </c>
      <c r="AB27" s="169">
        <f ca="1">IF($C27-AB$1&lt;År1,0,AA26*(1-VLOOKUP($A27,[1]Hugst!$R$5:$W$9,MATCH(ROUNDUP((AB$1)/10,0)*10,[1]Hugst!$R$4:$W$4,0))))</f>
        <v>0</v>
      </c>
      <c r="AC27" s="169">
        <f ca="1">IF($C27-AC$1&lt;År1,0,AB26*(1-VLOOKUP($A27,[1]Hugst!$R$5:$W$9,MATCH(ROUNDUP((AC$1)/10,0)*10,[1]Hugst!$R$4:$W$4,0))))</f>
        <v>0</v>
      </c>
      <c r="AD27" s="169">
        <f ca="1">IF($C27-AD$1&lt;År1,0,AC26*(1-VLOOKUP($A27,[1]Hugst!$R$5:$W$9,MATCH(ROUNDUP((AD$1)/10,0)*10,[1]Hugst!$R$4:$W$4,0))))</f>
        <v>0</v>
      </c>
      <c r="AE27" s="169">
        <f ca="1">IF($C27-AE$1&lt;År1,0,AD26*(1-VLOOKUP($A27,[1]Hugst!$R$5:$W$9,MATCH(ROUNDUP((AE$1)/10,0)*10,[1]Hugst!$R$4:$W$4,0))))</f>
        <v>0</v>
      </c>
      <c r="AF27" s="169">
        <f>IF($C27-AF$1&lt;År1,0,AE26*(1-VLOOKUP($A27,[1]Hugst!$R$5:$W$9,MATCH(ROUNDUP((AF$1)/10,0)*10,[1]Hugst!$R$4:$W$4,0))))</f>
        <v>0</v>
      </c>
      <c r="AG27" s="169">
        <f>IF($C27-AG$1&lt;År1,0,AF26*(1-VLOOKUP($A27,[1]Hugst!$R$5:$W$9,MATCH(ROUNDUP((AG$1)/10,0)*10,[1]Hugst!$R$4:$W$4,0))))</f>
        <v>0</v>
      </c>
      <c r="AH27" s="169">
        <f>IF($C27-AH$1&lt;År1,0,AG26*(1-VLOOKUP($A27,[1]Hugst!$R$5:$W$9,MATCH(ROUNDUP((AH$1)/10,0)*10,[1]Hugst!$R$4:$W$4,0))))</f>
        <v>0</v>
      </c>
      <c r="AI27" s="169">
        <f>IF($C27-AI$1&lt;År1,0,AH26*(1-VLOOKUP($A27,[1]Hugst!$R$5:$W$9,MATCH(ROUNDUP((AI$1)/10,0)*10,[1]Hugst!$R$4:$W$4,0))))</f>
        <v>0</v>
      </c>
      <c r="AJ27" s="169">
        <f>IF($C27-AJ$1&lt;År1,0,AI26*(1-VLOOKUP($A27,[1]Hugst!$R$5:$W$9,MATCH(ROUNDUP((AJ$1)/10,0)*10,[1]Hugst!$R$4:$W$4,0))))</f>
        <v>0</v>
      </c>
    </row>
    <row r="28" spans="1:38" s="169" customFormat="1" x14ac:dyDescent="0.25">
      <c r="A28" s="169" t="s">
        <v>176</v>
      </c>
      <c r="B28" s="169" t="s">
        <v>23</v>
      </c>
      <c r="C28" s="169">
        <v>2046</v>
      </c>
      <c r="D28" s="169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0</v>
      </c>
      <c r="E28" s="169">
        <f t="shared" ca="1" si="0"/>
        <v>0</v>
      </c>
      <c r="F28" s="169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 s="169">
        <f ca="1">IF($C28-G$1&lt;År1,0,F27*(1-VLOOKUP($A28,[1]Hugst!$R$5:$W$9,MATCH(ROUNDUP((G$1)/10,0)*10,[1]Hugst!$R$4:$W$4,0))))</f>
        <v>0</v>
      </c>
      <c r="H28" s="169">
        <f ca="1">IF($C28-H$1&lt;År1,0,G27*(1-VLOOKUP($A28,[1]Hugst!$R$5:$W$9,MATCH(ROUNDUP((H$1)/10,0)*10,[1]Hugst!$R$4:$W$4,0))))</f>
        <v>0</v>
      </c>
      <c r="I28" s="169">
        <f ca="1">IF($C28-I$1&lt;År1,0,H27*(1-VLOOKUP($A28,[1]Hugst!$R$5:$W$9,MATCH(ROUNDUP((I$1)/10,0)*10,[1]Hugst!$R$4:$W$4,0))))</f>
        <v>0</v>
      </c>
      <c r="J28" s="169">
        <f ca="1">IF($C28-J$1&lt;År1,0,I27*(1-VLOOKUP($A28,[1]Hugst!$R$5:$W$9,MATCH(ROUNDUP((J$1)/10,0)*10,[1]Hugst!$R$4:$W$4,0))))</f>
        <v>0</v>
      </c>
      <c r="K28" s="169">
        <f ca="1">IF($C28-K$1&lt;År1,0,J27*(1-VLOOKUP($A28,[1]Hugst!$R$5:$W$9,MATCH(ROUNDUP((K$1)/10,0)*10,[1]Hugst!$R$4:$W$4,0))))</f>
        <v>0</v>
      </c>
      <c r="L28" s="169">
        <f ca="1">IF($C28-L$1&lt;År1,0,K27*(1-VLOOKUP($A28,[1]Hugst!$R$5:$W$9,MATCH(ROUNDUP((L$1)/10,0)*10,[1]Hugst!$R$4:$W$4,0))))</f>
        <v>0</v>
      </c>
      <c r="M28" s="169">
        <f ca="1">IF($C28-M$1&lt;År1,0,L27*(1-VLOOKUP($A28,[1]Hugst!$R$5:$W$9,MATCH(ROUNDUP((M$1)/10,0)*10,[1]Hugst!$R$4:$W$4,0))))</f>
        <v>0</v>
      </c>
      <c r="N28" s="169">
        <f ca="1">IF($C28-N$1&lt;År1,0,M27*(1-VLOOKUP($A28,[1]Hugst!$R$5:$W$9,MATCH(ROUNDUP((N$1)/10,0)*10,[1]Hugst!$R$4:$W$4,0))))</f>
        <v>0</v>
      </c>
      <c r="O28" s="169">
        <f ca="1">IF($C28-O$1&lt;År1,0,N27*(1-VLOOKUP($A28,[1]Hugst!$R$5:$W$9,MATCH(ROUNDUP((O$1)/10,0)*10,[1]Hugst!$R$4:$W$4,0))))</f>
        <v>0</v>
      </c>
      <c r="P28" s="169">
        <f ca="1">IF($C28-P$1&lt;År1,0,O27*(1-VLOOKUP($A28,[1]Hugst!$R$5:$W$9,MATCH(ROUNDUP((P$1)/10,0)*10,[1]Hugst!$R$4:$W$4,0))))</f>
        <v>0</v>
      </c>
      <c r="Q28" s="169">
        <f ca="1">IF($C28-Q$1&lt;År1,0,P27*(1-VLOOKUP($A28,[1]Hugst!$R$5:$W$9,MATCH(ROUNDUP((Q$1)/10,0)*10,[1]Hugst!$R$4:$W$4,0))))</f>
        <v>0</v>
      </c>
      <c r="R28" s="169">
        <f ca="1">IF($C28-R$1&lt;År1,0,Q27*(1-VLOOKUP($A28,[1]Hugst!$R$5:$W$9,MATCH(ROUNDUP((R$1)/10,0)*10,[1]Hugst!$R$4:$W$4,0))))</f>
        <v>0</v>
      </c>
      <c r="S28" s="169">
        <f ca="1">IF($C28-S$1&lt;År1,0,R27*(1-VLOOKUP($A28,[1]Hugst!$R$5:$W$9,MATCH(ROUNDUP((S$1)/10,0)*10,[1]Hugst!$R$4:$W$4,0))))</f>
        <v>0</v>
      </c>
      <c r="T28" s="169">
        <f ca="1">IF($C28-T$1&lt;År1,0,S27*(1-VLOOKUP($A28,[1]Hugst!$R$5:$W$9,MATCH(ROUNDUP((T$1)/10,0)*10,[1]Hugst!$R$4:$W$4,0))))</f>
        <v>0</v>
      </c>
      <c r="U28" s="169">
        <f ca="1">IF($C28-U$1&lt;År1,0,T27*(1-VLOOKUP($A28,[1]Hugst!$R$5:$W$9,MATCH(ROUNDUP((U$1)/10,0)*10,[1]Hugst!$R$4:$W$4,0))))</f>
        <v>0</v>
      </c>
      <c r="V28" s="169">
        <f ca="1">IF($C28-V$1&lt;År1,0,U27*(1-VLOOKUP($A28,[1]Hugst!$R$5:$W$9,MATCH(ROUNDUP((V$1)/10,0)*10,[1]Hugst!$R$4:$W$4,0))))</f>
        <v>0</v>
      </c>
      <c r="W28" s="169">
        <f ca="1">IF($C28-W$1&lt;År1,0,V27*(1-VLOOKUP($A28,[1]Hugst!$R$5:$W$9,MATCH(ROUNDUP((W$1)/10,0)*10,[1]Hugst!$R$4:$W$4,0))))</f>
        <v>0</v>
      </c>
      <c r="X28" s="169">
        <f ca="1">IF($C28-X$1&lt;År1,0,W27*(1-VLOOKUP($A28,[1]Hugst!$R$5:$W$9,MATCH(ROUNDUP((X$1)/10,0)*10,[1]Hugst!$R$4:$W$4,0))))</f>
        <v>0</v>
      </c>
      <c r="Y28" s="169">
        <f ca="1">IF($C28-Y$1&lt;År1,0,X27*(1-VLOOKUP($A28,[1]Hugst!$R$5:$W$9,MATCH(ROUNDUP((Y$1)/10,0)*10,[1]Hugst!$R$4:$W$4,0))))</f>
        <v>0</v>
      </c>
      <c r="Z28" s="169">
        <f ca="1">IF($C28-Z$1&lt;År1,0,Y27*(1-VLOOKUP($A28,[1]Hugst!$R$5:$W$9,MATCH(ROUNDUP((Z$1)/10,0)*10,[1]Hugst!$R$4:$W$4,0))))</f>
        <v>0</v>
      </c>
      <c r="AA28" s="169">
        <f ca="1">IF($C28-AA$1&lt;År1,0,Z27*(1-VLOOKUP($A28,[1]Hugst!$R$5:$W$9,MATCH(ROUNDUP((AA$1)/10,0)*10,[1]Hugst!$R$4:$W$4,0))))</f>
        <v>0</v>
      </c>
      <c r="AB28" s="169">
        <f ca="1">IF($C28-AB$1&lt;År1,0,AA27*(1-VLOOKUP($A28,[1]Hugst!$R$5:$W$9,MATCH(ROUNDUP((AB$1)/10,0)*10,[1]Hugst!$R$4:$W$4,0))))</f>
        <v>0</v>
      </c>
      <c r="AC28" s="169">
        <f ca="1">IF($C28-AC$1&lt;År1,0,AB27*(1-VLOOKUP($A28,[1]Hugst!$R$5:$W$9,MATCH(ROUNDUP((AC$1)/10,0)*10,[1]Hugst!$R$4:$W$4,0))))</f>
        <v>0</v>
      </c>
      <c r="AD28" s="169">
        <f ca="1">IF($C28-AD$1&lt;År1,0,AC27*(1-VLOOKUP($A28,[1]Hugst!$R$5:$W$9,MATCH(ROUNDUP((AD$1)/10,0)*10,[1]Hugst!$R$4:$W$4,0))))</f>
        <v>0</v>
      </c>
      <c r="AE28" s="169">
        <f ca="1">IF($C28-AE$1&lt;År1,0,AD27*(1-VLOOKUP($A28,[1]Hugst!$R$5:$W$9,MATCH(ROUNDUP((AE$1)/10,0)*10,[1]Hugst!$R$4:$W$4,0))))</f>
        <v>0</v>
      </c>
      <c r="AF28" s="169">
        <f ca="1">IF($C28-AF$1&lt;År1,0,AE27*(1-VLOOKUP($A28,[1]Hugst!$R$5:$W$9,MATCH(ROUNDUP((AF$1)/10,0)*10,[1]Hugst!$R$4:$W$4,0))))</f>
        <v>0</v>
      </c>
      <c r="AG28" s="169">
        <f>IF($C28-AG$1&lt;År1,0,AF27*(1-VLOOKUP($A28,[1]Hugst!$R$5:$W$9,MATCH(ROUNDUP((AG$1)/10,0)*10,[1]Hugst!$R$4:$W$4,0))))</f>
        <v>0</v>
      </c>
      <c r="AH28" s="169">
        <f>IF($C28-AH$1&lt;År1,0,AG27*(1-VLOOKUP($A28,[1]Hugst!$R$5:$W$9,MATCH(ROUNDUP((AH$1)/10,0)*10,[1]Hugst!$R$4:$W$4,0))))</f>
        <v>0</v>
      </c>
      <c r="AI28" s="169">
        <f>IF($C28-AI$1&lt;År1,0,AH27*(1-VLOOKUP($A28,[1]Hugst!$R$5:$W$9,MATCH(ROUNDUP((AI$1)/10,0)*10,[1]Hugst!$R$4:$W$4,0))))</f>
        <v>0</v>
      </c>
      <c r="AJ28" s="169">
        <f>IF($C28-AJ$1&lt;År1,0,AI27*(1-VLOOKUP($A28,[1]Hugst!$R$5:$W$9,MATCH(ROUNDUP((AJ$1)/10,0)*10,[1]Hugst!$R$4:$W$4,0))))</f>
        <v>0</v>
      </c>
    </row>
    <row r="29" spans="1:38" s="169" customFormat="1" x14ac:dyDescent="0.25">
      <c r="A29" s="169" t="s">
        <v>176</v>
      </c>
      <c r="B29" s="169" t="s">
        <v>23</v>
      </c>
      <c r="C29" s="169">
        <v>2047</v>
      </c>
      <c r="D29" s="169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0</v>
      </c>
      <c r="E29" s="169">
        <f t="shared" ca="1" si="0"/>
        <v>0</v>
      </c>
      <c r="F29" s="169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 s="169">
        <f ca="1">IF($C29-G$1&lt;År1,0,F28*(1-VLOOKUP($A29,[1]Hugst!$R$5:$W$9,MATCH(ROUNDUP((G$1)/10,0)*10,[1]Hugst!$R$4:$W$4,0))))</f>
        <v>0</v>
      </c>
      <c r="H29" s="169">
        <f ca="1">IF($C29-H$1&lt;År1,0,G28*(1-VLOOKUP($A29,[1]Hugst!$R$5:$W$9,MATCH(ROUNDUP((H$1)/10,0)*10,[1]Hugst!$R$4:$W$4,0))))</f>
        <v>0</v>
      </c>
      <c r="I29" s="169">
        <f ca="1">IF($C29-I$1&lt;År1,0,H28*(1-VLOOKUP($A29,[1]Hugst!$R$5:$W$9,MATCH(ROUNDUP((I$1)/10,0)*10,[1]Hugst!$R$4:$W$4,0))))</f>
        <v>0</v>
      </c>
      <c r="J29" s="169">
        <f ca="1">IF($C29-J$1&lt;År1,0,I28*(1-VLOOKUP($A29,[1]Hugst!$R$5:$W$9,MATCH(ROUNDUP((J$1)/10,0)*10,[1]Hugst!$R$4:$W$4,0))))</f>
        <v>0</v>
      </c>
      <c r="K29" s="169">
        <f ca="1">IF($C29-K$1&lt;År1,0,J28*(1-VLOOKUP($A29,[1]Hugst!$R$5:$W$9,MATCH(ROUNDUP((K$1)/10,0)*10,[1]Hugst!$R$4:$W$4,0))))</f>
        <v>0</v>
      </c>
      <c r="L29" s="169">
        <f ca="1">IF($C29-L$1&lt;År1,0,K28*(1-VLOOKUP($A29,[1]Hugst!$R$5:$W$9,MATCH(ROUNDUP((L$1)/10,0)*10,[1]Hugst!$R$4:$W$4,0))))</f>
        <v>0</v>
      </c>
      <c r="M29" s="169">
        <f ca="1">IF($C29-M$1&lt;År1,0,L28*(1-VLOOKUP($A29,[1]Hugst!$R$5:$W$9,MATCH(ROUNDUP((M$1)/10,0)*10,[1]Hugst!$R$4:$W$4,0))))</f>
        <v>0</v>
      </c>
      <c r="N29" s="169">
        <f ca="1">IF($C29-N$1&lt;År1,0,M28*(1-VLOOKUP($A29,[1]Hugst!$R$5:$W$9,MATCH(ROUNDUP((N$1)/10,0)*10,[1]Hugst!$R$4:$W$4,0))))</f>
        <v>0</v>
      </c>
      <c r="O29" s="169">
        <f ca="1">IF($C29-O$1&lt;År1,0,N28*(1-VLOOKUP($A29,[1]Hugst!$R$5:$W$9,MATCH(ROUNDUP((O$1)/10,0)*10,[1]Hugst!$R$4:$W$4,0))))</f>
        <v>0</v>
      </c>
      <c r="P29" s="169">
        <f ca="1">IF($C29-P$1&lt;År1,0,O28*(1-VLOOKUP($A29,[1]Hugst!$R$5:$W$9,MATCH(ROUNDUP((P$1)/10,0)*10,[1]Hugst!$R$4:$W$4,0))))</f>
        <v>0</v>
      </c>
      <c r="Q29" s="169">
        <f ca="1">IF($C29-Q$1&lt;År1,0,P28*(1-VLOOKUP($A29,[1]Hugst!$R$5:$W$9,MATCH(ROUNDUP((Q$1)/10,0)*10,[1]Hugst!$R$4:$W$4,0))))</f>
        <v>0</v>
      </c>
      <c r="R29" s="169">
        <f ca="1">IF($C29-R$1&lt;År1,0,Q28*(1-VLOOKUP($A29,[1]Hugst!$R$5:$W$9,MATCH(ROUNDUP((R$1)/10,0)*10,[1]Hugst!$R$4:$W$4,0))))</f>
        <v>0</v>
      </c>
      <c r="S29" s="169">
        <f ca="1">IF($C29-S$1&lt;År1,0,R28*(1-VLOOKUP($A29,[1]Hugst!$R$5:$W$9,MATCH(ROUNDUP((S$1)/10,0)*10,[1]Hugst!$R$4:$W$4,0))))</f>
        <v>0</v>
      </c>
      <c r="T29" s="169">
        <f ca="1">IF($C29-T$1&lt;År1,0,S28*(1-VLOOKUP($A29,[1]Hugst!$R$5:$W$9,MATCH(ROUNDUP((T$1)/10,0)*10,[1]Hugst!$R$4:$W$4,0))))</f>
        <v>0</v>
      </c>
      <c r="U29" s="169">
        <f ca="1">IF($C29-U$1&lt;År1,0,T28*(1-VLOOKUP($A29,[1]Hugst!$R$5:$W$9,MATCH(ROUNDUP((U$1)/10,0)*10,[1]Hugst!$R$4:$W$4,0))))</f>
        <v>0</v>
      </c>
      <c r="V29" s="169">
        <f ca="1">IF($C29-V$1&lt;År1,0,U28*(1-VLOOKUP($A29,[1]Hugst!$R$5:$W$9,MATCH(ROUNDUP((V$1)/10,0)*10,[1]Hugst!$R$4:$W$4,0))))</f>
        <v>0</v>
      </c>
      <c r="W29" s="169">
        <f ca="1">IF($C29-W$1&lt;År1,0,V28*(1-VLOOKUP($A29,[1]Hugst!$R$5:$W$9,MATCH(ROUNDUP((W$1)/10,0)*10,[1]Hugst!$R$4:$W$4,0))))</f>
        <v>0</v>
      </c>
      <c r="X29" s="169">
        <f ca="1">IF($C29-X$1&lt;År1,0,W28*(1-VLOOKUP($A29,[1]Hugst!$R$5:$W$9,MATCH(ROUNDUP((X$1)/10,0)*10,[1]Hugst!$R$4:$W$4,0))))</f>
        <v>0</v>
      </c>
      <c r="Y29" s="169">
        <f ca="1">IF($C29-Y$1&lt;År1,0,X28*(1-VLOOKUP($A29,[1]Hugst!$R$5:$W$9,MATCH(ROUNDUP((Y$1)/10,0)*10,[1]Hugst!$R$4:$W$4,0))))</f>
        <v>0</v>
      </c>
      <c r="Z29" s="169">
        <f ca="1">IF($C29-Z$1&lt;År1,0,Y28*(1-VLOOKUP($A29,[1]Hugst!$R$5:$W$9,MATCH(ROUNDUP((Z$1)/10,0)*10,[1]Hugst!$R$4:$W$4,0))))</f>
        <v>0</v>
      </c>
      <c r="AA29" s="169">
        <f ca="1">IF($C29-AA$1&lt;År1,0,Z28*(1-VLOOKUP($A29,[1]Hugst!$R$5:$W$9,MATCH(ROUNDUP((AA$1)/10,0)*10,[1]Hugst!$R$4:$W$4,0))))</f>
        <v>0</v>
      </c>
      <c r="AB29" s="169">
        <f ca="1">IF($C29-AB$1&lt;År1,0,AA28*(1-VLOOKUP($A29,[1]Hugst!$R$5:$W$9,MATCH(ROUNDUP((AB$1)/10,0)*10,[1]Hugst!$R$4:$W$4,0))))</f>
        <v>0</v>
      </c>
      <c r="AC29" s="169">
        <f ca="1">IF($C29-AC$1&lt;År1,0,AB28*(1-VLOOKUP($A29,[1]Hugst!$R$5:$W$9,MATCH(ROUNDUP((AC$1)/10,0)*10,[1]Hugst!$R$4:$W$4,0))))</f>
        <v>0</v>
      </c>
      <c r="AD29" s="169">
        <f ca="1">IF($C29-AD$1&lt;År1,0,AC28*(1-VLOOKUP($A29,[1]Hugst!$R$5:$W$9,MATCH(ROUNDUP((AD$1)/10,0)*10,[1]Hugst!$R$4:$W$4,0))))</f>
        <v>0</v>
      </c>
      <c r="AE29" s="169">
        <f ca="1">IF($C29-AE$1&lt;År1,0,AD28*(1-VLOOKUP($A29,[1]Hugst!$R$5:$W$9,MATCH(ROUNDUP((AE$1)/10,0)*10,[1]Hugst!$R$4:$W$4,0))))</f>
        <v>0</v>
      </c>
      <c r="AF29" s="169">
        <f ca="1">IF($C29-AF$1&lt;År1,0,AE28*(1-VLOOKUP($A29,[1]Hugst!$R$5:$W$9,MATCH(ROUNDUP((AF$1)/10,0)*10,[1]Hugst!$R$4:$W$4,0))))</f>
        <v>0</v>
      </c>
      <c r="AG29" s="169">
        <f ca="1">IF($C29-AG$1&lt;År1,0,AF28*(1-VLOOKUP($A29,[1]Hugst!$R$5:$W$9,MATCH(ROUNDUP((AG$1)/10,0)*10,[1]Hugst!$R$4:$W$4,0))))</f>
        <v>0</v>
      </c>
      <c r="AH29" s="169">
        <f>IF($C29-AH$1&lt;År1,0,AG28*(1-VLOOKUP($A29,[1]Hugst!$R$5:$W$9,MATCH(ROUNDUP((AH$1)/10,0)*10,[1]Hugst!$R$4:$W$4,0))))</f>
        <v>0</v>
      </c>
      <c r="AI29" s="169">
        <f>IF($C29-AI$1&lt;År1,0,AH28*(1-VLOOKUP($A29,[1]Hugst!$R$5:$W$9,MATCH(ROUNDUP((AI$1)/10,0)*10,[1]Hugst!$R$4:$W$4,0))))</f>
        <v>0</v>
      </c>
      <c r="AJ29" s="169">
        <f>IF($C29-AJ$1&lt;År1,0,AI28*(1-VLOOKUP($A29,[1]Hugst!$R$5:$W$9,MATCH(ROUNDUP((AJ$1)/10,0)*10,[1]Hugst!$R$4:$W$4,0))))</f>
        <v>0</v>
      </c>
    </row>
    <row r="30" spans="1:38" s="169" customFormat="1" x14ac:dyDescent="0.25">
      <c r="A30" s="169" t="s">
        <v>176</v>
      </c>
      <c r="B30" s="169" t="s">
        <v>23</v>
      </c>
      <c r="C30" s="169">
        <v>2048</v>
      </c>
      <c r="D30" s="169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0</v>
      </c>
      <c r="E30" s="169">
        <f t="shared" ca="1" si="0"/>
        <v>0</v>
      </c>
      <c r="F30" s="169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 s="169">
        <f ca="1">IF($C30-G$1&lt;År1,0,F29*(1-VLOOKUP($A30,[1]Hugst!$R$5:$W$9,MATCH(ROUNDUP((G$1)/10,0)*10,[1]Hugst!$R$4:$W$4,0))))</f>
        <v>0</v>
      </c>
      <c r="H30" s="169">
        <f ca="1">IF($C30-H$1&lt;År1,0,G29*(1-VLOOKUP($A30,[1]Hugst!$R$5:$W$9,MATCH(ROUNDUP((H$1)/10,0)*10,[1]Hugst!$R$4:$W$4,0))))</f>
        <v>0</v>
      </c>
      <c r="I30" s="169">
        <f ca="1">IF($C30-I$1&lt;År1,0,H29*(1-VLOOKUP($A30,[1]Hugst!$R$5:$W$9,MATCH(ROUNDUP((I$1)/10,0)*10,[1]Hugst!$R$4:$W$4,0))))</f>
        <v>0</v>
      </c>
      <c r="J30" s="169">
        <f ca="1">IF($C30-J$1&lt;År1,0,I29*(1-VLOOKUP($A30,[1]Hugst!$R$5:$W$9,MATCH(ROUNDUP((J$1)/10,0)*10,[1]Hugst!$R$4:$W$4,0))))</f>
        <v>0</v>
      </c>
      <c r="K30" s="169">
        <f ca="1">IF($C30-K$1&lt;År1,0,J29*(1-VLOOKUP($A30,[1]Hugst!$R$5:$W$9,MATCH(ROUNDUP((K$1)/10,0)*10,[1]Hugst!$R$4:$W$4,0))))</f>
        <v>0</v>
      </c>
      <c r="L30" s="169">
        <f ca="1">IF($C30-L$1&lt;År1,0,K29*(1-VLOOKUP($A30,[1]Hugst!$R$5:$W$9,MATCH(ROUNDUP((L$1)/10,0)*10,[1]Hugst!$R$4:$W$4,0))))</f>
        <v>0</v>
      </c>
      <c r="M30" s="169">
        <f ca="1">IF($C30-M$1&lt;År1,0,L29*(1-VLOOKUP($A30,[1]Hugst!$R$5:$W$9,MATCH(ROUNDUP((M$1)/10,0)*10,[1]Hugst!$R$4:$W$4,0))))</f>
        <v>0</v>
      </c>
      <c r="N30" s="169">
        <f ca="1">IF($C30-N$1&lt;År1,0,M29*(1-VLOOKUP($A30,[1]Hugst!$R$5:$W$9,MATCH(ROUNDUP((N$1)/10,0)*10,[1]Hugst!$R$4:$W$4,0))))</f>
        <v>0</v>
      </c>
      <c r="O30" s="169">
        <f ca="1">IF($C30-O$1&lt;År1,0,N29*(1-VLOOKUP($A30,[1]Hugst!$R$5:$W$9,MATCH(ROUNDUP((O$1)/10,0)*10,[1]Hugst!$R$4:$W$4,0))))</f>
        <v>0</v>
      </c>
      <c r="P30" s="169">
        <f ca="1">IF($C30-P$1&lt;År1,0,O29*(1-VLOOKUP($A30,[1]Hugst!$R$5:$W$9,MATCH(ROUNDUP((P$1)/10,0)*10,[1]Hugst!$R$4:$W$4,0))))</f>
        <v>0</v>
      </c>
      <c r="Q30" s="169">
        <f ca="1">IF($C30-Q$1&lt;År1,0,P29*(1-VLOOKUP($A30,[1]Hugst!$R$5:$W$9,MATCH(ROUNDUP((Q$1)/10,0)*10,[1]Hugst!$R$4:$W$4,0))))</f>
        <v>0</v>
      </c>
      <c r="R30" s="169">
        <f ca="1">IF($C30-R$1&lt;År1,0,Q29*(1-VLOOKUP($A30,[1]Hugst!$R$5:$W$9,MATCH(ROUNDUP((R$1)/10,0)*10,[1]Hugst!$R$4:$W$4,0))))</f>
        <v>0</v>
      </c>
      <c r="S30" s="169">
        <f ca="1">IF($C30-S$1&lt;År1,0,R29*(1-VLOOKUP($A30,[1]Hugst!$R$5:$W$9,MATCH(ROUNDUP((S$1)/10,0)*10,[1]Hugst!$R$4:$W$4,0))))</f>
        <v>0</v>
      </c>
      <c r="T30" s="169">
        <f ca="1">IF($C30-T$1&lt;År1,0,S29*(1-VLOOKUP($A30,[1]Hugst!$R$5:$W$9,MATCH(ROUNDUP((T$1)/10,0)*10,[1]Hugst!$R$4:$W$4,0))))</f>
        <v>0</v>
      </c>
      <c r="U30" s="169">
        <f ca="1">IF($C30-U$1&lt;År1,0,T29*(1-VLOOKUP($A30,[1]Hugst!$R$5:$W$9,MATCH(ROUNDUP((U$1)/10,0)*10,[1]Hugst!$R$4:$W$4,0))))</f>
        <v>0</v>
      </c>
      <c r="V30" s="169">
        <f ca="1">IF($C30-V$1&lt;År1,0,U29*(1-VLOOKUP($A30,[1]Hugst!$R$5:$W$9,MATCH(ROUNDUP((V$1)/10,0)*10,[1]Hugst!$R$4:$W$4,0))))</f>
        <v>0</v>
      </c>
      <c r="W30" s="169">
        <f ca="1">IF($C30-W$1&lt;År1,0,V29*(1-VLOOKUP($A30,[1]Hugst!$R$5:$W$9,MATCH(ROUNDUP((W$1)/10,0)*10,[1]Hugst!$R$4:$W$4,0))))</f>
        <v>0</v>
      </c>
      <c r="X30" s="169">
        <f ca="1">IF($C30-X$1&lt;År1,0,W29*(1-VLOOKUP($A30,[1]Hugst!$R$5:$W$9,MATCH(ROUNDUP((X$1)/10,0)*10,[1]Hugst!$R$4:$W$4,0))))</f>
        <v>0</v>
      </c>
      <c r="Y30" s="169">
        <f ca="1">IF($C30-Y$1&lt;År1,0,X29*(1-VLOOKUP($A30,[1]Hugst!$R$5:$W$9,MATCH(ROUNDUP((Y$1)/10,0)*10,[1]Hugst!$R$4:$W$4,0))))</f>
        <v>0</v>
      </c>
      <c r="Z30" s="169">
        <f ca="1">IF($C30-Z$1&lt;År1,0,Y29*(1-VLOOKUP($A30,[1]Hugst!$R$5:$W$9,MATCH(ROUNDUP((Z$1)/10,0)*10,[1]Hugst!$R$4:$W$4,0))))</f>
        <v>0</v>
      </c>
      <c r="AA30" s="169">
        <f ca="1">IF($C30-AA$1&lt;År1,0,Z29*(1-VLOOKUP($A30,[1]Hugst!$R$5:$W$9,MATCH(ROUNDUP((AA$1)/10,0)*10,[1]Hugst!$R$4:$W$4,0))))</f>
        <v>0</v>
      </c>
      <c r="AB30" s="169">
        <f ca="1">IF($C30-AB$1&lt;År1,0,AA29*(1-VLOOKUP($A30,[1]Hugst!$R$5:$W$9,MATCH(ROUNDUP((AB$1)/10,0)*10,[1]Hugst!$R$4:$W$4,0))))</f>
        <v>0</v>
      </c>
      <c r="AC30" s="169">
        <f ca="1">IF($C30-AC$1&lt;År1,0,AB29*(1-VLOOKUP($A30,[1]Hugst!$R$5:$W$9,MATCH(ROUNDUP((AC$1)/10,0)*10,[1]Hugst!$R$4:$W$4,0))))</f>
        <v>0</v>
      </c>
      <c r="AD30" s="169">
        <f ca="1">IF($C30-AD$1&lt;År1,0,AC29*(1-VLOOKUP($A30,[1]Hugst!$R$5:$W$9,MATCH(ROUNDUP((AD$1)/10,0)*10,[1]Hugst!$R$4:$W$4,0))))</f>
        <v>0</v>
      </c>
      <c r="AE30" s="169">
        <f ca="1">IF($C30-AE$1&lt;År1,0,AD29*(1-VLOOKUP($A30,[1]Hugst!$R$5:$W$9,MATCH(ROUNDUP((AE$1)/10,0)*10,[1]Hugst!$R$4:$W$4,0))))</f>
        <v>0</v>
      </c>
      <c r="AF30" s="169">
        <f ca="1">IF($C30-AF$1&lt;År1,0,AE29*(1-VLOOKUP($A30,[1]Hugst!$R$5:$W$9,MATCH(ROUNDUP((AF$1)/10,0)*10,[1]Hugst!$R$4:$W$4,0))))</f>
        <v>0</v>
      </c>
      <c r="AG30" s="169">
        <f ca="1">IF($C30-AG$1&lt;År1,0,AF29*(1-VLOOKUP($A30,[1]Hugst!$R$5:$W$9,MATCH(ROUNDUP((AG$1)/10,0)*10,[1]Hugst!$R$4:$W$4,0))))</f>
        <v>0</v>
      </c>
      <c r="AH30" s="169">
        <f ca="1">IF($C30-AH$1&lt;År1,0,AG29*(1-VLOOKUP($A30,[1]Hugst!$R$5:$W$9,MATCH(ROUNDUP((AH$1)/10,0)*10,[1]Hugst!$R$4:$W$4,0))))</f>
        <v>0</v>
      </c>
      <c r="AI30" s="169">
        <f>IF($C30-AI$1&lt;År1,0,AH29*(1-VLOOKUP($A30,[1]Hugst!$R$5:$W$9,MATCH(ROUNDUP((AI$1)/10,0)*10,[1]Hugst!$R$4:$W$4,0))))</f>
        <v>0</v>
      </c>
      <c r="AJ30" s="169">
        <f>IF($C30-AJ$1&lt;År1,0,AI29*(1-VLOOKUP($A30,[1]Hugst!$R$5:$W$9,MATCH(ROUNDUP((AJ$1)/10,0)*10,[1]Hugst!$R$4:$W$4,0))))</f>
        <v>0</v>
      </c>
    </row>
    <row r="31" spans="1:38" s="169" customFormat="1" x14ac:dyDescent="0.25">
      <c r="A31" s="169" t="s">
        <v>176</v>
      </c>
      <c r="B31" s="169" t="s">
        <v>23</v>
      </c>
      <c r="C31" s="169">
        <v>2049</v>
      </c>
      <c r="D31" s="169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0</v>
      </c>
      <c r="E31" s="169">
        <f t="shared" ca="1" si="0"/>
        <v>0</v>
      </c>
      <c r="F31" s="169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 s="169">
        <f ca="1">IF($C31-G$1&lt;År1,0,F30*(1-VLOOKUP($A31,[1]Hugst!$R$5:$W$9,MATCH(ROUNDUP((G$1)/10,0)*10,[1]Hugst!$R$4:$W$4,0))))</f>
        <v>0</v>
      </c>
      <c r="H31" s="169">
        <f ca="1">IF($C31-H$1&lt;År1,0,G30*(1-VLOOKUP($A31,[1]Hugst!$R$5:$W$9,MATCH(ROUNDUP((H$1)/10,0)*10,[1]Hugst!$R$4:$W$4,0))))</f>
        <v>0</v>
      </c>
      <c r="I31" s="169">
        <f ca="1">IF($C31-I$1&lt;År1,0,H30*(1-VLOOKUP($A31,[1]Hugst!$R$5:$W$9,MATCH(ROUNDUP((I$1)/10,0)*10,[1]Hugst!$R$4:$W$4,0))))</f>
        <v>0</v>
      </c>
      <c r="J31" s="169">
        <f ca="1">IF($C31-J$1&lt;År1,0,I30*(1-VLOOKUP($A31,[1]Hugst!$R$5:$W$9,MATCH(ROUNDUP((J$1)/10,0)*10,[1]Hugst!$R$4:$W$4,0))))</f>
        <v>0</v>
      </c>
      <c r="K31" s="169">
        <f ca="1">IF($C31-K$1&lt;År1,0,J30*(1-VLOOKUP($A31,[1]Hugst!$R$5:$W$9,MATCH(ROUNDUP((K$1)/10,0)*10,[1]Hugst!$R$4:$W$4,0))))</f>
        <v>0</v>
      </c>
      <c r="L31" s="169">
        <f ca="1">IF($C31-L$1&lt;År1,0,K30*(1-VLOOKUP($A31,[1]Hugst!$R$5:$W$9,MATCH(ROUNDUP((L$1)/10,0)*10,[1]Hugst!$R$4:$W$4,0))))</f>
        <v>0</v>
      </c>
      <c r="M31" s="169">
        <f ca="1">IF($C31-M$1&lt;År1,0,L30*(1-VLOOKUP($A31,[1]Hugst!$R$5:$W$9,MATCH(ROUNDUP((M$1)/10,0)*10,[1]Hugst!$R$4:$W$4,0))))</f>
        <v>0</v>
      </c>
      <c r="N31" s="169">
        <f ca="1">IF($C31-N$1&lt;År1,0,M30*(1-VLOOKUP($A31,[1]Hugst!$R$5:$W$9,MATCH(ROUNDUP((N$1)/10,0)*10,[1]Hugst!$R$4:$W$4,0))))</f>
        <v>0</v>
      </c>
      <c r="O31" s="169">
        <f ca="1">IF($C31-O$1&lt;År1,0,N30*(1-VLOOKUP($A31,[1]Hugst!$R$5:$W$9,MATCH(ROUNDUP((O$1)/10,0)*10,[1]Hugst!$R$4:$W$4,0))))</f>
        <v>0</v>
      </c>
      <c r="P31" s="169">
        <f ca="1">IF($C31-P$1&lt;År1,0,O30*(1-VLOOKUP($A31,[1]Hugst!$R$5:$W$9,MATCH(ROUNDUP((P$1)/10,0)*10,[1]Hugst!$R$4:$W$4,0))))</f>
        <v>0</v>
      </c>
      <c r="Q31" s="169">
        <f ca="1">IF($C31-Q$1&lt;År1,0,P30*(1-VLOOKUP($A31,[1]Hugst!$R$5:$W$9,MATCH(ROUNDUP((Q$1)/10,0)*10,[1]Hugst!$R$4:$W$4,0))))</f>
        <v>0</v>
      </c>
      <c r="R31" s="169">
        <f ca="1">IF($C31-R$1&lt;År1,0,Q30*(1-VLOOKUP($A31,[1]Hugst!$R$5:$W$9,MATCH(ROUNDUP((R$1)/10,0)*10,[1]Hugst!$R$4:$W$4,0))))</f>
        <v>0</v>
      </c>
      <c r="S31" s="169">
        <f ca="1">IF($C31-S$1&lt;År1,0,R30*(1-VLOOKUP($A31,[1]Hugst!$R$5:$W$9,MATCH(ROUNDUP((S$1)/10,0)*10,[1]Hugst!$R$4:$W$4,0))))</f>
        <v>0</v>
      </c>
      <c r="T31" s="169">
        <f ca="1">IF($C31-T$1&lt;År1,0,S30*(1-VLOOKUP($A31,[1]Hugst!$R$5:$W$9,MATCH(ROUNDUP((T$1)/10,0)*10,[1]Hugst!$R$4:$W$4,0))))</f>
        <v>0</v>
      </c>
      <c r="U31" s="169">
        <f ca="1">IF($C31-U$1&lt;År1,0,T30*(1-VLOOKUP($A31,[1]Hugst!$R$5:$W$9,MATCH(ROUNDUP((U$1)/10,0)*10,[1]Hugst!$R$4:$W$4,0))))</f>
        <v>0</v>
      </c>
      <c r="V31" s="169">
        <f ca="1">IF($C31-V$1&lt;År1,0,U30*(1-VLOOKUP($A31,[1]Hugst!$R$5:$W$9,MATCH(ROUNDUP((V$1)/10,0)*10,[1]Hugst!$R$4:$W$4,0))))</f>
        <v>0</v>
      </c>
      <c r="W31" s="169">
        <f ca="1">IF($C31-W$1&lt;År1,0,V30*(1-VLOOKUP($A31,[1]Hugst!$R$5:$W$9,MATCH(ROUNDUP((W$1)/10,0)*10,[1]Hugst!$R$4:$W$4,0))))</f>
        <v>0</v>
      </c>
      <c r="X31" s="169">
        <f ca="1">IF($C31-X$1&lt;År1,0,W30*(1-VLOOKUP($A31,[1]Hugst!$R$5:$W$9,MATCH(ROUNDUP((X$1)/10,0)*10,[1]Hugst!$R$4:$W$4,0))))</f>
        <v>0</v>
      </c>
      <c r="Y31" s="169">
        <f ca="1">IF($C31-Y$1&lt;År1,0,X30*(1-VLOOKUP($A31,[1]Hugst!$R$5:$W$9,MATCH(ROUNDUP((Y$1)/10,0)*10,[1]Hugst!$R$4:$W$4,0))))</f>
        <v>0</v>
      </c>
      <c r="Z31" s="169">
        <f ca="1">IF($C31-Z$1&lt;År1,0,Y30*(1-VLOOKUP($A31,[1]Hugst!$R$5:$W$9,MATCH(ROUNDUP((Z$1)/10,0)*10,[1]Hugst!$R$4:$W$4,0))))</f>
        <v>0</v>
      </c>
      <c r="AA31" s="169">
        <f ca="1">IF($C31-AA$1&lt;År1,0,Z30*(1-VLOOKUP($A31,[1]Hugst!$R$5:$W$9,MATCH(ROUNDUP((AA$1)/10,0)*10,[1]Hugst!$R$4:$W$4,0))))</f>
        <v>0</v>
      </c>
      <c r="AB31" s="169">
        <f ca="1">IF($C31-AB$1&lt;År1,0,AA30*(1-VLOOKUP($A31,[1]Hugst!$R$5:$W$9,MATCH(ROUNDUP((AB$1)/10,0)*10,[1]Hugst!$R$4:$W$4,0))))</f>
        <v>0</v>
      </c>
      <c r="AC31" s="169">
        <f ca="1">IF($C31-AC$1&lt;År1,0,AB30*(1-VLOOKUP($A31,[1]Hugst!$R$5:$W$9,MATCH(ROUNDUP((AC$1)/10,0)*10,[1]Hugst!$R$4:$W$4,0))))</f>
        <v>0</v>
      </c>
      <c r="AD31" s="169">
        <f ca="1">IF($C31-AD$1&lt;År1,0,AC30*(1-VLOOKUP($A31,[1]Hugst!$R$5:$W$9,MATCH(ROUNDUP((AD$1)/10,0)*10,[1]Hugst!$R$4:$W$4,0))))</f>
        <v>0</v>
      </c>
      <c r="AE31" s="169">
        <f ca="1">IF($C31-AE$1&lt;År1,0,AD30*(1-VLOOKUP($A31,[1]Hugst!$R$5:$W$9,MATCH(ROUNDUP((AE$1)/10,0)*10,[1]Hugst!$R$4:$W$4,0))))</f>
        <v>0</v>
      </c>
      <c r="AF31" s="169">
        <f ca="1">IF($C31-AF$1&lt;År1,0,AE30*(1-VLOOKUP($A31,[1]Hugst!$R$5:$W$9,MATCH(ROUNDUP((AF$1)/10,0)*10,[1]Hugst!$R$4:$W$4,0))))</f>
        <v>0</v>
      </c>
      <c r="AG31" s="169">
        <f ca="1">IF($C31-AG$1&lt;År1,0,AF30*(1-VLOOKUP($A31,[1]Hugst!$R$5:$W$9,MATCH(ROUNDUP((AG$1)/10,0)*10,[1]Hugst!$R$4:$W$4,0))))</f>
        <v>0</v>
      </c>
      <c r="AH31" s="169">
        <f ca="1">IF($C31-AH$1&lt;År1,0,AG30*(1-VLOOKUP($A31,[1]Hugst!$R$5:$W$9,MATCH(ROUNDUP((AH$1)/10,0)*10,[1]Hugst!$R$4:$W$4,0))))</f>
        <v>0</v>
      </c>
      <c r="AI31" s="169">
        <f ca="1">IF($C31-AI$1&lt;År1,0,AH30*(1-VLOOKUP($A31,[1]Hugst!$R$5:$W$9,MATCH(ROUNDUP((AI$1)/10,0)*10,[1]Hugst!$R$4:$W$4,0))))</f>
        <v>0</v>
      </c>
      <c r="AJ31" s="169">
        <f>IF($C31-AJ$1&lt;År1,0,AI30*(1-VLOOKUP($A31,[1]Hugst!$R$5:$W$9,MATCH(ROUNDUP((AJ$1)/10,0)*10,[1]Hugst!$R$4:$W$4,0))))</f>
        <v>0</v>
      </c>
    </row>
    <row r="32" spans="1:38" s="169" customFormat="1" x14ac:dyDescent="0.25">
      <c r="A32" s="169" t="s">
        <v>176</v>
      </c>
      <c r="B32" s="169" t="s">
        <v>23</v>
      </c>
      <c r="C32" s="169">
        <v>2050</v>
      </c>
      <c r="D32" s="169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0</v>
      </c>
      <c r="E32" s="169">
        <f t="shared" ca="1" si="0"/>
        <v>0</v>
      </c>
      <c r="F32" s="169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 s="169">
        <f ca="1">IF($C32-G$1&lt;År1,0,F31*(1-VLOOKUP($A32,[1]Hugst!$R$5:$W$9,MATCH(ROUNDUP((G$1)/10,0)*10,[1]Hugst!$R$4:$W$4,0))))</f>
        <v>0</v>
      </c>
      <c r="H32" s="169">
        <f ca="1">IF($C32-H$1&lt;År1,0,G31*(1-VLOOKUP($A32,[1]Hugst!$R$5:$W$9,MATCH(ROUNDUP((H$1)/10,0)*10,[1]Hugst!$R$4:$W$4,0))))</f>
        <v>0</v>
      </c>
      <c r="I32" s="169">
        <f ca="1">IF($C32-I$1&lt;År1,0,H31*(1-VLOOKUP($A32,[1]Hugst!$R$5:$W$9,MATCH(ROUNDUP((I$1)/10,0)*10,[1]Hugst!$R$4:$W$4,0))))</f>
        <v>0</v>
      </c>
      <c r="J32" s="169">
        <f ca="1">IF($C32-J$1&lt;År1,0,I31*(1-VLOOKUP($A32,[1]Hugst!$R$5:$W$9,MATCH(ROUNDUP((J$1)/10,0)*10,[1]Hugst!$R$4:$W$4,0))))</f>
        <v>0</v>
      </c>
      <c r="K32" s="169">
        <f ca="1">IF($C32-K$1&lt;År1,0,J31*(1-VLOOKUP($A32,[1]Hugst!$R$5:$W$9,MATCH(ROUNDUP((K$1)/10,0)*10,[1]Hugst!$R$4:$W$4,0))))</f>
        <v>0</v>
      </c>
      <c r="L32" s="169">
        <f ca="1">IF($C32-L$1&lt;År1,0,K31*(1-VLOOKUP($A32,[1]Hugst!$R$5:$W$9,MATCH(ROUNDUP((L$1)/10,0)*10,[1]Hugst!$R$4:$W$4,0))))</f>
        <v>0</v>
      </c>
      <c r="M32" s="169">
        <f ca="1">IF($C32-M$1&lt;År1,0,L31*(1-VLOOKUP($A32,[1]Hugst!$R$5:$W$9,MATCH(ROUNDUP((M$1)/10,0)*10,[1]Hugst!$R$4:$W$4,0))))</f>
        <v>0</v>
      </c>
      <c r="N32" s="169">
        <f ca="1">IF($C32-N$1&lt;År1,0,M31*(1-VLOOKUP($A32,[1]Hugst!$R$5:$W$9,MATCH(ROUNDUP((N$1)/10,0)*10,[1]Hugst!$R$4:$W$4,0))))</f>
        <v>0</v>
      </c>
      <c r="O32" s="169">
        <f ca="1">IF($C32-O$1&lt;År1,0,N31*(1-VLOOKUP($A32,[1]Hugst!$R$5:$W$9,MATCH(ROUNDUP((O$1)/10,0)*10,[1]Hugst!$R$4:$W$4,0))))</f>
        <v>0</v>
      </c>
      <c r="P32" s="169">
        <f ca="1">IF($C32-P$1&lt;År1,0,O31*(1-VLOOKUP($A32,[1]Hugst!$R$5:$W$9,MATCH(ROUNDUP((P$1)/10,0)*10,[1]Hugst!$R$4:$W$4,0))))</f>
        <v>0</v>
      </c>
      <c r="Q32" s="169">
        <f ca="1">IF($C32-Q$1&lt;År1,0,P31*(1-VLOOKUP($A32,[1]Hugst!$R$5:$W$9,MATCH(ROUNDUP((Q$1)/10,0)*10,[1]Hugst!$R$4:$W$4,0))))</f>
        <v>0</v>
      </c>
      <c r="R32" s="169">
        <f ca="1">IF($C32-R$1&lt;År1,0,Q31*(1-VLOOKUP($A32,[1]Hugst!$R$5:$W$9,MATCH(ROUNDUP((R$1)/10,0)*10,[1]Hugst!$R$4:$W$4,0))))</f>
        <v>0</v>
      </c>
      <c r="S32" s="169">
        <f ca="1">IF($C32-S$1&lt;År1,0,R31*(1-VLOOKUP($A32,[1]Hugst!$R$5:$W$9,MATCH(ROUNDUP((S$1)/10,0)*10,[1]Hugst!$R$4:$W$4,0))))</f>
        <v>0</v>
      </c>
      <c r="T32" s="169">
        <f ca="1">IF($C32-T$1&lt;År1,0,S31*(1-VLOOKUP($A32,[1]Hugst!$R$5:$W$9,MATCH(ROUNDUP((T$1)/10,0)*10,[1]Hugst!$R$4:$W$4,0))))</f>
        <v>0</v>
      </c>
      <c r="U32" s="169">
        <f ca="1">IF($C32-U$1&lt;År1,0,T31*(1-VLOOKUP($A32,[1]Hugst!$R$5:$W$9,MATCH(ROUNDUP((U$1)/10,0)*10,[1]Hugst!$R$4:$W$4,0))))</f>
        <v>0</v>
      </c>
      <c r="V32" s="169">
        <f ca="1">IF($C32-V$1&lt;År1,0,U31*(1-VLOOKUP($A32,[1]Hugst!$R$5:$W$9,MATCH(ROUNDUP((V$1)/10,0)*10,[1]Hugst!$R$4:$W$4,0))))</f>
        <v>0</v>
      </c>
      <c r="W32" s="169">
        <f ca="1">IF($C32-W$1&lt;År1,0,V31*(1-VLOOKUP($A32,[1]Hugst!$R$5:$W$9,MATCH(ROUNDUP((W$1)/10,0)*10,[1]Hugst!$R$4:$W$4,0))))</f>
        <v>0</v>
      </c>
      <c r="X32" s="169">
        <f ca="1">IF($C32-X$1&lt;År1,0,W31*(1-VLOOKUP($A32,[1]Hugst!$R$5:$W$9,MATCH(ROUNDUP((X$1)/10,0)*10,[1]Hugst!$R$4:$W$4,0))))</f>
        <v>0</v>
      </c>
      <c r="Y32" s="169">
        <f ca="1">IF($C32-Y$1&lt;År1,0,X31*(1-VLOOKUP($A32,[1]Hugst!$R$5:$W$9,MATCH(ROUNDUP((Y$1)/10,0)*10,[1]Hugst!$R$4:$W$4,0))))</f>
        <v>0</v>
      </c>
      <c r="Z32" s="169">
        <f ca="1">IF($C32-Z$1&lt;År1,0,Y31*(1-VLOOKUP($A32,[1]Hugst!$R$5:$W$9,MATCH(ROUNDUP((Z$1)/10,0)*10,[1]Hugst!$R$4:$W$4,0))))</f>
        <v>0</v>
      </c>
      <c r="AA32" s="169">
        <f ca="1">IF($C32-AA$1&lt;År1,0,Z31*(1-VLOOKUP($A32,[1]Hugst!$R$5:$W$9,MATCH(ROUNDUP((AA$1)/10,0)*10,[1]Hugst!$R$4:$W$4,0))))</f>
        <v>0</v>
      </c>
      <c r="AB32" s="169">
        <f ca="1">IF($C32-AB$1&lt;År1,0,AA31*(1-VLOOKUP($A32,[1]Hugst!$R$5:$W$9,MATCH(ROUNDUP((AB$1)/10,0)*10,[1]Hugst!$R$4:$W$4,0))))</f>
        <v>0</v>
      </c>
      <c r="AC32" s="169">
        <f ca="1">IF($C32-AC$1&lt;År1,0,AB31*(1-VLOOKUP($A32,[1]Hugst!$R$5:$W$9,MATCH(ROUNDUP((AC$1)/10,0)*10,[1]Hugst!$R$4:$W$4,0))))</f>
        <v>0</v>
      </c>
      <c r="AD32" s="169">
        <f ca="1">IF($C32-AD$1&lt;År1,0,AC31*(1-VLOOKUP($A32,[1]Hugst!$R$5:$W$9,MATCH(ROUNDUP((AD$1)/10,0)*10,[1]Hugst!$R$4:$W$4,0))))</f>
        <v>0</v>
      </c>
      <c r="AE32" s="169">
        <f ca="1">IF($C32-AE$1&lt;År1,0,AD31*(1-VLOOKUP($A32,[1]Hugst!$R$5:$W$9,MATCH(ROUNDUP((AE$1)/10,0)*10,[1]Hugst!$R$4:$W$4,0))))</f>
        <v>0</v>
      </c>
      <c r="AF32" s="169">
        <f ca="1">IF($C32-AF$1&lt;År1,0,AE31*(1-VLOOKUP($A32,[1]Hugst!$R$5:$W$9,MATCH(ROUNDUP((AF$1)/10,0)*10,[1]Hugst!$R$4:$W$4,0))))</f>
        <v>0</v>
      </c>
      <c r="AG32" s="169">
        <f ca="1">IF($C32-AG$1&lt;År1,0,AF31*(1-VLOOKUP($A32,[1]Hugst!$R$5:$W$9,MATCH(ROUNDUP((AG$1)/10,0)*10,[1]Hugst!$R$4:$W$4,0))))</f>
        <v>0</v>
      </c>
      <c r="AH32" s="169">
        <f ca="1">IF($C32-AH$1&lt;År1,0,AG31*(1-VLOOKUP($A32,[1]Hugst!$R$5:$W$9,MATCH(ROUNDUP((AH$1)/10,0)*10,[1]Hugst!$R$4:$W$4,0))))</f>
        <v>0</v>
      </c>
      <c r="AI32" s="169">
        <f ca="1">IF($C32-AI$1&lt;År1,0,AH31*(1-VLOOKUP($A32,[1]Hugst!$R$5:$W$9,MATCH(ROUNDUP((AI$1)/10,0)*10,[1]Hugst!$R$4:$W$4,0))))</f>
        <v>0</v>
      </c>
      <c r="AJ32" s="169">
        <f ca="1">IF($C32-AJ$1&lt;År1,0,AI31*(1-VLOOKUP($A32,[1]Hugst!$R$5:$W$9,MATCH(ROUNDUP((AJ$1)/10,0)*10,[1]Hugst!$R$4:$W$4,0))))</f>
        <v>0</v>
      </c>
      <c r="AL32" s="169">
        <f ca="1">SUM(F32:AJ32)</f>
        <v>0</v>
      </c>
    </row>
    <row r="33" spans="1:36" s="169" customFormat="1" x14ac:dyDescent="0.25">
      <c r="A33" s="169" t="s">
        <v>176</v>
      </c>
      <c r="B33" s="169" t="s">
        <v>24</v>
      </c>
      <c r="C33" s="169">
        <v>2020</v>
      </c>
      <c r="D33" s="169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0</v>
      </c>
      <c r="E33" s="169">
        <f t="shared" si="0"/>
        <v>0</v>
      </c>
      <c r="F33" s="169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9">
        <f>IF($C33-G$1&lt;År1,0,F32*(1-VLOOKUP($A33,[1]Hugst!$R$5:$W$9,MATCH(ROUNDUP((G$1)/10,0)*10,[1]Hugst!$R$4:$W$4,0))))</f>
        <v>0</v>
      </c>
      <c r="H33" s="169">
        <f>IF($C33-H$1&lt;År1,0,G32*(1-VLOOKUP($A33,[1]Hugst!$R$5:$W$9,MATCH(ROUNDUP((H$1)/10,0)*10,[1]Hugst!$R$4:$W$4,0))))</f>
        <v>0</v>
      </c>
      <c r="I33" s="169">
        <f>IF($C33-I$1&lt;År1,0,H32*(1-VLOOKUP($A33,[1]Hugst!$R$5:$W$9,MATCH(ROUNDUP((I$1)/10,0)*10,[1]Hugst!$R$4:$W$4,0))))</f>
        <v>0</v>
      </c>
      <c r="J33" s="169">
        <f>IF($C33-J$1&lt;År1,0,I32*(1-VLOOKUP($A33,[1]Hugst!$R$5:$W$9,MATCH(ROUNDUP((J$1)/10,0)*10,[1]Hugst!$R$4:$W$4,0))))</f>
        <v>0</v>
      </c>
      <c r="K33" s="169">
        <f>IF($C33-K$1&lt;År1,0,J32*(1-VLOOKUP($A33,[1]Hugst!$R$5:$W$9,MATCH(ROUNDUP((K$1)/10,0)*10,[1]Hugst!$R$4:$W$4,0))))</f>
        <v>0</v>
      </c>
      <c r="L33" s="169">
        <f>IF($C33-L$1&lt;År1,0,K32*(1-VLOOKUP($A33,[1]Hugst!$R$5:$W$9,MATCH(ROUNDUP((L$1)/10,0)*10,[1]Hugst!$R$4:$W$4,0))))</f>
        <v>0</v>
      </c>
      <c r="M33" s="169">
        <f>IF($C33-M$1&lt;År1,0,L32*(1-VLOOKUP($A33,[1]Hugst!$R$5:$W$9,MATCH(ROUNDUP((M$1)/10,0)*10,[1]Hugst!$R$4:$W$4,0))))</f>
        <v>0</v>
      </c>
      <c r="N33" s="169">
        <f>IF($C33-N$1&lt;År1,0,M32*(1-VLOOKUP($A33,[1]Hugst!$R$5:$W$9,MATCH(ROUNDUP((N$1)/10,0)*10,[1]Hugst!$R$4:$W$4,0))))</f>
        <v>0</v>
      </c>
      <c r="O33" s="169">
        <f>IF($C33-O$1&lt;År1,0,N32*(1-VLOOKUP($A33,[1]Hugst!$R$5:$W$9,MATCH(ROUNDUP((O$1)/10,0)*10,[1]Hugst!$R$4:$W$4,0))))</f>
        <v>0</v>
      </c>
      <c r="P33" s="169">
        <f>IF($C33-P$1&lt;År1,0,O32*(1-VLOOKUP($A33,[1]Hugst!$R$5:$W$9,MATCH(ROUNDUP((P$1)/10,0)*10,[1]Hugst!$R$4:$W$4,0))))</f>
        <v>0</v>
      </c>
      <c r="Q33" s="169">
        <f>IF($C33-Q$1&lt;År1,0,P32*(1-VLOOKUP($A33,[1]Hugst!$R$5:$W$9,MATCH(ROUNDUP((Q$1)/10,0)*10,[1]Hugst!$R$4:$W$4,0))))</f>
        <v>0</v>
      </c>
      <c r="R33" s="169">
        <f>IF($C33-R$1&lt;År1,0,Q32*(1-VLOOKUP($A33,[1]Hugst!$R$5:$W$9,MATCH(ROUNDUP((R$1)/10,0)*10,[1]Hugst!$R$4:$W$4,0))))</f>
        <v>0</v>
      </c>
      <c r="S33" s="169">
        <f>IF($C33-S$1&lt;År1,0,R32*(1-VLOOKUP($A33,[1]Hugst!$R$5:$W$9,MATCH(ROUNDUP((S$1)/10,0)*10,[1]Hugst!$R$4:$W$4,0))))</f>
        <v>0</v>
      </c>
      <c r="T33" s="169">
        <f>IF($C33-T$1&lt;År1,0,S32*(1-VLOOKUP($A33,[1]Hugst!$R$5:$W$9,MATCH(ROUNDUP((T$1)/10,0)*10,[1]Hugst!$R$4:$W$4,0))))</f>
        <v>0</v>
      </c>
      <c r="U33" s="169">
        <f>IF($C33-U$1&lt;År1,0,T32*(1-VLOOKUP($A33,[1]Hugst!$R$5:$W$9,MATCH(ROUNDUP((U$1)/10,0)*10,[1]Hugst!$R$4:$W$4,0))))</f>
        <v>0</v>
      </c>
      <c r="V33" s="169">
        <f>IF($C33-V$1&lt;År1,0,U32*(1-VLOOKUP($A33,[1]Hugst!$R$5:$W$9,MATCH(ROUNDUP((V$1)/10,0)*10,[1]Hugst!$R$4:$W$4,0))))</f>
        <v>0</v>
      </c>
      <c r="W33" s="169">
        <f>IF($C33-W$1&lt;År1,0,V32*(1-VLOOKUP($A33,[1]Hugst!$R$5:$W$9,MATCH(ROUNDUP((W$1)/10,0)*10,[1]Hugst!$R$4:$W$4,0))))</f>
        <v>0</v>
      </c>
      <c r="X33" s="169">
        <f>IF($C33-X$1&lt;År1,0,W32*(1-VLOOKUP($A33,[1]Hugst!$R$5:$W$9,MATCH(ROUNDUP((X$1)/10,0)*10,[1]Hugst!$R$4:$W$4,0))))</f>
        <v>0</v>
      </c>
      <c r="Y33" s="169">
        <f>IF($C33-Y$1&lt;År1,0,X32*(1-VLOOKUP($A33,[1]Hugst!$R$5:$W$9,MATCH(ROUNDUP((Y$1)/10,0)*10,[1]Hugst!$R$4:$W$4,0))))</f>
        <v>0</v>
      </c>
      <c r="Z33" s="169">
        <f>IF($C33-Z$1&lt;År1,0,Y32*(1-VLOOKUP($A33,[1]Hugst!$R$5:$W$9,MATCH(ROUNDUP((Z$1)/10,0)*10,[1]Hugst!$R$4:$W$4,0))))</f>
        <v>0</v>
      </c>
      <c r="AA33" s="169">
        <f>IF($C33-AA$1&lt;År1,0,Z32*(1-VLOOKUP($A33,[1]Hugst!$R$5:$W$9,MATCH(ROUNDUP((AA$1)/10,0)*10,[1]Hugst!$R$4:$W$4,0))))</f>
        <v>0</v>
      </c>
      <c r="AB33" s="169">
        <f>IF($C33-AB$1&lt;År1,0,AA32*(1-VLOOKUP($A33,[1]Hugst!$R$5:$W$9,MATCH(ROUNDUP((AB$1)/10,0)*10,[1]Hugst!$R$4:$W$4,0))))</f>
        <v>0</v>
      </c>
      <c r="AC33" s="169">
        <f>IF($C33-AC$1&lt;År1,0,AB32*(1-VLOOKUP($A33,[1]Hugst!$R$5:$W$9,MATCH(ROUNDUP((AC$1)/10,0)*10,[1]Hugst!$R$4:$W$4,0))))</f>
        <v>0</v>
      </c>
      <c r="AD33" s="169">
        <f>IF($C33-AD$1&lt;År1,0,AC32*(1-VLOOKUP($A33,[1]Hugst!$R$5:$W$9,MATCH(ROUNDUP((AD$1)/10,0)*10,[1]Hugst!$R$4:$W$4,0))))</f>
        <v>0</v>
      </c>
      <c r="AE33" s="169">
        <f>IF($C33-AE$1&lt;År1,0,AD32*(1-VLOOKUP($A33,[1]Hugst!$R$5:$W$9,MATCH(ROUNDUP((AE$1)/10,0)*10,[1]Hugst!$R$4:$W$4,0))))</f>
        <v>0</v>
      </c>
      <c r="AF33" s="169">
        <f>IF($C33-AF$1&lt;År1,0,AE32*(1-VLOOKUP($A33,[1]Hugst!$R$5:$W$9,MATCH(ROUNDUP((AF$1)/10,0)*10,[1]Hugst!$R$4:$W$4,0))))</f>
        <v>0</v>
      </c>
      <c r="AG33" s="169">
        <f>IF($C33-AG$1&lt;År1,0,AF32*(1-VLOOKUP($A33,[1]Hugst!$R$5:$W$9,MATCH(ROUNDUP((AG$1)/10,0)*10,[1]Hugst!$R$4:$W$4,0))))</f>
        <v>0</v>
      </c>
      <c r="AH33" s="169">
        <f>IF($C33-AH$1&lt;År1,0,AG32*(1-VLOOKUP($A33,[1]Hugst!$R$5:$W$9,MATCH(ROUNDUP((AH$1)/10,0)*10,[1]Hugst!$R$4:$W$4,0))))</f>
        <v>0</v>
      </c>
      <c r="AI33" s="169">
        <f>IF($C33-AI$1&lt;År1,0,AH32*(1-VLOOKUP($A33,[1]Hugst!$R$5:$W$9,MATCH(ROUNDUP((AI$1)/10,0)*10,[1]Hugst!$R$4:$W$4,0))))</f>
        <v>0</v>
      </c>
      <c r="AJ33" s="169">
        <f>IF($C33-AJ$1&lt;År1,0,AI32*(1-VLOOKUP($A33,[1]Hugst!$R$5:$W$9,MATCH(ROUNDUP((AJ$1)/10,0)*10,[1]Hugst!$R$4:$W$4,0))))</f>
        <v>0</v>
      </c>
    </row>
    <row r="34" spans="1:36" s="169" customFormat="1" x14ac:dyDescent="0.25">
      <c r="A34" s="169" t="s">
        <v>176</v>
      </c>
      <c r="B34" s="169" t="s">
        <v>24</v>
      </c>
      <c r="C34" s="169">
        <v>2021</v>
      </c>
      <c r="D34" s="169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0</v>
      </c>
      <c r="E34" s="169">
        <f t="shared" ca="1" si="0"/>
        <v>0</v>
      </c>
      <c r="F34" s="169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9">
        <f ca="1">IF($C34-G$1&lt;År1,0,F33*(1-VLOOKUP($A34,[1]Hugst!$R$5:$W$9,MATCH(ROUNDUP((G$1)/10,0)*10,[1]Hugst!$R$4:$W$4,0))))</f>
        <v>0</v>
      </c>
      <c r="H34" s="169">
        <f>IF($C34-H$1&lt;År1,0,G33*(1-VLOOKUP($A34,[1]Hugst!$R$5:$W$9,MATCH(ROUNDUP((H$1)/10,0)*10,[1]Hugst!$R$4:$W$4,0))))</f>
        <v>0</v>
      </c>
      <c r="I34" s="169">
        <f>IF($C34-I$1&lt;År1,0,H33*(1-VLOOKUP($A34,[1]Hugst!$R$5:$W$9,MATCH(ROUNDUP((I$1)/10,0)*10,[1]Hugst!$R$4:$W$4,0))))</f>
        <v>0</v>
      </c>
      <c r="J34" s="169">
        <f>IF($C34-J$1&lt;År1,0,I33*(1-VLOOKUP($A34,[1]Hugst!$R$5:$W$9,MATCH(ROUNDUP((J$1)/10,0)*10,[1]Hugst!$R$4:$W$4,0))))</f>
        <v>0</v>
      </c>
      <c r="K34" s="169">
        <f>IF($C34-K$1&lt;År1,0,J33*(1-VLOOKUP($A34,[1]Hugst!$R$5:$W$9,MATCH(ROUNDUP((K$1)/10,0)*10,[1]Hugst!$R$4:$W$4,0))))</f>
        <v>0</v>
      </c>
      <c r="L34" s="169">
        <f>IF($C34-L$1&lt;År1,0,K33*(1-VLOOKUP($A34,[1]Hugst!$R$5:$W$9,MATCH(ROUNDUP((L$1)/10,0)*10,[1]Hugst!$R$4:$W$4,0))))</f>
        <v>0</v>
      </c>
      <c r="M34" s="169">
        <f>IF($C34-M$1&lt;År1,0,L33*(1-VLOOKUP($A34,[1]Hugst!$R$5:$W$9,MATCH(ROUNDUP((M$1)/10,0)*10,[1]Hugst!$R$4:$W$4,0))))</f>
        <v>0</v>
      </c>
      <c r="N34" s="169">
        <f>IF($C34-N$1&lt;År1,0,M33*(1-VLOOKUP($A34,[1]Hugst!$R$5:$W$9,MATCH(ROUNDUP((N$1)/10,0)*10,[1]Hugst!$R$4:$W$4,0))))</f>
        <v>0</v>
      </c>
      <c r="O34" s="169">
        <f>IF($C34-O$1&lt;År1,0,N33*(1-VLOOKUP($A34,[1]Hugst!$R$5:$W$9,MATCH(ROUNDUP((O$1)/10,0)*10,[1]Hugst!$R$4:$W$4,0))))</f>
        <v>0</v>
      </c>
      <c r="P34" s="169">
        <f>IF($C34-P$1&lt;År1,0,O33*(1-VLOOKUP($A34,[1]Hugst!$R$5:$W$9,MATCH(ROUNDUP((P$1)/10,0)*10,[1]Hugst!$R$4:$W$4,0))))</f>
        <v>0</v>
      </c>
      <c r="Q34" s="169">
        <f>IF($C34-Q$1&lt;År1,0,P33*(1-VLOOKUP($A34,[1]Hugst!$R$5:$W$9,MATCH(ROUNDUP((Q$1)/10,0)*10,[1]Hugst!$R$4:$W$4,0))))</f>
        <v>0</v>
      </c>
      <c r="R34" s="169">
        <f>IF($C34-R$1&lt;År1,0,Q33*(1-VLOOKUP($A34,[1]Hugst!$R$5:$W$9,MATCH(ROUNDUP((R$1)/10,0)*10,[1]Hugst!$R$4:$W$4,0))))</f>
        <v>0</v>
      </c>
      <c r="S34" s="169">
        <f>IF($C34-S$1&lt;År1,0,R33*(1-VLOOKUP($A34,[1]Hugst!$R$5:$W$9,MATCH(ROUNDUP((S$1)/10,0)*10,[1]Hugst!$R$4:$W$4,0))))</f>
        <v>0</v>
      </c>
      <c r="T34" s="169">
        <f>IF($C34-T$1&lt;År1,0,S33*(1-VLOOKUP($A34,[1]Hugst!$R$5:$W$9,MATCH(ROUNDUP((T$1)/10,0)*10,[1]Hugst!$R$4:$W$4,0))))</f>
        <v>0</v>
      </c>
      <c r="U34" s="169">
        <f>IF($C34-U$1&lt;År1,0,T33*(1-VLOOKUP($A34,[1]Hugst!$R$5:$W$9,MATCH(ROUNDUP((U$1)/10,0)*10,[1]Hugst!$R$4:$W$4,0))))</f>
        <v>0</v>
      </c>
      <c r="V34" s="169">
        <f>IF($C34-V$1&lt;År1,0,U33*(1-VLOOKUP($A34,[1]Hugst!$R$5:$W$9,MATCH(ROUNDUP((V$1)/10,0)*10,[1]Hugst!$R$4:$W$4,0))))</f>
        <v>0</v>
      </c>
      <c r="W34" s="169">
        <f>IF($C34-W$1&lt;År1,0,V33*(1-VLOOKUP($A34,[1]Hugst!$R$5:$W$9,MATCH(ROUNDUP((W$1)/10,0)*10,[1]Hugst!$R$4:$W$4,0))))</f>
        <v>0</v>
      </c>
      <c r="X34" s="169">
        <f>IF($C34-X$1&lt;År1,0,W33*(1-VLOOKUP($A34,[1]Hugst!$R$5:$W$9,MATCH(ROUNDUP((X$1)/10,0)*10,[1]Hugst!$R$4:$W$4,0))))</f>
        <v>0</v>
      </c>
      <c r="Y34" s="169">
        <f>IF($C34-Y$1&lt;År1,0,X33*(1-VLOOKUP($A34,[1]Hugst!$R$5:$W$9,MATCH(ROUNDUP((Y$1)/10,0)*10,[1]Hugst!$R$4:$W$4,0))))</f>
        <v>0</v>
      </c>
      <c r="Z34" s="169">
        <f>IF($C34-Z$1&lt;År1,0,Y33*(1-VLOOKUP($A34,[1]Hugst!$R$5:$W$9,MATCH(ROUNDUP((Z$1)/10,0)*10,[1]Hugst!$R$4:$W$4,0))))</f>
        <v>0</v>
      </c>
      <c r="AA34" s="169">
        <f>IF($C34-AA$1&lt;År1,0,Z33*(1-VLOOKUP($A34,[1]Hugst!$R$5:$W$9,MATCH(ROUNDUP((AA$1)/10,0)*10,[1]Hugst!$R$4:$W$4,0))))</f>
        <v>0</v>
      </c>
      <c r="AB34" s="169">
        <f>IF($C34-AB$1&lt;År1,0,AA33*(1-VLOOKUP($A34,[1]Hugst!$R$5:$W$9,MATCH(ROUNDUP((AB$1)/10,0)*10,[1]Hugst!$R$4:$W$4,0))))</f>
        <v>0</v>
      </c>
      <c r="AC34" s="169">
        <f>IF($C34-AC$1&lt;År1,0,AB33*(1-VLOOKUP($A34,[1]Hugst!$R$5:$W$9,MATCH(ROUNDUP((AC$1)/10,0)*10,[1]Hugst!$R$4:$W$4,0))))</f>
        <v>0</v>
      </c>
      <c r="AD34" s="169">
        <f>IF($C34-AD$1&lt;År1,0,AC33*(1-VLOOKUP($A34,[1]Hugst!$R$5:$W$9,MATCH(ROUNDUP((AD$1)/10,0)*10,[1]Hugst!$R$4:$W$4,0))))</f>
        <v>0</v>
      </c>
      <c r="AE34" s="169">
        <f>IF($C34-AE$1&lt;År1,0,AD33*(1-VLOOKUP($A34,[1]Hugst!$R$5:$W$9,MATCH(ROUNDUP((AE$1)/10,0)*10,[1]Hugst!$R$4:$W$4,0))))</f>
        <v>0</v>
      </c>
      <c r="AF34" s="169">
        <f>IF($C34-AF$1&lt;År1,0,AE33*(1-VLOOKUP($A34,[1]Hugst!$R$5:$W$9,MATCH(ROUNDUP((AF$1)/10,0)*10,[1]Hugst!$R$4:$W$4,0))))</f>
        <v>0</v>
      </c>
      <c r="AG34" s="169">
        <f>IF($C34-AG$1&lt;År1,0,AF33*(1-VLOOKUP($A34,[1]Hugst!$R$5:$W$9,MATCH(ROUNDUP((AG$1)/10,0)*10,[1]Hugst!$R$4:$W$4,0))))</f>
        <v>0</v>
      </c>
      <c r="AH34" s="169">
        <f>IF($C34-AH$1&lt;År1,0,AG33*(1-VLOOKUP($A34,[1]Hugst!$R$5:$W$9,MATCH(ROUNDUP((AH$1)/10,0)*10,[1]Hugst!$R$4:$W$4,0))))</f>
        <v>0</v>
      </c>
      <c r="AI34" s="169">
        <f>IF($C34-AI$1&lt;År1,0,AH33*(1-VLOOKUP($A34,[1]Hugst!$R$5:$W$9,MATCH(ROUNDUP((AI$1)/10,0)*10,[1]Hugst!$R$4:$W$4,0))))</f>
        <v>0</v>
      </c>
      <c r="AJ34" s="169">
        <f>IF($C34-AJ$1&lt;År1,0,AI33*(1-VLOOKUP($A34,[1]Hugst!$R$5:$W$9,MATCH(ROUNDUP((AJ$1)/10,0)*10,[1]Hugst!$R$4:$W$4,0))))</f>
        <v>0</v>
      </c>
    </row>
    <row r="35" spans="1:36" s="169" customFormat="1" x14ac:dyDescent="0.25">
      <c r="A35" s="169" t="s">
        <v>176</v>
      </c>
      <c r="B35" s="169" t="s">
        <v>24</v>
      </c>
      <c r="C35" s="169">
        <v>2022</v>
      </c>
      <c r="D35" s="169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0</v>
      </c>
      <c r="E35" s="169">
        <f t="shared" ca="1" si="0"/>
        <v>0</v>
      </c>
      <c r="F35" s="169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9">
        <f ca="1">IF($C35-G$1&lt;År1,0,F34*(1-VLOOKUP($A35,[1]Hugst!$R$5:$W$9,MATCH(ROUNDUP((G$1)/10,0)*10,[1]Hugst!$R$4:$W$4,0))))</f>
        <v>0</v>
      </c>
      <c r="H35" s="169">
        <f ca="1">IF($C35-H$1&lt;År1,0,G34*(1-VLOOKUP($A35,[1]Hugst!$R$5:$W$9,MATCH(ROUNDUP((H$1)/10,0)*10,[1]Hugst!$R$4:$W$4,0))))</f>
        <v>0</v>
      </c>
      <c r="I35" s="169">
        <f>IF($C35-I$1&lt;År1,0,H34*(1-VLOOKUP($A35,[1]Hugst!$R$5:$W$9,MATCH(ROUNDUP((I$1)/10,0)*10,[1]Hugst!$R$4:$W$4,0))))</f>
        <v>0</v>
      </c>
      <c r="J35" s="169">
        <f>IF($C35-J$1&lt;År1,0,I34*(1-VLOOKUP($A35,[1]Hugst!$R$5:$W$9,MATCH(ROUNDUP((J$1)/10,0)*10,[1]Hugst!$R$4:$W$4,0))))</f>
        <v>0</v>
      </c>
      <c r="K35" s="169">
        <f>IF($C35-K$1&lt;År1,0,J34*(1-VLOOKUP($A35,[1]Hugst!$R$5:$W$9,MATCH(ROUNDUP((K$1)/10,0)*10,[1]Hugst!$R$4:$W$4,0))))</f>
        <v>0</v>
      </c>
      <c r="L35" s="169">
        <f>IF($C35-L$1&lt;År1,0,K34*(1-VLOOKUP($A35,[1]Hugst!$R$5:$W$9,MATCH(ROUNDUP((L$1)/10,0)*10,[1]Hugst!$R$4:$W$4,0))))</f>
        <v>0</v>
      </c>
      <c r="M35" s="169">
        <f>IF($C35-M$1&lt;År1,0,L34*(1-VLOOKUP($A35,[1]Hugst!$R$5:$W$9,MATCH(ROUNDUP((M$1)/10,0)*10,[1]Hugst!$R$4:$W$4,0))))</f>
        <v>0</v>
      </c>
      <c r="N35" s="169">
        <f>IF($C35-N$1&lt;År1,0,M34*(1-VLOOKUP($A35,[1]Hugst!$R$5:$W$9,MATCH(ROUNDUP((N$1)/10,0)*10,[1]Hugst!$R$4:$W$4,0))))</f>
        <v>0</v>
      </c>
      <c r="O35" s="169">
        <f>IF($C35-O$1&lt;År1,0,N34*(1-VLOOKUP($A35,[1]Hugst!$R$5:$W$9,MATCH(ROUNDUP((O$1)/10,0)*10,[1]Hugst!$R$4:$W$4,0))))</f>
        <v>0</v>
      </c>
      <c r="P35" s="169">
        <f>IF($C35-P$1&lt;År1,0,O34*(1-VLOOKUP($A35,[1]Hugst!$R$5:$W$9,MATCH(ROUNDUP((P$1)/10,0)*10,[1]Hugst!$R$4:$W$4,0))))</f>
        <v>0</v>
      </c>
      <c r="Q35" s="169">
        <f>IF($C35-Q$1&lt;År1,0,P34*(1-VLOOKUP($A35,[1]Hugst!$R$5:$W$9,MATCH(ROUNDUP((Q$1)/10,0)*10,[1]Hugst!$R$4:$W$4,0))))</f>
        <v>0</v>
      </c>
      <c r="R35" s="169">
        <f>IF($C35-R$1&lt;År1,0,Q34*(1-VLOOKUP($A35,[1]Hugst!$R$5:$W$9,MATCH(ROUNDUP((R$1)/10,0)*10,[1]Hugst!$R$4:$W$4,0))))</f>
        <v>0</v>
      </c>
      <c r="S35" s="169">
        <f>IF($C35-S$1&lt;År1,0,R34*(1-VLOOKUP($A35,[1]Hugst!$R$5:$W$9,MATCH(ROUNDUP((S$1)/10,0)*10,[1]Hugst!$R$4:$W$4,0))))</f>
        <v>0</v>
      </c>
      <c r="T35" s="169">
        <f>IF($C35-T$1&lt;År1,0,S34*(1-VLOOKUP($A35,[1]Hugst!$R$5:$W$9,MATCH(ROUNDUP((T$1)/10,0)*10,[1]Hugst!$R$4:$W$4,0))))</f>
        <v>0</v>
      </c>
      <c r="U35" s="169">
        <f>IF($C35-U$1&lt;År1,0,T34*(1-VLOOKUP($A35,[1]Hugst!$R$5:$W$9,MATCH(ROUNDUP((U$1)/10,0)*10,[1]Hugst!$R$4:$W$4,0))))</f>
        <v>0</v>
      </c>
      <c r="V35" s="169">
        <f>IF($C35-V$1&lt;År1,0,U34*(1-VLOOKUP($A35,[1]Hugst!$R$5:$W$9,MATCH(ROUNDUP((V$1)/10,0)*10,[1]Hugst!$R$4:$W$4,0))))</f>
        <v>0</v>
      </c>
      <c r="W35" s="169">
        <f>IF($C35-W$1&lt;År1,0,V34*(1-VLOOKUP($A35,[1]Hugst!$R$5:$W$9,MATCH(ROUNDUP((W$1)/10,0)*10,[1]Hugst!$R$4:$W$4,0))))</f>
        <v>0</v>
      </c>
      <c r="X35" s="169">
        <f>IF($C35-X$1&lt;År1,0,W34*(1-VLOOKUP($A35,[1]Hugst!$R$5:$W$9,MATCH(ROUNDUP((X$1)/10,0)*10,[1]Hugst!$R$4:$W$4,0))))</f>
        <v>0</v>
      </c>
      <c r="Y35" s="169">
        <f>IF($C35-Y$1&lt;År1,0,X34*(1-VLOOKUP($A35,[1]Hugst!$R$5:$W$9,MATCH(ROUNDUP((Y$1)/10,0)*10,[1]Hugst!$R$4:$W$4,0))))</f>
        <v>0</v>
      </c>
      <c r="Z35" s="169">
        <f>IF($C35-Z$1&lt;År1,0,Y34*(1-VLOOKUP($A35,[1]Hugst!$R$5:$W$9,MATCH(ROUNDUP((Z$1)/10,0)*10,[1]Hugst!$R$4:$W$4,0))))</f>
        <v>0</v>
      </c>
      <c r="AA35" s="169">
        <f>IF($C35-AA$1&lt;År1,0,Z34*(1-VLOOKUP($A35,[1]Hugst!$R$5:$W$9,MATCH(ROUNDUP((AA$1)/10,0)*10,[1]Hugst!$R$4:$W$4,0))))</f>
        <v>0</v>
      </c>
      <c r="AB35" s="169">
        <f>IF($C35-AB$1&lt;År1,0,AA34*(1-VLOOKUP($A35,[1]Hugst!$R$5:$W$9,MATCH(ROUNDUP((AB$1)/10,0)*10,[1]Hugst!$R$4:$W$4,0))))</f>
        <v>0</v>
      </c>
      <c r="AC35" s="169">
        <f>IF($C35-AC$1&lt;År1,0,AB34*(1-VLOOKUP($A35,[1]Hugst!$R$5:$W$9,MATCH(ROUNDUP((AC$1)/10,0)*10,[1]Hugst!$R$4:$W$4,0))))</f>
        <v>0</v>
      </c>
      <c r="AD35" s="169">
        <f>IF($C35-AD$1&lt;År1,0,AC34*(1-VLOOKUP($A35,[1]Hugst!$R$5:$W$9,MATCH(ROUNDUP((AD$1)/10,0)*10,[1]Hugst!$R$4:$W$4,0))))</f>
        <v>0</v>
      </c>
      <c r="AE35" s="169">
        <f>IF($C35-AE$1&lt;År1,0,AD34*(1-VLOOKUP($A35,[1]Hugst!$R$5:$W$9,MATCH(ROUNDUP((AE$1)/10,0)*10,[1]Hugst!$R$4:$W$4,0))))</f>
        <v>0</v>
      </c>
      <c r="AF35" s="169">
        <f>IF($C35-AF$1&lt;År1,0,AE34*(1-VLOOKUP($A35,[1]Hugst!$R$5:$W$9,MATCH(ROUNDUP((AF$1)/10,0)*10,[1]Hugst!$R$4:$W$4,0))))</f>
        <v>0</v>
      </c>
      <c r="AG35" s="169">
        <f>IF($C35-AG$1&lt;År1,0,AF34*(1-VLOOKUP($A35,[1]Hugst!$R$5:$W$9,MATCH(ROUNDUP((AG$1)/10,0)*10,[1]Hugst!$R$4:$W$4,0))))</f>
        <v>0</v>
      </c>
      <c r="AH35" s="169">
        <f>IF($C35-AH$1&lt;År1,0,AG34*(1-VLOOKUP($A35,[1]Hugst!$R$5:$W$9,MATCH(ROUNDUP((AH$1)/10,0)*10,[1]Hugst!$R$4:$W$4,0))))</f>
        <v>0</v>
      </c>
      <c r="AI35" s="169">
        <f>IF($C35-AI$1&lt;År1,0,AH34*(1-VLOOKUP($A35,[1]Hugst!$R$5:$W$9,MATCH(ROUNDUP((AI$1)/10,0)*10,[1]Hugst!$R$4:$W$4,0))))</f>
        <v>0</v>
      </c>
      <c r="AJ35" s="169">
        <f>IF($C35-AJ$1&lt;År1,0,AI34*(1-VLOOKUP($A35,[1]Hugst!$R$5:$W$9,MATCH(ROUNDUP((AJ$1)/10,0)*10,[1]Hugst!$R$4:$W$4,0))))</f>
        <v>0</v>
      </c>
    </row>
    <row r="36" spans="1:36" s="169" customFormat="1" x14ac:dyDescent="0.25">
      <c r="A36" s="169" t="s">
        <v>176</v>
      </c>
      <c r="B36" s="169" t="s">
        <v>24</v>
      </c>
      <c r="C36" s="169">
        <v>2023</v>
      </c>
      <c r="D36" s="169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0</v>
      </c>
      <c r="E36" s="169">
        <f t="shared" ca="1" si="0"/>
        <v>0</v>
      </c>
      <c r="F36" s="169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9">
        <f ca="1">IF($C36-G$1&lt;År1,0,F35*(1-VLOOKUP($A36,[1]Hugst!$R$5:$W$9,MATCH(ROUNDUP((G$1)/10,0)*10,[1]Hugst!$R$4:$W$4,0))))</f>
        <v>0</v>
      </c>
      <c r="H36" s="169">
        <f ca="1">IF($C36-H$1&lt;År1,0,G35*(1-VLOOKUP($A36,[1]Hugst!$R$5:$W$9,MATCH(ROUNDUP((H$1)/10,0)*10,[1]Hugst!$R$4:$W$4,0))))</f>
        <v>0</v>
      </c>
      <c r="I36" s="169">
        <f ca="1">IF($C36-I$1&lt;År1,0,H35*(1-VLOOKUP($A36,[1]Hugst!$R$5:$W$9,MATCH(ROUNDUP((I$1)/10,0)*10,[1]Hugst!$R$4:$W$4,0))))</f>
        <v>0</v>
      </c>
      <c r="J36" s="169">
        <f>IF($C36-J$1&lt;År1,0,I35*(1-VLOOKUP($A36,[1]Hugst!$R$5:$W$9,MATCH(ROUNDUP((J$1)/10,0)*10,[1]Hugst!$R$4:$W$4,0))))</f>
        <v>0</v>
      </c>
      <c r="K36" s="169">
        <f>IF($C36-K$1&lt;År1,0,J35*(1-VLOOKUP($A36,[1]Hugst!$R$5:$W$9,MATCH(ROUNDUP((K$1)/10,0)*10,[1]Hugst!$R$4:$W$4,0))))</f>
        <v>0</v>
      </c>
      <c r="L36" s="169">
        <f>IF($C36-L$1&lt;År1,0,K35*(1-VLOOKUP($A36,[1]Hugst!$R$5:$W$9,MATCH(ROUNDUP((L$1)/10,0)*10,[1]Hugst!$R$4:$W$4,0))))</f>
        <v>0</v>
      </c>
      <c r="M36" s="169">
        <f>IF($C36-M$1&lt;År1,0,L35*(1-VLOOKUP($A36,[1]Hugst!$R$5:$W$9,MATCH(ROUNDUP((M$1)/10,0)*10,[1]Hugst!$R$4:$W$4,0))))</f>
        <v>0</v>
      </c>
      <c r="N36" s="169">
        <f>IF($C36-N$1&lt;År1,0,M35*(1-VLOOKUP($A36,[1]Hugst!$R$5:$W$9,MATCH(ROUNDUP((N$1)/10,0)*10,[1]Hugst!$R$4:$W$4,0))))</f>
        <v>0</v>
      </c>
      <c r="O36" s="169">
        <f>IF($C36-O$1&lt;År1,0,N35*(1-VLOOKUP($A36,[1]Hugst!$R$5:$W$9,MATCH(ROUNDUP((O$1)/10,0)*10,[1]Hugst!$R$4:$W$4,0))))</f>
        <v>0</v>
      </c>
      <c r="P36" s="169">
        <f>IF($C36-P$1&lt;År1,0,O35*(1-VLOOKUP($A36,[1]Hugst!$R$5:$W$9,MATCH(ROUNDUP((P$1)/10,0)*10,[1]Hugst!$R$4:$W$4,0))))</f>
        <v>0</v>
      </c>
      <c r="Q36" s="169">
        <f>IF($C36-Q$1&lt;År1,0,P35*(1-VLOOKUP($A36,[1]Hugst!$R$5:$W$9,MATCH(ROUNDUP((Q$1)/10,0)*10,[1]Hugst!$R$4:$W$4,0))))</f>
        <v>0</v>
      </c>
      <c r="R36" s="169">
        <f>IF($C36-R$1&lt;År1,0,Q35*(1-VLOOKUP($A36,[1]Hugst!$R$5:$W$9,MATCH(ROUNDUP((R$1)/10,0)*10,[1]Hugst!$R$4:$W$4,0))))</f>
        <v>0</v>
      </c>
      <c r="S36" s="169">
        <f>IF($C36-S$1&lt;År1,0,R35*(1-VLOOKUP($A36,[1]Hugst!$R$5:$W$9,MATCH(ROUNDUP((S$1)/10,0)*10,[1]Hugst!$R$4:$W$4,0))))</f>
        <v>0</v>
      </c>
      <c r="T36" s="169">
        <f>IF($C36-T$1&lt;År1,0,S35*(1-VLOOKUP($A36,[1]Hugst!$R$5:$W$9,MATCH(ROUNDUP((T$1)/10,0)*10,[1]Hugst!$R$4:$W$4,0))))</f>
        <v>0</v>
      </c>
      <c r="U36" s="169">
        <f>IF($C36-U$1&lt;År1,0,T35*(1-VLOOKUP($A36,[1]Hugst!$R$5:$W$9,MATCH(ROUNDUP((U$1)/10,0)*10,[1]Hugst!$R$4:$W$4,0))))</f>
        <v>0</v>
      </c>
      <c r="V36" s="169">
        <f>IF($C36-V$1&lt;År1,0,U35*(1-VLOOKUP($A36,[1]Hugst!$R$5:$W$9,MATCH(ROUNDUP((V$1)/10,0)*10,[1]Hugst!$R$4:$W$4,0))))</f>
        <v>0</v>
      </c>
      <c r="W36" s="169">
        <f>IF($C36-W$1&lt;År1,0,V35*(1-VLOOKUP($A36,[1]Hugst!$R$5:$W$9,MATCH(ROUNDUP((W$1)/10,0)*10,[1]Hugst!$R$4:$W$4,0))))</f>
        <v>0</v>
      </c>
      <c r="X36" s="169">
        <f>IF($C36-X$1&lt;År1,0,W35*(1-VLOOKUP($A36,[1]Hugst!$R$5:$W$9,MATCH(ROUNDUP((X$1)/10,0)*10,[1]Hugst!$R$4:$W$4,0))))</f>
        <v>0</v>
      </c>
      <c r="Y36" s="169">
        <f>IF($C36-Y$1&lt;År1,0,X35*(1-VLOOKUP($A36,[1]Hugst!$R$5:$W$9,MATCH(ROUNDUP((Y$1)/10,0)*10,[1]Hugst!$R$4:$W$4,0))))</f>
        <v>0</v>
      </c>
      <c r="Z36" s="169">
        <f>IF($C36-Z$1&lt;År1,0,Y35*(1-VLOOKUP($A36,[1]Hugst!$R$5:$W$9,MATCH(ROUNDUP((Z$1)/10,0)*10,[1]Hugst!$R$4:$W$4,0))))</f>
        <v>0</v>
      </c>
      <c r="AA36" s="169">
        <f>IF($C36-AA$1&lt;År1,0,Z35*(1-VLOOKUP($A36,[1]Hugst!$R$5:$W$9,MATCH(ROUNDUP((AA$1)/10,0)*10,[1]Hugst!$R$4:$W$4,0))))</f>
        <v>0</v>
      </c>
      <c r="AB36" s="169">
        <f>IF($C36-AB$1&lt;År1,0,AA35*(1-VLOOKUP($A36,[1]Hugst!$R$5:$W$9,MATCH(ROUNDUP((AB$1)/10,0)*10,[1]Hugst!$R$4:$W$4,0))))</f>
        <v>0</v>
      </c>
      <c r="AC36" s="169">
        <f>IF($C36-AC$1&lt;År1,0,AB35*(1-VLOOKUP($A36,[1]Hugst!$R$5:$W$9,MATCH(ROUNDUP((AC$1)/10,0)*10,[1]Hugst!$R$4:$W$4,0))))</f>
        <v>0</v>
      </c>
      <c r="AD36" s="169">
        <f>IF($C36-AD$1&lt;År1,0,AC35*(1-VLOOKUP($A36,[1]Hugst!$R$5:$W$9,MATCH(ROUNDUP((AD$1)/10,0)*10,[1]Hugst!$R$4:$W$4,0))))</f>
        <v>0</v>
      </c>
      <c r="AE36" s="169">
        <f>IF($C36-AE$1&lt;År1,0,AD35*(1-VLOOKUP($A36,[1]Hugst!$R$5:$W$9,MATCH(ROUNDUP((AE$1)/10,0)*10,[1]Hugst!$R$4:$W$4,0))))</f>
        <v>0</v>
      </c>
      <c r="AF36" s="169">
        <f>IF($C36-AF$1&lt;År1,0,AE35*(1-VLOOKUP($A36,[1]Hugst!$R$5:$W$9,MATCH(ROUNDUP((AF$1)/10,0)*10,[1]Hugst!$R$4:$W$4,0))))</f>
        <v>0</v>
      </c>
      <c r="AG36" s="169">
        <f>IF($C36-AG$1&lt;År1,0,AF35*(1-VLOOKUP($A36,[1]Hugst!$R$5:$W$9,MATCH(ROUNDUP((AG$1)/10,0)*10,[1]Hugst!$R$4:$W$4,0))))</f>
        <v>0</v>
      </c>
      <c r="AH36" s="169">
        <f>IF($C36-AH$1&lt;År1,0,AG35*(1-VLOOKUP($A36,[1]Hugst!$R$5:$W$9,MATCH(ROUNDUP((AH$1)/10,0)*10,[1]Hugst!$R$4:$W$4,0))))</f>
        <v>0</v>
      </c>
      <c r="AI36" s="169">
        <f>IF($C36-AI$1&lt;År1,0,AH35*(1-VLOOKUP($A36,[1]Hugst!$R$5:$W$9,MATCH(ROUNDUP((AI$1)/10,0)*10,[1]Hugst!$R$4:$W$4,0))))</f>
        <v>0</v>
      </c>
      <c r="AJ36" s="169">
        <f>IF($C36-AJ$1&lt;År1,0,AI35*(1-VLOOKUP($A36,[1]Hugst!$R$5:$W$9,MATCH(ROUNDUP((AJ$1)/10,0)*10,[1]Hugst!$R$4:$W$4,0))))</f>
        <v>0</v>
      </c>
    </row>
    <row r="37" spans="1:36" s="169" customFormat="1" x14ac:dyDescent="0.25">
      <c r="A37" s="169" t="s">
        <v>176</v>
      </c>
      <c r="B37" s="169" t="s">
        <v>24</v>
      </c>
      <c r="C37" s="169">
        <v>2024</v>
      </c>
      <c r="D37" s="169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0</v>
      </c>
      <c r="E37" s="169">
        <f t="shared" ca="1" si="0"/>
        <v>0</v>
      </c>
      <c r="F37" s="169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9">
        <f ca="1">IF($C37-G$1&lt;År1,0,F36*(1-VLOOKUP($A37,[1]Hugst!$R$5:$W$9,MATCH(ROUNDUP((G$1)/10,0)*10,[1]Hugst!$R$4:$W$4,0))))</f>
        <v>0</v>
      </c>
      <c r="H37" s="169">
        <f ca="1">IF($C37-H$1&lt;År1,0,G36*(1-VLOOKUP($A37,[1]Hugst!$R$5:$W$9,MATCH(ROUNDUP((H$1)/10,0)*10,[1]Hugst!$R$4:$W$4,0))))</f>
        <v>0</v>
      </c>
      <c r="I37" s="169">
        <f ca="1">IF($C37-I$1&lt;År1,0,H36*(1-VLOOKUP($A37,[1]Hugst!$R$5:$W$9,MATCH(ROUNDUP((I$1)/10,0)*10,[1]Hugst!$R$4:$W$4,0))))</f>
        <v>0</v>
      </c>
      <c r="J37" s="169">
        <f ca="1">IF($C37-J$1&lt;År1,0,I36*(1-VLOOKUP($A37,[1]Hugst!$R$5:$W$9,MATCH(ROUNDUP((J$1)/10,0)*10,[1]Hugst!$R$4:$W$4,0))))</f>
        <v>0</v>
      </c>
      <c r="K37" s="169">
        <f>IF($C37-K$1&lt;År1,0,J36*(1-VLOOKUP($A37,[1]Hugst!$R$5:$W$9,MATCH(ROUNDUP((K$1)/10,0)*10,[1]Hugst!$R$4:$W$4,0))))</f>
        <v>0</v>
      </c>
      <c r="L37" s="169">
        <f>IF($C37-L$1&lt;År1,0,K36*(1-VLOOKUP($A37,[1]Hugst!$R$5:$W$9,MATCH(ROUNDUP((L$1)/10,0)*10,[1]Hugst!$R$4:$W$4,0))))</f>
        <v>0</v>
      </c>
      <c r="M37" s="169">
        <f>IF($C37-M$1&lt;År1,0,L36*(1-VLOOKUP($A37,[1]Hugst!$R$5:$W$9,MATCH(ROUNDUP((M$1)/10,0)*10,[1]Hugst!$R$4:$W$4,0))))</f>
        <v>0</v>
      </c>
      <c r="N37" s="169">
        <f>IF($C37-N$1&lt;År1,0,M36*(1-VLOOKUP($A37,[1]Hugst!$R$5:$W$9,MATCH(ROUNDUP((N$1)/10,0)*10,[1]Hugst!$R$4:$W$4,0))))</f>
        <v>0</v>
      </c>
      <c r="O37" s="169">
        <f>IF($C37-O$1&lt;År1,0,N36*(1-VLOOKUP($A37,[1]Hugst!$R$5:$W$9,MATCH(ROUNDUP((O$1)/10,0)*10,[1]Hugst!$R$4:$W$4,0))))</f>
        <v>0</v>
      </c>
      <c r="P37" s="169">
        <f>IF($C37-P$1&lt;År1,0,O36*(1-VLOOKUP($A37,[1]Hugst!$R$5:$W$9,MATCH(ROUNDUP((P$1)/10,0)*10,[1]Hugst!$R$4:$W$4,0))))</f>
        <v>0</v>
      </c>
      <c r="Q37" s="169">
        <f>IF($C37-Q$1&lt;År1,0,P36*(1-VLOOKUP($A37,[1]Hugst!$R$5:$W$9,MATCH(ROUNDUP((Q$1)/10,0)*10,[1]Hugst!$R$4:$W$4,0))))</f>
        <v>0</v>
      </c>
      <c r="R37" s="169">
        <f>IF($C37-R$1&lt;År1,0,Q36*(1-VLOOKUP($A37,[1]Hugst!$R$5:$W$9,MATCH(ROUNDUP((R$1)/10,0)*10,[1]Hugst!$R$4:$W$4,0))))</f>
        <v>0</v>
      </c>
      <c r="S37" s="169">
        <f>IF($C37-S$1&lt;År1,0,R36*(1-VLOOKUP($A37,[1]Hugst!$R$5:$W$9,MATCH(ROUNDUP((S$1)/10,0)*10,[1]Hugst!$R$4:$W$4,0))))</f>
        <v>0</v>
      </c>
      <c r="T37" s="169">
        <f>IF($C37-T$1&lt;År1,0,S36*(1-VLOOKUP($A37,[1]Hugst!$R$5:$W$9,MATCH(ROUNDUP((T$1)/10,0)*10,[1]Hugst!$R$4:$W$4,0))))</f>
        <v>0</v>
      </c>
      <c r="U37" s="169">
        <f>IF($C37-U$1&lt;År1,0,T36*(1-VLOOKUP($A37,[1]Hugst!$R$5:$W$9,MATCH(ROUNDUP((U$1)/10,0)*10,[1]Hugst!$R$4:$W$4,0))))</f>
        <v>0</v>
      </c>
      <c r="V37" s="169">
        <f>IF($C37-V$1&lt;År1,0,U36*(1-VLOOKUP($A37,[1]Hugst!$R$5:$W$9,MATCH(ROUNDUP((V$1)/10,0)*10,[1]Hugst!$R$4:$W$4,0))))</f>
        <v>0</v>
      </c>
      <c r="W37" s="169">
        <f>IF($C37-W$1&lt;År1,0,V36*(1-VLOOKUP($A37,[1]Hugst!$R$5:$W$9,MATCH(ROUNDUP((W$1)/10,0)*10,[1]Hugst!$R$4:$W$4,0))))</f>
        <v>0</v>
      </c>
      <c r="X37" s="169">
        <f>IF($C37-X$1&lt;År1,0,W36*(1-VLOOKUP($A37,[1]Hugst!$R$5:$W$9,MATCH(ROUNDUP((X$1)/10,0)*10,[1]Hugst!$R$4:$W$4,0))))</f>
        <v>0</v>
      </c>
      <c r="Y37" s="169">
        <f>IF($C37-Y$1&lt;År1,0,X36*(1-VLOOKUP($A37,[1]Hugst!$R$5:$W$9,MATCH(ROUNDUP((Y$1)/10,0)*10,[1]Hugst!$R$4:$W$4,0))))</f>
        <v>0</v>
      </c>
      <c r="Z37" s="169">
        <f>IF($C37-Z$1&lt;År1,0,Y36*(1-VLOOKUP($A37,[1]Hugst!$R$5:$W$9,MATCH(ROUNDUP((Z$1)/10,0)*10,[1]Hugst!$R$4:$W$4,0))))</f>
        <v>0</v>
      </c>
      <c r="AA37" s="169">
        <f>IF($C37-AA$1&lt;År1,0,Z36*(1-VLOOKUP($A37,[1]Hugst!$R$5:$W$9,MATCH(ROUNDUP((AA$1)/10,0)*10,[1]Hugst!$R$4:$W$4,0))))</f>
        <v>0</v>
      </c>
      <c r="AB37" s="169">
        <f>IF($C37-AB$1&lt;År1,0,AA36*(1-VLOOKUP($A37,[1]Hugst!$R$5:$W$9,MATCH(ROUNDUP((AB$1)/10,0)*10,[1]Hugst!$R$4:$W$4,0))))</f>
        <v>0</v>
      </c>
      <c r="AC37" s="169">
        <f>IF($C37-AC$1&lt;År1,0,AB36*(1-VLOOKUP($A37,[1]Hugst!$R$5:$W$9,MATCH(ROUNDUP((AC$1)/10,0)*10,[1]Hugst!$R$4:$W$4,0))))</f>
        <v>0</v>
      </c>
      <c r="AD37" s="169">
        <f>IF($C37-AD$1&lt;År1,0,AC36*(1-VLOOKUP($A37,[1]Hugst!$R$5:$W$9,MATCH(ROUNDUP((AD$1)/10,0)*10,[1]Hugst!$R$4:$W$4,0))))</f>
        <v>0</v>
      </c>
      <c r="AE37" s="169">
        <f>IF($C37-AE$1&lt;År1,0,AD36*(1-VLOOKUP($A37,[1]Hugst!$R$5:$W$9,MATCH(ROUNDUP((AE$1)/10,0)*10,[1]Hugst!$R$4:$W$4,0))))</f>
        <v>0</v>
      </c>
      <c r="AF37" s="169">
        <f>IF($C37-AF$1&lt;År1,0,AE36*(1-VLOOKUP($A37,[1]Hugst!$R$5:$W$9,MATCH(ROUNDUP((AF$1)/10,0)*10,[1]Hugst!$R$4:$W$4,0))))</f>
        <v>0</v>
      </c>
      <c r="AG37" s="169">
        <f>IF($C37-AG$1&lt;År1,0,AF36*(1-VLOOKUP($A37,[1]Hugst!$R$5:$W$9,MATCH(ROUNDUP((AG$1)/10,0)*10,[1]Hugst!$R$4:$W$4,0))))</f>
        <v>0</v>
      </c>
      <c r="AH37" s="169">
        <f>IF($C37-AH$1&lt;År1,0,AG36*(1-VLOOKUP($A37,[1]Hugst!$R$5:$W$9,MATCH(ROUNDUP((AH$1)/10,0)*10,[1]Hugst!$R$4:$W$4,0))))</f>
        <v>0</v>
      </c>
      <c r="AI37" s="169">
        <f>IF($C37-AI$1&lt;År1,0,AH36*(1-VLOOKUP($A37,[1]Hugst!$R$5:$W$9,MATCH(ROUNDUP((AI$1)/10,0)*10,[1]Hugst!$R$4:$W$4,0))))</f>
        <v>0</v>
      </c>
      <c r="AJ37" s="169">
        <f>IF($C37-AJ$1&lt;År1,0,AI36*(1-VLOOKUP($A37,[1]Hugst!$R$5:$W$9,MATCH(ROUNDUP((AJ$1)/10,0)*10,[1]Hugst!$R$4:$W$4,0))))</f>
        <v>0</v>
      </c>
    </row>
    <row r="38" spans="1:36" s="169" customFormat="1" x14ac:dyDescent="0.25">
      <c r="A38" s="169" t="s">
        <v>176</v>
      </c>
      <c r="B38" s="169" t="s">
        <v>24</v>
      </c>
      <c r="C38" s="169">
        <v>2025</v>
      </c>
      <c r="D38" s="169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0</v>
      </c>
      <c r="E38" s="169">
        <f t="shared" ca="1" si="0"/>
        <v>0</v>
      </c>
      <c r="F38" s="169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9">
        <f ca="1">IF($C38-G$1&lt;År1,0,F37*(1-VLOOKUP($A38,[1]Hugst!$R$5:$W$9,MATCH(ROUNDUP((G$1)/10,0)*10,[1]Hugst!$R$4:$W$4,0))))</f>
        <v>0</v>
      </c>
      <c r="H38" s="169">
        <f ca="1">IF($C38-H$1&lt;År1,0,G37*(1-VLOOKUP($A38,[1]Hugst!$R$5:$W$9,MATCH(ROUNDUP((H$1)/10,0)*10,[1]Hugst!$R$4:$W$4,0))))</f>
        <v>0</v>
      </c>
      <c r="I38" s="169">
        <f ca="1">IF($C38-I$1&lt;År1,0,H37*(1-VLOOKUP($A38,[1]Hugst!$R$5:$W$9,MATCH(ROUNDUP((I$1)/10,0)*10,[1]Hugst!$R$4:$W$4,0))))</f>
        <v>0</v>
      </c>
      <c r="J38" s="169">
        <f ca="1">IF($C38-J$1&lt;År1,0,I37*(1-VLOOKUP($A38,[1]Hugst!$R$5:$W$9,MATCH(ROUNDUP((J$1)/10,0)*10,[1]Hugst!$R$4:$W$4,0))))</f>
        <v>0</v>
      </c>
      <c r="K38" s="169">
        <f ca="1">IF($C38-K$1&lt;År1,0,J37*(1-VLOOKUP($A38,[1]Hugst!$R$5:$W$9,MATCH(ROUNDUP((K$1)/10,0)*10,[1]Hugst!$R$4:$W$4,0))))</f>
        <v>0</v>
      </c>
      <c r="L38" s="169">
        <f>IF($C38-L$1&lt;År1,0,K37*(1-VLOOKUP($A38,[1]Hugst!$R$5:$W$9,MATCH(ROUNDUP((L$1)/10,0)*10,[1]Hugst!$R$4:$W$4,0))))</f>
        <v>0</v>
      </c>
      <c r="M38" s="169">
        <f>IF($C38-M$1&lt;År1,0,L37*(1-VLOOKUP($A38,[1]Hugst!$R$5:$W$9,MATCH(ROUNDUP((M$1)/10,0)*10,[1]Hugst!$R$4:$W$4,0))))</f>
        <v>0</v>
      </c>
      <c r="N38" s="169">
        <f>IF($C38-N$1&lt;År1,0,M37*(1-VLOOKUP($A38,[1]Hugst!$R$5:$W$9,MATCH(ROUNDUP((N$1)/10,0)*10,[1]Hugst!$R$4:$W$4,0))))</f>
        <v>0</v>
      </c>
      <c r="O38" s="169">
        <f>IF($C38-O$1&lt;År1,0,N37*(1-VLOOKUP($A38,[1]Hugst!$R$5:$W$9,MATCH(ROUNDUP((O$1)/10,0)*10,[1]Hugst!$R$4:$W$4,0))))</f>
        <v>0</v>
      </c>
      <c r="P38" s="169">
        <f>IF($C38-P$1&lt;År1,0,O37*(1-VLOOKUP($A38,[1]Hugst!$R$5:$W$9,MATCH(ROUNDUP((P$1)/10,0)*10,[1]Hugst!$R$4:$W$4,0))))</f>
        <v>0</v>
      </c>
      <c r="Q38" s="169">
        <f>IF($C38-Q$1&lt;År1,0,P37*(1-VLOOKUP($A38,[1]Hugst!$R$5:$W$9,MATCH(ROUNDUP((Q$1)/10,0)*10,[1]Hugst!$R$4:$W$4,0))))</f>
        <v>0</v>
      </c>
      <c r="R38" s="169">
        <f>IF($C38-R$1&lt;År1,0,Q37*(1-VLOOKUP($A38,[1]Hugst!$R$5:$W$9,MATCH(ROUNDUP((R$1)/10,0)*10,[1]Hugst!$R$4:$W$4,0))))</f>
        <v>0</v>
      </c>
      <c r="S38" s="169">
        <f>IF($C38-S$1&lt;År1,0,R37*(1-VLOOKUP($A38,[1]Hugst!$R$5:$W$9,MATCH(ROUNDUP((S$1)/10,0)*10,[1]Hugst!$R$4:$W$4,0))))</f>
        <v>0</v>
      </c>
      <c r="T38" s="169">
        <f>IF($C38-T$1&lt;År1,0,S37*(1-VLOOKUP($A38,[1]Hugst!$R$5:$W$9,MATCH(ROUNDUP((T$1)/10,0)*10,[1]Hugst!$R$4:$W$4,0))))</f>
        <v>0</v>
      </c>
      <c r="U38" s="169">
        <f>IF($C38-U$1&lt;År1,0,T37*(1-VLOOKUP($A38,[1]Hugst!$R$5:$W$9,MATCH(ROUNDUP((U$1)/10,0)*10,[1]Hugst!$R$4:$W$4,0))))</f>
        <v>0</v>
      </c>
      <c r="V38" s="169">
        <f>IF($C38-V$1&lt;År1,0,U37*(1-VLOOKUP($A38,[1]Hugst!$R$5:$W$9,MATCH(ROUNDUP((V$1)/10,0)*10,[1]Hugst!$R$4:$W$4,0))))</f>
        <v>0</v>
      </c>
      <c r="W38" s="169">
        <f>IF($C38-W$1&lt;År1,0,V37*(1-VLOOKUP($A38,[1]Hugst!$R$5:$W$9,MATCH(ROUNDUP((W$1)/10,0)*10,[1]Hugst!$R$4:$W$4,0))))</f>
        <v>0</v>
      </c>
      <c r="X38" s="169">
        <f>IF($C38-X$1&lt;År1,0,W37*(1-VLOOKUP($A38,[1]Hugst!$R$5:$W$9,MATCH(ROUNDUP((X$1)/10,0)*10,[1]Hugst!$R$4:$W$4,0))))</f>
        <v>0</v>
      </c>
      <c r="Y38" s="169">
        <f>IF($C38-Y$1&lt;År1,0,X37*(1-VLOOKUP($A38,[1]Hugst!$R$5:$W$9,MATCH(ROUNDUP((Y$1)/10,0)*10,[1]Hugst!$R$4:$W$4,0))))</f>
        <v>0</v>
      </c>
      <c r="Z38" s="169">
        <f>IF($C38-Z$1&lt;År1,0,Y37*(1-VLOOKUP($A38,[1]Hugst!$R$5:$W$9,MATCH(ROUNDUP((Z$1)/10,0)*10,[1]Hugst!$R$4:$W$4,0))))</f>
        <v>0</v>
      </c>
      <c r="AA38" s="169">
        <f>IF($C38-AA$1&lt;År1,0,Z37*(1-VLOOKUP($A38,[1]Hugst!$R$5:$W$9,MATCH(ROUNDUP((AA$1)/10,0)*10,[1]Hugst!$R$4:$W$4,0))))</f>
        <v>0</v>
      </c>
      <c r="AB38" s="169">
        <f>IF($C38-AB$1&lt;År1,0,AA37*(1-VLOOKUP($A38,[1]Hugst!$R$5:$W$9,MATCH(ROUNDUP((AB$1)/10,0)*10,[1]Hugst!$R$4:$W$4,0))))</f>
        <v>0</v>
      </c>
      <c r="AC38" s="169">
        <f>IF($C38-AC$1&lt;År1,0,AB37*(1-VLOOKUP($A38,[1]Hugst!$R$5:$W$9,MATCH(ROUNDUP((AC$1)/10,0)*10,[1]Hugst!$R$4:$W$4,0))))</f>
        <v>0</v>
      </c>
      <c r="AD38" s="169">
        <f>IF($C38-AD$1&lt;År1,0,AC37*(1-VLOOKUP($A38,[1]Hugst!$R$5:$W$9,MATCH(ROUNDUP((AD$1)/10,0)*10,[1]Hugst!$R$4:$W$4,0))))</f>
        <v>0</v>
      </c>
      <c r="AE38" s="169">
        <f>IF($C38-AE$1&lt;År1,0,AD37*(1-VLOOKUP($A38,[1]Hugst!$R$5:$W$9,MATCH(ROUNDUP((AE$1)/10,0)*10,[1]Hugst!$R$4:$W$4,0))))</f>
        <v>0</v>
      </c>
      <c r="AF38" s="169">
        <f>IF($C38-AF$1&lt;År1,0,AE37*(1-VLOOKUP($A38,[1]Hugst!$R$5:$W$9,MATCH(ROUNDUP((AF$1)/10,0)*10,[1]Hugst!$R$4:$W$4,0))))</f>
        <v>0</v>
      </c>
      <c r="AG38" s="169">
        <f>IF($C38-AG$1&lt;År1,0,AF37*(1-VLOOKUP($A38,[1]Hugst!$R$5:$W$9,MATCH(ROUNDUP((AG$1)/10,0)*10,[1]Hugst!$R$4:$W$4,0))))</f>
        <v>0</v>
      </c>
      <c r="AH38" s="169">
        <f>IF($C38-AH$1&lt;År1,0,AG37*(1-VLOOKUP($A38,[1]Hugst!$R$5:$W$9,MATCH(ROUNDUP((AH$1)/10,0)*10,[1]Hugst!$R$4:$W$4,0))))</f>
        <v>0</v>
      </c>
      <c r="AI38" s="169">
        <f>IF($C38-AI$1&lt;År1,0,AH37*(1-VLOOKUP($A38,[1]Hugst!$R$5:$W$9,MATCH(ROUNDUP((AI$1)/10,0)*10,[1]Hugst!$R$4:$W$4,0))))</f>
        <v>0</v>
      </c>
      <c r="AJ38" s="169">
        <f>IF($C38-AJ$1&lt;År1,0,AI37*(1-VLOOKUP($A38,[1]Hugst!$R$5:$W$9,MATCH(ROUNDUP((AJ$1)/10,0)*10,[1]Hugst!$R$4:$W$4,0))))</f>
        <v>0</v>
      </c>
    </row>
    <row r="39" spans="1:36" s="169" customFormat="1" x14ac:dyDescent="0.25">
      <c r="A39" s="169" t="s">
        <v>176</v>
      </c>
      <c r="B39" s="169" t="s">
        <v>24</v>
      </c>
      <c r="C39" s="169">
        <v>2026</v>
      </c>
      <c r="D39" s="169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0</v>
      </c>
      <c r="E39" s="169">
        <f t="shared" ca="1" si="0"/>
        <v>0</v>
      </c>
      <c r="F39" s="169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9">
        <f ca="1">IF($C39-G$1&lt;År1,0,F38*(1-VLOOKUP($A39,[1]Hugst!$R$5:$W$9,MATCH(ROUNDUP((G$1)/10,0)*10,[1]Hugst!$R$4:$W$4,0))))</f>
        <v>0</v>
      </c>
      <c r="H39" s="169">
        <f ca="1">IF($C39-H$1&lt;År1,0,G38*(1-VLOOKUP($A39,[1]Hugst!$R$5:$W$9,MATCH(ROUNDUP((H$1)/10,0)*10,[1]Hugst!$R$4:$W$4,0))))</f>
        <v>0</v>
      </c>
      <c r="I39" s="169">
        <f ca="1">IF($C39-I$1&lt;År1,0,H38*(1-VLOOKUP($A39,[1]Hugst!$R$5:$W$9,MATCH(ROUNDUP((I$1)/10,0)*10,[1]Hugst!$R$4:$W$4,0))))</f>
        <v>0</v>
      </c>
      <c r="J39" s="169">
        <f ca="1">IF($C39-J$1&lt;År1,0,I38*(1-VLOOKUP($A39,[1]Hugst!$R$5:$W$9,MATCH(ROUNDUP((J$1)/10,0)*10,[1]Hugst!$R$4:$W$4,0))))</f>
        <v>0</v>
      </c>
      <c r="K39" s="169">
        <f ca="1">IF($C39-K$1&lt;År1,0,J38*(1-VLOOKUP($A39,[1]Hugst!$R$5:$W$9,MATCH(ROUNDUP((K$1)/10,0)*10,[1]Hugst!$R$4:$W$4,0))))</f>
        <v>0</v>
      </c>
      <c r="L39" s="169">
        <f ca="1">IF($C39-L$1&lt;År1,0,K38*(1-VLOOKUP($A39,[1]Hugst!$R$5:$W$9,MATCH(ROUNDUP((L$1)/10,0)*10,[1]Hugst!$R$4:$W$4,0))))</f>
        <v>0</v>
      </c>
      <c r="M39" s="169">
        <f>IF($C39-M$1&lt;År1,0,L38*(1-VLOOKUP($A39,[1]Hugst!$R$5:$W$9,MATCH(ROUNDUP((M$1)/10,0)*10,[1]Hugst!$R$4:$W$4,0))))</f>
        <v>0</v>
      </c>
      <c r="N39" s="169">
        <f>IF($C39-N$1&lt;År1,0,M38*(1-VLOOKUP($A39,[1]Hugst!$R$5:$W$9,MATCH(ROUNDUP((N$1)/10,0)*10,[1]Hugst!$R$4:$W$4,0))))</f>
        <v>0</v>
      </c>
      <c r="O39" s="169">
        <f>IF($C39-O$1&lt;År1,0,N38*(1-VLOOKUP($A39,[1]Hugst!$R$5:$W$9,MATCH(ROUNDUP((O$1)/10,0)*10,[1]Hugst!$R$4:$W$4,0))))</f>
        <v>0</v>
      </c>
      <c r="P39" s="169">
        <f>IF($C39-P$1&lt;År1,0,O38*(1-VLOOKUP($A39,[1]Hugst!$R$5:$W$9,MATCH(ROUNDUP((P$1)/10,0)*10,[1]Hugst!$R$4:$W$4,0))))</f>
        <v>0</v>
      </c>
      <c r="Q39" s="169">
        <f>IF($C39-Q$1&lt;År1,0,P38*(1-VLOOKUP($A39,[1]Hugst!$R$5:$W$9,MATCH(ROUNDUP((Q$1)/10,0)*10,[1]Hugst!$R$4:$W$4,0))))</f>
        <v>0</v>
      </c>
      <c r="R39" s="169">
        <f>IF($C39-R$1&lt;År1,0,Q38*(1-VLOOKUP($A39,[1]Hugst!$R$5:$W$9,MATCH(ROUNDUP((R$1)/10,0)*10,[1]Hugst!$R$4:$W$4,0))))</f>
        <v>0</v>
      </c>
      <c r="S39" s="169">
        <f>IF($C39-S$1&lt;År1,0,R38*(1-VLOOKUP($A39,[1]Hugst!$R$5:$W$9,MATCH(ROUNDUP((S$1)/10,0)*10,[1]Hugst!$R$4:$W$4,0))))</f>
        <v>0</v>
      </c>
      <c r="T39" s="169">
        <f>IF($C39-T$1&lt;År1,0,S38*(1-VLOOKUP($A39,[1]Hugst!$R$5:$W$9,MATCH(ROUNDUP((T$1)/10,0)*10,[1]Hugst!$R$4:$W$4,0))))</f>
        <v>0</v>
      </c>
      <c r="U39" s="169">
        <f>IF($C39-U$1&lt;År1,0,T38*(1-VLOOKUP($A39,[1]Hugst!$R$5:$W$9,MATCH(ROUNDUP((U$1)/10,0)*10,[1]Hugst!$R$4:$W$4,0))))</f>
        <v>0</v>
      </c>
      <c r="V39" s="169">
        <f>IF($C39-V$1&lt;År1,0,U38*(1-VLOOKUP($A39,[1]Hugst!$R$5:$W$9,MATCH(ROUNDUP((V$1)/10,0)*10,[1]Hugst!$R$4:$W$4,0))))</f>
        <v>0</v>
      </c>
      <c r="W39" s="169">
        <f>IF($C39-W$1&lt;År1,0,V38*(1-VLOOKUP($A39,[1]Hugst!$R$5:$W$9,MATCH(ROUNDUP((W$1)/10,0)*10,[1]Hugst!$R$4:$W$4,0))))</f>
        <v>0</v>
      </c>
      <c r="X39" s="169">
        <f>IF($C39-X$1&lt;År1,0,W38*(1-VLOOKUP($A39,[1]Hugst!$R$5:$W$9,MATCH(ROUNDUP((X$1)/10,0)*10,[1]Hugst!$R$4:$W$4,0))))</f>
        <v>0</v>
      </c>
      <c r="Y39" s="169">
        <f>IF($C39-Y$1&lt;År1,0,X38*(1-VLOOKUP($A39,[1]Hugst!$R$5:$W$9,MATCH(ROUNDUP((Y$1)/10,0)*10,[1]Hugst!$R$4:$W$4,0))))</f>
        <v>0</v>
      </c>
      <c r="Z39" s="169">
        <f>IF($C39-Z$1&lt;År1,0,Y38*(1-VLOOKUP($A39,[1]Hugst!$R$5:$W$9,MATCH(ROUNDUP((Z$1)/10,0)*10,[1]Hugst!$R$4:$W$4,0))))</f>
        <v>0</v>
      </c>
      <c r="AA39" s="169">
        <f>IF($C39-AA$1&lt;År1,0,Z38*(1-VLOOKUP($A39,[1]Hugst!$R$5:$W$9,MATCH(ROUNDUP((AA$1)/10,0)*10,[1]Hugst!$R$4:$W$4,0))))</f>
        <v>0</v>
      </c>
      <c r="AB39" s="169">
        <f>IF($C39-AB$1&lt;År1,0,AA38*(1-VLOOKUP($A39,[1]Hugst!$R$5:$W$9,MATCH(ROUNDUP((AB$1)/10,0)*10,[1]Hugst!$R$4:$W$4,0))))</f>
        <v>0</v>
      </c>
      <c r="AC39" s="169">
        <f>IF($C39-AC$1&lt;År1,0,AB38*(1-VLOOKUP($A39,[1]Hugst!$R$5:$W$9,MATCH(ROUNDUP((AC$1)/10,0)*10,[1]Hugst!$R$4:$W$4,0))))</f>
        <v>0</v>
      </c>
      <c r="AD39" s="169">
        <f>IF($C39-AD$1&lt;År1,0,AC38*(1-VLOOKUP($A39,[1]Hugst!$R$5:$W$9,MATCH(ROUNDUP((AD$1)/10,0)*10,[1]Hugst!$R$4:$W$4,0))))</f>
        <v>0</v>
      </c>
      <c r="AE39" s="169">
        <f>IF($C39-AE$1&lt;År1,0,AD38*(1-VLOOKUP($A39,[1]Hugst!$R$5:$W$9,MATCH(ROUNDUP((AE$1)/10,0)*10,[1]Hugst!$R$4:$W$4,0))))</f>
        <v>0</v>
      </c>
      <c r="AF39" s="169">
        <f>IF($C39-AF$1&lt;År1,0,AE38*(1-VLOOKUP($A39,[1]Hugst!$R$5:$W$9,MATCH(ROUNDUP((AF$1)/10,0)*10,[1]Hugst!$R$4:$W$4,0))))</f>
        <v>0</v>
      </c>
      <c r="AG39" s="169">
        <f>IF($C39-AG$1&lt;År1,0,AF38*(1-VLOOKUP($A39,[1]Hugst!$R$5:$W$9,MATCH(ROUNDUP((AG$1)/10,0)*10,[1]Hugst!$R$4:$W$4,0))))</f>
        <v>0</v>
      </c>
      <c r="AH39" s="169">
        <f>IF($C39-AH$1&lt;År1,0,AG38*(1-VLOOKUP($A39,[1]Hugst!$R$5:$W$9,MATCH(ROUNDUP((AH$1)/10,0)*10,[1]Hugst!$R$4:$W$4,0))))</f>
        <v>0</v>
      </c>
      <c r="AI39" s="169">
        <f>IF($C39-AI$1&lt;År1,0,AH38*(1-VLOOKUP($A39,[1]Hugst!$R$5:$W$9,MATCH(ROUNDUP((AI$1)/10,0)*10,[1]Hugst!$R$4:$W$4,0))))</f>
        <v>0</v>
      </c>
      <c r="AJ39" s="169">
        <f>IF($C39-AJ$1&lt;År1,0,AI38*(1-VLOOKUP($A39,[1]Hugst!$R$5:$W$9,MATCH(ROUNDUP((AJ$1)/10,0)*10,[1]Hugst!$R$4:$W$4,0))))</f>
        <v>0</v>
      </c>
    </row>
    <row r="40" spans="1:36" s="169" customFormat="1" x14ac:dyDescent="0.25">
      <c r="A40" s="169" t="s">
        <v>176</v>
      </c>
      <c r="B40" s="169" t="s">
        <v>24</v>
      </c>
      <c r="C40" s="169">
        <v>2027</v>
      </c>
      <c r="D40" s="169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0</v>
      </c>
      <c r="E40" s="169">
        <f t="shared" ca="1" si="0"/>
        <v>0</v>
      </c>
      <c r="F40" s="169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9">
        <f ca="1">IF($C40-G$1&lt;År1,0,F39*(1-VLOOKUP($A40,[1]Hugst!$R$5:$W$9,MATCH(ROUNDUP((G$1)/10,0)*10,[1]Hugst!$R$4:$W$4,0))))</f>
        <v>0</v>
      </c>
      <c r="H40" s="169">
        <f ca="1">IF($C40-H$1&lt;År1,0,G39*(1-VLOOKUP($A40,[1]Hugst!$R$5:$W$9,MATCH(ROUNDUP((H$1)/10,0)*10,[1]Hugst!$R$4:$W$4,0))))</f>
        <v>0</v>
      </c>
      <c r="I40" s="169">
        <f ca="1">IF($C40-I$1&lt;År1,0,H39*(1-VLOOKUP($A40,[1]Hugst!$R$5:$W$9,MATCH(ROUNDUP((I$1)/10,0)*10,[1]Hugst!$R$4:$W$4,0))))</f>
        <v>0</v>
      </c>
      <c r="J40" s="169">
        <f ca="1">IF($C40-J$1&lt;År1,0,I39*(1-VLOOKUP($A40,[1]Hugst!$R$5:$W$9,MATCH(ROUNDUP((J$1)/10,0)*10,[1]Hugst!$R$4:$W$4,0))))</f>
        <v>0</v>
      </c>
      <c r="K40" s="169">
        <f ca="1">IF($C40-K$1&lt;År1,0,J39*(1-VLOOKUP($A40,[1]Hugst!$R$5:$W$9,MATCH(ROUNDUP((K$1)/10,0)*10,[1]Hugst!$R$4:$W$4,0))))</f>
        <v>0</v>
      </c>
      <c r="L40" s="169">
        <f ca="1">IF($C40-L$1&lt;År1,0,K39*(1-VLOOKUP($A40,[1]Hugst!$R$5:$W$9,MATCH(ROUNDUP((L$1)/10,0)*10,[1]Hugst!$R$4:$W$4,0))))</f>
        <v>0</v>
      </c>
      <c r="M40" s="169">
        <f ca="1">IF($C40-M$1&lt;År1,0,L39*(1-VLOOKUP($A40,[1]Hugst!$R$5:$W$9,MATCH(ROUNDUP((M$1)/10,0)*10,[1]Hugst!$R$4:$W$4,0))))</f>
        <v>0</v>
      </c>
      <c r="N40" s="169">
        <f>IF($C40-N$1&lt;År1,0,M39*(1-VLOOKUP($A40,[1]Hugst!$R$5:$W$9,MATCH(ROUNDUP((N$1)/10,0)*10,[1]Hugst!$R$4:$W$4,0))))</f>
        <v>0</v>
      </c>
      <c r="O40" s="169">
        <f>IF($C40-O$1&lt;År1,0,N39*(1-VLOOKUP($A40,[1]Hugst!$R$5:$W$9,MATCH(ROUNDUP((O$1)/10,0)*10,[1]Hugst!$R$4:$W$4,0))))</f>
        <v>0</v>
      </c>
      <c r="P40" s="169">
        <f>IF($C40-P$1&lt;År1,0,O39*(1-VLOOKUP($A40,[1]Hugst!$R$5:$W$9,MATCH(ROUNDUP((P$1)/10,0)*10,[1]Hugst!$R$4:$W$4,0))))</f>
        <v>0</v>
      </c>
      <c r="Q40" s="169">
        <f>IF($C40-Q$1&lt;År1,0,P39*(1-VLOOKUP($A40,[1]Hugst!$R$5:$W$9,MATCH(ROUNDUP((Q$1)/10,0)*10,[1]Hugst!$R$4:$W$4,0))))</f>
        <v>0</v>
      </c>
      <c r="R40" s="169">
        <f>IF($C40-R$1&lt;År1,0,Q39*(1-VLOOKUP($A40,[1]Hugst!$R$5:$W$9,MATCH(ROUNDUP((R$1)/10,0)*10,[1]Hugst!$R$4:$W$4,0))))</f>
        <v>0</v>
      </c>
      <c r="S40" s="169">
        <f>IF($C40-S$1&lt;År1,0,R39*(1-VLOOKUP($A40,[1]Hugst!$R$5:$W$9,MATCH(ROUNDUP((S$1)/10,0)*10,[1]Hugst!$R$4:$W$4,0))))</f>
        <v>0</v>
      </c>
      <c r="T40" s="169">
        <f>IF($C40-T$1&lt;År1,0,S39*(1-VLOOKUP($A40,[1]Hugst!$R$5:$W$9,MATCH(ROUNDUP((T$1)/10,0)*10,[1]Hugst!$R$4:$W$4,0))))</f>
        <v>0</v>
      </c>
      <c r="U40" s="169">
        <f>IF($C40-U$1&lt;År1,0,T39*(1-VLOOKUP($A40,[1]Hugst!$R$5:$W$9,MATCH(ROUNDUP((U$1)/10,0)*10,[1]Hugst!$R$4:$W$4,0))))</f>
        <v>0</v>
      </c>
      <c r="V40" s="169">
        <f>IF($C40-V$1&lt;År1,0,U39*(1-VLOOKUP($A40,[1]Hugst!$R$5:$W$9,MATCH(ROUNDUP((V$1)/10,0)*10,[1]Hugst!$R$4:$W$4,0))))</f>
        <v>0</v>
      </c>
      <c r="W40" s="169">
        <f>IF($C40-W$1&lt;År1,0,V39*(1-VLOOKUP($A40,[1]Hugst!$R$5:$W$9,MATCH(ROUNDUP((W$1)/10,0)*10,[1]Hugst!$R$4:$W$4,0))))</f>
        <v>0</v>
      </c>
      <c r="X40" s="169">
        <f>IF($C40-X$1&lt;År1,0,W39*(1-VLOOKUP($A40,[1]Hugst!$R$5:$W$9,MATCH(ROUNDUP((X$1)/10,0)*10,[1]Hugst!$R$4:$W$4,0))))</f>
        <v>0</v>
      </c>
      <c r="Y40" s="169">
        <f>IF($C40-Y$1&lt;År1,0,X39*(1-VLOOKUP($A40,[1]Hugst!$R$5:$W$9,MATCH(ROUNDUP((Y$1)/10,0)*10,[1]Hugst!$R$4:$W$4,0))))</f>
        <v>0</v>
      </c>
      <c r="Z40" s="169">
        <f>IF($C40-Z$1&lt;År1,0,Y39*(1-VLOOKUP($A40,[1]Hugst!$R$5:$W$9,MATCH(ROUNDUP((Z$1)/10,0)*10,[1]Hugst!$R$4:$W$4,0))))</f>
        <v>0</v>
      </c>
      <c r="AA40" s="169">
        <f>IF($C40-AA$1&lt;År1,0,Z39*(1-VLOOKUP($A40,[1]Hugst!$R$5:$W$9,MATCH(ROUNDUP((AA$1)/10,0)*10,[1]Hugst!$R$4:$W$4,0))))</f>
        <v>0</v>
      </c>
      <c r="AB40" s="169">
        <f>IF($C40-AB$1&lt;År1,0,AA39*(1-VLOOKUP($A40,[1]Hugst!$R$5:$W$9,MATCH(ROUNDUP((AB$1)/10,0)*10,[1]Hugst!$R$4:$W$4,0))))</f>
        <v>0</v>
      </c>
      <c r="AC40" s="169">
        <f>IF($C40-AC$1&lt;År1,0,AB39*(1-VLOOKUP($A40,[1]Hugst!$R$5:$W$9,MATCH(ROUNDUP((AC$1)/10,0)*10,[1]Hugst!$R$4:$W$4,0))))</f>
        <v>0</v>
      </c>
      <c r="AD40" s="169">
        <f>IF($C40-AD$1&lt;År1,0,AC39*(1-VLOOKUP($A40,[1]Hugst!$R$5:$W$9,MATCH(ROUNDUP((AD$1)/10,0)*10,[1]Hugst!$R$4:$W$4,0))))</f>
        <v>0</v>
      </c>
      <c r="AE40" s="169">
        <f>IF($C40-AE$1&lt;År1,0,AD39*(1-VLOOKUP($A40,[1]Hugst!$R$5:$W$9,MATCH(ROUNDUP((AE$1)/10,0)*10,[1]Hugst!$R$4:$W$4,0))))</f>
        <v>0</v>
      </c>
      <c r="AF40" s="169">
        <f>IF($C40-AF$1&lt;År1,0,AE39*(1-VLOOKUP($A40,[1]Hugst!$R$5:$W$9,MATCH(ROUNDUP((AF$1)/10,0)*10,[1]Hugst!$R$4:$W$4,0))))</f>
        <v>0</v>
      </c>
      <c r="AG40" s="169">
        <f>IF($C40-AG$1&lt;År1,0,AF39*(1-VLOOKUP($A40,[1]Hugst!$R$5:$W$9,MATCH(ROUNDUP((AG$1)/10,0)*10,[1]Hugst!$R$4:$W$4,0))))</f>
        <v>0</v>
      </c>
      <c r="AH40" s="169">
        <f>IF($C40-AH$1&lt;År1,0,AG39*(1-VLOOKUP($A40,[1]Hugst!$R$5:$W$9,MATCH(ROUNDUP((AH$1)/10,0)*10,[1]Hugst!$R$4:$W$4,0))))</f>
        <v>0</v>
      </c>
      <c r="AI40" s="169">
        <f>IF($C40-AI$1&lt;År1,0,AH39*(1-VLOOKUP($A40,[1]Hugst!$R$5:$W$9,MATCH(ROUNDUP((AI$1)/10,0)*10,[1]Hugst!$R$4:$W$4,0))))</f>
        <v>0</v>
      </c>
      <c r="AJ40" s="169">
        <f>IF($C40-AJ$1&lt;År1,0,AI39*(1-VLOOKUP($A40,[1]Hugst!$R$5:$W$9,MATCH(ROUNDUP((AJ$1)/10,0)*10,[1]Hugst!$R$4:$W$4,0))))</f>
        <v>0</v>
      </c>
    </row>
    <row r="41" spans="1:36" s="169" customFormat="1" x14ac:dyDescent="0.25">
      <c r="A41" s="169" t="s">
        <v>176</v>
      </c>
      <c r="B41" s="169" t="s">
        <v>24</v>
      </c>
      <c r="C41" s="169">
        <v>2028</v>
      </c>
      <c r="D41" s="169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0</v>
      </c>
      <c r="E41" s="169">
        <f t="shared" ca="1" si="0"/>
        <v>0</v>
      </c>
      <c r="F41" s="169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9">
        <f ca="1">IF($C41-G$1&lt;År1,0,F40*(1-VLOOKUP($A41,[1]Hugst!$R$5:$W$9,MATCH(ROUNDUP((G$1)/10,0)*10,[1]Hugst!$R$4:$W$4,0))))</f>
        <v>0</v>
      </c>
      <c r="H41" s="169">
        <f ca="1">IF($C41-H$1&lt;År1,0,G40*(1-VLOOKUP($A41,[1]Hugst!$R$5:$W$9,MATCH(ROUNDUP((H$1)/10,0)*10,[1]Hugst!$R$4:$W$4,0))))</f>
        <v>0</v>
      </c>
      <c r="I41" s="169">
        <f ca="1">IF($C41-I$1&lt;År1,0,H40*(1-VLOOKUP($A41,[1]Hugst!$R$5:$W$9,MATCH(ROUNDUP((I$1)/10,0)*10,[1]Hugst!$R$4:$W$4,0))))</f>
        <v>0</v>
      </c>
      <c r="J41" s="169">
        <f ca="1">IF($C41-J$1&lt;År1,0,I40*(1-VLOOKUP($A41,[1]Hugst!$R$5:$W$9,MATCH(ROUNDUP((J$1)/10,0)*10,[1]Hugst!$R$4:$W$4,0))))</f>
        <v>0</v>
      </c>
      <c r="K41" s="169">
        <f ca="1">IF($C41-K$1&lt;År1,0,J40*(1-VLOOKUP($A41,[1]Hugst!$R$5:$W$9,MATCH(ROUNDUP((K$1)/10,0)*10,[1]Hugst!$R$4:$W$4,0))))</f>
        <v>0</v>
      </c>
      <c r="L41" s="169">
        <f ca="1">IF($C41-L$1&lt;År1,0,K40*(1-VLOOKUP($A41,[1]Hugst!$R$5:$W$9,MATCH(ROUNDUP((L$1)/10,0)*10,[1]Hugst!$R$4:$W$4,0))))</f>
        <v>0</v>
      </c>
      <c r="M41" s="169">
        <f ca="1">IF($C41-M$1&lt;År1,0,L40*(1-VLOOKUP($A41,[1]Hugst!$R$5:$W$9,MATCH(ROUNDUP((M$1)/10,0)*10,[1]Hugst!$R$4:$W$4,0))))</f>
        <v>0</v>
      </c>
      <c r="N41" s="169">
        <f ca="1">IF($C41-N$1&lt;År1,0,M40*(1-VLOOKUP($A41,[1]Hugst!$R$5:$W$9,MATCH(ROUNDUP((N$1)/10,0)*10,[1]Hugst!$R$4:$W$4,0))))</f>
        <v>0</v>
      </c>
      <c r="O41" s="169">
        <f>IF($C41-O$1&lt;År1,0,N40*(1-VLOOKUP($A41,[1]Hugst!$R$5:$W$9,MATCH(ROUNDUP((O$1)/10,0)*10,[1]Hugst!$R$4:$W$4,0))))</f>
        <v>0</v>
      </c>
      <c r="P41" s="169">
        <f>IF($C41-P$1&lt;År1,0,O40*(1-VLOOKUP($A41,[1]Hugst!$R$5:$W$9,MATCH(ROUNDUP((P$1)/10,0)*10,[1]Hugst!$R$4:$W$4,0))))</f>
        <v>0</v>
      </c>
      <c r="Q41" s="169">
        <f>IF($C41-Q$1&lt;År1,0,P40*(1-VLOOKUP($A41,[1]Hugst!$R$5:$W$9,MATCH(ROUNDUP((Q$1)/10,0)*10,[1]Hugst!$R$4:$W$4,0))))</f>
        <v>0</v>
      </c>
      <c r="R41" s="169">
        <f>IF($C41-R$1&lt;År1,0,Q40*(1-VLOOKUP($A41,[1]Hugst!$R$5:$W$9,MATCH(ROUNDUP((R$1)/10,0)*10,[1]Hugst!$R$4:$W$4,0))))</f>
        <v>0</v>
      </c>
      <c r="S41" s="169">
        <f>IF($C41-S$1&lt;År1,0,R40*(1-VLOOKUP($A41,[1]Hugst!$R$5:$W$9,MATCH(ROUNDUP((S$1)/10,0)*10,[1]Hugst!$R$4:$W$4,0))))</f>
        <v>0</v>
      </c>
      <c r="T41" s="169">
        <f>IF($C41-T$1&lt;År1,0,S40*(1-VLOOKUP($A41,[1]Hugst!$R$5:$W$9,MATCH(ROUNDUP((T$1)/10,0)*10,[1]Hugst!$R$4:$W$4,0))))</f>
        <v>0</v>
      </c>
      <c r="U41" s="169">
        <f>IF($C41-U$1&lt;År1,0,T40*(1-VLOOKUP($A41,[1]Hugst!$R$5:$W$9,MATCH(ROUNDUP((U$1)/10,0)*10,[1]Hugst!$R$4:$W$4,0))))</f>
        <v>0</v>
      </c>
      <c r="V41" s="169">
        <f>IF($C41-V$1&lt;År1,0,U40*(1-VLOOKUP($A41,[1]Hugst!$R$5:$W$9,MATCH(ROUNDUP((V$1)/10,0)*10,[1]Hugst!$R$4:$W$4,0))))</f>
        <v>0</v>
      </c>
      <c r="W41" s="169">
        <f>IF($C41-W$1&lt;År1,0,V40*(1-VLOOKUP($A41,[1]Hugst!$R$5:$W$9,MATCH(ROUNDUP((W$1)/10,0)*10,[1]Hugst!$R$4:$W$4,0))))</f>
        <v>0</v>
      </c>
      <c r="X41" s="169">
        <f>IF($C41-X$1&lt;År1,0,W40*(1-VLOOKUP($A41,[1]Hugst!$R$5:$W$9,MATCH(ROUNDUP((X$1)/10,0)*10,[1]Hugst!$R$4:$W$4,0))))</f>
        <v>0</v>
      </c>
      <c r="Y41" s="169">
        <f>IF($C41-Y$1&lt;År1,0,X40*(1-VLOOKUP($A41,[1]Hugst!$R$5:$W$9,MATCH(ROUNDUP((Y$1)/10,0)*10,[1]Hugst!$R$4:$W$4,0))))</f>
        <v>0</v>
      </c>
      <c r="Z41" s="169">
        <f>IF($C41-Z$1&lt;År1,0,Y40*(1-VLOOKUP($A41,[1]Hugst!$R$5:$W$9,MATCH(ROUNDUP((Z$1)/10,0)*10,[1]Hugst!$R$4:$W$4,0))))</f>
        <v>0</v>
      </c>
      <c r="AA41" s="169">
        <f>IF($C41-AA$1&lt;År1,0,Z40*(1-VLOOKUP($A41,[1]Hugst!$R$5:$W$9,MATCH(ROUNDUP((AA$1)/10,0)*10,[1]Hugst!$R$4:$W$4,0))))</f>
        <v>0</v>
      </c>
      <c r="AB41" s="169">
        <f>IF($C41-AB$1&lt;År1,0,AA40*(1-VLOOKUP($A41,[1]Hugst!$R$5:$W$9,MATCH(ROUNDUP((AB$1)/10,0)*10,[1]Hugst!$R$4:$W$4,0))))</f>
        <v>0</v>
      </c>
      <c r="AC41" s="169">
        <f>IF($C41-AC$1&lt;År1,0,AB40*(1-VLOOKUP($A41,[1]Hugst!$R$5:$W$9,MATCH(ROUNDUP((AC$1)/10,0)*10,[1]Hugst!$R$4:$W$4,0))))</f>
        <v>0</v>
      </c>
      <c r="AD41" s="169">
        <f>IF($C41-AD$1&lt;År1,0,AC40*(1-VLOOKUP($A41,[1]Hugst!$R$5:$W$9,MATCH(ROUNDUP((AD$1)/10,0)*10,[1]Hugst!$R$4:$W$4,0))))</f>
        <v>0</v>
      </c>
      <c r="AE41" s="169">
        <f>IF($C41-AE$1&lt;År1,0,AD40*(1-VLOOKUP($A41,[1]Hugst!$R$5:$W$9,MATCH(ROUNDUP((AE$1)/10,0)*10,[1]Hugst!$R$4:$W$4,0))))</f>
        <v>0</v>
      </c>
      <c r="AF41" s="169">
        <f>IF($C41-AF$1&lt;År1,0,AE40*(1-VLOOKUP($A41,[1]Hugst!$R$5:$W$9,MATCH(ROUNDUP((AF$1)/10,0)*10,[1]Hugst!$R$4:$W$4,0))))</f>
        <v>0</v>
      </c>
      <c r="AG41" s="169">
        <f>IF($C41-AG$1&lt;År1,0,AF40*(1-VLOOKUP($A41,[1]Hugst!$R$5:$W$9,MATCH(ROUNDUP((AG$1)/10,0)*10,[1]Hugst!$R$4:$W$4,0))))</f>
        <v>0</v>
      </c>
      <c r="AH41" s="169">
        <f>IF($C41-AH$1&lt;År1,0,AG40*(1-VLOOKUP($A41,[1]Hugst!$R$5:$W$9,MATCH(ROUNDUP((AH$1)/10,0)*10,[1]Hugst!$R$4:$W$4,0))))</f>
        <v>0</v>
      </c>
      <c r="AI41" s="169">
        <f>IF($C41-AI$1&lt;År1,0,AH40*(1-VLOOKUP($A41,[1]Hugst!$R$5:$W$9,MATCH(ROUNDUP((AI$1)/10,0)*10,[1]Hugst!$R$4:$W$4,0))))</f>
        <v>0</v>
      </c>
      <c r="AJ41" s="169">
        <f>IF($C41-AJ$1&lt;År1,0,AI40*(1-VLOOKUP($A41,[1]Hugst!$R$5:$W$9,MATCH(ROUNDUP((AJ$1)/10,0)*10,[1]Hugst!$R$4:$W$4,0))))</f>
        <v>0</v>
      </c>
    </row>
    <row r="42" spans="1:36" s="169" customFormat="1" x14ac:dyDescent="0.25">
      <c r="A42" s="169" t="s">
        <v>176</v>
      </c>
      <c r="B42" s="169" t="s">
        <v>24</v>
      </c>
      <c r="C42" s="169">
        <v>2029</v>
      </c>
      <c r="D42" s="169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0</v>
      </c>
      <c r="E42" s="169">
        <f t="shared" ca="1" si="0"/>
        <v>0</v>
      </c>
      <c r="F42" s="169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9">
        <f ca="1">IF($C42-G$1&lt;År1,0,F41*(1-VLOOKUP($A42,[1]Hugst!$R$5:$W$9,MATCH(ROUNDUP((G$1)/10,0)*10,[1]Hugst!$R$4:$W$4,0))))</f>
        <v>0</v>
      </c>
      <c r="H42" s="169">
        <f ca="1">IF($C42-H$1&lt;År1,0,G41*(1-VLOOKUP($A42,[1]Hugst!$R$5:$W$9,MATCH(ROUNDUP((H$1)/10,0)*10,[1]Hugst!$R$4:$W$4,0))))</f>
        <v>0</v>
      </c>
      <c r="I42" s="169">
        <f ca="1">IF($C42-I$1&lt;År1,0,H41*(1-VLOOKUP($A42,[1]Hugst!$R$5:$W$9,MATCH(ROUNDUP((I$1)/10,0)*10,[1]Hugst!$R$4:$W$4,0))))</f>
        <v>0</v>
      </c>
      <c r="J42" s="169">
        <f ca="1">IF($C42-J$1&lt;År1,0,I41*(1-VLOOKUP($A42,[1]Hugst!$R$5:$W$9,MATCH(ROUNDUP((J$1)/10,0)*10,[1]Hugst!$R$4:$W$4,0))))</f>
        <v>0</v>
      </c>
      <c r="K42" s="169">
        <f ca="1">IF($C42-K$1&lt;År1,0,J41*(1-VLOOKUP($A42,[1]Hugst!$R$5:$W$9,MATCH(ROUNDUP((K$1)/10,0)*10,[1]Hugst!$R$4:$W$4,0))))</f>
        <v>0</v>
      </c>
      <c r="L42" s="169">
        <f ca="1">IF($C42-L$1&lt;År1,0,K41*(1-VLOOKUP($A42,[1]Hugst!$R$5:$W$9,MATCH(ROUNDUP((L$1)/10,0)*10,[1]Hugst!$R$4:$W$4,0))))</f>
        <v>0</v>
      </c>
      <c r="M42" s="169">
        <f ca="1">IF($C42-M$1&lt;År1,0,L41*(1-VLOOKUP($A42,[1]Hugst!$R$5:$W$9,MATCH(ROUNDUP((M$1)/10,0)*10,[1]Hugst!$R$4:$W$4,0))))</f>
        <v>0</v>
      </c>
      <c r="N42" s="169">
        <f ca="1">IF($C42-N$1&lt;År1,0,M41*(1-VLOOKUP($A42,[1]Hugst!$R$5:$W$9,MATCH(ROUNDUP((N$1)/10,0)*10,[1]Hugst!$R$4:$W$4,0))))</f>
        <v>0</v>
      </c>
      <c r="O42" s="169">
        <f ca="1">IF($C42-O$1&lt;År1,0,N41*(1-VLOOKUP($A42,[1]Hugst!$R$5:$W$9,MATCH(ROUNDUP((O$1)/10,0)*10,[1]Hugst!$R$4:$W$4,0))))</f>
        <v>0</v>
      </c>
      <c r="P42" s="169">
        <f>IF($C42-P$1&lt;År1,0,O41*(1-VLOOKUP($A42,[1]Hugst!$R$5:$W$9,MATCH(ROUNDUP((P$1)/10,0)*10,[1]Hugst!$R$4:$W$4,0))))</f>
        <v>0</v>
      </c>
      <c r="Q42" s="169">
        <f>IF($C42-Q$1&lt;År1,0,P41*(1-VLOOKUP($A42,[1]Hugst!$R$5:$W$9,MATCH(ROUNDUP((Q$1)/10,0)*10,[1]Hugst!$R$4:$W$4,0))))</f>
        <v>0</v>
      </c>
      <c r="R42" s="169">
        <f>IF($C42-R$1&lt;År1,0,Q41*(1-VLOOKUP($A42,[1]Hugst!$R$5:$W$9,MATCH(ROUNDUP((R$1)/10,0)*10,[1]Hugst!$R$4:$W$4,0))))</f>
        <v>0</v>
      </c>
      <c r="S42" s="169">
        <f>IF($C42-S$1&lt;År1,0,R41*(1-VLOOKUP($A42,[1]Hugst!$R$5:$W$9,MATCH(ROUNDUP((S$1)/10,0)*10,[1]Hugst!$R$4:$W$4,0))))</f>
        <v>0</v>
      </c>
      <c r="T42" s="169">
        <f>IF($C42-T$1&lt;År1,0,S41*(1-VLOOKUP($A42,[1]Hugst!$R$5:$W$9,MATCH(ROUNDUP((T$1)/10,0)*10,[1]Hugst!$R$4:$W$4,0))))</f>
        <v>0</v>
      </c>
      <c r="U42" s="169">
        <f>IF($C42-U$1&lt;År1,0,T41*(1-VLOOKUP($A42,[1]Hugst!$R$5:$W$9,MATCH(ROUNDUP((U$1)/10,0)*10,[1]Hugst!$R$4:$W$4,0))))</f>
        <v>0</v>
      </c>
      <c r="V42" s="169">
        <f>IF($C42-V$1&lt;År1,0,U41*(1-VLOOKUP($A42,[1]Hugst!$R$5:$W$9,MATCH(ROUNDUP((V$1)/10,0)*10,[1]Hugst!$R$4:$W$4,0))))</f>
        <v>0</v>
      </c>
      <c r="W42" s="169">
        <f>IF($C42-W$1&lt;År1,0,V41*(1-VLOOKUP($A42,[1]Hugst!$R$5:$W$9,MATCH(ROUNDUP((W$1)/10,0)*10,[1]Hugst!$R$4:$W$4,0))))</f>
        <v>0</v>
      </c>
      <c r="X42" s="169">
        <f>IF($C42-X$1&lt;År1,0,W41*(1-VLOOKUP($A42,[1]Hugst!$R$5:$W$9,MATCH(ROUNDUP((X$1)/10,0)*10,[1]Hugst!$R$4:$W$4,0))))</f>
        <v>0</v>
      </c>
      <c r="Y42" s="169">
        <f>IF($C42-Y$1&lt;År1,0,X41*(1-VLOOKUP($A42,[1]Hugst!$R$5:$W$9,MATCH(ROUNDUP((Y$1)/10,0)*10,[1]Hugst!$R$4:$W$4,0))))</f>
        <v>0</v>
      </c>
      <c r="Z42" s="169">
        <f>IF($C42-Z$1&lt;År1,0,Y41*(1-VLOOKUP($A42,[1]Hugst!$R$5:$W$9,MATCH(ROUNDUP((Z$1)/10,0)*10,[1]Hugst!$R$4:$W$4,0))))</f>
        <v>0</v>
      </c>
      <c r="AA42" s="169">
        <f>IF($C42-AA$1&lt;År1,0,Z41*(1-VLOOKUP($A42,[1]Hugst!$R$5:$W$9,MATCH(ROUNDUP((AA$1)/10,0)*10,[1]Hugst!$R$4:$W$4,0))))</f>
        <v>0</v>
      </c>
      <c r="AB42" s="169">
        <f>IF($C42-AB$1&lt;År1,0,AA41*(1-VLOOKUP($A42,[1]Hugst!$R$5:$W$9,MATCH(ROUNDUP((AB$1)/10,0)*10,[1]Hugst!$R$4:$W$4,0))))</f>
        <v>0</v>
      </c>
      <c r="AC42" s="169">
        <f>IF($C42-AC$1&lt;År1,0,AB41*(1-VLOOKUP($A42,[1]Hugst!$R$5:$W$9,MATCH(ROUNDUP((AC$1)/10,0)*10,[1]Hugst!$R$4:$W$4,0))))</f>
        <v>0</v>
      </c>
      <c r="AD42" s="169">
        <f>IF($C42-AD$1&lt;År1,0,AC41*(1-VLOOKUP($A42,[1]Hugst!$R$5:$W$9,MATCH(ROUNDUP((AD$1)/10,0)*10,[1]Hugst!$R$4:$W$4,0))))</f>
        <v>0</v>
      </c>
      <c r="AE42" s="169">
        <f>IF($C42-AE$1&lt;År1,0,AD41*(1-VLOOKUP($A42,[1]Hugst!$R$5:$W$9,MATCH(ROUNDUP((AE$1)/10,0)*10,[1]Hugst!$R$4:$W$4,0))))</f>
        <v>0</v>
      </c>
      <c r="AF42" s="169">
        <f>IF($C42-AF$1&lt;År1,0,AE41*(1-VLOOKUP($A42,[1]Hugst!$R$5:$W$9,MATCH(ROUNDUP((AF$1)/10,0)*10,[1]Hugst!$R$4:$W$4,0))))</f>
        <v>0</v>
      </c>
      <c r="AG42" s="169">
        <f>IF($C42-AG$1&lt;År1,0,AF41*(1-VLOOKUP($A42,[1]Hugst!$R$5:$W$9,MATCH(ROUNDUP((AG$1)/10,0)*10,[1]Hugst!$R$4:$W$4,0))))</f>
        <v>0</v>
      </c>
      <c r="AH42" s="169">
        <f>IF($C42-AH$1&lt;År1,0,AG41*(1-VLOOKUP($A42,[1]Hugst!$R$5:$W$9,MATCH(ROUNDUP((AH$1)/10,0)*10,[1]Hugst!$R$4:$W$4,0))))</f>
        <v>0</v>
      </c>
      <c r="AI42" s="169">
        <f>IF($C42-AI$1&lt;År1,0,AH41*(1-VLOOKUP($A42,[1]Hugst!$R$5:$W$9,MATCH(ROUNDUP((AI$1)/10,0)*10,[1]Hugst!$R$4:$W$4,0))))</f>
        <v>0</v>
      </c>
      <c r="AJ42" s="169">
        <f>IF($C42-AJ$1&lt;År1,0,AI41*(1-VLOOKUP($A42,[1]Hugst!$R$5:$W$9,MATCH(ROUNDUP((AJ$1)/10,0)*10,[1]Hugst!$R$4:$W$4,0))))</f>
        <v>0</v>
      </c>
    </row>
    <row r="43" spans="1:36" s="169" customFormat="1" x14ac:dyDescent="0.25">
      <c r="A43" s="169" t="s">
        <v>176</v>
      </c>
      <c r="B43" s="169" t="s">
        <v>24</v>
      </c>
      <c r="C43" s="169">
        <v>2030</v>
      </c>
      <c r="D43" s="169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0</v>
      </c>
      <c r="E43" s="169">
        <f t="shared" ca="1" si="0"/>
        <v>0</v>
      </c>
      <c r="F43" s="169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9">
        <f ca="1">IF($C43-G$1&lt;År1,0,F42*(1-VLOOKUP($A43,[1]Hugst!$R$5:$W$9,MATCH(ROUNDUP((G$1)/10,0)*10,[1]Hugst!$R$4:$W$4,0))))</f>
        <v>0</v>
      </c>
      <c r="H43" s="169">
        <f ca="1">IF($C43-H$1&lt;År1,0,G42*(1-VLOOKUP($A43,[1]Hugst!$R$5:$W$9,MATCH(ROUNDUP((H$1)/10,0)*10,[1]Hugst!$R$4:$W$4,0))))</f>
        <v>0</v>
      </c>
      <c r="I43" s="169">
        <f ca="1">IF($C43-I$1&lt;År1,0,H42*(1-VLOOKUP($A43,[1]Hugst!$R$5:$W$9,MATCH(ROUNDUP((I$1)/10,0)*10,[1]Hugst!$R$4:$W$4,0))))</f>
        <v>0</v>
      </c>
      <c r="J43" s="169">
        <f ca="1">IF($C43-J$1&lt;År1,0,I42*(1-VLOOKUP($A43,[1]Hugst!$R$5:$W$9,MATCH(ROUNDUP((J$1)/10,0)*10,[1]Hugst!$R$4:$W$4,0))))</f>
        <v>0</v>
      </c>
      <c r="K43" s="169">
        <f ca="1">IF($C43-K$1&lt;År1,0,J42*(1-VLOOKUP($A43,[1]Hugst!$R$5:$W$9,MATCH(ROUNDUP((K$1)/10,0)*10,[1]Hugst!$R$4:$W$4,0))))</f>
        <v>0</v>
      </c>
      <c r="L43" s="169">
        <f ca="1">IF($C43-L$1&lt;År1,0,K42*(1-VLOOKUP($A43,[1]Hugst!$R$5:$W$9,MATCH(ROUNDUP((L$1)/10,0)*10,[1]Hugst!$R$4:$W$4,0))))</f>
        <v>0</v>
      </c>
      <c r="M43" s="169">
        <f ca="1">IF($C43-M$1&lt;År1,0,L42*(1-VLOOKUP($A43,[1]Hugst!$R$5:$W$9,MATCH(ROUNDUP((M$1)/10,0)*10,[1]Hugst!$R$4:$W$4,0))))</f>
        <v>0</v>
      </c>
      <c r="N43" s="169">
        <f ca="1">IF($C43-N$1&lt;År1,0,M42*(1-VLOOKUP($A43,[1]Hugst!$R$5:$W$9,MATCH(ROUNDUP((N$1)/10,0)*10,[1]Hugst!$R$4:$W$4,0))))</f>
        <v>0</v>
      </c>
      <c r="O43" s="169">
        <f ca="1">IF($C43-O$1&lt;År1,0,N42*(1-VLOOKUP($A43,[1]Hugst!$R$5:$W$9,MATCH(ROUNDUP((O$1)/10,0)*10,[1]Hugst!$R$4:$W$4,0))))</f>
        <v>0</v>
      </c>
      <c r="P43" s="169">
        <f ca="1">IF($C43-P$1&lt;År1,0,O42*(1-VLOOKUP($A43,[1]Hugst!$R$5:$W$9,MATCH(ROUNDUP((P$1)/10,0)*10,[1]Hugst!$R$4:$W$4,0))))</f>
        <v>0</v>
      </c>
      <c r="Q43" s="169">
        <f>IF($C43-Q$1&lt;År1,0,P42*(1-VLOOKUP($A43,[1]Hugst!$R$5:$W$9,MATCH(ROUNDUP((Q$1)/10,0)*10,[1]Hugst!$R$4:$W$4,0))))</f>
        <v>0</v>
      </c>
      <c r="R43" s="169">
        <f>IF($C43-R$1&lt;År1,0,Q42*(1-VLOOKUP($A43,[1]Hugst!$R$5:$W$9,MATCH(ROUNDUP((R$1)/10,0)*10,[1]Hugst!$R$4:$W$4,0))))</f>
        <v>0</v>
      </c>
      <c r="S43" s="169">
        <f>IF($C43-S$1&lt;År1,0,R42*(1-VLOOKUP($A43,[1]Hugst!$R$5:$W$9,MATCH(ROUNDUP((S$1)/10,0)*10,[1]Hugst!$R$4:$W$4,0))))</f>
        <v>0</v>
      </c>
      <c r="T43" s="169">
        <f>IF($C43-T$1&lt;År1,0,S42*(1-VLOOKUP($A43,[1]Hugst!$R$5:$W$9,MATCH(ROUNDUP((T$1)/10,0)*10,[1]Hugst!$R$4:$W$4,0))))</f>
        <v>0</v>
      </c>
      <c r="U43" s="169">
        <f>IF($C43-U$1&lt;År1,0,T42*(1-VLOOKUP($A43,[1]Hugst!$R$5:$W$9,MATCH(ROUNDUP((U$1)/10,0)*10,[1]Hugst!$R$4:$W$4,0))))</f>
        <v>0</v>
      </c>
      <c r="V43" s="169">
        <f>IF($C43-V$1&lt;År1,0,U42*(1-VLOOKUP($A43,[1]Hugst!$R$5:$W$9,MATCH(ROUNDUP((V$1)/10,0)*10,[1]Hugst!$R$4:$W$4,0))))</f>
        <v>0</v>
      </c>
      <c r="W43" s="169">
        <f>IF($C43-W$1&lt;År1,0,V42*(1-VLOOKUP($A43,[1]Hugst!$R$5:$W$9,MATCH(ROUNDUP((W$1)/10,0)*10,[1]Hugst!$R$4:$W$4,0))))</f>
        <v>0</v>
      </c>
      <c r="X43" s="169">
        <f>IF($C43-X$1&lt;År1,0,W42*(1-VLOOKUP($A43,[1]Hugst!$R$5:$W$9,MATCH(ROUNDUP((X$1)/10,0)*10,[1]Hugst!$R$4:$W$4,0))))</f>
        <v>0</v>
      </c>
      <c r="Y43" s="169">
        <f>IF($C43-Y$1&lt;År1,0,X42*(1-VLOOKUP($A43,[1]Hugst!$R$5:$W$9,MATCH(ROUNDUP((Y$1)/10,0)*10,[1]Hugst!$R$4:$W$4,0))))</f>
        <v>0</v>
      </c>
      <c r="Z43" s="169">
        <f>IF($C43-Z$1&lt;År1,0,Y42*(1-VLOOKUP($A43,[1]Hugst!$R$5:$W$9,MATCH(ROUNDUP((Z$1)/10,0)*10,[1]Hugst!$R$4:$W$4,0))))</f>
        <v>0</v>
      </c>
      <c r="AA43" s="169">
        <f>IF($C43-AA$1&lt;År1,0,Z42*(1-VLOOKUP($A43,[1]Hugst!$R$5:$W$9,MATCH(ROUNDUP((AA$1)/10,0)*10,[1]Hugst!$R$4:$W$4,0))))</f>
        <v>0</v>
      </c>
      <c r="AB43" s="169">
        <f>IF($C43-AB$1&lt;År1,0,AA42*(1-VLOOKUP($A43,[1]Hugst!$R$5:$W$9,MATCH(ROUNDUP((AB$1)/10,0)*10,[1]Hugst!$R$4:$W$4,0))))</f>
        <v>0</v>
      </c>
      <c r="AC43" s="169">
        <f>IF($C43-AC$1&lt;År1,0,AB42*(1-VLOOKUP($A43,[1]Hugst!$R$5:$W$9,MATCH(ROUNDUP((AC$1)/10,0)*10,[1]Hugst!$R$4:$W$4,0))))</f>
        <v>0</v>
      </c>
      <c r="AD43" s="169">
        <f>IF($C43-AD$1&lt;År1,0,AC42*(1-VLOOKUP($A43,[1]Hugst!$R$5:$W$9,MATCH(ROUNDUP((AD$1)/10,0)*10,[1]Hugst!$R$4:$W$4,0))))</f>
        <v>0</v>
      </c>
      <c r="AE43" s="169">
        <f>IF($C43-AE$1&lt;År1,0,AD42*(1-VLOOKUP($A43,[1]Hugst!$R$5:$W$9,MATCH(ROUNDUP((AE$1)/10,0)*10,[1]Hugst!$R$4:$W$4,0))))</f>
        <v>0</v>
      </c>
      <c r="AF43" s="169">
        <f>IF($C43-AF$1&lt;År1,0,AE42*(1-VLOOKUP($A43,[1]Hugst!$R$5:$W$9,MATCH(ROUNDUP((AF$1)/10,0)*10,[1]Hugst!$R$4:$W$4,0))))</f>
        <v>0</v>
      </c>
      <c r="AG43" s="169">
        <f>IF($C43-AG$1&lt;År1,0,AF42*(1-VLOOKUP($A43,[1]Hugst!$R$5:$W$9,MATCH(ROUNDUP((AG$1)/10,0)*10,[1]Hugst!$R$4:$W$4,0))))</f>
        <v>0</v>
      </c>
      <c r="AH43" s="169">
        <f>IF($C43-AH$1&lt;År1,0,AG42*(1-VLOOKUP($A43,[1]Hugst!$R$5:$W$9,MATCH(ROUNDUP((AH$1)/10,0)*10,[1]Hugst!$R$4:$W$4,0))))</f>
        <v>0</v>
      </c>
      <c r="AI43" s="169">
        <f>IF($C43-AI$1&lt;År1,0,AH42*(1-VLOOKUP($A43,[1]Hugst!$R$5:$W$9,MATCH(ROUNDUP((AI$1)/10,0)*10,[1]Hugst!$R$4:$W$4,0))))</f>
        <v>0</v>
      </c>
      <c r="AJ43" s="169">
        <f>IF($C43-AJ$1&lt;År1,0,AI42*(1-VLOOKUP($A43,[1]Hugst!$R$5:$W$9,MATCH(ROUNDUP((AJ$1)/10,0)*10,[1]Hugst!$R$4:$W$4,0))))</f>
        <v>0</v>
      </c>
    </row>
    <row r="44" spans="1:36" s="169" customFormat="1" x14ac:dyDescent="0.25">
      <c r="A44" s="169" t="s">
        <v>176</v>
      </c>
      <c r="B44" s="169" t="s">
        <v>24</v>
      </c>
      <c r="C44" s="169">
        <v>2031</v>
      </c>
      <c r="D44" s="169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0</v>
      </c>
      <c r="E44" s="169">
        <f t="shared" ca="1" si="0"/>
        <v>0</v>
      </c>
      <c r="F44" s="169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 s="169">
        <f ca="1">IF($C44-G$1&lt;År1,0,F43*(1-VLOOKUP($A44,[1]Hugst!$R$5:$W$9,MATCH(ROUNDUP((G$1)/10,0)*10,[1]Hugst!$R$4:$W$4,0))))</f>
        <v>0</v>
      </c>
      <c r="H44" s="169">
        <f ca="1">IF($C44-H$1&lt;År1,0,G43*(1-VLOOKUP($A44,[1]Hugst!$R$5:$W$9,MATCH(ROUNDUP((H$1)/10,0)*10,[1]Hugst!$R$4:$W$4,0))))</f>
        <v>0</v>
      </c>
      <c r="I44" s="169">
        <f ca="1">IF($C44-I$1&lt;År1,0,H43*(1-VLOOKUP($A44,[1]Hugst!$R$5:$W$9,MATCH(ROUNDUP((I$1)/10,0)*10,[1]Hugst!$R$4:$W$4,0))))</f>
        <v>0</v>
      </c>
      <c r="J44" s="169">
        <f ca="1">IF($C44-J$1&lt;År1,0,I43*(1-VLOOKUP($A44,[1]Hugst!$R$5:$W$9,MATCH(ROUNDUP((J$1)/10,0)*10,[1]Hugst!$R$4:$W$4,0))))</f>
        <v>0</v>
      </c>
      <c r="K44" s="169">
        <f ca="1">IF($C44-K$1&lt;År1,0,J43*(1-VLOOKUP($A44,[1]Hugst!$R$5:$W$9,MATCH(ROUNDUP((K$1)/10,0)*10,[1]Hugst!$R$4:$W$4,0))))</f>
        <v>0</v>
      </c>
      <c r="L44" s="169">
        <f ca="1">IF($C44-L$1&lt;År1,0,K43*(1-VLOOKUP($A44,[1]Hugst!$R$5:$W$9,MATCH(ROUNDUP((L$1)/10,0)*10,[1]Hugst!$R$4:$W$4,0))))</f>
        <v>0</v>
      </c>
      <c r="M44" s="169">
        <f ca="1">IF($C44-M$1&lt;År1,0,L43*(1-VLOOKUP($A44,[1]Hugst!$R$5:$W$9,MATCH(ROUNDUP((M$1)/10,0)*10,[1]Hugst!$R$4:$W$4,0))))</f>
        <v>0</v>
      </c>
      <c r="N44" s="169">
        <f ca="1">IF($C44-N$1&lt;År1,0,M43*(1-VLOOKUP($A44,[1]Hugst!$R$5:$W$9,MATCH(ROUNDUP((N$1)/10,0)*10,[1]Hugst!$R$4:$W$4,0))))</f>
        <v>0</v>
      </c>
      <c r="O44" s="169">
        <f ca="1">IF($C44-O$1&lt;År1,0,N43*(1-VLOOKUP($A44,[1]Hugst!$R$5:$W$9,MATCH(ROUNDUP((O$1)/10,0)*10,[1]Hugst!$R$4:$W$4,0))))</f>
        <v>0</v>
      </c>
      <c r="P44" s="169">
        <f ca="1">IF($C44-P$1&lt;År1,0,O43*(1-VLOOKUP($A44,[1]Hugst!$R$5:$W$9,MATCH(ROUNDUP((P$1)/10,0)*10,[1]Hugst!$R$4:$W$4,0))))</f>
        <v>0</v>
      </c>
      <c r="Q44" s="169">
        <f ca="1">IF($C44-Q$1&lt;År1,0,P43*(1-VLOOKUP($A44,[1]Hugst!$R$5:$W$9,MATCH(ROUNDUP((Q$1)/10,0)*10,[1]Hugst!$R$4:$W$4,0))))</f>
        <v>0</v>
      </c>
      <c r="R44" s="169">
        <f>IF($C44-R$1&lt;År1,0,Q43*(1-VLOOKUP($A44,[1]Hugst!$R$5:$W$9,MATCH(ROUNDUP((R$1)/10,0)*10,[1]Hugst!$R$4:$W$4,0))))</f>
        <v>0</v>
      </c>
      <c r="S44" s="169">
        <f>IF($C44-S$1&lt;År1,0,R43*(1-VLOOKUP($A44,[1]Hugst!$R$5:$W$9,MATCH(ROUNDUP((S$1)/10,0)*10,[1]Hugst!$R$4:$W$4,0))))</f>
        <v>0</v>
      </c>
      <c r="T44" s="169">
        <f>IF($C44-T$1&lt;År1,0,S43*(1-VLOOKUP($A44,[1]Hugst!$R$5:$W$9,MATCH(ROUNDUP((T$1)/10,0)*10,[1]Hugst!$R$4:$W$4,0))))</f>
        <v>0</v>
      </c>
      <c r="U44" s="169">
        <f>IF($C44-U$1&lt;År1,0,T43*(1-VLOOKUP($A44,[1]Hugst!$R$5:$W$9,MATCH(ROUNDUP((U$1)/10,0)*10,[1]Hugst!$R$4:$W$4,0))))</f>
        <v>0</v>
      </c>
      <c r="V44" s="169">
        <f>IF($C44-V$1&lt;År1,0,U43*(1-VLOOKUP($A44,[1]Hugst!$R$5:$W$9,MATCH(ROUNDUP((V$1)/10,0)*10,[1]Hugst!$R$4:$W$4,0))))</f>
        <v>0</v>
      </c>
      <c r="W44" s="169">
        <f>IF($C44-W$1&lt;År1,0,V43*(1-VLOOKUP($A44,[1]Hugst!$R$5:$W$9,MATCH(ROUNDUP((W$1)/10,0)*10,[1]Hugst!$R$4:$W$4,0))))</f>
        <v>0</v>
      </c>
      <c r="X44" s="169">
        <f>IF($C44-X$1&lt;År1,0,W43*(1-VLOOKUP($A44,[1]Hugst!$R$5:$W$9,MATCH(ROUNDUP((X$1)/10,0)*10,[1]Hugst!$R$4:$W$4,0))))</f>
        <v>0</v>
      </c>
      <c r="Y44" s="169">
        <f>IF($C44-Y$1&lt;År1,0,X43*(1-VLOOKUP($A44,[1]Hugst!$R$5:$W$9,MATCH(ROUNDUP((Y$1)/10,0)*10,[1]Hugst!$R$4:$W$4,0))))</f>
        <v>0</v>
      </c>
      <c r="Z44" s="169">
        <f>IF($C44-Z$1&lt;År1,0,Y43*(1-VLOOKUP($A44,[1]Hugst!$R$5:$W$9,MATCH(ROUNDUP((Z$1)/10,0)*10,[1]Hugst!$R$4:$W$4,0))))</f>
        <v>0</v>
      </c>
      <c r="AA44" s="169">
        <f>IF($C44-AA$1&lt;År1,0,Z43*(1-VLOOKUP($A44,[1]Hugst!$R$5:$W$9,MATCH(ROUNDUP((AA$1)/10,0)*10,[1]Hugst!$R$4:$W$4,0))))</f>
        <v>0</v>
      </c>
      <c r="AB44" s="169">
        <f>IF($C44-AB$1&lt;År1,0,AA43*(1-VLOOKUP($A44,[1]Hugst!$R$5:$W$9,MATCH(ROUNDUP((AB$1)/10,0)*10,[1]Hugst!$R$4:$W$4,0))))</f>
        <v>0</v>
      </c>
      <c r="AC44" s="169">
        <f>IF($C44-AC$1&lt;År1,0,AB43*(1-VLOOKUP($A44,[1]Hugst!$R$5:$W$9,MATCH(ROUNDUP((AC$1)/10,0)*10,[1]Hugst!$R$4:$W$4,0))))</f>
        <v>0</v>
      </c>
      <c r="AD44" s="169">
        <f>IF($C44-AD$1&lt;År1,0,AC43*(1-VLOOKUP($A44,[1]Hugst!$R$5:$W$9,MATCH(ROUNDUP((AD$1)/10,0)*10,[1]Hugst!$R$4:$W$4,0))))</f>
        <v>0</v>
      </c>
      <c r="AE44" s="169">
        <f>IF($C44-AE$1&lt;År1,0,AD43*(1-VLOOKUP($A44,[1]Hugst!$R$5:$W$9,MATCH(ROUNDUP((AE$1)/10,0)*10,[1]Hugst!$R$4:$W$4,0))))</f>
        <v>0</v>
      </c>
      <c r="AF44" s="169">
        <f>IF($C44-AF$1&lt;År1,0,AE43*(1-VLOOKUP($A44,[1]Hugst!$R$5:$W$9,MATCH(ROUNDUP((AF$1)/10,0)*10,[1]Hugst!$R$4:$W$4,0))))</f>
        <v>0</v>
      </c>
      <c r="AG44" s="169">
        <f>IF($C44-AG$1&lt;År1,0,AF43*(1-VLOOKUP($A44,[1]Hugst!$R$5:$W$9,MATCH(ROUNDUP((AG$1)/10,0)*10,[1]Hugst!$R$4:$W$4,0))))</f>
        <v>0</v>
      </c>
      <c r="AH44" s="169">
        <f>IF($C44-AH$1&lt;År1,0,AG43*(1-VLOOKUP($A44,[1]Hugst!$R$5:$W$9,MATCH(ROUNDUP((AH$1)/10,0)*10,[1]Hugst!$R$4:$W$4,0))))</f>
        <v>0</v>
      </c>
      <c r="AI44" s="169">
        <f>IF($C44-AI$1&lt;År1,0,AH43*(1-VLOOKUP($A44,[1]Hugst!$R$5:$W$9,MATCH(ROUNDUP((AI$1)/10,0)*10,[1]Hugst!$R$4:$W$4,0))))</f>
        <v>0</v>
      </c>
      <c r="AJ44" s="169">
        <f>IF($C44-AJ$1&lt;År1,0,AI43*(1-VLOOKUP($A44,[1]Hugst!$R$5:$W$9,MATCH(ROUNDUP((AJ$1)/10,0)*10,[1]Hugst!$R$4:$W$4,0))))</f>
        <v>0</v>
      </c>
    </row>
    <row r="45" spans="1:36" s="169" customFormat="1" x14ac:dyDescent="0.25">
      <c r="A45" s="169" t="s">
        <v>176</v>
      </c>
      <c r="B45" s="169" t="s">
        <v>24</v>
      </c>
      <c r="C45" s="169">
        <v>2032</v>
      </c>
      <c r="D45" s="169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0</v>
      </c>
      <c r="E45" s="169">
        <f t="shared" ca="1" si="0"/>
        <v>0</v>
      </c>
      <c r="F45" s="169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 s="169">
        <f ca="1">IF($C45-G$1&lt;År1,0,F44*(1-VLOOKUP($A45,[1]Hugst!$R$5:$W$9,MATCH(ROUNDUP((G$1)/10,0)*10,[1]Hugst!$R$4:$W$4,0))))</f>
        <v>0</v>
      </c>
      <c r="H45" s="169">
        <f ca="1">IF($C45-H$1&lt;År1,0,G44*(1-VLOOKUP($A45,[1]Hugst!$R$5:$W$9,MATCH(ROUNDUP((H$1)/10,0)*10,[1]Hugst!$R$4:$W$4,0))))</f>
        <v>0</v>
      </c>
      <c r="I45" s="169">
        <f ca="1">IF($C45-I$1&lt;År1,0,H44*(1-VLOOKUP($A45,[1]Hugst!$R$5:$W$9,MATCH(ROUNDUP((I$1)/10,0)*10,[1]Hugst!$R$4:$W$4,0))))</f>
        <v>0</v>
      </c>
      <c r="J45" s="169">
        <f ca="1">IF($C45-J$1&lt;År1,0,I44*(1-VLOOKUP($A45,[1]Hugst!$R$5:$W$9,MATCH(ROUNDUP((J$1)/10,0)*10,[1]Hugst!$R$4:$W$4,0))))</f>
        <v>0</v>
      </c>
      <c r="K45" s="169">
        <f ca="1">IF($C45-K$1&lt;År1,0,J44*(1-VLOOKUP($A45,[1]Hugst!$R$5:$W$9,MATCH(ROUNDUP((K$1)/10,0)*10,[1]Hugst!$R$4:$W$4,0))))</f>
        <v>0</v>
      </c>
      <c r="L45" s="169">
        <f ca="1">IF($C45-L$1&lt;År1,0,K44*(1-VLOOKUP($A45,[1]Hugst!$R$5:$W$9,MATCH(ROUNDUP((L$1)/10,0)*10,[1]Hugst!$R$4:$W$4,0))))</f>
        <v>0</v>
      </c>
      <c r="M45" s="169">
        <f ca="1">IF($C45-M$1&lt;År1,0,L44*(1-VLOOKUP($A45,[1]Hugst!$R$5:$W$9,MATCH(ROUNDUP((M$1)/10,0)*10,[1]Hugst!$R$4:$W$4,0))))</f>
        <v>0</v>
      </c>
      <c r="N45" s="169">
        <f ca="1">IF($C45-N$1&lt;År1,0,M44*(1-VLOOKUP($A45,[1]Hugst!$R$5:$W$9,MATCH(ROUNDUP((N$1)/10,0)*10,[1]Hugst!$R$4:$W$4,0))))</f>
        <v>0</v>
      </c>
      <c r="O45" s="169">
        <f ca="1">IF($C45-O$1&lt;År1,0,N44*(1-VLOOKUP($A45,[1]Hugst!$R$5:$W$9,MATCH(ROUNDUP((O$1)/10,0)*10,[1]Hugst!$R$4:$W$4,0))))</f>
        <v>0</v>
      </c>
      <c r="P45" s="169">
        <f ca="1">IF($C45-P$1&lt;År1,0,O44*(1-VLOOKUP($A45,[1]Hugst!$R$5:$W$9,MATCH(ROUNDUP((P$1)/10,0)*10,[1]Hugst!$R$4:$W$4,0))))</f>
        <v>0</v>
      </c>
      <c r="Q45" s="169">
        <f ca="1">IF($C45-Q$1&lt;År1,0,P44*(1-VLOOKUP($A45,[1]Hugst!$R$5:$W$9,MATCH(ROUNDUP((Q$1)/10,0)*10,[1]Hugst!$R$4:$W$4,0))))</f>
        <v>0</v>
      </c>
      <c r="R45" s="169">
        <f ca="1">IF($C45-R$1&lt;År1,0,Q44*(1-VLOOKUP($A45,[1]Hugst!$R$5:$W$9,MATCH(ROUNDUP((R$1)/10,0)*10,[1]Hugst!$R$4:$W$4,0))))</f>
        <v>0</v>
      </c>
      <c r="S45" s="169">
        <f>IF($C45-S$1&lt;År1,0,R44*(1-VLOOKUP($A45,[1]Hugst!$R$5:$W$9,MATCH(ROUNDUP((S$1)/10,0)*10,[1]Hugst!$R$4:$W$4,0))))</f>
        <v>0</v>
      </c>
      <c r="T45" s="169">
        <f>IF($C45-T$1&lt;År1,0,S44*(1-VLOOKUP($A45,[1]Hugst!$R$5:$W$9,MATCH(ROUNDUP((T$1)/10,0)*10,[1]Hugst!$R$4:$W$4,0))))</f>
        <v>0</v>
      </c>
      <c r="U45" s="169">
        <f>IF($C45-U$1&lt;År1,0,T44*(1-VLOOKUP($A45,[1]Hugst!$R$5:$W$9,MATCH(ROUNDUP((U$1)/10,0)*10,[1]Hugst!$R$4:$W$4,0))))</f>
        <v>0</v>
      </c>
      <c r="V45" s="169">
        <f>IF($C45-V$1&lt;År1,0,U44*(1-VLOOKUP($A45,[1]Hugst!$R$5:$W$9,MATCH(ROUNDUP((V$1)/10,0)*10,[1]Hugst!$R$4:$W$4,0))))</f>
        <v>0</v>
      </c>
      <c r="W45" s="169">
        <f>IF($C45-W$1&lt;År1,0,V44*(1-VLOOKUP($A45,[1]Hugst!$R$5:$W$9,MATCH(ROUNDUP((W$1)/10,0)*10,[1]Hugst!$R$4:$W$4,0))))</f>
        <v>0</v>
      </c>
      <c r="X45" s="169">
        <f>IF($C45-X$1&lt;År1,0,W44*(1-VLOOKUP($A45,[1]Hugst!$R$5:$W$9,MATCH(ROUNDUP((X$1)/10,0)*10,[1]Hugst!$R$4:$W$4,0))))</f>
        <v>0</v>
      </c>
      <c r="Y45" s="169">
        <f>IF($C45-Y$1&lt;År1,0,X44*(1-VLOOKUP($A45,[1]Hugst!$R$5:$W$9,MATCH(ROUNDUP((Y$1)/10,0)*10,[1]Hugst!$R$4:$W$4,0))))</f>
        <v>0</v>
      </c>
      <c r="Z45" s="169">
        <f>IF($C45-Z$1&lt;År1,0,Y44*(1-VLOOKUP($A45,[1]Hugst!$R$5:$W$9,MATCH(ROUNDUP((Z$1)/10,0)*10,[1]Hugst!$R$4:$W$4,0))))</f>
        <v>0</v>
      </c>
      <c r="AA45" s="169">
        <f>IF($C45-AA$1&lt;År1,0,Z44*(1-VLOOKUP($A45,[1]Hugst!$R$5:$W$9,MATCH(ROUNDUP((AA$1)/10,0)*10,[1]Hugst!$R$4:$W$4,0))))</f>
        <v>0</v>
      </c>
      <c r="AB45" s="169">
        <f>IF($C45-AB$1&lt;År1,0,AA44*(1-VLOOKUP($A45,[1]Hugst!$R$5:$W$9,MATCH(ROUNDUP((AB$1)/10,0)*10,[1]Hugst!$R$4:$W$4,0))))</f>
        <v>0</v>
      </c>
      <c r="AC45" s="169">
        <f>IF($C45-AC$1&lt;År1,0,AB44*(1-VLOOKUP($A45,[1]Hugst!$R$5:$W$9,MATCH(ROUNDUP((AC$1)/10,0)*10,[1]Hugst!$R$4:$W$4,0))))</f>
        <v>0</v>
      </c>
      <c r="AD45" s="169">
        <f>IF($C45-AD$1&lt;År1,0,AC44*(1-VLOOKUP($A45,[1]Hugst!$R$5:$W$9,MATCH(ROUNDUP((AD$1)/10,0)*10,[1]Hugst!$R$4:$W$4,0))))</f>
        <v>0</v>
      </c>
      <c r="AE45" s="169">
        <f>IF($C45-AE$1&lt;År1,0,AD44*(1-VLOOKUP($A45,[1]Hugst!$R$5:$W$9,MATCH(ROUNDUP((AE$1)/10,0)*10,[1]Hugst!$R$4:$W$4,0))))</f>
        <v>0</v>
      </c>
      <c r="AF45" s="169">
        <f>IF($C45-AF$1&lt;År1,0,AE44*(1-VLOOKUP($A45,[1]Hugst!$R$5:$W$9,MATCH(ROUNDUP((AF$1)/10,0)*10,[1]Hugst!$R$4:$W$4,0))))</f>
        <v>0</v>
      </c>
      <c r="AG45" s="169">
        <f>IF($C45-AG$1&lt;År1,0,AF44*(1-VLOOKUP($A45,[1]Hugst!$R$5:$W$9,MATCH(ROUNDUP((AG$1)/10,0)*10,[1]Hugst!$R$4:$W$4,0))))</f>
        <v>0</v>
      </c>
      <c r="AH45" s="169">
        <f>IF($C45-AH$1&lt;År1,0,AG44*(1-VLOOKUP($A45,[1]Hugst!$R$5:$W$9,MATCH(ROUNDUP((AH$1)/10,0)*10,[1]Hugst!$R$4:$W$4,0))))</f>
        <v>0</v>
      </c>
      <c r="AI45" s="169">
        <f>IF($C45-AI$1&lt;År1,0,AH44*(1-VLOOKUP($A45,[1]Hugst!$R$5:$W$9,MATCH(ROUNDUP((AI$1)/10,0)*10,[1]Hugst!$R$4:$W$4,0))))</f>
        <v>0</v>
      </c>
      <c r="AJ45" s="169">
        <f>IF($C45-AJ$1&lt;År1,0,AI44*(1-VLOOKUP($A45,[1]Hugst!$R$5:$W$9,MATCH(ROUNDUP((AJ$1)/10,0)*10,[1]Hugst!$R$4:$W$4,0))))</f>
        <v>0</v>
      </c>
    </row>
    <row r="46" spans="1:36" s="169" customFormat="1" x14ac:dyDescent="0.25">
      <c r="A46" s="169" t="s">
        <v>176</v>
      </c>
      <c r="B46" s="169" t="s">
        <v>24</v>
      </c>
      <c r="C46" s="169">
        <v>2033</v>
      </c>
      <c r="D46" s="169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0</v>
      </c>
      <c r="E46" s="169">
        <f t="shared" ca="1" si="0"/>
        <v>0</v>
      </c>
      <c r="F46" s="169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 s="169">
        <f ca="1">IF($C46-G$1&lt;År1,0,F45*(1-VLOOKUP($A46,[1]Hugst!$R$5:$W$9,MATCH(ROUNDUP((G$1)/10,0)*10,[1]Hugst!$R$4:$W$4,0))))</f>
        <v>0</v>
      </c>
      <c r="H46" s="169">
        <f ca="1">IF($C46-H$1&lt;År1,0,G45*(1-VLOOKUP($A46,[1]Hugst!$R$5:$W$9,MATCH(ROUNDUP((H$1)/10,0)*10,[1]Hugst!$R$4:$W$4,0))))</f>
        <v>0</v>
      </c>
      <c r="I46" s="169">
        <f ca="1">IF($C46-I$1&lt;År1,0,H45*(1-VLOOKUP($A46,[1]Hugst!$R$5:$W$9,MATCH(ROUNDUP((I$1)/10,0)*10,[1]Hugst!$R$4:$W$4,0))))</f>
        <v>0</v>
      </c>
      <c r="J46" s="169">
        <f ca="1">IF($C46-J$1&lt;År1,0,I45*(1-VLOOKUP($A46,[1]Hugst!$R$5:$W$9,MATCH(ROUNDUP((J$1)/10,0)*10,[1]Hugst!$R$4:$W$4,0))))</f>
        <v>0</v>
      </c>
      <c r="K46" s="169">
        <f ca="1">IF($C46-K$1&lt;År1,0,J45*(1-VLOOKUP($A46,[1]Hugst!$R$5:$W$9,MATCH(ROUNDUP((K$1)/10,0)*10,[1]Hugst!$R$4:$W$4,0))))</f>
        <v>0</v>
      </c>
      <c r="L46" s="169">
        <f ca="1">IF($C46-L$1&lt;År1,0,K45*(1-VLOOKUP($A46,[1]Hugst!$R$5:$W$9,MATCH(ROUNDUP((L$1)/10,0)*10,[1]Hugst!$R$4:$W$4,0))))</f>
        <v>0</v>
      </c>
      <c r="M46" s="169">
        <f ca="1">IF($C46-M$1&lt;År1,0,L45*(1-VLOOKUP($A46,[1]Hugst!$R$5:$W$9,MATCH(ROUNDUP((M$1)/10,0)*10,[1]Hugst!$R$4:$W$4,0))))</f>
        <v>0</v>
      </c>
      <c r="N46" s="169">
        <f ca="1">IF($C46-N$1&lt;År1,0,M45*(1-VLOOKUP($A46,[1]Hugst!$R$5:$W$9,MATCH(ROUNDUP((N$1)/10,0)*10,[1]Hugst!$R$4:$W$4,0))))</f>
        <v>0</v>
      </c>
      <c r="O46" s="169">
        <f ca="1">IF($C46-O$1&lt;År1,0,N45*(1-VLOOKUP($A46,[1]Hugst!$R$5:$W$9,MATCH(ROUNDUP((O$1)/10,0)*10,[1]Hugst!$R$4:$W$4,0))))</f>
        <v>0</v>
      </c>
      <c r="P46" s="169">
        <f ca="1">IF($C46-P$1&lt;År1,0,O45*(1-VLOOKUP($A46,[1]Hugst!$R$5:$W$9,MATCH(ROUNDUP((P$1)/10,0)*10,[1]Hugst!$R$4:$W$4,0))))</f>
        <v>0</v>
      </c>
      <c r="Q46" s="169">
        <f ca="1">IF($C46-Q$1&lt;År1,0,P45*(1-VLOOKUP($A46,[1]Hugst!$R$5:$W$9,MATCH(ROUNDUP((Q$1)/10,0)*10,[1]Hugst!$R$4:$W$4,0))))</f>
        <v>0</v>
      </c>
      <c r="R46" s="169">
        <f ca="1">IF($C46-R$1&lt;År1,0,Q45*(1-VLOOKUP($A46,[1]Hugst!$R$5:$W$9,MATCH(ROUNDUP((R$1)/10,0)*10,[1]Hugst!$R$4:$W$4,0))))</f>
        <v>0</v>
      </c>
      <c r="S46" s="169">
        <f ca="1">IF($C46-S$1&lt;År1,0,R45*(1-VLOOKUP($A46,[1]Hugst!$R$5:$W$9,MATCH(ROUNDUP((S$1)/10,0)*10,[1]Hugst!$R$4:$W$4,0))))</f>
        <v>0</v>
      </c>
      <c r="T46" s="169">
        <f>IF($C46-T$1&lt;År1,0,S45*(1-VLOOKUP($A46,[1]Hugst!$R$5:$W$9,MATCH(ROUNDUP((T$1)/10,0)*10,[1]Hugst!$R$4:$W$4,0))))</f>
        <v>0</v>
      </c>
      <c r="U46" s="169">
        <f>IF($C46-U$1&lt;År1,0,T45*(1-VLOOKUP($A46,[1]Hugst!$R$5:$W$9,MATCH(ROUNDUP((U$1)/10,0)*10,[1]Hugst!$R$4:$W$4,0))))</f>
        <v>0</v>
      </c>
      <c r="V46" s="169">
        <f>IF($C46-V$1&lt;År1,0,U45*(1-VLOOKUP($A46,[1]Hugst!$R$5:$W$9,MATCH(ROUNDUP((V$1)/10,0)*10,[1]Hugst!$R$4:$W$4,0))))</f>
        <v>0</v>
      </c>
      <c r="W46" s="169">
        <f>IF($C46-W$1&lt;År1,0,V45*(1-VLOOKUP($A46,[1]Hugst!$R$5:$W$9,MATCH(ROUNDUP((W$1)/10,0)*10,[1]Hugst!$R$4:$W$4,0))))</f>
        <v>0</v>
      </c>
      <c r="X46" s="169">
        <f>IF($C46-X$1&lt;År1,0,W45*(1-VLOOKUP($A46,[1]Hugst!$R$5:$W$9,MATCH(ROUNDUP((X$1)/10,0)*10,[1]Hugst!$R$4:$W$4,0))))</f>
        <v>0</v>
      </c>
      <c r="Y46" s="169">
        <f>IF($C46-Y$1&lt;År1,0,X45*(1-VLOOKUP($A46,[1]Hugst!$R$5:$W$9,MATCH(ROUNDUP((Y$1)/10,0)*10,[1]Hugst!$R$4:$W$4,0))))</f>
        <v>0</v>
      </c>
      <c r="Z46" s="169">
        <f>IF($C46-Z$1&lt;År1,0,Y45*(1-VLOOKUP($A46,[1]Hugst!$R$5:$W$9,MATCH(ROUNDUP((Z$1)/10,0)*10,[1]Hugst!$R$4:$W$4,0))))</f>
        <v>0</v>
      </c>
      <c r="AA46" s="169">
        <f>IF($C46-AA$1&lt;År1,0,Z45*(1-VLOOKUP($A46,[1]Hugst!$R$5:$W$9,MATCH(ROUNDUP((AA$1)/10,0)*10,[1]Hugst!$R$4:$W$4,0))))</f>
        <v>0</v>
      </c>
      <c r="AB46" s="169">
        <f>IF($C46-AB$1&lt;År1,0,AA45*(1-VLOOKUP($A46,[1]Hugst!$R$5:$W$9,MATCH(ROUNDUP((AB$1)/10,0)*10,[1]Hugst!$R$4:$W$4,0))))</f>
        <v>0</v>
      </c>
      <c r="AC46" s="169">
        <f>IF($C46-AC$1&lt;År1,0,AB45*(1-VLOOKUP($A46,[1]Hugst!$R$5:$W$9,MATCH(ROUNDUP((AC$1)/10,0)*10,[1]Hugst!$R$4:$W$4,0))))</f>
        <v>0</v>
      </c>
      <c r="AD46" s="169">
        <f>IF($C46-AD$1&lt;År1,0,AC45*(1-VLOOKUP($A46,[1]Hugst!$R$5:$W$9,MATCH(ROUNDUP((AD$1)/10,0)*10,[1]Hugst!$R$4:$W$4,0))))</f>
        <v>0</v>
      </c>
      <c r="AE46" s="169">
        <f>IF($C46-AE$1&lt;År1,0,AD45*(1-VLOOKUP($A46,[1]Hugst!$R$5:$W$9,MATCH(ROUNDUP((AE$1)/10,0)*10,[1]Hugst!$R$4:$W$4,0))))</f>
        <v>0</v>
      </c>
      <c r="AF46" s="169">
        <f>IF($C46-AF$1&lt;År1,0,AE45*(1-VLOOKUP($A46,[1]Hugst!$R$5:$W$9,MATCH(ROUNDUP((AF$1)/10,0)*10,[1]Hugst!$R$4:$W$4,0))))</f>
        <v>0</v>
      </c>
      <c r="AG46" s="169">
        <f>IF($C46-AG$1&lt;År1,0,AF45*(1-VLOOKUP($A46,[1]Hugst!$R$5:$W$9,MATCH(ROUNDUP((AG$1)/10,0)*10,[1]Hugst!$R$4:$W$4,0))))</f>
        <v>0</v>
      </c>
      <c r="AH46" s="169">
        <f>IF($C46-AH$1&lt;År1,0,AG45*(1-VLOOKUP($A46,[1]Hugst!$R$5:$W$9,MATCH(ROUNDUP((AH$1)/10,0)*10,[1]Hugst!$R$4:$W$4,0))))</f>
        <v>0</v>
      </c>
      <c r="AI46" s="169">
        <f>IF($C46-AI$1&lt;År1,0,AH45*(1-VLOOKUP($A46,[1]Hugst!$R$5:$W$9,MATCH(ROUNDUP((AI$1)/10,0)*10,[1]Hugst!$R$4:$W$4,0))))</f>
        <v>0</v>
      </c>
      <c r="AJ46" s="169">
        <f>IF($C46-AJ$1&lt;År1,0,AI45*(1-VLOOKUP($A46,[1]Hugst!$R$5:$W$9,MATCH(ROUNDUP((AJ$1)/10,0)*10,[1]Hugst!$R$4:$W$4,0))))</f>
        <v>0</v>
      </c>
    </row>
    <row r="47" spans="1:36" s="169" customFormat="1" x14ac:dyDescent="0.25">
      <c r="A47" s="169" t="s">
        <v>176</v>
      </c>
      <c r="B47" s="169" t="s">
        <v>24</v>
      </c>
      <c r="C47" s="169">
        <v>2034</v>
      </c>
      <c r="D47" s="169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0</v>
      </c>
      <c r="E47" s="169">
        <f t="shared" ca="1" si="0"/>
        <v>0</v>
      </c>
      <c r="F47" s="169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 s="169">
        <f ca="1">IF($C47-G$1&lt;År1,0,F46*(1-VLOOKUP($A47,[1]Hugst!$R$5:$W$9,MATCH(ROUNDUP((G$1)/10,0)*10,[1]Hugst!$R$4:$W$4,0))))</f>
        <v>0</v>
      </c>
      <c r="H47" s="169">
        <f ca="1">IF($C47-H$1&lt;År1,0,G46*(1-VLOOKUP($A47,[1]Hugst!$R$5:$W$9,MATCH(ROUNDUP((H$1)/10,0)*10,[1]Hugst!$R$4:$W$4,0))))</f>
        <v>0</v>
      </c>
      <c r="I47" s="169">
        <f ca="1">IF($C47-I$1&lt;År1,0,H46*(1-VLOOKUP($A47,[1]Hugst!$R$5:$W$9,MATCH(ROUNDUP((I$1)/10,0)*10,[1]Hugst!$R$4:$W$4,0))))</f>
        <v>0</v>
      </c>
      <c r="J47" s="169">
        <f ca="1">IF($C47-J$1&lt;År1,0,I46*(1-VLOOKUP($A47,[1]Hugst!$R$5:$W$9,MATCH(ROUNDUP((J$1)/10,0)*10,[1]Hugst!$R$4:$W$4,0))))</f>
        <v>0</v>
      </c>
      <c r="K47" s="169">
        <f ca="1">IF($C47-K$1&lt;År1,0,J46*(1-VLOOKUP($A47,[1]Hugst!$R$5:$W$9,MATCH(ROUNDUP((K$1)/10,0)*10,[1]Hugst!$R$4:$W$4,0))))</f>
        <v>0</v>
      </c>
      <c r="L47" s="169">
        <f ca="1">IF($C47-L$1&lt;År1,0,K46*(1-VLOOKUP($A47,[1]Hugst!$R$5:$W$9,MATCH(ROUNDUP((L$1)/10,0)*10,[1]Hugst!$R$4:$W$4,0))))</f>
        <v>0</v>
      </c>
      <c r="M47" s="169">
        <f ca="1">IF($C47-M$1&lt;År1,0,L46*(1-VLOOKUP($A47,[1]Hugst!$R$5:$W$9,MATCH(ROUNDUP((M$1)/10,0)*10,[1]Hugst!$R$4:$W$4,0))))</f>
        <v>0</v>
      </c>
      <c r="N47" s="169">
        <f ca="1">IF($C47-N$1&lt;År1,0,M46*(1-VLOOKUP($A47,[1]Hugst!$R$5:$W$9,MATCH(ROUNDUP((N$1)/10,0)*10,[1]Hugst!$R$4:$W$4,0))))</f>
        <v>0</v>
      </c>
      <c r="O47" s="169">
        <f ca="1">IF($C47-O$1&lt;År1,0,N46*(1-VLOOKUP($A47,[1]Hugst!$R$5:$W$9,MATCH(ROUNDUP((O$1)/10,0)*10,[1]Hugst!$R$4:$W$4,0))))</f>
        <v>0</v>
      </c>
      <c r="P47" s="169">
        <f ca="1">IF($C47-P$1&lt;År1,0,O46*(1-VLOOKUP($A47,[1]Hugst!$R$5:$W$9,MATCH(ROUNDUP((P$1)/10,0)*10,[1]Hugst!$R$4:$W$4,0))))</f>
        <v>0</v>
      </c>
      <c r="Q47" s="169">
        <f ca="1">IF($C47-Q$1&lt;År1,0,P46*(1-VLOOKUP($A47,[1]Hugst!$R$5:$W$9,MATCH(ROUNDUP((Q$1)/10,0)*10,[1]Hugst!$R$4:$W$4,0))))</f>
        <v>0</v>
      </c>
      <c r="R47" s="169">
        <f ca="1">IF($C47-R$1&lt;År1,0,Q46*(1-VLOOKUP($A47,[1]Hugst!$R$5:$W$9,MATCH(ROUNDUP((R$1)/10,0)*10,[1]Hugst!$R$4:$W$4,0))))</f>
        <v>0</v>
      </c>
      <c r="S47" s="169">
        <f ca="1">IF($C47-S$1&lt;År1,0,R46*(1-VLOOKUP($A47,[1]Hugst!$R$5:$W$9,MATCH(ROUNDUP((S$1)/10,0)*10,[1]Hugst!$R$4:$W$4,0))))</f>
        <v>0</v>
      </c>
      <c r="T47" s="169">
        <f ca="1">IF($C47-T$1&lt;År1,0,S46*(1-VLOOKUP($A47,[1]Hugst!$R$5:$W$9,MATCH(ROUNDUP((T$1)/10,0)*10,[1]Hugst!$R$4:$W$4,0))))</f>
        <v>0</v>
      </c>
      <c r="U47" s="169">
        <f>IF($C47-U$1&lt;År1,0,T46*(1-VLOOKUP($A47,[1]Hugst!$R$5:$W$9,MATCH(ROUNDUP((U$1)/10,0)*10,[1]Hugst!$R$4:$W$4,0))))</f>
        <v>0</v>
      </c>
      <c r="V47" s="169">
        <f>IF($C47-V$1&lt;År1,0,U46*(1-VLOOKUP($A47,[1]Hugst!$R$5:$W$9,MATCH(ROUNDUP((V$1)/10,0)*10,[1]Hugst!$R$4:$W$4,0))))</f>
        <v>0</v>
      </c>
      <c r="W47" s="169">
        <f>IF($C47-W$1&lt;År1,0,V46*(1-VLOOKUP($A47,[1]Hugst!$R$5:$W$9,MATCH(ROUNDUP((W$1)/10,0)*10,[1]Hugst!$R$4:$W$4,0))))</f>
        <v>0</v>
      </c>
      <c r="X47" s="169">
        <f>IF($C47-X$1&lt;År1,0,W46*(1-VLOOKUP($A47,[1]Hugst!$R$5:$W$9,MATCH(ROUNDUP((X$1)/10,0)*10,[1]Hugst!$R$4:$W$4,0))))</f>
        <v>0</v>
      </c>
      <c r="Y47" s="169">
        <f>IF($C47-Y$1&lt;År1,0,X46*(1-VLOOKUP($A47,[1]Hugst!$R$5:$W$9,MATCH(ROUNDUP((Y$1)/10,0)*10,[1]Hugst!$R$4:$W$4,0))))</f>
        <v>0</v>
      </c>
      <c r="Z47" s="169">
        <f>IF($C47-Z$1&lt;År1,0,Y46*(1-VLOOKUP($A47,[1]Hugst!$R$5:$W$9,MATCH(ROUNDUP((Z$1)/10,0)*10,[1]Hugst!$R$4:$W$4,0))))</f>
        <v>0</v>
      </c>
      <c r="AA47" s="169">
        <f>IF($C47-AA$1&lt;År1,0,Z46*(1-VLOOKUP($A47,[1]Hugst!$R$5:$W$9,MATCH(ROUNDUP((AA$1)/10,0)*10,[1]Hugst!$R$4:$W$4,0))))</f>
        <v>0</v>
      </c>
      <c r="AB47" s="169">
        <f>IF($C47-AB$1&lt;År1,0,AA46*(1-VLOOKUP($A47,[1]Hugst!$R$5:$W$9,MATCH(ROUNDUP((AB$1)/10,0)*10,[1]Hugst!$R$4:$W$4,0))))</f>
        <v>0</v>
      </c>
      <c r="AC47" s="169">
        <f>IF($C47-AC$1&lt;År1,0,AB46*(1-VLOOKUP($A47,[1]Hugst!$R$5:$W$9,MATCH(ROUNDUP((AC$1)/10,0)*10,[1]Hugst!$R$4:$W$4,0))))</f>
        <v>0</v>
      </c>
      <c r="AD47" s="169">
        <f>IF($C47-AD$1&lt;År1,0,AC46*(1-VLOOKUP($A47,[1]Hugst!$R$5:$W$9,MATCH(ROUNDUP((AD$1)/10,0)*10,[1]Hugst!$R$4:$W$4,0))))</f>
        <v>0</v>
      </c>
      <c r="AE47" s="169">
        <f>IF($C47-AE$1&lt;År1,0,AD46*(1-VLOOKUP($A47,[1]Hugst!$R$5:$W$9,MATCH(ROUNDUP((AE$1)/10,0)*10,[1]Hugst!$R$4:$W$4,0))))</f>
        <v>0</v>
      </c>
      <c r="AF47" s="169">
        <f>IF($C47-AF$1&lt;År1,0,AE46*(1-VLOOKUP($A47,[1]Hugst!$R$5:$W$9,MATCH(ROUNDUP((AF$1)/10,0)*10,[1]Hugst!$R$4:$W$4,0))))</f>
        <v>0</v>
      </c>
      <c r="AG47" s="169">
        <f>IF($C47-AG$1&lt;År1,0,AF46*(1-VLOOKUP($A47,[1]Hugst!$R$5:$W$9,MATCH(ROUNDUP((AG$1)/10,0)*10,[1]Hugst!$R$4:$W$4,0))))</f>
        <v>0</v>
      </c>
      <c r="AH47" s="169">
        <f>IF($C47-AH$1&lt;År1,0,AG46*(1-VLOOKUP($A47,[1]Hugst!$R$5:$W$9,MATCH(ROUNDUP((AH$1)/10,0)*10,[1]Hugst!$R$4:$W$4,0))))</f>
        <v>0</v>
      </c>
      <c r="AI47" s="169">
        <f>IF($C47-AI$1&lt;År1,0,AH46*(1-VLOOKUP($A47,[1]Hugst!$R$5:$W$9,MATCH(ROUNDUP((AI$1)/10,0)*10,[1]Hugst!$R$4:$W$4,0))))</f>
        <v>0</v>
      </c>
      <c r="AJ47" s="169">
        <f>IF($C47-AJ$1&lt;År1,0,AI46*(1-VLOOKUP($A47,[1]Hugst!$R$5:$W$9,MATCH(ROUNDUP((AJ$1)/10,0)*10,[1]Hugst!$R$4:$W$4,0))))</f>
        <v>0</v>
      </c>
    </row>
    <row r="48" spans="1:36" s="169" customFormat="1" x14ac:dyDescent="0.25">
      <c r="A48" s="169" t="s">
        <v>176</v>
      </c>
      <c r="B48" s="169" t="s">
        <v>24</v>
      </c>
      <c r="C48" s="169">
        <v>2035</v>
      </c>
      <c r="D48" s="169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0</v>
      </c>
      <c r="E48" s="169">
        <f t="shared" ca="1" si="0"/>
        <v>0</v>
      </c>
      <c r="F48" s="169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 s="169">
        <f ca="1">IF($C48-G$1&lt;År1,0,F47*(1-VLOOKUP($A48,[1]Hugst!$R$5:$W$9,MATCH(ROUNDUP((G$1)/10,0)*10,[1]Hugst!$R$4:$W$4,0))))</f>
        <v>0</v>
      </c>
      <c r="H48" s="169">
        <f ca="1">IF($C48-H$1&lt;År1,0,G47*(1-VLOOKUP($A48,[1]Hugst!$R$5:$W$9,MATCH(ROUNDUP((H$1)/10,0)*10,[1]Hugst!$R$4:$W$4,0))))</f>
        <v>0</v>
      </c>
      <c r="I48" s="169">
        <f ca="1">IF($C48-I$1&lt;År1,0,H47*(1-VLOOKUP($A48,[1]Hugst!$R$5:$W$9,MATCH(ROUNDUP((I$1)/10,0)*10,[1]Hugst!$R$4:$W$4,0))))</f>
        <v>0</v>
      </c>
      <c r="J48" s="169">
        <f ca="1">IF($C48-J$1&lt;År1,0,I47*(1-VLOOKUP($A48,[1]Hugst!$R$5:$W$9,MATCH(ROUNDUP((J$1)/10,0)*10,[1]Hugst!$R$4:$W$4,0))))</f>
        <v>0</v>
      </c>
      <c r="K48" s="169">
        <f ca="1">IF($C48-K$1&lt;År1,0,J47*(1-VLOOKUP($A48,[1]Hugst!$R$5:$W$9,MATCH(ROUNDUP((K$1)/10,0)*10,[1]Hugst!$R$4:$W$4,0))))</f>
        <v>0</v>
      </c>
      <c r="L48" s="169">
        <f ca="1">IF($C48-L$1&lt;År1,0,K47*(1-VLOOKUP($A48,[1]Hugst!$R$5:$W$9,MATCH(ROUNDUP((L$1)/10,0)*10,[1]Hugst!$R$4:$W$4,0))))</f>
        <v>0</v>
      </c>
      <c r="M48" s="169">
        <f ca="1">IF($C48-M$1&lt;År1,0,L47*(1-VLOOKUP($A48,[1]Hugst!$R$5:$W$9,MATCH(ROUNDUP((M$1)/10,0)*10,[1]Hugst!$R$4:$W$4,0))))</f>
        <v>0</v>
      </c>
      <c r="N48" s="169">
        <f ca="1">IF($C48-N$1&lt;År1,0,M47*(1-VLOOKUP($A48,[1]Hugst!$R$5:$W$9,MATCH(ROUNDUP((N$1)/10,0)*10,[1]Hugst!$R$4:$W$4,0))))</f>
        <v>0</v>
      </c>
      <c r="O48" s="169">
        <f ca="1">IF($C48-O$1&lt;År1,0,N47*(1-VLOOKUP($A48,[1]Hugst!$R$5:$W$9,MATCH(ROUNDUP((O$1)/10,0)*10,[1]Hugst!$R$4:$W$4,0))))</f>
        <v>0</v>
      </c>
      <c r="P48" s="169">
        <f ca="1">IF($C48-P$1&lt;År1,0,O47*(1-VLOOKUP($A48,[1]Hugst!$R$5:$W$9,MATCH(ROUNDUP((P$1)/10,0)*10,[1]Hugst!$R$4:$W$4,0))))</f>
        <v>0</v>
      </c>
      <c r="Q48" s="169">
        <f ca="1">IF($C48-Q$1&lt;År1,0,P47*(1-VLOOKUP($A48,[1]Hugst!$R$5:$W$9,MATCH(ROUNDUP((Q$1)/10,0)*10,[1]Hugst!$R$4:$W$4,0))))</f>
        <v>0</v>
      </c>
      <c r="R48" s="169">
        <f ca="1">IF($C48-R$1&lt;År1,0,Q47*(1-VLOOKUP($A48,[1]Hugst!$R$5:$W$9,MATCH(ROUNDUP((R$1)/10,0)*10,[1]Hugst!$R$4:$W$4,0))))</f>
        <v>0</v>
      </c>
      <c r="S48" s="169">
        <f ca="1">IF($C48-S$1&lt;År1,0,R47*(1-VLOOKUP($A48,[1]Hugst!$R$5:$W$9,MATCH(ROUNDUP((S$1)/10,0)*10,[1]Hugst!$R$4:$W$4,0))))</f>
        <v>0</v>
      </c>
      <c r="T48" s="169">
        <f ca="1">IF($C48-T$1&lt;År1,0,S47*(1-VLOOKUP($A48,[1]Hugst!$R$5:$W$9,MATCH(ROUNDUP((T$1)/10,0)*10,[1]Hugst!$R$4:$W$4,0))))</f>
        <v>0</v>
      </c>
      <c r="U48" s="169">
        <f ca="1">IF($C48-U$1&lt;År1,0,T47*(1-VLOOKUP($A48,[1]Hugst!$R$5:$W$9,MATCH(ROUNDUP((U$1)/10,0)*10,[1]Hugst!$R$4:$W$4,0))))</f>
        <v>0</v>
      </c>
      <c r="V48" s="169">
        <f>IF($C48-V$1&lt;År1,0,U47*(1-VLOOKUP($A48,[1]Hugst!$R$5:$W$9,MATCH(ROUNDUP((V$1)/10,0)*10,[1]Hugst!$R$4:$W$4,0))))</f>
        <v>0</v>
      </c>
      <c r="W48" s="169">
        <f>IF($C48-W$1&lt;År1,0,V47*(1-VLOOKUP($A48,[1]Hugst!$R$5:$W$9,MATCH(ROUNDUP((W$1)/10,0)*10,[1]Hugst!$R$4:$W$4,0))))</f>
        <v>0</v>
      </c>
      <c r="X48" s="169">
        <f>IF($C48-X$1&lt;År1,0,W47*(1-VLOOKUP($A48,[1]Hugst!$R$5:$W$9,MATCH(ROUNDUP((X$1)/10,0)*10,[1]Hugst!$R$4:$W$4,0))))</f>
        <v>0</v>
      </c>
      <c r="Y48" s="169">
        <f>IF($C48-Y$1&lt;År1,0,X47*(1-VLOOKUP($A48,[1]Hugst!$R$5:$W$9,MATCH(ROUNDUP((Y$1)/10,0)*10,[1]Hugst!$R$4:$W$4,0))))</f>
        <v>0</v>
      </c>
      <c r="Z48" s="169">
        <f>IF($C48-Z$1&lt;År1,0,Y47*(1-VLOOKUP($A48,[1]Hugst!$R$5:$W$9,MATCH(ROUNDUP((Z$1)/10,0)*10,[1]Hugst!$R$4:$W$4,0))))</f>
        <v>0</v>
      </c>
      <c r="AA48" s="169">
        <f>IF($C48-AA$1&lt;År1,0,Z47*(1-VLOOKUP($A48,[1]Hugst!$R$5:$W$9,MATCH(ROUNDUP((AA$1)/10,0)*10,[1]Hugst!$R$4:$W$4,0))))</f>
        <v>0</v>
      </c>
      <c r="AB48" s="169">
        <f>IF($C48-AB$1&lt;År1,0,AA47*(1-VLOOKUP($A48,[1]Hugst!$R$5:$W$9,MATCH(ROUNDUP((AB$1)/10,0)*10,[1]Hugst!$R$4:$W$4,0))))</f>
        <v>0</v>
      </c>
      <c r="AC48" s="169">
        <f>IF($C48-AC$1&lt;År1,0,AB47*(1-VLOOKUP($A48,[1]Hugst!$R$5:$W$9,MATCH(ROUNDUP((AC$1)/10,0)*10,[1]Hugst!$R$4:$W$4,0))))</f>
        <v>0</v>
      </c>
      <c r="AD48" s="169">
        <f>IF($C48-AD$1&lt;År1,0,AC47*(1-VLOOKUP($A48,[1]Hugst!$R$5:$W$9,MATCH(ROUNDUP((AD$1)/10,0)*10,[1]Hugst!$R$4:$W$4,0))))</f>
        <v>0</v>
      </c>
      <c r="AE48" s="169">
        <f>IF($C48-AE$1&lt;År1,0,AD47*(1-VLOOKUP($A48,[1]Hugst!$R$5:$W$9,MATCH(ROUNDUP((AE$1)/10,0)*10,[1]Hugst!$R$4:$W$4,0))))</f>
        <v>0</v>
      </c>
      <c r="AF48" s="169">
        <f>IF($C48-AF$1&lt;År1,0,AE47*(1-VLOOKUP($A48,[1]Hugst!$R$5:$W$9,MATCH(ROUNDUP((AF$1)/10,0)*10,[1]Hugst!$R$4:$W$4,0))))</f>
        <v>0</v>
      </c>
      <c r="AG48" s="169">
        <f>IF($C48-AG$1&lt;År1,0,AF47*(1-VLOOKUP($A48,[1]Hugst!$R$5:$W$9,MATCH(ROUNDUP((AG$1)/10,0)*10,[1]Hugst!$R$4:$W$4,0))))</f>
        <v>0</v>
      </c>
      <c r="AH48" s="169">
        <f>IF($C48-AH$1&lt;År1,0,AG47*(1-VLOOKUP($A48,[1]Hugst!$R$5:$W$9,MATCH(ROUNDUP((AH$1)/10,0)*10,[1]Hugst!$R$4:$W$4,0))))</f>
        <v>0</v>
      </c>
      <c r="AI48" s="169">
        <f>IF($C48-AI$1&lt;År1,0,AH47*(1-VLOOKUP($A48,[1]Hugst!$R$5:$W$9,MATCH(ROUNDUP((AI$1)/10,0)*10,[1]Hugst!$R$4:$W$4,0))))</f>
        <v>0</v>
      </c>
      <c r="AJ48" s="169">
        <f>IF($C48-AJ$1&lt;År1,0,AI47*(1-VLOOKUP($A48,[1]Hugst!$R$5:$W$9,MATCH(ROUNDUP((AJ$1)/10,0)*10,[1]Hugst!$R$4:$W$4,0))))</f>
        <v>0</v>
      </c>
    </row>
    <row r="49" spans="1:39" s="169" customFormat="1" x14ac:dyDescent="0.25">
      <c r="A49" s="169" t="s">
        <v>176</v>
      </c>
      <c r="B49" s="169" t="s">
        <v>24</v>
      </c>
      <c r="C49" s="169">
        <v>2036</v>
      </c>
      <c r="D49" s="169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0</v>
      </c>
      <c r="E49" s="169">
        <f t="shared" ca="1" si="0"/>
        <v>0</v>
      </c>
      <c r="F49" s="169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 s="169">
        <f ca="1">IF($C49-G$1&lt;År1,0,F48*(1-VLOOKUP($A49,[1]Hugst!$R$5:$W$9,MATCH(ROUNDUP((G$1)/10,0)*10,[1]Hugst!$R$4:$W$4,0))))</f>
        <v>0</v>
      </c>
      <c r="H49" s="169">
        <f ca="1">IF($C49-H$1&lt;År1,0,G48*(1-VLOOKUP($A49,[1]Hugst!$R$5:$W$9,MATCH(ROUNDUP((H$1)/10,0)*10,[1]Hugst!$R$4:$W$4,0))))</f>
        <v>0</v>
      </c>
      <c r="I49" s="169">
        <f ca="1">IF($C49-I$1&lt;År1,0,H48*(1-VLOOKUP($A49,[1]Hugst!$R$5:$W$9,MATCH(ROUNDUP((I$1)/10,0)*10,[1]Hugst!$R$4:$W$4,0))))</f>
        <v>0</v>
      </c>
      <c r="J49" s="169">
        <f ca="1">IF($C49-J$1&lt;År1,0,I48*(1-VLOOKUP($A49,[1]Hugst!$R$5:$W$9,MATCH(ROUNDUP((J$1)/10,0)*10,[1]Hugst!$R$4:$W$4,0))))</f>
        <v>0</v>
      </c>
      <c r="K49" s="169">
        <f ca="1">IF($C49-K$1&lt;År1,0,J48*(1-VLOOKUP($A49,[1]Hugst!$R$5:$W$9,MATCH(ROUNDUP((K$1)/10,0)*10,[1]Hugst!$R$4:$W$4,0))))</f>
        <v>0</v>
      </c>
      <c r="L49" s="169">
        <f ca="1">IF($C49-L$1&lt;År1,0,K48*(1-VLOOKUP($A49,[1]Hugst!$R$5:$W$9,MATCH(ROUNDUP((L$1)/10,0)*10,[1]Hugst!$R$4:$W$4,0))))</f>
        <v>0</v>
      </c>
      <c r="M49" s="169">
        <f ca="1">IF($C49-M$1&lt;År1,0,L48*(1-VLOOKUP($A49,[1]Hugst!$R$5:$W$9,MATCH(ROUNDUP((M$1)/10,0)*10,[1]Hugst!$R$4:$W$4,0))))</f>
        <v>0</v>
      </c>
      <c r="N49" s="169">
        <f ca="1">IF($C49-N$1&lt;År1,0,M48*(1-VLOOKUP($A49,[1]Hugst!$R$5:$W$9,MATCH(ROUNDUP((N$1)/10,0)*10,[1]Hugst!$R$4:$W$4,0))))</f>
        <v>0</v>
      </c>
      <c r="O49" s="169">
        <f ca="1">IF($C49-O$1&lt;År1,0,N48*(1-VLOOKUP($A49,[1]Hugst!$R$5:$W$9,MATCH(ROUNDUP((O$1)/10,0)*10,[1]Hugst!$R$4:$W$4,0))))</f>
        <v>0</v>
      </c>
      <c r="P49" s="169">
        <f ca="1">IF($C49-P$1&lt;År1,0,O48*(1-VLOOKUP($A49,[1]Hugst!$R$5:$W$9,MATCH(ROUNDUP((P$1)/10,0)*10,[1]Hugst!$R$4:$W$4,0))))</f>
        <v>0</v>
      </c>
      <c r="Q49" s="169">
        <f ca="1">IF($C49-Q$1&lt;År1,0,P48*(1-VLOOKUP($A49,[1]Hugst!$R$5:$W$9,MATCH(ROUNDUP((Q$1)/10,0)*10,[1]Hugst!$R$4:$W$4,0))))</f>
        <v>0</v>
      </c>
      <c r="R49" s="169">
        <f ca="1">IF($C49-R$1&lt;År1,0,Q48*(1-VLOOKUP($A49,[1]Hugst!$R$5:$W$9,MATCH(ROUNDUP((R$1)/10,0)*10,[1]Hugst!$R$4:$W$4,0))))</f>
        <v>0</v>
      </c>
      <c r="S49" s="169">
        <f ca="1">IF($C49-S$1&lt;År1,0,R48*(1-VLOOKUP($A49,[1]Hugst!$R$5:$W$9,MATCH(ROUNDUP((S$1)/10,0)*10,[1]Hugst!$R$4:$W$4,0))))</f>
        <v>0</v>
      </c>
      <c r="T49" s="169">
        <f ca="1">IF($C49-T$1&lt;År1,0,S48*(1-VLOOKUP($A49,[1]Hugst!$R$5:$W$9,MATCH(ROUNDUP((T$1)/10,0)*10,[1]Hugst!$R$4:$W$4,0))))</f>
        <v>0</v>
      </c>
      <c r="U49" s="169">
        <f ca="1">IF($C49-U$1&lt;År1,0,T48*(1-VLOOKUP($A49,[1]Hugst!$R$5:$W$9,MATCH(ROUNDUP((U$1)/10,0)*10,[1]Hugst!$R$4:$W$4,0))))</f>
        <v>0</v>
      </c>
      <c r="V49" s="169">
        <f ca="1">IF($C49-V$1&lt;År1,0,U48*(1-VLOOKUP($A49,[1]Hugst!$R$5:$W$9,MATCH(ROUNDUP((V$1)/10,0)*10,[1]Hugst!$R$4:$W$4,0))))</f>
        <v>0</v>
      </c>
      <c r="W49" s="169">
        <f>IF($C49-W$1&lt;År1,0,V48*(1-VLOOKUP($A49,[1]Hugst!$R$5:$W$9,MATCH(ROUNDUP((W$1)/10,0)*10,[1]Hugst!$R$4:$W$4,0))))</f>
        <v>0</v>
      </c>
      <c r="X49" s="169">
        <f>IF($C49-X$1&lt;År1,0,W48*(1-VLOOKUP($A49,[1]Hugst!$R$5:$W$9,MATCH(ROUNDUP((X$1)/10,0)*10,[1]Hugst!$R$4:$W$4,0))))</f>
        <v>0</v>
      </c>
      <c r="Y49" s="169">
        <f>IF($C49-Y$1&lt;År1,0,X48*(1-VLOOKUP($A49,[1]Hugst!$R$5:$W$9,MATCH(ROUNDUP((Y$1)/10,0)*10,[1]Hugst!$R$4:$W$4,0))))</f>
        <v>0</v>
      </c>
      <c r="Z49" s="169">
        <f>IF($C49-Z$1&lt;År1,0,Y48*(1-VLOOKUP($A49,[1]Hugst!$R$5:$W$9,MATCH(ROUNDUP((Z$1)/10,0)*10,[1]Hugst!$R$4:$W$4,0))))</f>
        <v>0</v>
      </c>
      <c r="AA49" s="169">
        <f>IF($C49-AA$1&lt;År1,0,Z48*(1-VLOOKUP($A49,[1]Hugst!$R$5:$W$9,MATCH(ROUNDUP((AA$1)/10,0)*10,[1]Hugst!$R$4:$W$4,0))))</f>
        <v>0</v>
      </c>
      <c r="AB49" s="169">
        <f>IF($C49-AB$1&lt;År1,0,AA48*(1-VLOOKUP($A49,[1]Hugst!$R$5:$W$9,MATCH(ROUNDUP((AB$1)/10,0)*10,[1]Hugst!$R$4:$W$4,0))))</f>
        <v>0</v>
      </c>
      <c r="AC49" s="169">
        <f>IF($C49-AC$1&lt;År1,0,AB48*(1-VLOOKUP($A49,[1]Hugst!$R$5:$W$9,MATCH(ROUNDUP((AC$1)/10,0)*10,[1]Hugst!$R$4:$W$4,0))))</f>
        <v>0</v>
      </c>
      <c r="AD49" s="169">
        <f>IF($C49-AD$1&lt;År1,0,AC48*(1-VLOOKUP($A49,[1]Hugst!$R$5:$W$9,MATCH(ROUNDUP((AD$1)/10,0)*10,[1]Hugst!$R$4:$W$4,0))))</f>
        <v>0</v>
      </c>
      <c r="AE49" s="169">
        <f>IF($C49-AE$1&lt;År1,0,AD48*(1-VLOOKUP($A49,[1]Hugst!$R$5:$W$9,MATCH(ROUNDUP((AE$1)/10,0)*10,[1]Hugst!$R$4:$W$4,0))))</f>
        <v>0</v>
      </c>
      <c r="AF49" s="169">
        <f>IF($C49-AF$1&lt;År1,0,AE48*(1-VLOOKUP($A49,[1]Hugst!$R$5:$W$9,MATCH(ROUNDUP((AF$1)/10,0)*10,[1]Hugst!$R$4:$W$4,0))))</f>
        <v>0</v>
      </c>
      <c r="AG49" s="169">
        <f>IF($C49-AG$1&lt;År1,0,AF48*(1-VLOOKUP($A49,[1]Hugst!$R$5:$W$9,MATCH(ROUNDUP((AG$1)/10,0)*10,[1]Hugst!$R$4:$W$4,0))))</f>
        <v>0</v>
      </c>
      <c r="AH49" s="169">
        <f>IF($C49-AH$1&lt;År1,0,AG48*(1-VLOOKUP($A49,[1]Hugst!$R$5:$W$9,MATCH(ROUNDUP((AH$1)/10,0)*10,[1]Hugst!$R$4:$W$4,0))))</f>
        <v>0</v>
      </c>
      <c r="AI49" s="169">
        <f>IF($C49-AI$1&lt;År1,0,AH48*(1-VLOOKUP($A49,[1]Hugst!$R$5:$W$9,MATCH(ROUNDUP((AI$1)/10,0)*10,[1]Hugst!$R$4:$W$4,0))))</f>
        <v>0</v>
      </c>
      <c r="AJ49" s="169">
        <f>IF($C49-AJ$1&lt;År1,0,AI48*(1-VLOOKUP($A49,[1]Hugst!$R$5:$W$9,MATCH(ROUNDUP((AJ$1)/10,0)*10,[1]Hugst!$R$4:$W$4,0))))</f>
        <v>0</v>
      </c>
    </row>
    <row r="50" spans="1:39" s="169" customFormat="1" x14ac:dyDescent="0.25">
      <c r="A50" s="169" t="s">
        <v>176</v>
      </c>
      <c r="B50" s="169" t="s">
        <v>24</v>
      </c>
      <c r="C50" s="169">
        <v>2037</v>
      </c>
      <c r="D50" s="169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0</v>
      </c>
      <c r="E50" s="169">
        <f t="shared" ca="1" si="0"/>
        <v>0</v>
      </c>
      <c r="F50" s="169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 s="169">
        <f ca="1">IF($C50-G$1&lt;År1,0,F49*(1-VLOOKUP($A50,[1]Hugst!$R$5:$W$9,MATCH(ROUNDUP((G$1)/10,0)*10,[1]Hugst!$R$4:$W$4,0))))</f>
        <v>0</v>
      </c>
      <c r="H50" s="169">
        <f ca="1">IF($C50-H$1&lt;År1,0,G49*(1-VLOOKUP($A50,[1]Hugst!$R$5:$W$9,MATCH(ROUNDUP((H$1)/10,0)*10,[1]Hugst!$R$4:$W$4,0))))</f>
        <v>0</v>
      </c>
      <c r="I50" s="169">
        <f ca="1">IF($C50-I$1&lt;År1,0,H49*(1-VLOOKUP($A50,[1]Hugst!$R$5:$W$9,MATCH(ROUNDUP((I$1)/10,0)*10,[1]Hugst!$R$4:$W$4,0))))</f>
        <v>0</v>
      </c>
      <c r="J50" s="169">
        <f ca="1">IF($C50-J$1&lt;År1,0,I49*(1-VLOOKUP($A50,[1]Hugst!$R$5:$W$9,MATCH(ROUNDUP((J$1)/10,0)*10,[1]Hugst!$R$4:$W$4,0))))</f>
        <v>0</v>
      </c>
      <c r="K50" s="169">
        <f ca="1">IF($C50-K$1&lt;År1,0,J49*(1-VLOOKUP($A50,[1]Hugst!$R$5:$W$9,MATCH(ROUNDUP((K$1)/10,0)*10,[1]Hugst!$R$4:$W$4,0))))</f>
        <v>0</v>
      </c>
      <c r="L50" s="169">
        <f ca="1">IF($C50-L$1&lt;År1,0,K49*(1-VLOOKUP($A50,[1]Hugst!$R$5:$W$9,MATCH(ROUNDUP((L$1)/10,0)*10,[1]Hugst!$R$4:$W$4,0))))</f>
        <v>0</v>
      </c>
      <c r="M50" s="169">
        <f ca="1">IF($C50-M$1&lt;År1,0,L49*(1-VLOOKUP($A50,[1]Hugst!$R$5:$W$9,MATCH(ROUNDUP((M$1)/10,0)*10,[1]Hugst!$R$4:$W$4,0))))</f>
        <v>0</v>
      </c>
      <c r="N50" s="169">
        <f ca="1">IF($C50-N$1&lt;År1,0,M49*(1-VLOOKUP($A50,[1]Hugst!$R$5:$W$9,MATCH(ROUNDUP((N$1)/10,0)*10,[1]Hugst!$R$4:$W$4,0))))</f>
        <v>0</v>
      </c>
      <c r="O50" s="169">
        <f ca="1">IF($C50-O$1&lt;År1,0,N49*(1-VLOOKUP($A50,[1]Hugst!$R$5:$W$9,MATCH(ROUNDUP((O$1)/10,0)*10,[1]Hugst!$R$4:$W$4,0))))</f>
        <v>0</v>
      </c>
      <c r="P50" s="169">
        <f ca="1">IF($C50-P$1&lt;År1,0,O49*(1-VLOOKUP($A50,[1]Hugst!$R$5:$W$9,MATCH(ROUNDUP((P$1)/10,0)*10,[1]Hugst!$R$4:$W$4,0))))</f>
        <v>0</v>
      </c>
      <c r="Q50" s="169">
        <f ca="1">IF($C50-Q$1&lt;År1,0,P49*(1-VLOOKUP($A50,[1]Hugst!$R$5:$W$9,MATCH(ROUNDUP((Q$1)/10,0)*10,[1]Hugst!$R$4:$W$4,0))))</f>
        <v>0</v>
      </c>
      <c r="R50" s="169">
        <f ca="1">IF($C50-R$1&lt;År1,0,Q49*(1-VLOOKUP($A50,[1]Hugst!$R$5:$W$9,MATCH(ROUNDUP((R$1)/10,0)*10,[1]Hugst!$R$4:$W$4,0))))</f>
        <v>0</v>
      </c>
      <c r="S50" s="169">
        <f ca="1">IF($C50-S$1&lt;År1,0,R49*(1-VLOOKUP($A50,[1]Hugst!$R$5:$W$9,MATCH(ROUNDUP((S$1)/10,0)*10,[1]Hugst!$R$4:$W$4,0))))</f>
        <v>0</v>
      </c>
      <c r="T50" s="169">
        <f ca="1">IF($C50-T$1&lt;År1,0,S49*(1-VLOOKUP($A50,[1]Hugst!$R$5:$W$9,MATCH(ROUNDUP((T$1)/10,0)*10,[1]Hugst!$R$4:$W$4,0))))</f>
        <v>0</v>
      </c>
      <c r="U50" s="169">
        <f ca="1">IF($C50-U$1&lt;År1,0,T49*(1-VLOOKUP($A50,[1]Hugst!$R$5:$W$9,MATCH(ROUNDUP((U$1)/10,0)*10,[1]Hugst!$R$4:$W$4,0))))</f>
        <v>0</v>
      </c>
      <c r="V50" s="169">
        <f ca="1">IF($C50-V$1&lt;År1,0,U49*(1-VLOOKUP($A50,[1]Hugst!$R$5:$W$9,MATCH(ROUNDUP((V$1)/10,0)*10,[1]Hugst!$R$4:$W$4,0))))</f>
        <v>0</v>
      </c>
      <c r="W50" s="169">
        <f ca="1">IF($C50-W$1&lt;År1,0,V49*(1-VLOOKUP($A50,[1]Hugst!$R$5:$W$9,MATCH(ROUNDUP((W$1)/10,0)*10,[1]Hugst!$R$4:$W$4,0))))</f>
        <v>0</v>
      </c>
      <c r="X50" s="169">
        <f>IF($C50-X$1&lt;År1,0,W49*(1-VLOOKUP($A50,[1]Hugst!$R$5:$W$9,MATCH(ROUNDUP((X$1)/10,0)*10,[1]Hugst!$R$4:$W$4,0))))</f>
        <v>0</v>
      </c>
      <c r="Y50" s="169">
        <f>IF($C50-Y$1&lt;År1,0,X49*(1-VLOOKUP($A50,[1]Hugst!$R$5:$W$9,MATCH(ROUNDUP((Y$1)/10,0)*10,[1]Hugst!$R$4:$W$4,0))))</f>
        <v>0</v>
      </c>
      <c r="Z50" s="169">
        <f>IF($C50-Z$1&lt;År1,0,Y49*(1-VLOOKUP($A50,[1]Hugst!$R$5:$W$9,MATCH(ROUNDUP((Z$1)/10,0)*10,[1]Hugst!$R$4:$W$4,0))))</f>
        <v>0</v>
      </c>
      <c r="AA50" s="169">
        <f>IF($C50-AA$1&lt;År1,0,Z49*(1-VLOOKUP($A50,[1]Hugst!$R$5:$W$9,MATCH(ROUNDUP((AA$1)/10,0)*10,[1]Hugst!$R$4:$W$4,0))))</f>
        <v>0</v>
      </c>
      <c r="AB50" s="169">
        <f>IF($C50-AB$1&lt;År1,0,AA49*(1-VLOOKUP($A50,[1]Hugst!$R$5:$W$9,MATCH(ROUNDUP((AB$1)/10,0)*10,[1]Hugst!$R$4:$W$4,0))))</f>
        <v>0</v>
      </c>
      <c r="AC50" s="169">
        <f>IF($C50-AC$1&lt;År1,0,AB49*(1-VLOOKUP($A50,[1]Hugst!$R$5:$W$9,MATCH(ROUNDUP((AC$1)/10,0)*10,[1]Hugst!$R$4:$W$4,0))))</f>
        <v>0</v>
      </c>
      <c r="AD50" s="169">
        <f>IF($C50-AD$1&lt;År1,0,AC49*(1-VLOOKUP($A50,[1]Hugst!$R$5:$W$9,MATCH(ROUNDUP((AD$1)/10,0)*10,[1]Hugst!$R$4:$W$4,0))))</f>
        <v>0</v>
      </c>
      <c r="AE50" s="169">
        <f>IF($C50-AE$1&lt;År1,0,AD49*(1-VLOOKUP($A50,[1]Hugst!$R$5:$W$9,MATCH(ROUNDUP((AE$1)/10,0)*10,[1]Hugst!$R$4:$W$4,0))))</f>
        <v>0</v>
      </c>
      <c r="AF50" s="169">
        <f>IF($C50-AF$1&lt;År1,0,AE49*(1-VLOOKUP($A50,[1]Hugst!$R$5:$W$9,MATCH(ROUNDUP((AF$1)/10,0)*10,[1]Hugst!$R$4:$W$4,0))))</f>
        <v>0</v>
      </c>
      <c r="AG50" s="169">
        <f>IF($C50-AG$1&lt;År1,0,AF49*(1-VLOOKUP($A50,[1]Hugst!$R$5:$W$9,MATCH(ROUNDUP((AG$1)/10,0)*10,[1]Hugst!$R$4:$W$4,0))))</f>
        <v>0</v>
      </c>
      <c r="AH50" s="169">
        <f>IF($C50-AH$1&lt;År1,0,AG49*(1-VLOOKUP($A50,[1]Hugst!$R$5:$W$9,MATCH(ROUNDUP((AH$1)/10,0)*10,[1]Hugst!$R$4:$W$4,0))))</f>
        <v>0</v>
      </c>
      <c r="AI50" s="169">
        <f>IF($C50-AI$1&lt;År1,0,AH49*(1-VLOOKUP($A50,[1]Hugst!$R$5:$W$9,MATCH(ROUNDUP((AI$1)/10,0)*10,[1]Hugst!$R$4:$W$4,0))))</f>
        <v>0</v>
      </c>
      <c r="AJ50" s="169">
        <f>IF($C50-AJ$1&lt;År1,0,AI49*(1-VLOOKUP($A50,[1]Hugst!$R$5:$W$9,MATCH(ROUNDUP((AJ$1)/10,0)*10,[1]Hugst!$R$4:$W$4,0))))</f>
        <v>0</v>
      </c>
    </row>
    <row r="51" spans="1:39" s="169" customFormat="1" x14ac:dyDescent="0.25">
      <c r="A51" s="169" t="s">
        <v>176</v>
      </c>
      <c r="B51" s="169" t="s">
        <v>24</v>
      </c>
      <c r="C51" s="169">
        <v>2038</v>
      </c>
      <c r="D51" s="169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0</v>
      </c>
      <c r="E51" s="169">
        <f t="shared" ca="1" si="0"/>
        <v>0</v>
      </c>
      <c r="F51" s="169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 s="169">
        <f ca="1">IF($C51-G$1&lt;År1,0,F50*(1-VLOOKUP($A51,[1]Hugst!$R$5:$W$9,MATCH(ROUNDUP((G$1)/10,0)*10,[1]Hugst!$R$4:$W$4,0))))</f>
        <v>0</v>
      </c>
      <c r="H51" s="169">
        <f ca="1">IF($C51-H$1&lt;År1,0,G50*(1-VLOOKUP($A51,[1]Hugst!$R$5:$W$9,MATCH(ROUNDUP((H$1)/10,0)*10,[1]Hugst!$R$4:$W$4,0))))</f>
        <v>0</v>
      </c>
      <c r="I51" s="169">
        <f ca="1">IF($C51-I$1&lt;År1,0,H50*(1-VLOOKUP($A51,[1]Hugst!$R$5:$W$9,MATCH(ROUNDUP((I$1)/10,0)*10,[1]Hugst!$R$4:$W$4,0))))</f>
        <v>0</v>
      </c>
      <c r="J51" s="169">
        <f ca="1">IF($C51-J$1&lt;År1,0,I50*(1-VLOOKUP($A51,[1]Hugst!$R$5:$W$9,MATCH(ROUNDUP((J$1)/10,0)*10,[1]Hugst!$R$4:$W$4,0))))</f>
        <v>0</v>
      </c>
      <c r="K51" s="169">
        <f ca="1">IF($C51-K$1&lt;År1,0,J50*(1-VLOOKUP($A51,[1]Hugst!$R$5:$W$9,MATCH(ROUNDUP((K$1)/10,0)*10,[1]Hugst!$R$4:$W$4,0))))</f>
        <v>0</v>
      </c>
      <c r="L51" s="169">
        <f ca="1">IF($C51-L$1&lt;År1,0,K50*(1-VLOOKUP($A51,[1]Hugst!$R$5:$W$9,MATCH(ROUNDUP((L$1)/10,0)*10,[1]Hugst!$R$4:$W$4,0))))</f>
        <v>0</v>
      </c>
      <c r="M51" s="169">
        <f ca="1">IF($C51-M$1&lt;År1,0,L50*(1-VLOOKUP($A51,[1]Hugst!$R$5:$W$9,MATCH(ROUNDUP((M$1)/10,0)*10,[1]Hugst!$R$4:$W$4,0))))</f>
        <v>0</v>
      </c>
      <c r="N51" s="169">
        <f ca="1">IF($C51-N$1&lt;År1,0,M50*(1-VLOOKUP($A51,[1]Hugst!$R$5:$W$9,MATCH(ROUNDUP((N$1)/10,0)*10,[1]Hugst!$R$4:$W$4,0))))</f>
        <v>0</v>
      </c>
      <c r="O51" s="169">
        <f ca="1">IF($C51-O$1&lt;År1,0,N50*(1-VLOOKUP($A51,[1]Hugst!$R$5:$W$9,MATCH(ROUNDUP((O$1)/10,0)*10,[1]Hugst!$R$4:$W$4,0))))</f>
        <v>0</v>
      </c>
      <c r="P51" s="169">
        <f ca="1">IF($C51-P$1&lt;År1,0,O50*(1-VLOOKUP($A51,[1]Hugst!$R$5:$W$9,MATCH(ROUNDUP((P$1)/10,0)*10,[1]Hugst!$R$4:$W$4,0))))</f>
        <v>0</v>
      </c>
      <c r="Q51" s="169">
        <f ca="1">IF($C51-Q$1&lt;År1,0,P50*(1-VLOOKUP($A51,[1]Hugst!$R$5:$W$9,MATCH(ROUNDUP((Q$1)/10,0)*10,[1]Hugst!$R$4:$W$4,0))))</f>
        <v>0</v>
      </c>
      <c r="R51" s="169">
        <f ca="1">IF($C51-R$1&lt;År1,0,Q50*(1-VLOOKUP($A51,[1]Hugst!$R$5:$W$9,MATCH(ROUNDUP((R$1)/10,0)*10,[1]Hugst!$R$4:$W$4,0))))</f>
        <v>0</v>
      </c>
      <c r="S51" s="169">
        <f ca="1">IF($C51-S$1&lt;År1,0,R50*(1-VLOOKUP($A51,[1]Hugst!$R$5:$W$9,MATCH(ROUNDUP((S$1)/10,0)*10,[1]Hugst!$R$4:$W$4,0))))</f>
        <v>0</v>
      </c>
      <c r="T51" s="169">
        <f ca="1">IF($C51-T$1&lt;År1,0,S50*(1-VLOOKUP($A51,[1]Hugst!$R$5:$W$9,MATCH(ROUNDUP((T$1)/10,0)*10,[1]Hugst!$R$4:$W$4,0))))</f>
        <v>0</v>
      </c>
      <c r="U51" s="169">
        <f ca="1">IF($C51-U$1&lt;År1,0,T50*(1-VLOOKUP($A51,[1]Hugst!$R$5:$W$9,MATCH(ROUNDUP((U$1)/10,0)*10,[1]Hugst!$R$4:$W$4,0))))</f>
        <v>0</v>
      </c>
      <c r="V51" s="169">
        <f ca="1">IF($C51-V$1&lt;År1,0,U50*(1-VLOOKUP($A51,[1]Hugst!$R$5:$W$9,MATCH(ROUNDUP((V$1)/10,0)*10,[1]Hugst!$R$4:$W$4,0))))</f>
        <v>0</v>
      </c>
      <c r="W51" s="169">
        <f ca="1">IF($C51-W$1&lt;År1,0,V50*(1-VLOOKUP($A51,[1]Hugst!$R$5:$W$9,MATCH(ROUNDUP((W$1)/10,0)*10,[1]Hugst!$R$4:$W$4,0))))</f>
        <v>0</v>
      </c>
      <c r="X51" s="169">
        <f ca="1">IF($C51-X$1&lt;År1,0,W50*(1-VLOOKUP($A51,[1]Hugst!$R$5:$W$9,MATCH(ROUNDUP((X$1)/10,0)*10,[1]Hugst!$R$4:$W$4,0))))</f>
        <v>0</v>
      </c>
      <c r="Y51" s="169">
        <f>IF($C51-Y$1&lt;År1,0,X50*(1-VLOOKUP($A51,[1]Hugst!$R$5:$W$9,MATCH(ROUNDUP((Y$1)/10,0)*10,[1]Hugst!$R$4:$W$4,0))))</f>
        <v>0</v>
      </c>
      <c r="Z51" s="169">
        <f>IF($C51-Z$1&lt;År1,0,Y50*(1-VLOOKUP($A51,[1]Hugst!$R$5:$W$9,MATCH(ROUNDUP((Z$1)/10,0)*10,[1]Hugst!$R$4:$W$4,0))))</f>
        <v>0</v>
      </c>
      <c r="AA51" s="169">
        <f>IF($C51-AA$1&lt;År1,0,Z50*(1-VLOOKUP($A51,[1]Hugst!$R$5:$W$9,MATCH(ROUNDUP((AA$1)/10,0)*10,[1]Hugst!$R$4:$W$4,0))))</f>
        <v>0</v>
      </c>
      <c r="AB51" s="169">
        <f>IF($C51-AB$1&lt;År1,0,AA50*(1-VLOOKUP($A51,[1]Hugst!$R$5:$W$9,MATCH(ROUNDUP((AB$1)/10,0)*10,[1]Hugst!$R$4:$W$4,0))))</f>
        <v>0</v>
      </c>
      <c r="AC51" s="169">
        <f>IF($C51-AC$1&lt;År1,0,AB50*(1-VLOOKUP($A51,[1]Hugst!$R$5:$W$9,MATCH(ROUNDUP((AC$1)/10,0)*10,[1]Hugst!$R$4:$W$4,0))))</f>
        <v>0</v>
      </c>
      <c r="AD51" s="169">
        <f>IF($C51-AD$1&lt;År1,0,AC50*(1-VLOOKUP($A51,[1]Hugst!$R$5:$W$9,MATCH(ROUNDUP((AD$1)/10,0)*10,[1]Hugst!$R$4:$W$4,0))))</f>
        <v>0</v>
      </c>
      <c r="AE51" s="169">
        <f>IF($C51-AE$1&lt;År1,0,AD50*(1-VLOOKUP($A51,[1]Hugst!$R$5:$W$9,MATCH(ROUNDUP((AE$1)/10,0)*10,[1]Hugst!$R$4:$W$4,0))))</f>
        <v>0</v>
      </c>
      <c r="AF51" s="169">
        <f>IF($C51-AF$1&lt;År1,0,AE50*(1-VLOOKUP($A51,[1]Hugst!$R$5:$W$9,MATCH(ROUNDUP((AF$1)/10,0)*10,[1]Hugst!$R$4:$W$4,0))))</f>
        <v>0</v>
      </c>
      <c r="AG51" s="169">
        <f>IF($C51-AG$1&lt;År1,0,AF50*(1-VLOOKUP($A51,[1]Hugst!$R$5:$W$9,MATCH(ROUNDUP((AG$1)/10,0)*10,[1]Hugst!$R$4:$W$4,0))))</f>
        <v>0</v>
      </c>
      <c r="AH51" s="169">
        <f>IF($C51-AH$1&lt;År1,0,AG50*(1-VLOOKUP($A51,[1]Hugst!$R$5:$W$9,MATCH(ROUNDUP((AH$1)/10,0)*10,[1]Hugst!$R$4:$W$4,0))))</f>
        <v>0</v>
      </c>
      <c r="AI51" s="169">
        <f>IF($C51-AI$1&lt;År1,0,AH50*(1-VLOOKUP($A51,[1]Hugst!$R$5:$W$9,MATCH(ROUNDUP((AI$1)/10,0)*10,[1]Hugst!$R$4:$W$4,0))))</f>
        <v>0</v>
      </c>
      <c r="AJ51" s="169">
        <f>IF($C51-AJ$1&lt;År1,0,AI50*(1-VLOOKUP($A51,[1]Hugst!$R$5:$W$9,MATCH(ROUNDUP((AJ$1)/10,0)*10,[1]Hugst!$R$4:$W$4,0))))</f>
        <v>0</v>
      </c>
    </row>
    <row r="52" spans="1:39" s="169" customFormat="1" x14ac:dyDescent="0.25">
      <c r="A52" s="169" t="s">
        <v>176</v>
      </c>
      <c r="B52" s="169" t="s">
        <v>24</v>
      </c>
      <c r="C52" s="169">
        <v>2039</v>
      </c>
      <c r="D52" s="169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0</v>
      </c>
      <c r="E52" s="169">
        <f t="shared" ca="1" si="0"/>
        <v>0</v>
      </c>
      <c r="F52" s="169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 s="169">
        <f ca="1">IF($C52-G$1&lt;År1,0,F51*(1-VLOOKUP($A52,[1]Hugst!$R$5:$W$9,MATCH(ROUNDUP((G$1)/10,0)*10,[1]Hugst!$R$4:$W$4,0))))</f>
        <v>0</v>
      </c>
      <c r="H52" s="169">
        <f ca="1">IF($C52-H$1&lt;År1,0,G51*(1-VLOOKUP($A52,[1]Hugst!$R$5:$W$9,MATCH(ROUNDUP((H$1)/10,0)*10,[1]Hugst!$R$4:$W$4,0))))</f>
        <v>0</v>
      </c>
      <c r="I52" s="169">
        <f ca="1">IF($C52-I$1&lt;År1,0,H51*(1-VLOOKUP($A52,[1]Hugst!$R$5:$W$9,MATCH(ROUNDUP((I$1)/10,0)*10,[1]Hugst!$R$4:$W$4,0))))</f>
        <v>0</v>
      </c>
      <c r="J52" s="169">
        <f ca="1">IF($C52-J$1&lt;År1,0,I51*(1-VLOOKUP($A52,[1]Hugst!$R$5:$W$9,MATCH(ROUNDUP((J$1)/10,0)*10,[1]Hugst!$R$4:$W$4,0))))</f>
        <v>0</v>
      </c>
      <c r="K52" s="169">
        <f ca="1">IF($C52-K$1&lt;År1,0,J51*(1-VLOOKUP($A52,[1]Hugst!$R$5:$W$9,MATCH(ROUNDUP((K$1)/10,0)*10,[1]Hugst!$R$4:$W$4,0))))</f>
        <v>0</v>
      </c>
      <c r="L52" s="169">
        <f ca="1">IF($C52-L$1&lt;År1,0,K51*(1-VLOOKUP($A52,[1]Hugst!$R$5:$W$9,MATCH(ROUNDUP((L$1)/10,0)*10,[1]Hugst!$R$4:$W$4,0))))</f>
        <v>0</v>
      </c>
      <c r="M52" s="169">
        <f ca="1">IF($C52-M$1&lt;År1,0,L51*(1-VLOOKUP($A52,[1]Hugst!$R$5:$W$9,MATCH(ROUNDUP((M$1)/10,0)*10,[1]Hugst!$R$4:$W$4,0))))</f>
        <v>0</v>
      </c>
      <c r="N52" s="169">
        <f ca="1">IF($C52-N$1&lt;År1,0,M51*(1-VLOOKUP($A52,[1]Hugst!$R$5:$W$9,MATCH(ROUNDUP((N$1)/10,0)*10,[1]Hugst!$R$4:$W$4,0))))</f>
        <v>0</v>
      </c>
      <c r="O52" s="169">
        <f ca="1">IF($C52-O$1&lt;År1,0,N51*(1-VLOOKUP($A52,[1]Hugst!$R$5:$W$9,MATCH(ROUNDUP((O$1)/10,0)*10,[1]Hugst!$R$4:$W$4,0))))</f>
        <v>0</v>
      </c>
      <c r="P52" s="169">
        <f ca="1">IF($C52-P$1&lt;År1,0,O51*(1-VLOOKUP($A52,[1]Hugst!$R$5:$W$9,MATCH(ROUNDUP((P$1)/10,0)*10,[1]Hugst!$R$4:$W$4,0))))</f>
        <v>0</v>
      </c>
      <c r="Q52" s="169">
        <f ca="1">IF($C52-Q$1&lt;År1,0,P51*(1-VLOOKUP($A52,[1]Hugst!$R$5:$W$9,MATCH(ROUNDUP((Q$1)/10,0)*10,[1]Hugst!$R$4:$W$4,0))))</f>
        <v>0</v>
      </c>
      <c r="R52" s="169">
        <f ca="1">IF($C52-R$1&lt;År1,0,Q51*(1-VLOOKUP($A52,[1]Hugst!$R$5:$W$9,MATCH(ROUNDUP((R$1)/10,0)*10,[1]Hugst!$R$4:$W$4,0))))</f>
        <v>0</v>
      </c>
      <c r="S52" s="169">
        <f ca="1">IF($C52-S$1&lt;År1,0,R51*(1-VLOOKUP($A52,[1]Hugst!$R$5:$W$9,MATCH(ROUNDUP((S$1)/10,0)*10,[1]Hugst!$R$4:$W$4,0))))</f>
        <v>0</v>
      </c>
      <c r="T52" s="169">
        <f ca="1">IF($C52-T$1&lt;År1,0,S51*(1-VLOOKUP($A52,[1]Hugst!$R$5:$W$9,MATCH(ROUNDUP((T$1)/10,0)*10,[1]Hugst!$R$4:$W$4,0))))</f>
        <v>0</v>
      </c>
      <c r="U52" s="169">
        <f ca="1">IF($C52-U$1&lt;År1,0,T51*(1-VLOOKUP($A52,[1]Hugst!$R$5:$W$9,MATCH(ROUNDUP((U$1)/10,0)*10,[1]Hugst!$R$4:$W$4,0))))</f>
        <v>0</v>
      </c>
      <c r="V52" s="169">
        <f ca="1">IF($C52-V$1&lt;År1,0,U51*(1-VLOOKUP($A52,[1]Hugst!$R$5:$W$9,MATCH(ROUNDUP((V$1)/10,0)*10,[1]Hugst!$R$4:$W$4,0))))</f>
        <v>0</v>
      </c>
      <c r="W52" s="169">
        <f ca="1">IF($C52-W$1&lt;År1,0,V51*(1-VLOOKUP($A52,[1]Hugst!$R$5:$W$9,MATCH(ROUNDUP((W$1)/10,0)*10,[1]Hugst!$R$4:$W$4,0))))</f>
        <v>0</v>
      </c>
      <c r="X52" s="169">
        <f ca="1">IF($C52-X$1&lt;År1,0,W51*(1-VLOOKUP($A52,[1]Hugst!$R$5:$W$9,MATCH(ROUNDUP((X$1)/10,0)*10,[1]Hugst!$R$4:$W$4,0))))</f>
        <v>0</v>
      </c>
      <c r="Y52" s="169">
        <f ca="1">IF($C52-Y$1&lt;År1,0,X51*(1-VLOOKUP($A52,[1]Hugst!$R$5:$W$9,MATCH(ROUNDUP((Y$1)/10,0)*10,[1]Hugst!$R$4:$W$4,0))))</f>
        <v>0</v>
      </c>
      <c r="Z52" s="169">
        <f>IF($C52-Z$1&lt;År1,0,Y51*(1-VLOOKUP($A52,[1]Hugst!$R$5:$W$9,MATCH(ROUNDUP((Z$1)/10,0)*10,[1]Hugst!$R$4:$W$4,0))))</f>
        <v>0</v>
      </c>
      <c r="AA52" s="169">
        <f>IF($C52-AA$1&lt;År1,0,Z51*(1-VLOOKUP($A52,[1]Hugst!$R$5:$W$9,MATCH(ROUNDUP((AA$1)/10,0)*10,[1]Hugst!$R$4:$W$4,0))))</f>
        <v>0</v>
      </c>
      <c r="AB52" s="169">
        <f>IF($C52-AB$1&lt;År1,0,AA51*(1-VLOOKUP($A52,[1]Hugst!$R$5:$W$9,MATCH(ROUNDUP((AB$1)/10,0)*10,[1]Hugst!$R$4:$W$4,0))))</f>
        <v>0</v>
      </c>
      <c r="AC52" s="169">
        <f>IF($C52-AC$1&lt;År1,0,AB51*(1-VLOOKUP($A52,[1]Hugst!$R$5:$W$9,MATCH(ROUNDUP((AC$1)/10,0)*10,[1]Hugst!$R$4:$W$4,0))))</f>
        <v>0</v>
      </c>
      <c r="AD52" s="169">
        <f>IF($C52-AD$1&lt;År1,0,AC51*(1-VLOOKUP($A52,[1]Hugst!$R$5:$W$9,MATCH(ROUNDUP((AD$1)/10,0)*10,[1]Hugst!$R$4:$W$4,0))))</f>
        <v>0</v>
      </c>
      <c r="AE52" s="169">
        <f>IF($C52-AE$1&lt;År1,0,AD51*(1-VLOOKUP($A52,[1]Hugst!$R$5:$W$9,MATCH(ROUNDUP((AE$1)/10,0)*10,[1]Hugst!$R$4:$W$4,0))))</f>
        <v>0</v>
      </c>
      <c r="AF52" s="169">
        <f>IF($C52-AF$1&lt;År1,0,AE51*(1-VLOOKUP($A52,[1]Hugst!$R$5:$W$9,MATCH(ROUNDUP((AF$1)/10,0)*10,[1]Hugst!$R$4:$W$4,0))))</f>
        <v>0</v>
      </c>
      <c r="AG52" s="169">
        <f>IF($C52-AG$1&lt;År1,0,AF51*(1-VLOOKUP($A52,[1]Hugst!$R$5:$W$9,MATCH(ROUNDUP((AG$1)/10,0)*10,[1]Hugst!$R$4:$W$4,0))))</f>
        <v>0</v>
      </c>
      <c r="AH52" s="169">
        <f>IF($C52-AH$1&lt;År1,0,AG51*(1-VLOOKUP($A52,[1]Hugst!$R$5:$W$9,MATCH(ROUNDUP((AH$1)/10,0)*10,[1]Hugst!$R$4:$W$4,0))))</f>
        <v>0</v>
      </c>
      <c r="AI52" s="169">
        <f>IF($C52-AI$1&lt;År1,0,AH51*(1-VLOOKUP($A52,[1]Hugst!$R$5:$W$9,MATCH(ROUNDUP((AI$1)/10,0)*10,[1]Hugst!$R$4:$W$4,0))))</f>
        <v>0</v>
      </c>
      <c r="AJ52" s="169">
        <f>IF($C52-AJ$1&lt;År1,0,AI51*(1-VLOOKUP($A52,[1]Hugst!$R$5:$W$9,MATCH(ROUNDUP((AJ$1)/10,0)*10,[1]Hugst!$R$4:$W$4,0))))</f>
        <v>0</v>
      </c>
    </row>
    <row r="53" spans="1:39" s="169" customFormat="1" x14ac:dyDescent="0.25">
      <c r="A53" s="169" t="s">
        <v>176</v>
      </c>
      <c r="B53" s="169" t="s">
        <v>24</v>
      </c>
      <c r="C53" s="169">
        <v>2040</v>
      </c>
      <c r="D53" s="169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0</v>
      </c>
      <c r="E53" s="169">
        <f t="shared" ca="1" si="0"/>
        <v>0</v>
      </c>
      <c r="F53" s="169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 s="169">
        <f ca="1">IF($C53-G$1&lt;År1,0,F52*(1-VLOOKUP($A53,[1]Hugst!$R$5:$W$9,MATCH(ROUNDUP((G$1)/10,0)*10,[1]Hugst!$R$4:$W$4,0))))</f>
        <v>0</v>
      </c>
      <c r="H53" s="169">
        <f ca="1">IF($C53-H$1&lt;År1,0,G52*(1-VLOOKUP($A53,[1]Hugst!$R$5:$W$9,MATCH(ROUNDUP((H$1)/10,0)*10,[1]Hugst!$R$4:$W$4,0))))</f>
        <v>0</v>
      </c>
      <c r="I53" s="169">
        <f ca="1">IF($C53-I$1&lt;År1,0,H52*(1-VLOOKUP($A53,[1]Hugst!$R$5:$W$9,MATCH(ROUNDUP((I$1)/10,0)*10,[1]Hugst!$R$4:$W$4,0))))</f>
        <v>0</v>
      </c>
      <c r="J53" s="169">
        <f ca="1">IF($C53-J$1&lt;År1,0,I52*(1-VLOOKUP($A53,[1]Hugst!$R$5:$W$9,MATCH(ROUNDUP((J$1)/10,0)*10,[1]Hugst!$R$4:$W$4,0))))</f>
        <v>0</v>
      </c>
      <c r="K53" s="169">
        <f ca="1">IF($C53-K$1&lt;År1,0,J52*(1-VLOOKUP($A53,[1]Hugst!$R$5:$W$9,MATCH(ROUNDUP((K$1)/10,0)*10,[1]Hugst!$R$4:$W$4,0))))</f>
        <v>0</v>
      </c>
      <c r="L53" s="169">
        <f ca="1">IF($C53-L$1&lt;År1,0,K52*(1-VLOOKUP($A53,[1]Hugst!$R$5:$W$9,MATCH(ROUNDUP((L$1)/10,0)*10,[1]Hugst!$R$4:$W$4,0))))</f>
        <v>0</v>
      </c>
      <c r="M53" s="169">
        <f ca="1">IF($C53-M$1&lt;År1,0,L52*(1-VLOOKUP($A53,[1]Hugst!$R$5:$W$9,MATCH(ROUNDUP((M$1)/10,0)*10,[1]Hugst!$R$4:$W$4,0))))</f>
        <v>0</v>
      </c>
      <c r="N53" s="169">
        <f ca="1">IF($C53-N$1&lt;År1,0,M52*(1-VLOOKUP($A53,[1]Hugst!$R$5:$W$9,MATCH(ROUNDUP((N$1)/10,0)*10,[1]Hugst!$R$4:$W$4,0))))</f>
        <v>0</v>
      </c>
      <c r="O53" s="169">
        <f ca="1">IF($C53-O$1&lt;År1,0,N52*(1-VLOOKUP($A53,[1]Hugst!$R$5:$W$9,MATCH(ROUNDUP((O$1)/10,0)*10,[1]Hugst!$R$4:$W$4,0))))</f>
        <v>0</v>
      </c>
      <c r="P53" s="169">
        <f ca="1">IF($C53-P$1&lt;År1,0,O52*(1-VLOOKUP($A53,[1]Hugst!$R$5:$W$9,MATCH(ROUNDUP((P$1)/10,0)*10,[1]Hugst!$R$4:$W$4,0))))</f>
        <v>0</v>
      </c>
      <c r="Q53" s="169">
        <f ca="1">IF($C53-Q$1&lt;År1,0,P52*(1-VLOOKUP($A53,[1]Hugst!$R$5:$W$9,MATCH(ROUNDUP((Q$1)/10,0)*10,[1]Hugst!$R$4:$W$4,0))))</f>
        <v>0</v>
      </c>
      <c r="R53" s="169">
        <f ca="1">IF($C53-R$1&lt;År1,0,Q52*(1-VLOOKUP($A53,[1]Hugst!$R$5:$W$9,MATCH(ROUNDUP((R$1)/10,0)*10,[1]Hugst!$R$4:$W$4,0))))</f>
        <v>0</v>
      </c>
      <c r="S53" s="169">
        <f ca="1">IF($C53-S$1&lt;År1,0,R52*(1-VLOOKUP($A53,[1]Hugst!$R$5:$W$9,MATCH(ROUNDUP((S$1)/10,0)*10,[1]Hugst!$R$4:$W$4,0))))</f>
        <v>0</v>
      </c>
      <c r="T53" s="169">
        <f ca="1">IF($C53-T$1&lt;År1,0,S52*(1-VLOOKUP($A53,[1]Hugst!$R$5:$W$9,MATCH(ROUNDUP((T$1)/10,0)*10,[1]Hugst!$R$4:$W$4,0))))</f>
        <v>0</v>
      </c>
      <c r="U53" s="169">
        <f ca="1">IF($C53-U$1&lt;År1,0,T52*(1-VLOOKUP($A53,[1]Hugst!$R$5:$W$9,MATCH(ROUNDUP((U$1)/10,0)*10,[1]Hugst!$R$4:$W$4,0))))</f>
        <v>0</v>
      </c>
      <c r="V53" s="169">
        <f ca="1">IF($C53-V$1&lt;År1,0,U52*(1-VLOOKUP($A53,[1]Hugst!$R$5:$W$9,MATCH(ROUNDUP((V$1)/10,0)*10,[1]Hugst!$R$4:$W$4,0))))</f>
        <v>0</v>
      </c>
      <c r="W53" s="169">
        <f ca="1">IF($C53-W$1&lt;År1,0,V52*(1-VLOOKUP($A53,[1]Hugst!$R$5:$W$9,MATCH(ROUNDUP((W$1)/10,0)*10,[1]Hugst!$R$4:$W$4,0))))</f>
        <v>0</v>
      </c>
      <c r="X53" s="169">
        <f ca="1">IF($C53-X$1&lt;År1,0,W52*(1-VLOOKUP($A53,[1]Hugst!$R$5:$W$9,MATCH(ROUNDUP((X$1)/10,0)*10,[1]Hugst!$R$4:$W$4,0))))</f>
        <v>0</v>
      </c>
      <c r="Y53" s="169">
        <f ca="1">IF($C53-Y$1&lt;År1,0,X52*(1-VLOOKUP($A53,[1]Hugst!$R$5:$W$9,MATCH(ROUNDUP((Y$1)/10,0)*10,[1]Hugst!$R$4:$W$4,0))))</f>
        <v>0</v>
      </c>
      <c r="Z53" s="169">
        <f ca="1">IF($C53-Z$1&lt;År1,0,Y52*(1-VLOOKUP($A53,[1]Hugst!$R$5:$W$9,MATCH(ROUNDUP((Z$1)/10,0)*10,[1]Hugst!$R$4:$W$4,0))))</f>
        <v>0</v>
      </c>
      <c r="AA53" s="169">
        <f>IF($C53-AA$1&lt;År1,0,Z52*(1-VLOOKUP($A53,[1]Hugst!$R$5:$W$9,MATCH(ROUNDUP((AA$1)/10,0)*10,[1]Hugst!$R$4:$W$4,0))))</f>
        <v>0</v>
      </c>
      <c r="AB53" s="169">
        <f>IF($C53-AB$1&lt;År1,0,AA52*(1-VLOOKUP($A53,[1]Hugst!$R$5:$W$9,MATCH(ROUNDUP((AB$1)/10,0)*10,[1]Hugst!$R$4:$W$4,0))))</f>
        <v>0</v>
      </c>
      <c r="AC53" s="169">
        <f>IF($C53-AC$1&lt;År1,0,AB52*(1-VLOOKUP($A53,[1]Hugst!$R$5:$W$9,MATCH(ROUNDUP((AC$1)/10,0)*10,[1]Hugst!$R$4:$W$4,0))))</f>
        <v>0</v>
      </c>
      <c r="AD53" s="169">
        <f>IF($C53-AD$1&lt;År1,0,AC52*(1-VLOOKUP($A53,[1]Hugst!$R$5:$W$9,MATCH(ROUNDUP((AD$1)/10,0)*10,[1]Hugst!$R$4:$W$4,0))))</f>
        <v>0</v>
      </c>
      <c r="AE53" s="169">
        <f>IF($C53-AE$1&lt;År1,0,AD52*(1-VLOOKUP($A53,[1]Hugst!$R$5:$W$9,MATCH(ROUNDUP((AE$1)/10,0)*10,[1]Hugst!$R$4:$W$4,0))))</f>
        <v>0</v>
      </c>
      <c r="AF53" s="169">
        <f>IF($C53-AF$1&lt;År1,0,AE52*(1-VLOOKUP($A53,[1]Hugst!$R$5:$W$9,MATCH(ROUNDUP((AF$1)/10,0)*10,[1]Hugst!$R$4:$W$4,0))))</f>
        <v>0</v>
      </c>
      <c r="AG53" s="169">
        <f>IF($C53-AG$1&lt;År1,0,AF52*(1-VLOOKUP($A53,[1]Hugst!$R$5:$W$9,MATCH(ROUNDUP((AG$1)/10,0)*10,[1]Hugst!$R$4:$W$4,0))))</f>
        <v>0</v>
      </c>
      <c r="AH53" s="169">
        <f>IF($C53-AH$1&lt;År1,0,AG52*(1-VLOOKUP($A53,[1]Hugst!$R$5:$W$9,MATCH(ROUNDUP((AH$1)/10,0)*10,[1]Hugst!$R$4:$W$4,0))))</f>
        <v>0</v>
      </c>
      <c r="AI53" s="169">
        <f>IF($C53-AI$1&lt;År1,0,AH52*(1-VLOOKUP($A53,[1]Hugst!$R$5:$W$9,MATCH(ROUNDUP((AI$1)/10,0)*10,[1]Hugst!$R$4:$W$4,0))))</f>
        <v>0</v>
      </c>
      <c r="AJ53" s="169">
        <f>IF($C53-AJ$1&lt;År1,0,AI52*(1-VLOOKUP($A53,[1]Hugst!$R$5:$W$9,MATCH(ROUNDUP((AJ$1)/10,0)*10,[1]Hugst!$R$4:$W$4,0))))</f>
        <v>0</v>
      </c>
    </row>
    <row r="54" spans="1:39" s="169" customFormat="1" x14ac:dyDescent="0.25">
      <c r="A54" s="169" t="s">
        <v>176</v>
      </c>
      <c r="B54" s="169" t="s">
        <v>24</v>
      </c>
      <c r="C54" s="169">
        <v>2041</v>
      </c>
      <c r="D54" s="169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0</v>
      </c>
      <c r="E54" s="169">
        <f t="shared" ca="1" si="0"/>
        <v>0</v>
      </c>
      <c r="F54" s="169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 s="169">
        <f ca="1">IF($C54-G$1&lt;År1,0,F53*(1-VLOOKUP($A54,[1]Hugst!$R$5:$W$9,MATCH(ROUNDUP((G$1)/10,0)*10,[1]Hugst!$R$4:$W$4,0))))</f>
        <v>0</v>
      </c>
      <c r="H54" s="169">
        <f ca="1">IF($C54-H$1&lt;År1,0,G53*(1-VLOOKUP($A54,[1]Hugst!$R$5:$W$9,MATCH(ROUNDUP((H$1)/10,0)*10,[1]Hugst!$R$4:$W$4,0))))</f>
        <v>0</v>
      </c>
      <c r="I54" s="169">
        <f ca="1">IF($C54-I$1&lt;År1,0,H53*(1-VLOOKUP($A54,[1]Hugst!$R$5:$W$9,MATCH(ROUNDUP((I$1)/10,0)*10,[1]Hugst!$R$4:$W$4,0))))</f>
        <v>0</v>
      </c>
      <c r="J54" s="169">
        <f ca="1">IF($C54-J$1&lt;År1,0,I53*(1-VLOOKUP($A54,[1]Hugst!$R$5:$W$9,MATCH(ROUNDUP((J$1)/10,0)*10,[1]Hugst!$R$4:$W$4,0))))</f>
        <v>0</v>
      </c>
      <c r="K54" s="169">
        <f ca="1">IF($C54-K$1&lt;År1,0,J53*(1-VLOOKUP($A54,[1]Hugst!$R$5:$W$9,MATCH(ROUNDUP((K$1)/10,0)*10,[1]Hugst!$R$4:$W$4,0))))</f>
        <v>0</v>
      </c>
      <c r="L54" s="169">
        <f ca="1">IF($C54-L$1&lt;År1,0,K53*(1-VLOOKUP($A54,[1]Hugst!$R$5:$W$9,MATCH(ROUNDUP((L$1)/10,0)*10,[1]Hugst!$R$4:$W$4,0))))</f>
        <v>0</v>
      </c>
      <c r="M54" s="169">
        <f ca="1">IF($C54-M$1&lt;År1,0,L53*(1-VLOOKUP($A54,[1]Hugst!$R$5:$W$9,MATCH(ROUNDUP((M$1)/10,0)*10,[1]Hugst!$R$4:$W$4,0))))</f>
        <v>0</v>
      </c>
      <c r="N54" s="169">
        <f ca="1">IF($C54-N$1&lt;År1,0,M53*(1-VLOOKUP($A54,[1]Hugst!$R$5:$W$9,MATCH(ROUNDUP((N$1)/10,0)*10,[1]Hugst!$R$4:$W$4,0))))</f>
        <v>0</v>
      </c>
      <c r="O54" s="169">
        <f ca="1">IF($C54-O$1&lt;År1,0,N53*(1-VLOOKUP($A54,[1]Hugst!$R$5:$W$9,MATCH(ROUNDUP((O$1)/10,0)*10,[1]Hugst!$R$4:$W$4,0))))</f>
        <v>0</v>
      </c>
      <c r="P54" s="169">
        <f ca="1">IF($C54-P$1&lt;År1,0,O53*(1-VLOOKUP($A54,[1]Hugst!$R$5:$W$9,MATCH(ROUNDUP((P$1)/10,0)*10,[1]Hugst!$R$4:$W$4,0))))</f>
        <v>0</v>
      </c>
      <c r="Q54" s="169">
        <f ca="1">IF($C54-Q$1&lt;År1,0,P53*(1-VLOOKUP($A54,[1]Hugst!$R$5:$W$9,MATCH(ROUNDUP((Q$1)/10,0)*10,[1]Hugst!$R$4:$W$4,0))))</f>
        <v>0</v>
      </c>
      <c r="R54" s="169">
        <f ca="1">IF($C54-R$1&lt;År1,0,Q53*(1-VLOOKUP($A54,[1]Hugst!$R$5:$W$9,MATCH(ROUNDUP((R$1)/10,0)*10,[1]Hugst!$R$4:$W$4,0))))</f>
        <v>0</v>
      </c>
      <c r="S54" s="169">
        <f ca="1">IF($C54-S$1&lt;År1,0,R53*(1-VLOOKUP($A54,[1]Hugst!$R$5:$W$9,MATCH(ROUNDUP((S$1)/10,0)*10,[1]Hugst!$R$4:$W$4,0))))</f>
        <v>0</v>
      </c>
      <c r="T54" s="169">
        <f ca="1">IF($C54-T$1&lt;År1,0,S53*(1-VLOOKUP($A54,[1]Hugst!$R$5:$W$9,MATCH(ROUNDUP((T$1)/10,0)*10,[1]Hugst!$R$4:$W$4,0))))</f>
        <v>0</v>
      </c>
      <c r="U54" s="169">
        <f ca="1">IF($C54-U$1&lt;År1,0,T53*(1-VLOOKUP($A54,[1]Hugst!$R$5:$W$9,MATCH(ROUNDUP((U$1)/10,0)*10,[1]Hugst!$R$4:$W$4,0))))</f>
        <v>0</v>
      </c>
      <c r="V54" s="169">
        <f ca="1">IF($C54-V$1&lt;År1,0,U53*(1-VLOOKUP($A54,[1]Hugst!$R$5:$W$9,MATCH(ROUNDUP((V$1)/10,0)*10,[1]Hugst!$R$4:$W$4,0))))</f>
        <v>0</v>
      </c>
      <c r="W54" s="169">
        <f ca="1">IF($C54-W$1&lt;År1,0,V53*(1-VLOOKUP($A54,[1]Hugst!$R$5:$W$9,MATCH(ROUNDUP((W$1)/10,0)*10,[1]Hugst!$R$4:$W$4,0))))</f>
        <v>0</v>
      </c>
      <c r="X54" s="169">
        <f ca="1">IF($C54-X$1&lt;År1,0,W53*(1-VLOOKUP($A54,[1]Hugst!$R$5:$W$9,MATCH(ROUNDUP((X$1)/10,0)*10,[1]Hugst!$R$4:$W$4,0))))</f>
        <v>0</v>
      </c>
      <c r="Y54" s="169">
        <f ca="1">IF($C54-Y$1&lt;År1,0,X53*(1-VLOOKUP($A54,[1]Hugst!$R$5:$W$9,MATCH(ROUNDUP((Y$1)/10,0)*10,[1]Hugst!$R$4:$W$4,0))))</f>
        <v>0</v>
      </c>
      <c r="Z54" s="169">
        <f ca="1">IF($C54-Z$1&lt;År1,0,Y53*(1-VLOOKUP($A54,[1]Hugst!$R$5:$W$9,MATCH(ROUNDUP((Z$1)/10,0)*10,[1]Hugst!$R$4:$W$4,0))))</f>
        <v>0</v>
      </c>
      <c r="AA54" s="169">
        <f ca="1">IF($C54-AA$1&lt;År1,0,Z53*(1-VLOOKUP($A54,[1]Hugst!$R$5:$W$9,MATCH(ROUNDUP((AA$1)/10,0)*10,[1]Hugst!$R$4:$W$4,0))))</f>
        <v>0</v>
      </c>
      <c r="AB54" s="169">
        <f>IF($C54-AB$1&lt;År1,0,AA53*(1-VLOOKUP($A54,[1]Hugst!$R$5:$W$9,MATCH(ROUNDUP((AB$1)/10,0)*10,[1]Hugst!$R$4:$W$4,0))))</f>
        <v>0</v>
      </c>
      <c r="AC54" s="169">
        <f>IF($C54-AC$1&lt;År1,0,AB53*(1-VLOOKUP($A54,[1]Hugst!$R$5:$W$9,MATCH(ROUNDUP((AC$1)/10,0)*10,[1]Hugst!$R$4:$W$4,0))))</f>
        <v>0</v>
      </c>
      <c r="AD54" s="169">
        <f>IF($C54-AD$1&lt;År1,0,AC53*(1-VLOOKUP($A54,[1]Hugst!$R$5:$W$9,MATCH(ROUNDUP((AD$1)/10,0)*10,[1]Hugst!$R$4:$W$4,0))))</f>
        <v>0</v>
      </c>
      <c r="AE54" s="169">
        <f>IF($C54-AE$1&lt;År1,0,AD53*(1-VLOOKUP($A54,[1]Hugst!$R$5:$W$9,MATCH(ROUNDUP((AE$1)/10,0)*10,[1]Hugst!$R$4:$W$4,0))))</f>
        <v>0</v>
      </c>
      <c r="AF54" s="169">
        <f>IF($C54-AF$1&lt;År1,0,AE53*(1-VLOOKUP($A54,[1]Hugst!$R$5:$W$9,MATCH(ROUNDUP((AF$1)/10,0)*10,[1]Hugst!$R$4:$W$4,0))))</f>
        <v>0</v>
      </c>
      <c r="AG54" s="169">
        <f>IF($C54-AG$1&lt;År1,0,AF53*(1-VLOOKUP($A54,[1]Hugst!$R$5:$W$9,MATCH(ROUNDUP((AG$1)/10,0)*10,[1]Hugst!$R$4:$W$4,0))))</f>
        <v>0</v>
      </c>
      <c r="AH54" s="169">
        <f>IF($C54-AH$1&lt;År1,0,AG53*(1-VLOOKUP($A54,[1]Hugst!$R$5:$W$9,MATCH(ROUNDUP((AH$1)/10,0)*10,[1]Hugst!$R$4:$W$4,0))))</f>
        <v>0</v>
      </c>
      <c r="AI54" s="169">
        <f>IF($C54-AI$1&lt;År1,0,AH53*(1-VLOOKUP($A54,[1]Hugst!$R$5:$W$9,MATCH(ROUNDUP((AI$1)/10,0)*10,[1]Hugst!$R$4:$W$4,0))))</f>
        <v>0</v>
      </c>
      <c r="AJ54" s="169">
        <f>IF($C54-AJ$1&lt;År1,0,AI53*(1-VLOOKUP($A54,[1]Hugst!$R$5:$W$9,MATCH(ROUNDUP((AJ$1)/10,0)*10,[1]Hugst!$R$4:$W$4,0))))</f>
        <v>0</v>
      </c>
    </row>
    <row r="55" spans="1:39" s="169" customFormat="1" x14ac:dyDescent="0.25">
      <c r="A55" s="169" t="s">
        <v>176</v>
      </c>
      <c r="B55" s="169" t="s">
        <v>24</v>
      </c>
      <c r="C55" s="169">
        <v>2042</v>
      </c>
      <c r="D55" s="169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0</v>
      </c>
      <c r="E55" s="169">
        <f t="shared" ca="1" si="0"/>
        <v>0</v>
      </c>
      <c r="F55" s="169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 s="169">
        <f ca="1">IF($C55-G$1&lt;År1,0,F54*(1-VLOOKUP($A55,[1]Hugst!$R$5:$W$9,MATCH(ROUNDUP((G$1)/10,0)*10,[1]Hugst!$R$4:$W$4,0))))</f>
        <v>0</v>
      </c>
      <c r="H55" s="169">
        <f ca="1">IF($C55-H$1&lt;År1,0,G54*(1-VLOOKUP($A55,[1]Hugst!$R$5:$W$9,MATCH(ROUNDUP((H$1)/10,0)*10,[1]Hugst!$R$4:$W$4,0))))</f>
        <v>0</v>
      </c>
      <c r="I55" s="169">
        <f ca="1">IF($C55-I$1&lt;År1,0,H54*(1-VLOOKUP($A55,[1]Hugst!$R$5:$W$9,MATCH(ROUNDUP((I$1)/10,0)*10,[1]Hugst!$R$4:$W$4,0))))</f>
        <v>0</v>
      </c>
      <c r="J55" s="169">
        <f ca="1">IF($C55-J$1&lt;År1,0,I54*(1-VLOOKUP($A55,[1]Hugst!$R$5:$W$9,MATCH(ROUNDUP((J$1)/10,0)*10,[1]Hugst!$R$4:$W$4,0))))</f>
        <v>0</v>
      </c>
      <c r="K55" s="169">
        <f ca="1">IF($C55-K$1&lt;År1,0,J54*(1-VLOOKUP($A55,[1]Hugst!$R$5:$W$9,MATCH(ROUNDUP((K$1)/10,0)*10,[1]Hugst!$R$4:$W$4,0))))</f>
        <v>0</v>
      </c>
      <c r="L55" s="169">
        <f ca="1">IF($C55-L$1&lt;År1,0,K54*(1-VLOOKUP($A55,[1]Hugst!$R$5:$W$9,MATCH(ROUNDUP((L$1)/10,0)*10,[1]Hugst!$R$4:$W$4,0))))</f>
        <v>0</v>
      </c>
      <c r="M55" s="169">
        <f ca="1">IF($C55-M$1&lt;År1,0,L54*(1-VLOOKUP($A55,[1]Hugst!$R$5:$W$9,MATCH(ROUNDUP((M$1)/10,0)*10,[1]Hugst!$R$4:$W$4,0))))</f>
        <v>0</v>
      </c>
      <c r="N55" s="169">
        <f ca="1">IF($C55-N$1&lt;År1,0,M54*(1-VLOOKUP($A55,[1]Hugst!$R$5:$W$9,MATCH(ROUNDUP((N$1)/10,0)*10,[1]Hugst!$R$4:$W$4,0))))</f>
        <v>0</v>
      </c>
      <c r="O55" s="169">
        <f ca="1">IF($C55-O$1&lt;År1,0,N54*(1-VLOOKUP($A55,[1]Hugst!$R$5:$W$9,MATCH(ROUNDUP((O$1)/10,0)*10,[1]Hugst!$R$4:$W$4,0))))</f>
        <v>0</v>
      </c>
      <c r="P55" s="169">
        <f ca="1">IF($C55-P$1&lt;År1,0,O54*(1-VLOOKUP($A55,[1]Hugst!$R$5:$W$9,MATCH(ROUNDUP((P$1)/10,0)*10,[1]Hugst!$R$4:$W$4,0))))</f>
        <v>0</v>
      </c>
      <c r="Q55" s="169">
        <f ca="1">IF($C55-Q$1&lt;År1,0,P54*(1-VLOOKUP($A55,[1]Hugst!$R$5:$W$9,MATCH(ROUNDUP((Q$1)/10,0)*10,[1]Hugst!$R$4:$W$4,0))))</f>
        <v>0</v>
      </c>
      <c r="R55" s="169">
        <f ca="1">IF($C55-R$1&lt;År1,0,Q54*(1-VLOOKUP($A55,[1]Hugst!$R$5:$W$9,MATCH(ROUNDUP((R$1)/10,0)*10,[1]Hugst!$R$4:$W$4,0))))</f>
        <v>0</v>
      </c>
      <c r="S55" s="169">
        <f ca="1">IF($C55-S$1&lt;År1,0,R54*(1-VLOOKUP($A55,[1]Hugst!$R$5:$W$9,MATCH(ROUNDUP((S$1)/10,0)*10,[1]Hugst!$R$4:$W$4,0))))</f>
        <v>0</v>
      </c>
      <c r="T55" s="169">
        <f ca="1">IF($C55-T$1&lt;År1,0,S54*(1-VLOOKUP($A55,[1]Hugst!$R$5:$W$9,MATCH(ROUNDUP((T$1)/10,0)*10,[1]Hugst!$R$4:$W$4,0))))</f>
        <v>0</v>
      </c>
      <c r="U55" s="169">
        <f ca="1">IF($C55-U$1&lt;År1,0,T54*(1-VLOOKUP($A55,[1]Hugst!$R$5:$W$9,MATCH(ROUNDUP((U$1)/10,0)*10,[1]Hugst!$R$4:$W$4,0))))</f>
        <v>0</v>
      </c>
      <c r="V55" s="169">
        <f ca="1">IF($C55-V$1&lt;År1,0,U54*(1-VLOOKUP($A55,[1]Hugst!$R$5:$W$9,MATCH(ROUNDUP((V$1)/10,0)*10,[1]Hugst!$R$4:$W$4,0))))</f>
        <v>0</v>
      </c>
      <c r="W55" s="169">
        <f ca="1">IF($C55-W$1&lt;År1,0,V54*(1-VLOOKUP($A55,[1]Hugst!$R$5:$W$9,MATCH(ROUNDUP((W$1)/10,0)*10,[1]Hugst!$R$4:$W$4,0))))</f>
        <v>0</v>
      </c>
      <c r="X55" s="169">
        <f ca="1">IF($C55-X$1&lt;År1,0,W54*(1-VLOOKUP($A55,[1]Hugst!$R$5:$W$9,MATCH(ROUNDUP((X$1)/10,0)*10,[1]Hugst!$R$4:$W$4,0))))</f>
        <v>0</v>
      </c>
      <c r="Y55" s="169">
        <f ca="1">IF($C55-Y$1&lt;År1,0,X54*(1-VLOOKUP($A55,[1]Hugst!$R$5:$W$9,MATCH(ROUNDUP((Y$1)/10,0)*10,[1]Hugst!$R$4:$W$4,0))))</f>
        <v>0</v>
      </c>
      <c r="Z55" s="169">
        <f ca="1">IF($C55-Z$1&lt;År1,0,Y54*(1-VLOOKUP($A55,[1]Hugst!$R$5:$W$9,MATCH(ROUNDUP((Z$1)/10,0)*10,[1]Hugst!$R$4:$W$4,0))))</f>
        <v>0</v>
      </c>
      <c r="AA55" s="169">
        <f ca="1">IF($C55-AA$1&lt;År1,0,Z54*(1-VLOOKUP($A55,[1]Hugst!$R$5:$W$9,MATCH(ROUNDUP((AA$1)/10,0)*10,[1]Hugst!$R$4:$W$4,0))))</f>
        <v>0</v>
      </c>
      <c r="AB55" s="169">
        <f ca="1">IF($C55-AB$1&lt;År1,0,AA54*(1-VLOOKUP($A55,[1]Hugst!$R$5:$W$9,MATCH(ROUNDUP((AB$1)/10,0)*10,[1]Hugst!$R$4:$W$4,0))))</f>
        <v>0</v>
      </c>
      <c r="AC55" s="169">
        <f>IF($C55-AC$1&lt;År1,0,AB54*(1-VLOOKUP($A55,[1]Hugst!$R$5:$W$9,MATCH(ROUNDUP((AC$1)/10,0)*10,[1]Hugst!$R$4:$W$4,0))))</f>
        <v>0</v>
      </c>
      <c r="AD55" s="169">
        <f>IF($C55-AD$1&lt;År1,0,AC54*(1-VLOOKUP($A55,[1]Hugst!$R$5:$W$9,MATCH(ROUNDUP((AD$1)/10,0)*10,[1]Hugst!$R$4:$W$4,0))))</f>
        <v>0</v>
      </c>
      <c r="AE55" s="169">
        <f>IF($C55-AE$1&lt;År1,0,AD54*(1-VLOOKUP($A55,[1]Hugst!$R$5:$W$9,MATCH(ROUNDUP((AE$1)/10,0)*10,[1]Hugst!$R$4:$W$4,0))))</f>
        <v>0</v>
      </c>
      <c r="AF55" s="169">
        <f>IF($C55-AF$1&lt;År1,0,AE54*(1-VLOOKUP($A55,[1]Hugst!$R$5:$W$9,MATCH(ROUNDUP((AF$1)/10,0)*10,[1]Hugst!$R$4:$W$4,0))))</f>
        <v>0</v>
      </c>
      <c r="AG55" s="169">
        <f>IF($C55-AG$1&lt;År1,0,AF54*(1-VLOOKUP($A55,[1]Hugst!$R$5:$W$9,MATCH(ROUNDUP((AG$1)/10,0)*10,[1]Hugst!$R$4:$W$4,0))))</f>
        <v>0</v>
      </c>
      <c r="AH55" s="169">
        <f>IF($C55-AH$1&lt;År1,0,AG54*(1-VLOOKUP($A55,[1]Hugst!$R$5:$W$9,MATCH(ROUNDUP((AH$1)/10,0)*10,[1]Hugst!$R$4:$W$4,0))))</f>
        <v>0</v>
      </c>
      <c r="AI55" s="169">
        <f>IF($C55-AI$1&lt;År1,0,AH54*(1-VLOOKUP($A55,[1]Hugst!$R$5:$W$9,MATCH(ROUNDUP((AI$1)/10,0)*10,[1]Hugst!$R$4:$W$4,0))))</f>
        <v>0</v>
      </c>
      <c r="AJ55" s="169">
        <f>IF($C55-AJ$1&lt;År1,0,AI54*(1-VLOOKUP($A55,[1]Hugst!$R$5:$W$9,MATCH(ROUNDUP((AJ$1)/10,0)*10,[1]Hugst!$R$4:$W$4,0))))</f>
        <v>0</v>
      </c>
    </row>
    <row r="56" spans="1:39" s="169" customFormat="1" x14ac:dyDescent="0.25">
      <c r="A56" s="169" t="s">
        <v>176</v>
      </c>
      <c r="B56" s="169" t="s">
        <v>24</v>
      </c>
      <c r="C56" s="169">
        <v>2043</v>
      </c>
      <c r="D56" s="169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0</v>
      </c>
      <c r="E56" s="169">
        <f t="shared" ca="1" si="0"/>
        <v>0</v>
      </c>
      <c r="F56" s="169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 s="169">
        <f ca="1">IF($C56-G$1&lt;År1,0,F55*(1-VLOOKUP($A56,[1]Hugst!$R$5:$W$9,MATCH(ROUNDUP((G$1)/10,0)*10,[1]Hugst!$R$4:$W$4,0))))</f>
        <v>0</v>
      </c>
      <c r="H56" s="169">
        <f ca="1">IF($C56-H$1&lt;År1,0,G55*(1-VLOOKUP($A56,[1]Hugst!$R$5:$W$9,MATCH(ROUNDUP((H$1)/10,0)*10,[1]Hugst!$R$4:$W$4,0))))</f>
        <v>0</v>
      </c>
      <c r="I56" s="169">
        <f ca="1">IF($C56-I$1&lt;År1,0,H55*(1-VLOOKUP($A56,[1]Hugst!$R$5:$W$9,MATCH(ROUNDUP((I$1)/10,0)*10,[1]Hugst!$R$4:$W$4,0))))</f>
        <v>0</v>
      </c>
      <c r="J56" s="169">
        <f ca="1">IF($C56-J$1&lt;År1,0,I55*(1-VLOOKUP($A56,[1]Hugst!$R$5:$W$9,MATCH(ROUNDUP((J$1)/10,0)*10,[1]Hugst!$R$4:$W$4,0))))</f>
        <v>0</v>
      </c>
      <c r="K56" s="169">
        <f ca="1">IF($C56-K$1&lt;År1,0,J55*(1-VLOOKUP($A56,[1]Hugst!$R$5:$W$9,MATCH(ROUNDUP((K$1)/10,0)*10,[1]Hugst!$R$4:$W$4,0))))</f>
        <v>0</v>
      </c>
      <c r="L56" s="169">
        <f ca="1">IF($C56-L$1&lt;År1,0,K55*(1-VLOOKUP($A56,[1]Hugst!$R$5:$W$9,MATCH(ROUNDUP((L$1)/10,0)*10,[1]Hugst!$R$4:$W$4,0))))</f>
        <v>0</v>
      </c>
      <c r="M56" s="169">
        <f ca="1">IF($C56-M$1&lt;År1,0,L55*(1-VLOOKUP($A56,[1]Hugst!$R$5:$W$9,MATCH(ROUNDUP((M$1)/10,0)*10,[1]Hugst!$R$4:$W$4,0))))</f>
        <v>0</v>
      </c>
      <c r="N56" s="169">
        <f ca="1">IF($C56-N$1&lt;År1,0,M55*(1-VLOOKUP($A56,[1]Hugst!$R$5:$W$9,MATCH(ROUNDUP((N$1)/10,0)*10,[1]Hugst!$R$4:$W$4,0))))</f>
        <v>0</v>
      </c>
      <c r="O56" s="169">
        <f ca="1">IF($C56-O$1&lt;År1,0,N55*(1-VLOOKUP($A56,[1]Hugst!$R$5:$W$9,MATCH(ROUNDUP((O$1)/10,0)*10,[1]Hugst!$R$4:$W$4,0))))</f>
        <v>0</v>
      </c>
      <c r="P56" s="169">
        <f ca="1">IF($C56-P$1&lt;År1,0,O55*(1-VLOOKUP($A56,[1]Hugst!$R$5:$W$9,MATCH(ROUNDUP((P$1)/10,0)*10,[1]Hugst!$R$4:$W$4,0))))</f>
        <v>0</v>
      </c>
      <c r="Q56" s="169">
        <f ca="1">IF($C56-Q$1&lt;År1,0,P55*(1-VLOOKUP($A56,[1]Hugst!$R$5:$W$9,MATCH(ROUNDUP((Q$1)/10,0)*10,[1]Hugst!$R$4:$W$4,0))))</f>
        <v>0</v>
      </c>
      <c r="R56" s="169">
        <f ca="1">IF($C56-R$1&lt;År1,0,Q55*(1-VLOOKUP($A56,[1]Hugst!$R$5:$W$9,MATCH(ROUNDUP((R$1)/10,0)*10,[1]Hugst!$R$4:$W$4,0))))</f>
        <v>0</v>
      </c>
      <c r="S56" s="169">
        <f ca="1">IF($C56-S$1&lt;År1,0,R55*(1-VLOOKUP($A56,[1]Hugst!$R$5:$W$9,MATCH(ROUNDUP((S$1)/10,0)*10,[1]Hugst!$R$4:$W$4,0))))</f>
        <v>0</v>
      </c>
      <c r="T56" s="169">
        <f ca="1">IF($C56-T$1&lt;År1,0,S55*(1-VLOOKUP($A56,[1]Hugst!$R$5:$W$9,MATCH(ROUNDUP((T$1)/10,0)*10,[1]Hugst!$R$4:$W$4,0))))</f>
        <v>0</v>
      </c>
      <c r="U56" s="169">
        <f ca="1">IF($C56-U$1&lt;År1,0,T55*(1-VLOOKUP($A56,[1]Hugst!$R$5:$W$9,MATCH(ROUNDUP((U$1)/10,0)*10,[1]Hugst!$R$4:$W$4,0))))</f>
        <v>0</v>
      </c>
      <c r="V56" s="169">
        <f ca="1">IF($C56-V$1&lt;År1,0,U55*(1-VLOOKUP($A56,[1]Hugst!$R$5:$W$9,MATCH(ROUNDUP((V$1)/10,0)*10,[1]Hugst!$R$4:$W$4,0))))</f>
        <v>0</v>
      </c>
      <c r="W56" s="169">
        <f ca="1">IF($C56-W$1&lt;År1,0,V55*(1-VLOOKUP($A56,[1]Hugst!$R$5:$W$9,MATCH(ROUNDUP((W$1)/10,0)*10,[1]Hugst!$R$4:$W$4,0))))</f>
        <v>0</v>
      </c>
      <c r="X56" s="169">
        <f ca="1">IF($C56-X$1&lt;År1,0,W55*(1-VLOOKUP($A56,[1]Hugst!$R$5:$W$9,MATCH(ROUNDUP((X$1)/10,0)*10,[1]Hugst!$R$4:$W$4,0))))</f>
        <v>0</v>
      </c>
      <c r="Y56" s="169">
        <f ca="1">IF($C56-Y$1&lt;År1,0,X55*(1-VLOOKUP($A56,[1]Hugst!$R$5:$W$9,MATCH(ROUNDUP((Y$1)/10,0)*10,[1]Hugst!$R$4:$W$4,0))))</f>
        <v>0</v>
      </c>
      <c r="Z56" s="169">
        <f ca="1">IF($C56-Z$1&lt;År1,0,Y55*(1-VLOOKUP($A56,[1]Hugst!$R$5:$W$9,MATCH(ROUNDUP((Z$1)/10,0)*10,[1]Hugst!$R$4:$W$4,0))))</f>
        <v>0</v>
      </c>
      <c r="AA56" s="169">
        <f ca="1">IF($C56-AA$1&lt;År1,0,Z55*(1-VLOOKUP($A56,[1]Hugst!$R$5:$W$9,MATCH(ROUNDUP((AA$1)/10,0)*10,[1]Hugst!$R$4:$W$4,0))))</f>
        <v>0</v>
      </c>
      <c r="AB56" s="169">
        <f ca="1">IF($C56-AB$1&lt;År1,0,AA55*(1-VLOOKUP($A56,[1]Hugst!$R$5:$W$9,MATCH(ROUNDUP((AB$1)/10,0)*10,[1]Hugst!$R$4:$W$4,0))))</f>
        <v>0</v>
      </c>
      <c r="AC56" s="169">
        <f ca="1">IF($C56-AC$1&lt;År1,0,AB55*(1-VLOOKUP($A56,[1]Hugst!$R$5:$W$9,MATCH(ROUNDUP((AC$1)/10,0)*10,[1]Hugst!$R$4:$W$4,0))))</f>
        <v>0</v>
      </c>
      <c r="AD56" s="169">
        <f>IF($C56-AD$1&lt;År1,0,AC55*(1-VLOOKUP($A56,[1]Hugst!$R$5:$W$9,MATCH(ROUNDUP((AD$1)/10,0)*10,[1]Hugst!$R$4:$W$4,0))))</f>
        <v>0</v>
      </c>
      <c r="AE56" s="169">
        <f>IF($C56-AE$1&lt;År1,0,AD55*(1-VLOOKUP($A56,[1]Hugst!$R$5:$W$9,MATCH(ROUNDUP((AE$1)/10,0)*10,[1]Hugst!$R$4:$W$4,0))))</f>
        <v>0</v>
      </c>
      <c r="AF56" s="169">
        <f>IF($C56-AF$1&lt;År1,0,AE55*(1-VLOOKUP($A56,[1]Hugst!$R$5:$W$9,MATCH(ROUNDUP((AF$1)/10,0)*10,[1]Hugst!$R$4:$W$4,0))))</f>
        <v>0</v>
      </c>
      <c r="AG56" s="169">
        <f>IF($C56-AG$1&lt;År1,0,AF55*(1-VLOOKUP($A56,[1]Hugst!$R$5:$W$9,MATCH(ROUNDUP((AG$1)/10,0)*10,[1]Hugst!$R$4:$W$4,0))))</f>
        <v>0</v>
      </c>
      <c r="AH56" s="169">
        <f>IF($C56-AH$1&lt;År1,0,AG55*(1-VLOOKUP($A56,[1]Hugst!$R$5:$W$9,MATCH(ROUNDUP((AH$1)/10,0)*10,[1]Hugst!$R$4:$W$4,0))))</f>
        <v>0</v>
      </c>
      <c r="AI56" s="169">
        <f>IF($C56-AI$1&lt;År1,0,AH55*(1-VLOOKUP($A56,[1]Hugst!$R$5:$W$9,MATCH(ROUNDUP((AI$1)/10,0)*10,[1]Hugst!$R$4:$W$4,0))))</f>
        <v>0</v>
      </c>
      <c r="AJ56" s="169">
        <f>IF($C56-AJ$1&lt;År1,0,AI55*(1-VLOOKUP($A56,[1]Hugst!$R$5:$W$9,MATCH(ROUNDUP((AJ$1)/10,0)*10,[1]Hugst!$R$4:$W$4,0))))</f>
        <v>0</v>
      </c>
    </row>
    <row r="57" spans="1:39" s="169" customFormat="1" x14ac:dyDescent="0.25">
      <c r="A57" s="169" t="s">
        <v>176</v>
      </c>
      <c r="B57" s="169" t="s">
        <v>24</v>
      </c>
      <c r="C57" s="169">
        <v>2044</v>
      </c>
      <c r="D57" s="169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0</v>
      </c>
      <c r="E57" s="169">
        <f t="shared" ca="1" si="0"/>
        <v>0</v>
      </c>
      <c r="F57" s="169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 s="169">
        <f ca="1">IF($C57-G$1&lt;År1,0,F56*(1-VLOOKUP($A57,[1]Hugst!$R$5:$W$9,MATCH(ROUNDUP((G$1)/10,0)*10,[1]Hugst!$R$4:$W$4,0))))</f>
        <v>0</v>
      </c>
      <c r="H57" s="169">
        <f ca="1">IF($C57-H$1&lt;År1,0,G56*(1-VLOOKUP($A57,[1]Hugst!$R$5:$W$9,MATCH(ROUNDUP((H$1)/10,0)*10,[1]Hugst!$R$4:$W$4,0))))</f>
        <v>0</v>
      </c>
      <c r="I57" s="169">
        <f ca="1">IF($C57-I$1&lt;År1,0,H56*(1-VLOOKUP($A57,[1]Hugst!$R$5:$W$9,MATCH(ROUNDUP((I$1)/10,0)*10,[1]Hugst!$R$4:$W$4,0))))</f>
        <v>0</v>
      </c>
      <c r="J57" s="169">
        <f ca="1">IF($C57-J$1&lt;År1,0,I56*(1-VLOOKUP($A57,[1]Hugst!$R$5:$W$9,MATCH(ROUNDUP((J$1)/10,0)*10,[1]Hugst!$R$4:$W$4,0))))</f>
        <v>0</v>
      </c>
      <c r="K57" s="169">
        <f ca="1">IF($C57-K$1&lt;År1,0,J56*(1-VLOOKUP($A57,[1]Hugst!$R$5:$W$9,MATCH(ROUNDUP((K$1)/10,0)*10,[1]Hugst!$R$4:$W$4,0))))</f>
        <v>0</v>
      </c>
      <c r="L57" s="169">
        <f ca="1">IF($C57-L$1&lt;År1,0,K56*(1-VLOOKUP($A57,[1]Hugst!$R$5:$W$9,MATCH(ROUNDUP((L$1)/10,0)*10,[1]Hugst!$R$4:$W$4,0))))</f>
        <v>0</v>
      </c>
      <c r="M57" s="169">
        <f ca="1">IF($C57-M$1&lt;År1,0,L56*(1-VLOOKUP($A57,[1]Hugst!$R$5:$W$9,MATCH(ROUNDUP((M$1)/10,0)*10,[1]Hugst!$R$4:$W$4,0))))</f>
        <v>0</v>
      </c>
      <c r="N57" s="169">
        <f ca="1">IF($C57-N$1&lt;År1,0,M56*(1-VLOOKUP($A57,[1]Hugst!$R$5:$W$9,MATCH(ROUNDUP((N$1)/10,0)*10,[1]Hugst!$R$4:$W$4,0))))</f>
        <v>0</v>
      </c>
      <c r="O57" s="169">
        <f ca="1">IF($C57-O$1&lt;År1,0,N56*(1-VLOOKUP($A57,[1]Hugst!$R$5:$W$9,MATCH(ROUNDUP((O$1)/10,0)*10,[1]Hugst!$R$4:$W$4,0))))</f>
        <v>0</v>
      </c>
      <c r="P57" s="169">
        <f ca="1">IF($C57-P$1&lt;År1,0,O56*(1-VLOOKUP($A57,[1]Hugst!$R$5:$W$9,MATCH(ROUNDUP((P$1)/10,0)*10,[1]Hugst!$R$4:$W$4,0))))</f>
        <v>0</v>
      </c>
      <c r="Q57" s="169">
        <f ca="1">IF($C57-Q$1&lt;År1,0,P56*(1-VLOOKUP($A57,[1]Hugst!$R$5:$W$9,MATCH(ROUNDUP((Q$1)/10,0)*10,[1]Hugst!$R$4:$W$4,0))))</f>
        <v>0</v>
      </c>
      <c r="R57" s="169">
        <f ca="1">IF($C57-R$1&lt;År1,0,Q56*(1-VLOOKUP($A57,[1]Hugst!$R$5:$W$9,MATCH(ROUNDUP((R$1)/10,0)*10,[1]Hugst!$R$4:$W$4,0))))</f>
        <v>0</v>
      </c>
      <c r="S57" s="169">
        <f ca="1">IF($C57-S$1&lt;År1,0,R56*(1-VLOOKUP($A57,[1]Hugst!$R$5:$W$9,MATCH(ROUNDUP((S$1)/10,0)*10,[1]Hugst!$R$4:$W$4,0))))</f>
        <v>0</v>
      </c>
      <c r="T57" s="169">
        <f ca="1">IF($C57-T$1&lt;År1,0,S56*(1-VLOOKUP($A57,[1]Hugst!$R$5:$W$9,MATCH(ROUNDUP((T$1)/10,0)*10,[1]Hugst!$R$4:$W$4,0))))</f>
        <v>0</v>
      </c>
      <c r="U57" s="169">
        <f ca="1">IF($C57-U$1&lt;År1,0,T56*(1-VLOOKUP($A57,[1]Hugst!$R$5:$W$9,MATCH(ROUNDUP((U$1)/10,0)*10,[1]Hugst!$R$4:$W$4,0))))</f>
        <v>0</v>
      </c>
      <c r="V57" s="169">
        <f ca="1">IF($C57-V$1&lt;År1,0,U56*(1-VLOOKUP($A57,[1]Hugst!$R$5:$W$9,MATCH(ROUNDUP((V$1)/10,0)*10,[1]Hugst!$R$4:$W$4,0))))</f>
        <v>0</v>
      </c>
      <c r="W57" s="169">
        <f ca="1">IF($C57-W$1&lt;År1,0,V56*(1-VLOOKUP($A57,[1]Hugst!$R$5:$W$9,MATCH(ROUNDUP((W$1)/10,0)*10,[1]Hugst!$R$4:$W$4,0))))</f>
        <v>0</v>
      </c>
      <c r="X57" s="169">
        <f ca="1">IF($C57-X$1&lt;År1,0,W56*(1-VLOOKUP($A57,[1]Hugst!$R$5:$W$9,MATCH(ROUNDUP((X$1)/10,0)*10,[1]Hugst!$R$4:$W$4,0))))</f>
        <v>0</v>
      </c>
      <c r="Y57" s="169">
        <f ca="1">IF($C57-Y$1&lt;År1,0,X56*(1-VLOOKUP($A57,[1]Hugst!$R$5:$W$9,MATCH(ROUNDUP((Y$1)/10,0)*10,[1]Hugst!$R$4:$W$4,0))))</f>
        <v>0</v>
      </c>
      <c r="Z57" s="169">
        <f ca="1">IF($C57-Z$1&lt;År1,0,Y56*(1-VLOOKUP($A57,[1]Hugst!$R$5:$W$9,MATCH(ROUNDUP((Z$1)/10,0)*10,[1]Hugst!$R$4:$W$4,0))))</f>
        <v>0</v>
      </c>
      <c r="AA57" s="169">
        <f ca="1">IF($C57-AA$1&lt;År1,0,Z56*(1-VLOOKUP($A57,[1]Hugst!$R$5:$W$9,MATCH(ROUNDUP((AA$1)/10,0)*10,[1]Hugst!$R$4:$W$4,0))))</f>
        <v>0</v>
      </c>
      <c r="AB57" s="169">
        <f ca="1">IF($C57-AB$1&lt;År1,0,AA56*(1-VLOOKUP($A57,[1]Hugst!$R$5:$W$9,MATCH(ROUNDUP((AB$1)/10,0)*10,[1]Hugst!$R$4:$W$4,0))))</f>
        <v>0</v>
      </c>
      <c r="AC57" s="169">
        <f ca="1">IF($C57-AC$1&lt;År1,0,AB56*(1-VLOOKUP($A57,[1]Hugst!$R$5:$W$9,MATCH(ROUNDUP((AC$1)/10,0)*10,[1]Hugst!$R$4:$W$4,0))))</f>
        <v>0</v>
      </c>
      <c r="AD57" s="169">
        <f ca="1">IF($C57-AD$1&lt;År1,0,AC56*(1-VLOOKUP($A57,[1]Hugst!$R$5:$W$9,MATCH(ROUNDUP((AD$1)/10,0)*10,[1]Hugst!$R$4:$W$4,0))))</f>
        <v>0</v>
      </c>
      <c r="AE57" s="169">
        <f>IF($C57-AE$1&lt;År1,0,AD56*(1-VLOOKUP($A57,[1]Hugst!$R$5:$W$9,MATCH(ROUNDUP((AE$1)/10,0)*10,[1]Hugst!$R$4:$W$4,0))))</f>
        <v>0</v>
      </c>
      <c r="AF57" s="169">
        <f>IF($C57-AF$1&lt;År1,0,AE56*(1-VLOOKUP($A57,[1]Hugst!$R$5:$W$9,MATCH(ROUNDUP((AF$1)/10,0)*10,[1]Hugst!$R$4:$W$4,0))))</f>
        <v>0</v>
      </c>
      <c r="AG57" s="169">
        <f>IF($C57-AG$1&lt;År1,0,AF56*(1-VLOOKUP($A57,[1]Hugst!$R$5:$W$9,MATCH(ROUNDUP((AG$1)/10,0)*10,[1]Hugst!$R$4:$W$4,0))))</f>
        <v>0</v>
      </c>
      <c r="AH57" s="169">
        <f>IF($C57-AH$1&lt;År1,0,AG56*(1-VLOOKUP($A57,[1]Hugst!$R$5:$W$9,MATCH(ROUNDUP((AH$1)/10,0)*10,[1]Hugst!$R$4:$W$4,0))))</f>
        <v>0</v>
      </c>
      <c r="AI57" s="169">
        <f>IF($C57-AI$1&lt;År1,0,AH56*(1-VLOOKUP($A57,[1]Hugst!$R$5:$W$9,MATCH(ROUNDUP((AI$1)/10,0)*10,[1]Hugst!$R$4:$W$4,0))))</f>
        <v>0</v>
      </c>
      <c r="AJ57" s="169">
        <f>IF($C57-AJ$1&lt;År1,0,AI56*(1-VLOOKUP($A57,[1]Hugst!$R$5:$W$9,MATCH(ROUNDUP((AJ$1)/10,0)*10,[1]Hugst!$R$4:$W$4,0))))</f>
        <v>0</v>
      </c>
    </row>
    <row r="58" spans="1:39" s="169" customFormat="1" x14ac:dyDescent="0.25">
      <c r="A58" s="169" t="s">
        <v>176</v>
      </c>
      <c r="B58" s="169" t="s">
        <v>24</v>
      </c>
      <c r="C58" s="169">
        <v>2045</v>
      </c>
      <c r="D58" s="169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0</v>
      </c>
      <c r="E58" s="169">
        <f t="shared" ca="1" si="0"/>
        <v>0</v>
      </c>
      <c r="F58" s="169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 s="169">
        <f ca="1">IF($C58-G$1&lt;År1,0,F57*(1-VLOOKUP($A58,[1]Hugst!$R$5:$W$9,MATCH(ROUNDUP((G$1)/10,0)*10,[1]Hugst!$R$4:$W$4,0))))</f>
        <v>0</v>
      </c>
      <c r="H58" s="169">
        <f ca="1">IF($C58-H$1&lt;År1,0,G57*(1-VLOOKUP($A58,[1]Hugst!$R$5:$W$9,MATCH(ROUNDUP((H$1)/10,0)*10,[1]Hugst!$R$4:$W$4,0))))</f>
        <v>0</v>
      </c>
      <c r="I58" s="169">
        <f ca="1">IF($C58-I$1&lt;År1,0,H57*(1-VLOOKUP($A58,[1]Hugst!$R$5:$W$9,MATCH(ROUNDUP((I$1)/10,0)*10,[1]Hugst!$R$4:$W$4,0))))</f>
        <v>0</v>
      </c>
      <c r="J58" s="169">
        <f ca="1">IF($C58-J$1&lt;År1,0,I57*(1-VLOOKUP($A58,[1]Hugst!$R$5:$W$9,MATCH(ROUNDUP((J$1)/10,0)*10,[1]Hugst!$R$4:$W$4,0))))</f>
        <v>0</v>
      </c>
      <c r="K58" s="169">
        <f ca="1">IF($C58-K$1&lt;År1,0,J57*(1-VLOOKUP($A58,[1]Hugst!$R$5:$W$9,MATCH(ROUNDUP((K$1)/10,0)*10,[1]Hugst!$R$4:$W$4,0))))</f>
        <v>0</v>
      </c>
      <c r="L58" s="169">
        <f ca="1">IF($C58-L$1&lt;År1,0,K57*(1-VLOOKUP($A58,[1]Hugst!$R$5:$W$9,MATCH(ROUNDUP((L$1)/10,0)*10,[1]Hugst!$R$4:$W$4,0))))</f>
        <v>0</v>
      </c>
      <c r="M58" s="169">
        <f ca="1">IF($C58-M$1&lt;År1,0,L57*(1-VLOOKUP($A58,[1]Hugst!$R$5:$W$9,MATCH(ROUNDUP((M$1)/10,0)*10,[1]Hugst!$R$4:$W$4,0))))</f>
        <v>0</v>
      </c>
      <c r="N58" s="169">
        <f ca="1">IF($C58-N$1&lt;År1,0,M57*(1-VLOOKUP($A58,[1]Hugst!$R$5:$W$9,MATCH(ROUNDUP((N$1)/10,0)*10,[1]Hugst!$R$4:$W$4,0))))</f>
        <v>0</v>
      </c>
      <c r="O58" s="169">
        <f ca="1">IF($C58-O$1&lt;År1,0,N57*(1-VLOOKUP($A58,[1]Hugst!$R$5:$W$9,MATCH(ROUNDUP((O$1)/10,0)*10,[1]Hugst!$R$4:$W$4,0))))</f>
        <v>0</v>
      </c>
      <c r="P58" s="169">
        <f ca="1">IF($C58-P$1&lt;År1,0,O57*(1-VLOOKUP($A58,[1]Hugst!$R$5:$W$9,MATCH(ROUNDUP((P$1)/10,0)*10,[1]Hugst!$R$4:$W$4,0))))</f>
        <v>0</v>
      </c>
      <c r="Q58" s="169">
        <f ca="1">IF($C58-Q$1&lt;År1,0,P57*(1-VLOOKUP($A58,[1]Hugst!$R$5:$W$9,MATCH(ROUNDUP((Q$1)/10,0)*10,[1]Hugst!$R$4:$W$4,0))))</f>
        <v>0</v>
      </c>
      <c r="R58" s="169">
        <f ca="1">IF($C58-R$1&lt;År1,0,Q57*(1-VLOOKUP($A58,[1]Hugst!$R$5:$W$9,MATCH(ROUNDUP((R$1)/10,0)*10,[1]Hugst!$R$4:$W$4,0))))</f>
        <v>0</v>
      </c>
      <c r="S58" s="169">
        <f ca="1">IF($C58-S$1&lt;År1,0,R57*(1-VLOOKUP($A58,[1]Hugst!$R$5:$W$9,MATCH(ROUNDUP((S$1)/10,0)*10,[1]Hugst!$R$4:$W$4,0))))</f>
        <v>0</v>
      </c>
      <c r="T58" s="169">
        <f ca="1">IF($C58-T$1&lt;År1,0,S57*(1-VLOOKUP($A58,[1]Hugst!$R$5:$W$9,MATCH(ROUNDUP((T$1)/10,0)*10,[1]Hugst!$R$4:$W$4,0))))</f>
        <v>0</v>
      </c>
      <c r="U58" s="169">
        <f ca="1">IF($C58-U$1&lt;År1,0,T57*(1-VLOOKUP($A58,[1]Hugst!$R$5:$W$9,MATCH(ROUNDUP((U$1)/10,0)*10,[1]Hugst!$R$4:$W$4,0))))</f>
        <v>0</v>
      </c>
      <c r="V58" s="169">
        <f ca="1">IF($C58-V$1&lt;År1,0,U57*(1-VLOOKUP($A58,[1]Hugst!$R$5:$W$9,MATCH(ROUNDUP((V$1)/10,0)*10,[1]Hugst!$R$4:$W$4,0))))</f>
        <v>0</v>
      </c>
      <c r="W58" s="169">
        <f ca="1">IF($C58-W$1&lt;År1,0,V57*(1-VLOOKUP($A58,[1]Hugst!$R$5:$W$9,MATCH(ROUNDUP((W$1)/10,0)*10,[1]Hugst!$R$4:$W$4,0))))</f>
        <v>0</v>
      </c>
      <c r="X58" s="169">
        <f ca="1">IF($C58-X$1&lt;År1,0,W57*(1-VLOOKUP($A58,[1]Hugst!$R$5:$W$9,MATCH(ROUNDUP((X$1)/10,0)*10,[1]Hugst!$R$4:$W$4,0))))</f>
        <v>0</v>
      </c>
      <c r="Y58" s="169">
        <f ca="1">IF($C58-Y$1&lt;År1,0,X57*(1-VLOOKUP($A58,[1]Hugst!$R$5:$W$9,MATCH(ROUNDUP((Y$1)/10,0)*10,[1]Hugst!$R$4:$W$4,0))))</f>
        <v>0</v>
      </c>
      <c r="Z58" s="169">
        <f ca="1">IF($C58-Z$1&lt;År1,0,Y57*(1-VLOOKUP($A58,[1]Hugst!$R$5:$W$9,MATCH(ROUNDUP((Z$1)/10,0)*10,[1]Hugst!$R$4:$W$4,0))))</f>
        <v>0</v>
      </c>
      <c r="AA58" s="169">
        <f ca="1">IF($C58-AA$1&lt;År1,0,Z57*(1-VLOOKUP($A58,[1]Hugst!$R$5:$W$9,MATCH(ROUNDUP((AA$1)/10,0)*10,[1]Hugst!$R$4:$W$4,0))))</f>
        <v>0</v>
      </c>
      <c r="AB58" s="169">
        <f ca="1">IF($C58-AB$1&lt;År1,0,AA57*(1-VLOOKUP($A58,[1]Hugst!$R$5:$W$9,MATCH(ROUNDUP((AB$1)/10,0)*10,[1]Hugst!$R$4:$W$4,0))))</f>
        <v>0</v>
      </c>
      <c r="AC58" s="169">
        <f ca="1">IF($C58-AC$1&lt;År1,0,AB57*(1-VLOOKUP($A58,[1]Hugst!$R$5:$W$9,MATCH(ROUNDUP((AC$1)/10,0)*10,[1]Hugst!$R$4:$W$4,0))))</f>
        <v>0</v>
      </c>
      <c r="AD58" s="169">
        <f ca="1">IF($C58-AD$1&lt;År1,0,AC57*(1-VLOOKUP($A58,[1]Hugst!$R$5:$W$9,MATCH(ROUNDUP((AD$1)/10,0)*10,[1]Hugst!$R$4:$W$4,0))))</f>
        <v>0</v>
      </c>
      <c r="AE58" s="169">
        <f ca="1">IF($C58-AE$1&lt;År1,0,AD57*(1-VLOOKUP($A58,[1]Hugst!$R$5:$W$9,MATCH(ROUNDUP((AE$1)/10,0)*10,[1]Hugst!$R$4:$W$4,0))))</f>
        <v>0</v>
      </c>
      <c r="AF58" s="169">
        <f>IF($C58-AF$1&lt;År1,0,AE57*(1-VLOOKUP($A58,[1]Hugst!$R$5:$W$9,MATCH(ROUNDUP((AF$1)/10,0)*10,[1]Hugst!$R$4:$W$4,0))))</f>
        <v>0</v>
      </c>
      <c r="AG58" s="169">
        <f>IF($C58-AG$1&lt;År1,0,AF57*(1-VLOOKUP($A58,[1]Hugst!$R$5:$W$9,MATCH(ROUNDUP((AG$1)/10,0)*10,[1]Hugst!$R$4:$W$4,0))))</f>
        <v>0</v>
      </c>
      <c r="AH58" s="169">
        <f>IF($C58-AH$1&lt;År1,0,AG57*(1-VLOOKUP($A58,[1]Hugst!$R$5:$W$9,MATCH(ROUNDUP((AH$1)/10,0)*10,[1]Hugst!$R$4:$W$4,0))))</f>
        <v>0</v>
      </c>
      <c r="AI58" s="169">
        <f>IF($C58-AI$1&lt;År1,0,AH57*(1-VLOOKUP($A58,[1]Hugst!$R$5:$W$9,MATCH(ROUNDUP((AI$1)/10,0)*10,[1]Hugst!$R$4:$W$4,0))))</f>
        <v>0</v>
      </c>
      <c r="AJ58" s="169">
        <f>IF($C58-AJ$1&lt;År1,0,AI57*(1-VLOOKUP($A58,[1]Hugst!$R$5:$W$9,MATCH(ROUNDUP((AJ$1)/10,0)*10,[1]Hugst!$R$4:$W$4,0))))</f>
        <v>0</v>
      </c>
    </row>
    <row r="59" spans="1:39" s="169" customFormat="1" x14ac:dyDescent="0.25">
      <c r="A59" s="169" t="s">
        <v>176</v>
      </c>
      <c r="B59" s="169" t="s">
        <v>24</v>
      </c>
      <c r="C59" s="169">
        <v>2046</v>
      </c>
      <c r="D59" s="169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0</v>
      </c>
      <c r="E59" s="169">
        <f t="shared" ca="1" si="0"/>
        <v>0</v>
      </c>
      <c r="F59" s="169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 s="169">
        <f ca="1">IF($C59-G$1&lt;År1,0,F58*(1-VLOOKUP($A59,[1]Hugst!$R$5:$W$9,MATCH(ROUNDUP((G$1)/10,0)*10,[1]Hugst!$R$4:$W$4,0))))</f>
        <v>0</v>
      </c>
      <c r="H59" s="169">
        <f ca="1">IF($C59-H$1&lt;År1,0,G58*(1-VLOOKUP($A59,[1]Hugst!$R$5:$W$9,MATCH(ROUNDUP((H$1)/10,0)*10,[1]Hugst!$R$4:$W$4,0))))</f>
        <v>0</v>
      </c>
      <c r="I59" s="169">
        <f ca="1">IF($C59-I$1&lt;År1,0,H58*(1-VLOOKUP($A59,[1]Hugst!$R$5:$W$9,MATCH(ROUNDUP((I$1)/10,0)*10,[1]Hugst!$R$4:$W$4,0))))</f>
        <v>0</v>
      </c>
      <c r="J59" s="169">
        <f ca="1">IF($C59-J$1&lt;År1,0,I58*(1-VLOOKUP($A59,[1]Hugst!$R$5:$W$9,MATCH(ROUNDUP((J$1)/10,0)*10,[1]Hugst!$R$4:$W$4,0))))</f>
        <v>0</v>
      </c>
      <c r="K59" s="169">
        <f ca="1">IF($C59-K$1&lt;År1,0,J58*(1-VLOOKUP($A59,[1]Hugst!$R$5:$W$9,MATCH(ROUNDUP((K$1)/10,0)*10,[1]Hugst!$R$4:$W$4,0))))</f>
        <v>0</v>
      </c>
      <c r="L59" s="169">
        <f ca="1">IF($C59-L$1&lt;År1,0,K58*(1-VLOOKUP($A59,[1]Hugst!$R$5:$W$9,MATCH(ROUNDUP((L$1)/10,0)*10,[1]Hugst!$R$4:$W$4,0))))</f>
        <v>0</v>
      </c>
      <c r="M59" s="169">
        <f ca="1">IF($C59-M$1&lt;År1,0,L58*(1-VLOOKUP($A59,[1]Hugst!$R$5:$W$9,MATCH(ROUNDUP((M$1)/10,0)*10,[1]Hugst!$R$4:$W$4,0))))</f>
        <v>0</v>
      </c>
      <c r="N59" s="169">
        <f ca="1">IF($C59-N$1&lt;År1,0,M58*(1-VLOOKUP($A59,[1]Hugst!$R$5:$W$9,MATCH(ROUNDUP((N$1)/10,0)*10,[1]Hugst!$R$4:$W$4,0))))</f>
        <v>0</v>
      </c>
      <c r="O59" s="169">
        <f ca="1">IF($C59-O$1&lt;År1,0,N58*(1-VLOOKUP($A59,[1]Hugst!$R$5:$W$9,MATCH(ROUNDUP((O$1)/10,0)*10,[1]Hugst!$R$4:$W$4,0))))</f>
        <v>0</v>
      </c>
      <c r="P59" s="169">
        <f ca="1">IF($C59-P$1&lt;År1,0,O58*(1-VLOOKUP($A59,[1]Hugst!$R$5:$W$9,MATCH(ROUNDUP((P$1)/10,0)*10,[1]Hugst!$R$4:$W$4,0))))</f>
        <v>0</v>
      </c>
      <c r="Q59" s="169">
        <f ca="1">IF($C59-Q$1&lt;År1,0,P58*(1-VLOOKUP($A59,[1]Hugst!$R$5:$W$9,MATCH(ROUNDUP((Q$1)/10,0)*10,[1]Hugst!$R$4:$W$4,0))))</f>
        <v>0</v>
      </c>
      <c r="R59" s="169">
        <f ca="1">IF($C59-R$1&lt;År1,0,Q58*(1-VLOOKUP($A59,[1]Hugst!$R$5:$W$9,MATCH(ROUNDUP((R$1)/10,0)*10,[1]Hugst!$R$4:$W$4,0))))</f>
        <v>0</v>
      </c>
      <c r="S59" s="169">
        <f ca="1">IF($C59-S$1&lt;År1,0,R58*(1-VLOOKUP($A59,[1]Hugst!$R$5:$W$9,MATCH(ROUNDUP((S$1)/10,0)*10,[1]Hugst!$R$4:$W$4,0))))</f>
        <v>0</v>
      </c>
      <c r="T59" s="169">
        <f ca="1">IF($C59-T$1&lt;År1,0,S58*(1-VLOOKUP($A59,[1]Hugst!$R$5:$W$9,MATCH(ROUNDUP((T$1)/10,0)*10,[1]Hugst!$R$4:$W$4,0))))</f>
        <v>0</v>
      </c>
      <c r="U59" s="169">
        <f ca="1">IF($C59-U$1&lt;År1,0,T58*(1-VLOOKUP($A59,[1]Hugst!$R$5:$W$9,MATCH(ROUNDUP((U$1)/10,0)*10,[1]Hugst!$R$4:$W$4,0))))</f>
        <v>0</v>
      </c>
      <c r="V59" s="169">
        <f ca="1">IF($C59-V$1&lt;År1,0,U58*(1-VLOOKUP($A59,[1]Hugst!$R$5:$W$9,MATCH(ROUNDUP((V$1)/10,0)*10,[1]Hugst!$R$4:$W$4,0))))</f>
        <v>0</v>
      </c>
      <c r="W59" s="169">
        <f ca="1">IF($C59-W$1&lt;År1,0,V58*(1-VLOOKUP($A59,[1]Hugst!$R$5:$W$9,MATCH(ROUNDUP((W$1)/10,0)*10,[1]Hugst!$R$4:$W$4,0))))</f>
        <v>0</v>
      </c>
      <c r="X59" s="169">
        <f ca="1">IF($C59-X$1&lt;År1,0,W58*(1-VLOOKUP($A59,[1]Hugst!$R$5:$W$9,MATCH(ROUNDUP((X$1)/10,0)*10,[1]Hugst!$R$4:$W$4,0))))</f>
        <v>0</v>
      </c>
      <c r="Y59" s="169">
        <f ca="1">IF($C59-Y$1&lt;År1,0,X58*(1-VLOOKUP($A59,[1]Hugst!$R$5:$W$9,MATCH(ROUNDUP((Y$1)/10,0)*10,[1]Hugst!$R$4:$W$4,0))))</f>
        <v>0</v>
      </c>
      <c r="Z59" s="169">
        <f ca="1">IF($C59-Z$1&lt;År1,0,Y58*(1-VLOOKUP($A59,[1]Hugst!$R$5:$W$9,MATCH(ROUNDUP((Z$1)/10,0)*10,[1]Hugst!$R$4:$W$4,0))))</f>
        <v>0</v>
      </c>
      <c r="AA59" s="169">
        <f ca="1">IF($C59-AA$1&lt;År1,0,Z58*(1-VLOOKUP($A59,[1]Hugst!$R$5:$W$9,MATCH(ROUNDUP((AA$1)/10,0)*10,[1]Hugst!$R$4:$W$4,0))))</f>
        <v>0</v>
      </c>
      <c r="AB59" s="169">
        <f ca="1">IF($C59-AB$1&lt;År1,0,AA58*(1-VLOOKUP($A59,[1]Hugst!$R$5:$W$9,MATCH(ROUNDUP((AB$1)/10,0)*10,[1]Hugst!$R$4:$W$4,0))))</f>
        <v>0</v>
      </c>
      <c r="AC59" s="169">
        <f ca="1">IF($C59-AC$1&lt;År1,0,AB58*(1-VLOOKUP($A59,[1]Hugst!$R$5:$W$9,MATCH(ROUNDUP((AC$1)/10,0)*10,[1]Hugst!$R$4:$W$4,0))))</f>
        <v>0</v>
      </c>
      <c r="AD59" s="169">
        <f ca="1">IF($C59-AD$1&lt;År1,0,AC58*(1-VLOOKUP($A59,[1]Hugst!$R$5:$W$9,MATCH(ROUNDUP((AD$1)/10,0)*10,[1]Hugst!$R$4:$W$4,0))))</f>
        <v>0</v>
      </c>
      <c r="AE59" s="169">
        <f ca="1">IF($C59-AE$1&lt;År1,0,AD58*(1-VLOOKUP($A59,[1]Hugst!$R$5:$W$9,MATCH(ROUNDUP((AE$1)/10,0)*10,[1]Hugst!$R$4:$W$4,0))))</f>
        <v>0</v>
      </c>
      <c r="AF59" s="169">
        <f ca="1">IF($C59-AF$1&lt;År1,0,AE58*(1-VLOOKUP($A59,[1]Hugst!$R$5:$W$9,MATCH(ROUNDUP((AF$1)/10,0)*10,[1]Hugst!$R$4:$W$4,0))))</f>
        <v>0</v>
      </c>
      <c r="AG59" s="169">
        <f>IF($C59-AG$1&lt;År1,0,AF58*(1-VLOOKUP($A59,[1]Hugst!$R$5:$W$9,MATCH(ROUNDUP((AG$1)/10,0)*10,[1]Hugst!$R$4:$W$4,0))))</f>
        <v>0</v>
      </c>
      <c r="AH59" s="169">
        <f>IF($C59-AH$1&lt;År1,0,AG58*(1-VLOOKUP($A59,[1]Hugst!$R$5:$W$9,MATCH(ROUNDUP((AH$1)/10,0)*10,[1]Hugst!$R$4:$W$4,0))))</f>
        <v>0</v>
      </c>
      <c r="AI59" s="169">
        <f>IF($C59-AI$1&lt;År1,0,AH58*(1-VLOOKUP($A59,[1]Hugst!$R$5:$W$9,MATCH(ROUNDUP((AI$1)/10,0)*10,[1]Hugst!$R$4:$W$4,0))))</f>
        <v>0</v>
      </c>
      <c r="AJ59" s="169">
        <f>IF($C59-AJ$1&lt;År1,0,AI58*(1-VLOOKUP($A59,[1]Hugst!$R$5:$W$9,MATCH(ROUNDUP((AJ$1)/10,0)*10,[1]Hugst!$R$4:$W$4,0))))</f>
        <v>0</v>
      </c>
    </row>
    <row r="60" spans="1:39" s="169" customFormat="1" x14ac:dyDescent="0.25">
      <c r="A60" s="169" t="s">
        <v>176</v>
      </c>
      <c r="B60" s="169" t="s">
        <v>24</v>
      </c>
      <c r="C60" s="169">
        <v>2047</v>
      </c>
      <c r="D60" s="169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0</v>
      </c>
      <c r="E60" s="169">
        <f t="shared" ca="1" si="0"/>
        <v>0</v>
      </c>
      <c r="F60" s="169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 s="169">
        <f ca="1">IF($C60-G$1&lt;År1,0,F59*(1-VLOOKUP($A60,[1]Hugst!$R$5:$W$9,MATCH(ROUNDUP((G$1)/10,0)*10,[1]Hugst!$R$4:$W$4,0))))</f>
        <v>0</v>
      </c>
      <c r="H60" s="169">
        <f ca="1">IF($C60-H$1&lt;År1,0,G59*(1-VLOOKUP($A60,[1]Hugst!$R$5:$W$9,MATCH(ROUNDUP((H$1)/10,0)*10,[1]Hugst!$R$4:$W$4,0))))</f>
        <v>0</v>
      </c>
      <c r="I60" s="169">
        <f ca="1">IF($C60-I$1&lt;År1,0,H59*(1-VLOOKUP($A60,[1]Hugst!$R$5:$W$9,MATCH(ROUNDUP((I$1)/10,0)*10,[1]Hugst!$R$4:$W$4,0))))</f>
        <v>0</v>
      </c>
      <c r="J60" s="169">
        <f ca="1">IF($C60-J$1&lt;År1,0,I59*(1-VLOOKUP($A60,[1]Hugst!$R$5:$W$9,MATCH(ROUNDUP((J$1)/10,0)*10,[1]Hugst!$R$4:$W$4,0))))</f>
        <v>0</v>
      </c>
      <c r="K60" s="169">
        <f ca="1">IF($C60-K$1&lt;År1,0,J59*(1-VLOOKUP($A60,[1]Hugst!$R$5:$W$9,MATCH(ROUNDUP((K$1)/10,0)*10,[1]Hugst!$R$4:$W$4,0))))</f>
        <v>0</v>
      </c>
      <c r="L60" s="169">
        <f ca="1">IF($C60-L$1&lt;År1,0,K59*(1-VLOOKUP($A60,[1]Hugst!$R$5:$W$9,MATCH(ROUNDUP((L$1)/10,0)*10,[1]Hugst!$R$4:$W$4,0))))</f>
        <v>0</v>
      </c>
      <c r="M60" s="169">
        <f ca="1">IF($C60-M$1&lt;År1,0,L59*(1-VLOOKUP($A60,[1]Hugst!$R$5:$W$9,MATCH(ROUNDUP((M$1)/10,0)*10,[1]Hugst!$R$4:$W$4,0))))</f>
        <v>0</v>
      </c>
      <c r="N60" s="169">
        <f ca="1">IF($C60-N$1&lt;År1,0,M59*(1-VLOOKUP($A60,[1]Hugst!$R$5:$W$9,MATCH(ROUNDUP((N$1)/10,0)*10,[1]Hugst!$R$4:$W$4,0))))</f>
        <v>0</v>
      </c>
      <c r="O60" s="169">
        <f ca="1">IF($C60-O$1&lt;År1,0,N59*(1-VLOOKUP($A60,[1]Hugst!$R$5:$W$9,MATCH(ROUNDUP((O$1)/10,0)*10,[1]Hugst!$R$4:$W$4,0))))</f>
        <v>0</v>
      </c>
      <c r="P60" s="169">
        <f ca="1">IF($C60-P$1&lt;År1,0,O59*(1-VLOOKUP($A60,[1]Hugst!$R$5:$W$9,MATCH(ROUNDUP((P$1)/10,0)*10,[1]Hugst!$R$4:$W$4,0))))</f>
        <v>0</v>
      </c>
      <c r="Q60" s="169">
        <f ca="1">IF($C60-Q$1&lt;År1,0,P59*(1-VLOOKUP($A60,[1]Hugst!$R$5:$W$9,MATCH(ROUNDUP((Q$1)/10,0)*10,[1]Hugst!$R$4:$W$4,0))))</f>
        <v>0</v>
      </c>
      <c r="R60" s="169">
        <f ca="1">IF($C60-R$1&lt;År1,0,Q59*(1-VLOOKUP($A60,[1]Hugst!$R$5:$W$9,MATCH(ROUNDUP((R$1)/10,0)*10,[1]Hugst!$R$4:$W$4,0))))</f>
        <v>0</v>
      </c>
      <c r="S60" s="169">
        <f ca="1">IF($C60-S$1&lt;År1,0,R59*(1-VLOOKUP($A60,[1]Hugst!$R$5:$W$9,MATCH(ROUNDUP((S$1)/10,0)*10,[1]Hugst!$R$4:$W$4,0))))</f>
        <v>0</v>
      </c>
      <c r="T60" s="169">
        <f ca="1">IF($C60-T$1&lt;År1,0,S59*(1-VLOOKUP($A60,[1]Hugst!$R$5:$W$9,MATCH(ROUNDUP((T$1)/10,0)*10,[1]Hugst!$R$4:$W$4,0))))</f>
        <v>0</v>
      </c>
      <c r="U60" s="169">
        <f ca="1">IF($C60-U$1&lt;År1,0,T59*(1-VLOOKUP($A60,[1]Hugst!$R$5:$W$9,MATCH(ROUNDUP((U$1)/10,0)*10,[1]Hugst!$R$4:$W$4,0))))</f>
        <v>0</v>
      </c>
      <c r="V60" s="169">
        <f ca="1">IF($C60-V$1&lt;År1,0,U59*(1-VLOOKUP($A60,[1]Hugst!$R$5:$W$9,MATCH(ROUNDUP((V$1)/10,0)*10,[1]Hugst!$R$4:$W$4,0))))</f>
        <v>0</v>
      </c>
      <c r="W60" s="169">
        <f ca="1">IF($C60-W$1&lt;År1,0,V59*(1-VLOOKUP($A60,[1]Hugst!$R$5:$W$9,MATCH(ROUNDUP((W$1)/10,0)*10,[1]Hugst!$R$4:$W$4,0))))</f>
        <v>0</v>
      </c>
      <c r="X60" s="169">
        <f ca="1">IF($C60-X$1&lt;År1,0,W59*(1-VLOOKUP($A60,[1]Hugst!$R$5:$W$9,MATCH(ROUNDUP((X$1)/10,0)*10,[1]Hugst!$R$4:$W$4,0))))</f>
        <v>0</v>
      </c>
      <c r="Y60" s="169">
        <f ca="1">IF($C60-Y$1&lt;År1,0,X59*(1-VLOOKUP($A60,[1]Hugst!$R$5:$W$9,MATCH(ROUNDUP((Y$1)/10,0)*10,[1]Hugst!$R$4:$W$4,0))))</f>
        <v>0</v>
      </c>
      <c r="Z60" s="169">
        <f ca="1">IF($C60-Z$1&lt;År1,0,Y59*(1-VLOOKUP($A60,[1]Hugst!$R$5:$W$9,MATCH(ROUNDUP((Z$1)/10,0)*10,[1]Hugst!$R$4:$W$4,0))))</f>
        <v>0</v>
      </c>
      <c r="AA60" s="169">
        <f ca="1">IF($C60-AA$1&lt;År1,0,Z59*(1-VLOOKUP($A60,[1]Hugst!$R$5:$W$9,MATCH(ROUNDUP((AA$1)/10,0)*10,[1]Hugst!$R$4:$W$4,0))))</f>
        <v>0</v>
      </c>
      <c r="AB60" s="169">
        <f ca="1">IF($C60-AB$1&lt;År1,0,AA59*(1-VLOOKUP($A60,[1]Hugst!$R$5:$W$9,MATCH(ROUNDUP((AB$1)/10,0)*10,[1]Hugst!$R$4:$W$4,0))))</f>
        <v>0</v>
      </c>
      <c r="AC60" s="169">
        <f ca="1">IF($C60-AC$1&lt;År1,0,AB59*(1-VLOOKUP($A60,[1]Hugst!$R$5:$W$9,MATCH(ROUNDUP((AC$1)/10,0)*10,[1]Hugst!$R$4:$W$4,0))))</f>
        <v>0</v>
      </c>
      <c r="AD60" s="169">
        <f ca="1">IF($C60-AD$1&lt;År1,0,AC59*(1-VLOOKUP($A60,[1]Hugst!$R$5:$W$9,MATCH(ROUNDUP((AD$1)/10,0)*10,[1]Hugst!$R$4:$W$4,0))))</f>
        <v>0</v>
      </c>
      <c r="AE60" s="169">
        <f ca="1">IF($C60-AE$1&lt;År1,0,AD59*(1-VLOOKUP($A60,[1]Hugst!$R$5:$W$9,MATCH(ROUNDUP((AE$1)/10,0)*10,[1]Hugst!$R$4:$W$4,0))))</f>
        <v>0</v>
      </c>
      <c r="AF60" s="169">
        <f ca="1">IF($C60-AF$1&lt;År1,0,AE59*(1-VLOOKUP($A60,[1]Hugst!$R$5:$W$9,MATCH(ROUNDUP((AF$1)/10,0)*10,[1]Hugst!$R$4:$W$4,0))))</f>
        <v>0</v>
      </c>
      <c r="AG60" s="169">
        <f ca="1">IF($C60-AG$1&lt;År1,0,AF59*(1-VLOOKUP($A60,[1]Hugst!$R$5:$W$9,MATCH(ROUNDUP((AG$1)/10,0)*10,[1]Hugst!$R$4:$W$4,0))))</f>
        <v>0</v>
      </c>
      <c r="AH60" s="169">
        <f>IF($C60-AH$1&lt;År1,0,AG59*(1-VLOOKUP($A60,[1]Hugst!$R$5:$W$9,MATCH(ROUNDUP((AH$1)/10,0)*10,[1]Hugst!$R$4:$W$4,0))))</f>
        <v>0</v>
      </c>
      <c r="AI60" s="169">
        <f>IF($C60-AI$1&lt;År1,0,AH59*(1-VLOOKUP($A60,[1]Hugst!$R$5:$W$9,MATCH(ROUNDUP((AI$1)/10,0)*10,[1]Hugst!$R$4:$W$4,0))))</f>
        <v>0</v>
      </c>
      <c r="AJ60" s="169">
        <f>IF($C60-AJ$1&lt;År1,0,AI59*(1-VLOOKUP($A60,[1]Hugst!$R$5:$W$9,MATCH(ROUNDUP((AJ$1)/10,0)*10,[1]Hugst!$R$4:$W$4,0))))</f>
        <v>0</v>
      </c>
    </row>
    <row r="61" spans="1:39" s="169" customFormat="1" x14ac:dyDescent="0.25">
      <c r="A61" s="169" t="s">
        <v>176</v>
      </c>
      <c r="B61" s="169" t="s">
        <v>24</v>
      </c>
      <c r="C61" s="169">
        <v>2048</v>
      </c>
      <c r="D61" s="169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0</v>
      </c>
      <c r="E61" s="169">
        <f t="shared" ca="1" si="0"/>
        <v>0</v>
      </c>
      <c r="F61" s="169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 s="169">
        <f ca="1">IF($C61-G$1&lt;År1,0,F60*(1-VLOOKUP($A61,[1]Hugst!$R$5:$W$9,MATCH(ROUNDUP((G$1)/10,0)*10,[1]Hugst!$R$4:$W$4,0))))</f>
        <v>0</v>
      </c>
      <c r="H61" s="169">
        <f ca="1">IF($C61-H$1&lt;År1,0,G60*(1-VLOOKUP($A61,[1]Hugst!$R$5:$W$9,MATCH(ROUNDUP((H$1)/10,0)*10,[1]Hugst!$R$4:$W$4,0))))</f>
        <v>0</v>
      </c>
      <c r="I61" s="169">
        <f ca="1">IF($C61-I$1&lt;År1,0,H60*(1-VLOOKUP($A61,[1]Hugst!$R$5:$W$9,MATCH(ROUNDUP((I$1)/10,0)*10,[1]Hugst!$R$4:$W$4,0))))</f>
        <v>0</v>
      </c>
      <c r="J61" s="169">
        <f ca="1">IF($C61-J$1&lt;År1,0,I60*(1-VLOOKUP($A61,[1]Hugst!$R$5:$W$9,MATCH(ROUNDUP((J$1)/10,0)*10,[1]Hugst!$R$4:$W$4,0))))</f>
        <v>0</v>
      </c>
      <c r="K61" s="169">
        <f ca="1">IF($C61-K$1&lt;År1,0,J60*(1-VLOOKUP($A61,[1]Hugst!$R$5:$W$9,MATCH(ROUNDUP((K$1)/10,0)*10,[1]Hugst!$R$4:$W$4,0))))</f>
        <v>0</v>
      </c>
      <c r="L61" s="169">
        <f ca="1">IF($C61-L$1&lt;År1,0,K60*(1-VLOOKUP($A61,[1]Hugst!$R$5:$W$9,MATCH(ROUNDUP((L$1)/10,0)*10,[1]Hugst!$R$4:$W$4,0))))</f>
        <v>0</v>
      </c>
      <c r="M61" s="169">
        <f ca="1">IF($C61-M$1&lt;År1,0,L60*(1-VLOOKUP($A61,[1]Hugst!$R$5:$W$9,MATCH(ROUNDUP((M$1)/10,0)*10,[1]Hugst!$R$4:$W$4,0))))</f>
        <v>0</v>
      </c>
      <c r="N61" s="169">
        <f ca="1">IF($C61-N$1&lt;År1,0,M60*(1-VLOOKUP($A61,[1]Hugst!$R$5:$W$9,MATCH(ROUNDUP((N$1)/10,0)*10,[1]Hugst!$R$4:$W$4,0))))</f>
        <v>0</v>
      </c>
      <c r="O61" s="169">
        <f ca="1">IF($C61-O$1&lt;År1,0,N60*(1-VLOOKUP($A61,[1]Hugst!$R$5:$W$9,MATCH(ROUNDUP((O$1)/10,0)*10,[1]Hugst!$R$4:$W$4,0))))</f>
        <v>0</v>
      </c>
      <c r="P61" s="169">
        <f ca="1">IF($C61-P$1&lt;År1,0,O60*(1-VLOOKUP($A61,[1]Hugst!$R$5:$W$9,MATCH(ROUNDUP((P$1)/10,0)*10,[1]Hugst!$R$4:$W$4,0))))</f>
        <v>0</v>
      </c>
      <c r="Q61" s="169">
        <f ca="1">IF($C61-Q$1&lt;År1,0,P60*(1-VLOOKUP($A61,[1]Hugst!$R$5:$W$9,MATCH(ROUNDUP((Q$1)/10,0)*10,[1]Hugst!$R$4:$W$4,0))))</f>
        <v>0</v>
      </c>
      <c r="R61" s="169">
        <f ca="1">IF($C61-R$1&lt;År1,0,Q60*(1-VLOOKUP($A61,[1]Hugst!$R$5:$W$9,MATCH(ROUNDUP((R$1)/10,0)*10,[1]Hugst!$R$4:$W$4,0))))</f>
        <v>0</v>
      </c>
      <c r="S61" s="169">
        <f ca="1">IF($C61-S$1&lt;År1,0,R60*(1-VLOOKUP($A61,[1]Hugst!$R$5:$W$9,MATCH(ROUNDUP((S$1)/10,0)*10,[1]Hugst!$R$4:$W$4,0))))</f>
        <v>0</v>
      </c>
      <c r="T61" s="169">
        <f ca="1">IF($C61-T$1&lt;År1,0,S60*(1-VLOOKUP($A61,[1]Hugst!$R$5:$W$9,MATCH(ROUNDUP((T$1)/10,0)*10,[1]Hugst!$R$4:$W$4,0))))</f>
        <v>0</v>
      </c>
      <c r="U61" s="169">
        <f ca="1">IF($C61-U$1&lt;År1,0,T60*(1-VLOOKUP($A61,[1]Hugst!$R$5:$W$9,MATCH(ROUNDUP((U$1)/10,0)*10,[1]Hugst!$R$4:$W$4,0))))</f>
        <v>0</v>
      </c>
      <c r="V61" s="169">
        <f ca="1">IF($C61-V$1&lt;År1,0,U60*(1-VLOOKUP($A61,[1]Hugst!$R$5:$W$9,MATCH(ROUNDUP((V$1)/10,0)*10,[1]Hugst!$R$4:$W$4,0))))</f>
        <v>0</v>
      </c>
      <c r="W61" s="169">
        <f ca="1">IF($C61-W$1&lt;År1,0,V60*(1-VLOOKUP($A61,[1]Hugst!$R$5:$W$9,MATCH(ROUNDUP((W$1)/10,0)*10,[1]Hugst!$R$4:$W$4,0))))</f>
        <v>0</v>
      </c>
      <c r="X61" s="169">
        <f ca="1">IF($C61-X$1&lt;År1,0,W60*(1-VLOOKUP($A61,[1]Hugst!$R$5:$W$9,MATCH(ROUNDUP((X$1)/10,0)*10,[1]Hugst!$R$4:$W$4,0))))</f>
        <v>0</v>
      </c>
      <c r="Y61" s="169">
        <f ca="1">IF($C61-Y$1&lt;År1,0,X60*(1-VLOOKUP($A61,[1]Hugst!$R$5:$W$9,MATCH(ROUNDUP((Y$1)/10,0)*10,[1]Hugst!$R$4:$W$4,0))))</f>
        <v>0</v>
      </c>
      <c r="Z61" s="169">
        <f ca="1">IF($C61-Z$1&lt;År1,0,Y60*(1-VLOOKUP($A61,[1]Hugst!$R$5:$W$9,MATCH(ROUNDUP((Z$1)/10,0)*10,[1]Hugst!$R$4:$W$4,0))))</f>
        <v>0</v>
      </c>
      <c r="AA61" s="169">
        <f ca="1">IF($C61-AA$1&lt;År1,0,Z60*(1-VLOOKUP($A61,[1]Hugst!$R$5:$W$9,MATCH(ROUNDUP((AA$1)/10,0)*10,[1]Hugst!$R$4:$W$4,0))))</f>
        <v>0</v>
      </c>
      <c r="AB61" s="169">
        <f ca="1">IF($C61-AB$1&lt;År1,0,AA60*(1-VLOOKUP($A61,[1]Hugst!$R$5:$W$9,MATCH(ROUNDUP((AB$1)/10,0)*10,[1]Hugst!$R$4:$W$4,0))))</f>
        <v>0</v>
      </c>
      <c r="AC61" s="169">
        <f ca="1">IF($C61-AC$1&lt;År1,0,AB60*(1-VLOOKUP($A61,[1]Hugst!$R$5:$W$9,MATCH(ROUNDUP((AC$1)/10,0)*10,[1]Hugst!$R$4:$W$4,0))))</f>
        <v>0</v>
      </c>
      <c r="AD61" s="169">
        <f ca="1">IF($C61-AD$1&lt;År1,0,AC60*(1-VLOOKUP($A61,[1]Hugst!$R$5:$W$9,MATCH(ROUNDUP((AD$1)/10,0)*10,[1]Hugst!$R$4:$W$4,0))))</f>
        <v>0</v>
      </c>
      <c r="AE61" s="169">
        <f ca="1">IF($C61-AE$1&lt;År1,0,AD60*(1-VLOOKUP($A61,[1]Hugst!$R$5:$W$9,MATCH(ROUNDUP((AE$1)/10,0)*10,[1]Hugst!$R$4:$W$4,0))))</f>
        <v>0</v>
      </c>
      <c r="AF61" s="169">
        <f ca="1">IF($C61-AF$1&lt;År1,0,AE60*(1-VLOOKUP($A61,[1]Hugst!$R$5:$W$9,MATCH(ROUNDUP((AF$1)/10,0)*10,[1]Hugst!$R$4:$W$4,0))))</f>
        <v>0</v>
      </c>
      <c r="AG61" s="169">
        <f ca="1">IF($C61-AG$1&lt;År1,0,AF60*(1-VLOOKUP($A61,[1]Hugst!$R$5:$W$9,MATCH(ROUNDUP((AG$1)/10,0)*10,[1]Hugst!$R$4:$W$4,0))))</f>
        <v>0</v>
      </c>
      <c r="AH61" s="169">
        <f ca="1">IF($C61-AH$1&lt;År1,0,AG60*(1-VLOOKUP($A61,[1]Hugst!$R$5:$W$9,MATCH(ROUNDUP((AH$1)/10,0)*10,[1]Hugst!$R$4:$W$4,0))))</f>
        <v>0</v>
      </c>
      <c r="AI61" s="169">
        <f>IF($C61-AI$1&lt;År1,0,AH60*(1-VLOOKUP($A61,[1]Hugst!$R$5:$W$9,MATCH(ROUNDUP((AI$1)/10,0)*10,[1]Hugst!$R$4:$W$4,0))))</f>
        <v>0</v>
      </c>
      <c r="AJ61" s="169">
        <f>IF($C61-AJ$1&lt;År1,0,AI60*(1-VLOOKUP($A61,[1]Hugst!$R$5:$W$9,MATCH(ROUNDUP((AJ$1)/10,0)*10,[1]Hugst!$R$4:$W$4,0))))</f>
        <v>0</v>
      </c>
    </row>
    <row r="62" spans="1:39" s="169" customFormat="1" x14ac:dyDescent="0.25">
      <c r="A62" s="169" t="s">
        <v>176</v>
      </c>
      <c r="B62" s="169" t="s">
        <v>24</v>
      </c>
      <c r="C62" s="169">
        <v>2049</v>
      </c>
      <c r="D62" s="169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0</v>
      </c>
      <c r="E62" s="169">
        <f t="shared" ca="1" si="0"/>
        <v>0</v>
      </c>
      <c r="F62" s="169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 s="169">
        <f ca="1">IF($C62-G$1&lt;År1,0,F61*(1-VLOOKUP($A62,[1]Hugst!$R$5:$W$9,MATCH(ROUNDUP((G$1)/10,0)*10,[1]Hugst!$R$4:$W$4,0))))</f>
        <v>0</v>
      </c>
      <c r="H62" s="169">
        <f ca="1">IF($C62-H$1&lt;År1,0,G61*(1-VLOOKUP($A62,[1]Hugst!$R$5:$W$9,MATCH(ROUNDUP((H$1)/10,0)*10,[1]Hugst!$R$4:$W$4,0))))</f>
        <v>0</v>
      </c>
      <c r="I62" s="169">
        <f ca="1">IF($C62-I$1&lt;År1,0,H61*(1-VLOOKUP($A62,[1]Hugst!$R$5:$W$9,MATCH(ROUNDUP((I$1)/10,0)*10,[1]Hugst!$R$4:$W$4,0))))</f>
        <v>0</v>
      </c>
      <c r="J62" s="169">
        <f ca="1">IF($C62-J$1&lt;År1,0,I61*(1-VLOOKUP($A62,[1]Hugst!$R$5:$W$9,MATCH(ROUNDUP((J$1)/10,0)*10,[1]Hugst!$R$4:$W$4,0))))</f>
        <v>0</v>
      </c>
      <c r="K62" s="169">
        <f ca="1">IF($C62-K$1&lt;År1,0,J61*(1-VLOOKUP($A62,[1]Hugst!$R$5:$W$9,MATCH(ROUNDUP((K$1)/10,0)*10,[1]Hugst!$R$4:$W$4,0))))</f>
        <v>0</v>
      </c>
      <c r="L62" s="169">
        <f ca="1">IF($C62-L$1&lt;År1,0,K61*(1-VLOOKUP($A62,[1]Hugst!$R$5:$W$9,MATCH(ROUNDUP((L$1)/10,0)*10,[1]Hugst!$R$4:$W$4,0))))</f>
        <v>0</v>
      </c>
      <c r="M62" s="169">
        <f ca="1">IF($C62-M$1&lt;År1,0,L61*(1-VLOOKUP($A62,[1]Hugst!$R$5:$W$9,MATCH(ROUNDUP((M$1)/10,0)*10,[1]Hugst!$R$4:$W$4,0))))</f>
        <v>0</v>
      </c>
      <c r="N62" s="169">
        <f ca="1">IF($C62-N$1&lt;År1,0,M61*(1-VLOOKUP($A62,[1]Hugst!$R$5:$W$9,MATCH(ROUNDUP((N$1)/10,0)*10,[1]Hugst!$R$4:$W$4,0))))</f>
        <v>0</v>
      </c>
      <c r="O62" s="169">
        <f ca="1">IF($C62-O$1&lt;År1,0,N61*(1-VLOOKUP($A62,[1]Hugst!$R$5:$W$9,MATCH(ROUNDUP((O$1)/10,0)*10,[1]Hugst!$R$4:$W$4,0))))</f>
        <v>0</v>
      </c>
      <c r="P62" s="169">
        <f ca="1">IF($C62-P$1&lt;År1,0,O61*(1-VLOOKUP($A62,[1]Hugst!$R$5:$W$9,MATCH(ROUNDUP((P$1)/10,0)*10,[1]Hugst!$R$4:$W$4,0))))</f>
        <v>0</v>
      </c>
      <c r="Q62" s="169">
        <f ca="1">IF($C62-Q$1&lt;År1,0,P61*(1-VLOOKUP($A62,[1]Hugst!$R$5:$W$9,MATCH(ROUNDUP((Q$1)/10,0)*10,[1]Hugst!$R$4:$W$4,0))))</f>
        <v>0</v>
      </c>
      <c r="R62" s="169">
        <f ca="1">IF($C62-R$1&lt;År1,0,Q61*(1-VLOOKUP($A62,[1]Hugst!$R$5:$W$9,MATCH(ROUNDUP((R$1)/10,0)*10,[1]Hugst!$R$4:$W$4,0))))</f>
        <v>0</v>
      </c>
      <c r="S62" s="169">
        <f ca="1">IF($C62-S$1&lt;År1,0,R61*(1-VLOOKUP($A62,[1]Hugst!$R$5:$W$9,MATCH(ROUNDUP((S$1)/10,0)*10,[1]Hugst!$R$4:$W$4,0))))</f>
        <v>0</v>
      </c>
      <c r="T62" s="169">
        <f ca="1">IF($C62-T$1&lt;År1,0,S61*(1-VLOOKUP($A62,[1]Hugst!$R$5:$W$9,MATCH(ROUNDUP((T$1)/10,0)*10,[1]Hugst!$R$4:$W$4,0))))</f>
        <v>0</v>
      </c>
      <c r="U62" s="169">
        <f ca="1">IF($C62-U$1&lt;År1,0,T61*(1-VLOOKUP($A62,[1]Hugst!$R$5:$W$9,MATCH(ROUNDUP((U$1)/10,0)*10,[1]Hugst!$R$4:$W$4,0))))</f>
        <v>0</v>
      </c>
      <c r="V62" s="169">
        <f ca="1">IF($C62-V$1&lt;År1,0,U61*(1-VLOOKUP($A62,[1]Hugst!$R$5:$W$9,MATCH(ROUNDUP((V$1)/10,0)*10,[1]Hugst!$R$4:$W$4,0))))</f>
        <v>0</v>
      </c>
      <c r="W62" s="169">
        <f ca="1">IF($C62-W$1&lt;År1,0,V61*(1-VLOOKUP($A62,[1]Hugst!$R$5:$W$9,MATCH(ROUNDUP((W$1)/10,0)*10,[1]Hugst!$R$4:$W$4,0))))</f>
        <v>0</v>
      </c>
      <c r="X62" s="169">
        <f ca="1">IF($C62-X$1&lt;År1,0,W61*(1-VLOOKUP($A62,[1]Hugst!$R$5:$W$9,MATCH(ROUNDUP((X$1)/10,0)*10,[1]Hugst!$R$4:$W$4,0))))</f>
        <v>0</v>
      </c>
      <c r="Y62" s="169">
        <f ca="1">IF($C62-Y$1&lt;År1,0,X61*(1-VLOOKUP($A62,[1]Hugst!$R$5:$W$9,MATCH(ROUNDUP((Y$1)/10,0)*10,[1]Hugst!$R$4:$W$4,0))))</f>
        <v>0</v>
      </c>
      <c r="Z62" s="169">
        <f ca="1">IF($C62-Z$1&lt;År1,0,Y61*(1-VLOOKUP($A62,[1]Hugst!$R$5:$W$9,MATCH(ROUNDUP((Z$1)/10,0)*10,[1]Hugst!$R$4:$W$4,0))))</f>
        <v>0</v>
      </c>
      <c r="AA62" s="169">
        <f ca="1">IF($C62-AA$1&lt;År1,0,Z61*(1-VLOOKUP($A62,[1]Hugst!$R$5:$W$9,MATCH(ROUNDUP((AA$1)/10,0)*10,[1]Hugst!$R$4:$W$4,0))))</f>
        <v>0</v>
      </c>
      <c r="AB62" s="169">
        <f ca="1">IF($C62-AB$1&lt;År1,0,AA61*(1-VLOOKUP($A62,[1]Hugst!$R$5:$W$9,MATCH(ROUNDUP((AB$1)/10,0)*10,[1]Hugst!$R$4:$W$4,0))))</f>
        <v>0</v>
      </c>
      <c r="AC62" s="169">
        <f ca="1">IF($C62-AC$1&lt;År1,0,AB61*(1-VLOOKUP($A62,[1]Hugst!$R$5:$W$9,MATCH(ROUNDUP((AC$1)/10,0)*10,[1]Hugst!$R$4:$W$4,0))))</f>
        <v>0</v>
      </c>
      <c r="AD62" s="169">
        <f ca="1">IF($C62-AD$1&lt;År1,0,AC61*(1-VLOOKUP($A62,[1]Hugst!$R$5:$W$9,MATCH(ROUNDUP((AD$1)/10,0)*10,[1]Hugst!$R$4:$W$4,0))))</f>
        <v>0</v>
      </c>
      <c r="AE62" s="169">
        <f ca="1">IF($C62-AE$1&lt;År1,0,AD61*(1-VLOOKUP($A62,[1]Hugst!$R$5:$W$9,MATCH(ROUNDUP((AE$1)/10,0)*10,[1]Hugst!$R$4:$W$4,0))))</f>
        <v>0</v>
      </c>
      <c r="AF62" s="169">
        <f ca="1">IF($C62-AF$1&lt;År1,0,AE61*(1-VLOOKUP($A62,[1]Hugst!$R$5:$W$9,MATCH(ROUNDUP((AF$1)/10,0)*10,[1]Hugst!$R$4:$W$4,0))))</f>
        <v>0</v>
      </c>
      <c r="AG62" s="169">
        <f ca="1">IF($C62-AG$1&lt;År1,0,AF61*(1-VLOOKUP($A62,[1]Hugst!$R$5:$W$9,MATCH(ROUNDUP((AG$1)/10,0)*10,[1]Hugst!$R$4:$W$4,0))))</f>
        <v>0</v>
      </c>
      <c r="AH62" s="169">
        <f ca="1">IF($C62-AH$1&lt;År1,0,AG61*(1-VLOOKUP($A62,[1]Hugst!$R$5:$W$9,MATCH(ROUNDUP((AH$1)/10,0)*10,[1]Hugst!$R$4:$W$4,0))))</f>
        <v>0</v>
      </c>
      <c r="AI62" s="169">
        <f ca="1">IF($C62-AI$1&lt;År1,0,AH61*(1-VLOOKUP($A62,[1]Hugst!$R$5:$W$9,MATCH(ROUNDUP((AI$1)/10,0)*10,[1]Hugst!$R$4:$W$4,0))))</f>
        <v>0</v>
      </c>
      <c r="AJ62" s="169">
        <f>IF($C62-AJ$1&lt;År1,0,AI61*(1-VLOOKUP($A62,[1]Hugst!$R$5:$W$9,MATCH(ROUNDUP((AJ$1)/10,0)*10,[1]Hugst!$R$4:$W$4,0))))</f>
        <v>0</v>
      </c>
    </row>
    <row r="63" spans="1:39" s="169" customFormat="1" x14ac:dyDescent="0.25">
      <c r="A63" s="169" t="s">
        <v>176</v>
      </c>
      <c r="B63" s="169" t="s">
        <v>24</v>
      </c>
      <c r="C63" s="169">
        <v>2050</v>
      </c>
      <c r="D63" s="169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0</v>
      </c>
      <c r="E63" s="169">
        <f t="shared" ca="1" si="0"/>
        <v>0</v>
      </c>
      <c r="F63" s="169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 s="169">
        <f ca="1">IF($C63-G$1&lt;År1,0,F62*(1-VLOOKUP($A63,[1]Hugst!$R$5:$W$9,MATCH(ROUNDUP((G$1)/10,0)*10,[1]Hugst!$R$4:$W$4,0))))</f>
        <v>0</v>
      </c>
      <c r="H63" s="169">
        <f ca="1">IF($C63-H$1&lt;År1,0,G62*(1-VLOOKUP($A63,[1]Hugst!$R$5:$W$9,MATCH(ROUNDUP((H$1)/10,0)*10,[1]Hugst!$R$4:$W$4,0))))</f>
        <v>0</v>
      </c>
      <c r="I63" s="169">
        <f ca="1">IF($C63-I$1&lt;År1,0,H62*(1-VLOOKUP($A63,[1]Hugst!$R$5:$W$9,MATCH(ROUNDUP((I$1)/10,0)*10,[1]Hugst!$R$4:$W$4,0))))</f>
        <v>0</v>
      </c>
      <c r="J63" s="169">
        <f ca="1">IF($C63-J$1&lt;År1,0,I62*(1-VLOOKUP($A63,[1]Hugst!$R$5:$W$9,MATCH(ROUNDUP((J$1)/10,0)*10,[1]Hugst!$R$4:$W$4,0))))</f>
        <v>0</v>
      </c>
      <c r="K63" s="169">
        <f ca="1">IF($C63-K$1&lt;År1,0,J62*(1-VLOOKUP($A63,[1]Hugst!$R$5:$W$9,MATCH(ROUNDUP((K$1)/10,0)*10,[1]Hugst!$R$4:$W$4,0))))</f>
        <v>0</v>
      </c>
      <c r="L63" s="169">
        <f ca="1">IF($C63-L$1&lt;År1,0,K62*(1-VLOOKUP($A63,[1]Hugst!$R$5:$W$9,MATCH(ROUNDUP((L$1)/10,0)*10,[1]Hugst!$R$4:$W$4,0))))</f>
        <v>0</v>
      </c>
      <c r="M63" s="169">
        <f ca="1">IF($C63-M$1&lt;År1,0,L62*(1-VLOOKUP($A63,[1]Hugst!$R$5:$W$9,MATCH(ROUNDUP((M$1)/10,0)*10,[1]Hugst!$R$4:$W$4,0))))</f>
        <v>0</v>
      </c>
      <c r="N63" s="169">
        <f ca="1">IF($C63-N$1&lt;År1,0,M62*(1-VLOOKUP($A63,[1]Hugst!$R$5:$W$9,MATCH(ROUNDUP((N$1)/10,0)*10,[1]Hugst!$R$4:$W$4,0))))</f>
        <v>0</v>
      </c>
      <c r="O63" s="169">
        <f ca="1">IF($C63-O$1&lt;År1,0,N62*(1-VLOOKUP($A63,[1]Hugst!$R$5:$W$9,MATCH(ROUNDUP((O$1)/10,0)*10,[1]Hugst!$R$4:$W$4,0))))</f>
        <v>0</v>
      </c>
      <c r="P63" s="169">
        <f ca="1">IF($C63-P$1&lt;År1,0,O62*(1-VLOOKUP($A63,[1]Hugst!$R$5:$W$9,MATCH(ROUNDUP((P$1)/10,0)*10,[1]Hugst!$R$4:$W$4,0))))</f>
        <v>0</v>
      </c>
      <c r="Q63" s="169">
        <f ca="1">IF($C63-Q$1&lt;År1,0,P62*(1-VLOOKUP($A63,[1]Hugst!$R$5:$W$9,MATCH(ROUNDUP((Q$1)/10,0)*10,[1]Hugst!$R$4:$W$4,0))))</f>
        <v>0</v>
      </c>
      <c r="R63" s="169">
        <f ca="1">IF($C63-R$1&lt;År1,0,Q62*(1-VLOOKUP($A63,[1]Hugst!$R$5:$W$9,MATCH(ROUNDUP((R$1)/10,0)*10,[1]Hugst!$R$4:$W$4,0))))</f>
        <v>0</v>
      </c>
      <c r="S63" s="169">
        <f ca="1">IF($C63-S$1&lt;År1,0,R62*(1-VLOOKUP($A63,[1]Hugst!$R$5:$W$9,MATCH(ROUNDUP((S$1)/10,0)*10,[1]Hugst!$R$4:$W$4,0))))</f>
        <v>0</v>
      </c>
      <c r="T63" s="169">
        <f ca="1">IF($C63-T$1&lt;År1,0,S62*(1-VLOOKUP($A63,[1]Hugst!$R$5:$W$9,MATCH(ROUNDUP((T$1)/10,0)*10,[1]Hugst!$R$4:$W$4,0))))</f>
        <v>0</v>
      </c>
      <c r="U63" s="169">
        <f ca="1">IF($C63-U$1&lt;År1,0,T62*(1-VLOOKUP($A63,[1]Hugst!$R$5:$W$9,MATCH(ROUNDUP((U$1)/10,0)*10,[1]Hugst!$R$4:$W$4,0))))</f>
        <v>0</v>
      </c>
      <c r="V63" s="169">
        <f ca="1">IF($C63-V$1&lt;År1,0,U62*(1-VLOOKUP($A63,[1]Hugst!$R$5:$W$9,MATCH(ROUNDUP((V$1)/10,0)*10,[1]Hugst!$R$4:$W$4,0))))</f>
        <v>0</v>
      </c>
      <c r="W63" s="169">
        <f ca="1">IF($C63-W$1&lt;År1,0,V62*(1-VLOOKUP($A63,[1]Hugst!$R$5:$W$9,MATCH(ROUNDUP((W$1)/10,0)*10,[1]Hugst!$R$4:$W$4,0))))</f>
        <v>0</v>
      </c>
      <c r="X63" s="169">
        <f ca="1">IF($C63-X$1&lt;År1,0,W62*(1-VLOOKUP($A63,[1]Hugst!$R$5:$W$9,MATCH(ROUNDUP((X$1)/10,0)*10,[1]Hugst!$R$4:$W$4,0))))</f>
        <v>0</v>
      </c>
      <c r="Y63" s="169">
        <f ca="1">IF($C63-Y$1&lt;År1,0,X62*(1-VLOOKUP($A63,[1]Hugst!$R$5:$W$9,MATCH(ROUNDUP((Y$1)/10,0)*10,[1]Hugst!$R$4:$W$4,0))))</f>
        <v>0</v>
      </c>
      <c r="Z63" s="169">
        <f ca="1">IF($C63-Z$1&lt;År1,0,Y62*(1-VLOOKUP($A63,[1]Hugst!$R$5:$W$9,MATCH(ROUNDUP((Z$1)/10,0)*10,[1]Hugst!$R$4:$W$4,0))))</f>
        <v>0</v>
      </c>
      <c r="AA63" s="169">
        <f ca="1">IF($C63-AA$1&lt;År1,0,Z62*(1-VLOOKUP($A63,[1]Hugst!$R$5:$W$9,MATCH(ROUNDUP((AA$1)/10,0)*10,[1]Hugst!$R$4:$W$4,0))))</f>
        <v>0</v>
      </c>
      <c r="AB63" s="169">
        <f ca="1">IF($C63-AB$1&lt;År1,0,AA62*(1-VLOOKUP($A63,[1]Hugst!$R$5:$W$9,MATCH(ROUNDUP((AB$1)/10,0)*10,[1]Hugst!$R$4:$W$4,0))))</f>
        <v>0</v>
      </c>
      <c r="AC63" s="169">
        <f ca="1">IF($C63-AC$1&lt;År1,0,AB62*(1-VLOOKUP($A63,[1]Hugst!$R$5:$W$9,MATCH(ROUNDUP((AC$1)/10,0)*10,[1]Hugst!$R$4:$W$4,0))))</f>
        <v>0</v>
      </c>
      <c r="AD63" s="169">
        <f ca="1">IF($C63-AD$1&lt;År1,0,AC62*(1-VLOOKUP($A63,[1]Hugst!$R$5:$W$9,MATCH(ROUNDUP((AD$1)/10,0)*10,[1]Hugst!$R$4:$W$4,0))))</f>
        <v>0</v>
      </c>
      <c r="AE63" s="169">
        <f ca="1">IF($C63-AE$1&lt;År1,0,AD62*(1-VLOOKUP($A63,[1]Hugst!$R$5:$W$9,MATCH(ROUNDUP((AE$1)/10,0)*10,[1]Hugst!$R$4:$W$4,0))))</f>
        <v>0</v>
      </c>
      <c r="AF63" s="169">
        <f ca="1">IF($C63-AF$1&lt;År1,0,AE62*(1-VLOOKUP($A63,[1]Hugst!$R$5:$W$9,MATCH(ROUNDUP((AF$1)/10,0)*10,[1]Hugst!$R$4:$W$4,0))))</f>
        <v>0</v>
      </c>
      <c r="AG63" s="169">
        <f ca="1">IF($C63-AG$1&lt;År1,0,AF62*(1-VLOOKUP($A63,[1]Hugst!$R$5:$W$9,MATCH(ROUNDUP((AG$1)/10,0)*10,[1]Hugst!$R$4:$W$4,0))))</f>
        <v>0</v>
      </c>
      <c r="AH63" s="169">
        <f ca="1">IF($C63-AH$1&lt;År1,0,AG62*(1-VLOOKUP($A63,[1]Hugst!$R$5:$W$9,MATCH(ROUNDUP((AH$1)/10,0)*10,[1]Hugst!$R$4:$W$4,0))))</f>
        <v>0</v>
      </c>
      <c r="AI63" s="169">
        <f ca="1">IF($C63-AI$1&lt;År1,0,AH62*(1-VLOOKUP($A63,[1]Hugst!$R$5:$W$9,MATCH(ROUNDUP((AI$1)/10,0)*10,[1]Hugst!$R$4:$W$4,0))))</f>
        <v>0</v>
      </c>
      <c r="AJ63" s="169">
        <f ca="1">IF($C63-AJ$1&lt;År1,0,AI62*(1-VLOOKUP($A63,[1]Hugst!$R$5:$W$9,MATCH(ROUNDUP((AJ$1)/10,0)*10,[1]Hugst!$R$4:$W$4,0))))</f>
        <v>0</v>
      </c>
      <c r="AL63" s="169">
        <f ca="1">SUM(F63:AJ63)</f>
        <v>0</v>
      </c>
    </row>
    <row r="64" spans="1:39" x14ac:dyDescent="0.25">
      <c r="A64" s="169" t="s">
        <v>177</v>
      </c>
      <c r="B64" s="169" t="s">
        <v>23</v>
      </c>
      <c r="C64">
        <v>2020</v>
      </c>
      <c r="D64" s="169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0</v>
      </c>
      <c r="E64" s="169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9">
        <f>IF($C64-G$1&lt;År1,0,F63*(1-VLOOKUP($A64,[1]Hugst!$R$5:$W$9,MATCH(ROUNDUP((G$1)/10,0)*10,[1]Hugst!$R$4:$W$4,0))))</f>
        <v>0</v>
      </c>
      <c r="H64" s="169">
        <f>IF($C64-H$1&lt;År1,0,G63*(1-VLOOKUP($A64,[1]Hugst!$R$5:$W$9,MATCH(ROUNDUP((H$1)/10,0)*10,[1]Hugst!$R$4:$W$4,0))))</f>
        <v>0</v>
      </c>
      <c r="I64" s="169">
        <f>IF($C64-I$1&lt;År1,0,H63*(1-VLOOKUP($A64,[1]Hugst!$R$5:$W$9,MATCH(ROUNDUP((I$1)/10,0)*10,[1]Hugst!$R$4:$W$4,0))))</f>
        <v>0</v>
      </c>
      <c r="J64" s="169">
        <f>IF($C64-J$1&lt;År1,0,I63*(1-VLOOKUP($A64,[1]Hugst!$R$5:$W$9,MATCH(ROUNDUP((J$1)/10,0)*10,[1]Hugst!$R$4:$W$4,0))))</f>
        <v>0</v>
      </c>
      <c r="K64" s="169">
        <f>IF($C64-K$1&lt;År1,0,J63*(1-VLOOKUP($A64,[1]Hugst!$R$5:$W$9,MATCH(ROUNDUP((K$1)/10,0)*10,[1]Hugst!$R$4:$W$4,0))))</f>
        <v>0</v>
      </c>
      <c r="L64" s="169">
        <f>IF($C64-L$1&lt;År1,0,K63*(1-VLOOKUP($A64,[1]Hugst!$R$5:$W$9,MATCH(ROUNDUP((L$1)/10,0)*10,[1]Hugst!$R$4:$W$4,0))))</f>
        <v>0</v>
      </c>
      <c r="M64" s="169">
        <f>IF($C64-M$1&lt;År1,0,L63*(1-VLOOKUP($A64,[1]Hugst!$R$5:$W$9,MATCH(ROUNDUP((M$1)/10,0)*10,[1]Hugst!$R$4:$W$4,0))))</f>
        <v>0</v>
      </c>
      <c r="N64" s="169">
        <f>IF($C64-N$1&lt;År1,0,M63*(1-VLOOKUP($A64,[1]Hugst!$R$5:$W$9,MATCH(ROUNDUP((N$1)/10,0)*10,[1]Hugst!$R$4:$W$4,0))))</f>
        <v>0</v>
      </c>
      <c r="O64" s="169">
        <f>IF($C64-O$1&lt;År1,0,N63*(1-VLOOKUP($A64,[1]Hugst!$R$5:$W$9,MATCH(ROUNDUP((O$1)/10,0)*10,[1]Hugst!$R$4:$W$4,0))))</f>
        <v>0</v>
      </c>
      <c r="P64" s="169">
        <f>IF($C64-P$1&lt;År1,0,O63*(1-VLOOKUP($A64,[1]Hugst!$R$5:$W$9,MATCH(ROUNDUP((P$1)/10,0)*10,[1]Hugst!$R$4:$W$4,0))))</f>
        <v>0</v>
      </c>
      <c r="Q64" s="169">
        <f>IF($C64-Q$1&lt;År1,0,P63*(1-VLOOKUP($A64,[1]Hugst!$R$5:$W$9,MATCH(ROUNDUP((Q$1)/10,0)*10,[1]Hugst!$R$4:$W$4,0))))</f>
        <v>0</v>
      </c>
      <c r="R64" s="169">
        <f>IF($C64-R$1&lt;År1,0,Q63*(1-VLOOKUP($A64,[1]Hugst!$R$5:$W$9,MATCH(ROUNDUP((R$1)/10,0)*10,[1]Hugst!$R$4:$W$4,0))))</f>
        <v>0</v>
      </c>
      <c r="S64" s="169">
        <f>IF($C64-S$1&lt;År1,0,R63*(1-VLOOKUP($A64,[1]Hugst!$R$5:$W$9,MATCH(ROUNDUP((S$1)/10,0)*10,[1]Hugst!$R$4:$W$4,0))))</f>
        <v>0</v>
      </c>
      <c r="T64" s="169">
        <f>IF($C64-T$1&lt;År1,0,S63*(1-VLOOKUP($A64,[1]Hugst!$R$5:$W$9,MATCH(ROUNDUP((T$1)/10,0)*10,[1]Hugst!$R$4:$W$4,0))))</f>
        <v>0</v>
      </c>
      <c r="U64" s="169">
        <f>IF($C64-U$1&lt;År1,0,T63*(1-VLOOKUP($A64,[1]Hugst!$R$5:$W$9,MATCH(ROUNDUP((U$1)/10,0)*10,[1]Hugst!$R$4:$W$4,0))))</f>
        <v>0</v>
      </c>
      <c r="V64" s="169">
        <f>IF($C64-V$1&lt;År1,0,U63*(1-VLOOKUP($A64,[1]Hugst!$R$5:$W$9,MATCH(ROUNDUP((V$1)/10,0)*10,[1]Hugst!$R$4:$W$4,0))))</f>
        <v>0</v>
      </c>
      <c r="W64" s="169">
        <f>IF($C64-W$1&lt;År1,0,V63*(1-VLOOKUP($A64,[1]Hugst!$R$5:$W$9,MATCH(ROUNDUP((W$1)/10,0)*10,[1]Hugst!$R$4:$W$4,0))))</f>
        <v>0</v>
      </c>
      <c r="X64" s="169">
        <f>IF($C64-X$1&lt;År1,0,W63*(1-VLOOKUP($A64,[1]Hugst!$R$5:$W$9,MATCH(ROUNDUP((X$1)/10,0)*10,[1]Hugst!$R$4:$W$4,0))))</f>
        <v>0</v>
      </c>
      <c r="Y64" s="169">
        <f>IF($C64-Y$1&lt;År1,0,X63*(1-VLOOKUP($A64,[1]Hugst!$R$5:$W$9,MATCH(ROUNDUP((Y$1)/10,0)*10,[1]Hugst!$R$4:$W$4,0))))</f>
        <v>0</v>
      </c>
      <c r="Z64" s="169">
        <f>IF($C64-Z$1&lt;År1,0,Y63*(1-VLOOKUP($A64,[1]Hugst!$R$5:$W$9,MATCH(ROUNDUP((Z$1)/10,0)*10,[1]Hugst!$R$4:$W$4,0))))</f>
        <v>0</v>
      </c>
      <c r="AA64" s="169">
        <f>IF($C64-AA$1&lt;År1,0,Z63*(1-VLOOKUP($A64,[1]Hugst!$R$5:$W$9,MATCH(ROUNDUP((AA$1)/10,0)*10,[1]Hugst!$R$4:$W$4,0))))</f>
        <v>0</v>
      </c>
      <c r="AB64" s="169">
        <f>IF($C64-AB$1&lt;År1,0,AA63*(1-VLOOKUP($A64,[1]Hugst!$R$5:$W$9,MATCH(ROUNDUP((AB$1)/10,0)*10,[1]Hugst!$R$4:$W$4,0))))</f>
        <v>0</v>
      </c>
      <c r="AC64" s="169">
        <f>IF($C64-AC$1&lt;År1,0,AB63*(1-VLOOKUP($A64,[1]Hugst!$R$5:$W$9,MATCH(ROUNDUP((AC$1)/10,0)*10,[1]Hugst!$R$4:$W$4,0))))</f>
        <v>0</v>
      </c>
      <c r="AD64" s="169">
        <f>IF($C64-AD$1&lt;År1,0,AC63*(1-VLOOKUP($A64,[1]Hugst!$R$5:$W$9,MATCH(ROUNDUP((AD$1)/10,0)*10,[1]Hugst!$R$4:$W$4,0))))</f>
        <v>0</v>
      </c>
      <c r="AE64" s="169">
        <f>IF($C64-AE$1&lt;År1,0,AD63*(1-VLOOKUP($A64,[1]Hugst!$R$5:$W$9,MATCH(ROUNDUP((AE$1)/10,0)*10,[1]Hugst!$R$4:$W$4,0))))</f>
        <v>0</v>
      </c>
      <c r="AF64" s="169">
        <f>IF($C64-AF$1&lt;År1,0,AE63*(1-VLOOKUP($A64,[1]Hugst!$R$5:$W$9,MATCH(ROUNDUP((AF$1)/10,0)*10,[1]Hugst!$R$4:$W$4,0))))</f>
        <v>0</v>
      </c>
      <c r="AG64" s="169">
        <f>IF($C64-AG$1&lt;År1,0,AF63*(1-VLOOKUP($A64,[1]Hugst!$R$5:$W$9,MATCH(ROUNDUP((AG$1)/10,0)*10,[1]Hugst!$R$4:$W$4,0))))</f>
        <v>0</v>
      </c>
      <c r="AH64" s="169">
        <f>IF($C64-AH$1&lt;År1,0,AG63*(1-VLOOKUP($A64,[1]Hugst!$R$5:$W$9,MATCH(ROUNDUP((AH$1)/10,0)*10,[1]Hugst!$R$4:$W$4,0))))</f>
        <v>0</v>
      </c>
      <c r="AI64" s="169">
        <f>IF($C64-AI$1&lt;År1,0,AH63*(1-VLOOKUP($A64,[1]Hugst!$R$5:$W$9,MATCH(ROUNDUP((AI$1)/10,0)*10,[1]Hugst!$R$4:$W$4,0))))</f>
        <v>0</v>
      </c>
      <c r="AJ64" s="169">
        <f>IF($C64-AJ$1&lt;År1,0,AI63*(1-VLOOKUP($A64,[1]Hugst!$R$5:$W$9,MATCH(ROUNDUP((AJ$1)/10,0)*10,[1]Hugst!$R$4:$W$4,0))))</f>
        <v>0</v>
      </c>
      <c r="AK64" s="169"/>
      <c r="AM64" s="169"/>
    </row>
    <row r="65" spans="1:39" x14ac:dyDescent="0.25">
      <c r="A65" s="169" t="s">
        <v>177</v>
      </c>
      <c r="B65" s="169" t="s">
        <v>23</v>
      </c>
      <c r="C65">
        <v>2021</v>
      </c>
      <c r="D65" s="169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0</v>
      </c>
      <c r="E65" s="169">
        <f t="shared" ref="E65:E94" ca="1" si="1">IF(C65=2020,SUM(G65:AJ65),SUM(F64:AJ64)-SUM(G65:AJ65))</f>
        <v>0</v>
      </c>
      <c r="F65" s="169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9">
        <f ca="1">IF($C65-G$1&lt;År1,0,F64*(1-VLOOKUP($A65,[1]Hugst!$R$5:$W$9,MATCH(ROUNDUP((G$1)/10,0)*10,[1]Hugst!$R$4:$W$4,0))))</f>
        <v>0</v>
      </c>
      <c r="H65" s="169">
        <f>IF($C65-H$1&lt;År1,0,G64*(1-VLOOKUP($A65,[1]Hugst!$R$5:$W$9,MATCH(ROUNDUP((H$1)/10,0)*10,[1]Hugst!$R$4:$W$4,0))))</f>
        <v>0</v>
      </c>
      <c r="I65" s="169">
        <f>IF($C65-I$1&lt;År1,0,H64*(1-VLOOKUP($A65,[1]Hugst!$R$5:$W$9,MATCH(ROUNDUP((I$1)/10,0)*10,[1]Hugst!$R$4:$W$4,0))))</f>
        <v>0</v>
      </c>
      <c r="J65" s="169">
        <f>IF($C65-J$1&lt;År1,0,I64*(1-VLOOKUP($A65,[1]Hugst!$R$5:$W$9,MATCH(ROUNDUP((J$1)/10,0)*10,[1]Hugst!$R$4:$W$4,0))))</f>
        <v>0</v>
      </c>
      <c r="K65" s="169">
        <f>IF($C65-K$1&lt;År1,0,J64*(1-VLOOKUP($A65,[1]Hugst!$R$5:$W$9,MATCH(ROUNDUP((K$1)/10,0)*10,[1]Hugst!$R$4:$W$4,0))))</f>
        <v>0</v>
      </c>
      <c r="L65" s="169">
        <f>IF($C65-L$1&lt;År1,0,K64*(1-VLOOKUP($A65,[1]Hugst!$R$5:$W$9,MATCH(ROUNDUP((L$1)/10,0)*10,[1]Hugst!$R$4:$W$4,0))))</f>
        <v>0</v>
      </c>
      <c r="M65" s="169">
        <f>IF($C65-M$1&lt;År1,0,L64*(1-VLOOKUP($A65,[1]Hugst!$R$5:$W$9,MATCH(ROUNDUP((M$1)/10,0)*10,[1]Hugst!$R$4:$W$4,0))))</f>
        <v>0</v>
      </c>
      <c r="N65" s="169">
        <f>IF($C65-N$1&lt;År1,0,M64*(1-VLOOKUP($A65,[1]Hugst!$R$5:$W$9,MATCH(ROUNDUP((N$1)/10,0)*10,[1]Hugst!$R$4:$W$4,0))))</f>
        <v>0</v>
      </c>
      <c r="O65" s="169">
        <f>IF($C65-O$1&lt;År1,0,N64*(1-VLOOKUP($A65,[1]Hugst!$R$5:$W$9,MATCH(ROUNDUP((O$1)/10,0)*10,[1]Hugst!$R$4:$W$4,0))))</f>
        <v>0</v>
      </c>
      <c r="P65" s="169">
        <f>IF($C65-P$1&lt;År1,0,O64*(1-VLOOKUP($A65,[1]Hugst!$R$5:$W$9,MATCH(ROUNDUP((P$1)/10,0)*10,[1]Hugst!$R$4:$W$4,0))))</f>
        <v>0</v>
      </c>
      <c r="Q65" s="169">
        <f>IF($C65-Q$1&lt;År1,0,P64*(1-VLOOKUP($A65,[1]Hugst!$R$5:$W$9,MATCH(ROUNDUP((Q$1)/10,0)*10,[1]Hugst!$R$4:$W$4,0))))</f>
        <v>0</v>
      </c>
      <c r="R65" s="169">
        <f>IF($C65-R$1&lt;År1,0,Q64*(1-VLOOKUP($A65,[1]Hugst!$R$5:$W$9,MATCH(ROUNDUP((R$1)/10,0)*10,[1]Hugst!$R$4:$W$4,0))))</f>
        <v>0</v>
      </c>
      <c r="S65" s="169">
        <f>IF($C65-S$1&lt;År1,0,R64*(1-VLOOKUP($A65,[1]Hugst!$R$5:$W$9,MATCH(ROUNDUP((S$1)/10,0)*10,[1]Hugst!$R$4:$W$4,0))))</f>
        <v>0</v>
      </c>
      <c r="T65" s="169">
        <f>IF($C65-T$1&lt;År1,0,S64*(1-VLOOKUP($A65,[1]Hugst!$R$5:$W$9,MATCH(ROUNDUP((T$1)/10,0)*10,[1]Hugst!$R$4:$W$4,0))))</f>
        <v>0</v>
      </c>
      <c r="U65" s="169">
        <f>IF($C65-U$1&lt;År1,0,T64*(1-VLOOKUP($A65,[1]Hugst!$R$5:$W$9,MATCH(ROUNDUP((U$1)/10,0)*10,[1]Hugst!$R$4:$W$4,0))))</f>
        <v>0</v>
      </c>
      <c r="V65" s="169">
        <f>IF($C65-V$1&lt;År1,0,U64*(1-VLOOKUP($A65,[1]Hugst!$R$5:$W$9,MATCH(ROUNDUP((V$1)/10,0)*10,[1]Hugst!$R$4:$W$4,0))))</f>
        <v>0</v>
      </c>
      <c r="W65" s="169">
        <f>IF($C65-W$1&lt;År1,0,V64*(1-VLOOKUP($A65,[1]Hugst!$R$5:$W$9,MATCH(ROUNDUP((W$1)/10,0)*10,[1]Hugst!$R$4:$W$4,0))))</f>
        <v>0</v>
      </c>
      <c r="X65" s="169">
        <f>IF($C65-X$1&lt;År1,0,W64*(1-VLOOKUP($A65,[1]Hugst!$R$5:$W$9,MATCH(ROUNDUP((X$1)/10,0)*10,[1]Hugst!$R$4:$W$4,0))))</f>
        <v>0</v>
      </c>
      <c r="Y65" s="169">
        <f>IF($C65-Y$1&lt;År1,0,X64*(1-VLOOKUP($A65,[1]Hugst!$R$5:$W$9,MATCH(ROUNDUP((Y$1)/10,0)*10,[1]Hugst!$R$4:$W$4,0))))</f>
        <v>0</v>
      </c>
      <c r="Z65" s="169">
        <f>IF($C65-Z$1&lt;År1,0,Y64*(1-VLOOKUP($A65,[1]Hugst!$R$5:$W$9,MATCH(ROUNDUP((Z$1)/10,0)*10,[1]Hugst!$R$4:$W$4,0))))</f>
        <v>0</v>
      </c>
      <c r="AA65" s="169">
        <f>IF($C65-AA$1&lt;År1,0,Z64*(1-VLOOKUP($A65,[1]Hugst!$R$5:$W$9,MATCH(ROUNDUP((AA$1)/10,0)*10,[1]Hugst!$R$4:$W$4,0))))</f>
        <v>0</v>
      </c>
      <c r="AB65" s="169">
        <f>IF($C65-AB$1&lt;År1,0,AA64*(1-VLOOKUP($A65,[1]Hugst!$R$5:$W$9,MATCH(ROUNDUP((AB$1)/10,0)*10,[1]Hugst!$R$4:$W$4,0))))</f>
        <v>0</v>
      </c>
      <c r="AC65" s="169">
        <f>IF($C65-AC$1&lt;År1,0,AB64*(1-VLOOKUP($A65,[1]Hugst!$R$5:$W$9,MATCH(ROUNDUP((AC$1)/10,0)*10,[1]Hugst!$R$4:$W$4,0))))</f>
        <v>0</v>
      </c>
      <c r="AD65" s="169">
        <f>IF($C65-AD$1&lt;År1,0,AC64*(1-VLOOKUP($A65,[1]Hugst!$R$5:$W$9,MATCH(ROUNDUP((AD$1)/10,0)*10,[1]Hugst!$R$4:$W$4,0))))</f>
        <v>0</v>
      </c>
      <c r="AE65" s="169">
        <f>IF($C65-AE$1&lt;År1,0,AD64*(1-VLOOKUP($A65,[1]Hugst!$R$5:$W$9,MATCH(ROUNDUP((AE$1)/10,0)*10,[1]Hugst!$R$4:$W$4,0))))</f>
        <v>0</v>
      </c>
      <c r="AF65" s="169">
        <f>IF($C65-AF$1&lt;År1,0,AE64*(1-VLOOKUP($A65,[1]Hugst!$R$5:$W$9,MATCH(ROUNDUP((AF$1)/10,0)*10,[1]Hugst!$R$4:$W$4,0))))</f>
        <v>0</v>
      </c>
      <c r="AG65" s="169">
        <f>IF($C65-AG$1&lt;År1,0,AF64*(1-VLOOKUP($A65,[1]Hugst!$R$5:$W$9,MATCH(ROUNDUP((AG$1)/10,0)*10,[1]Hugst!$R$4:$W$4,0))))</f>
        <v>0</v>
      </c>
      <c r="AH65" s="169">
        <f>IF($C65-AH$1&lt;År1,0,AG64*(1-VLOOKUP($A65,[1]Hugst!$R$5:$W$9,MATCH(ROUNDUP((AH$1)/10,0)*10,[1]Hugst!$R$4:$W$4,0))))</f>
        <v>0</v>
      </c>
      <c r="AI65" s="169">
        <f>IF($C65-AI$1&lt;År1,0,AH64*(1-VLOOKUP($A65,[1]Hugst!$R$5:$W$9,MATCH(ROUNDUP((AI$1)/10,0)*10,[1]Hugst!$R$4:$W$4,0))))</f>
        <v>0</v>
      </c>
      <c r="AJ65" s="169">
        <f>IF($C65-AJ$1&lt;År1,0,AI64*(1-VLOOKUP($A65,[1]Hugst!$R$5:$W$9,MATCH(ROUNDUP((AJ$1)/10,0)*10,[1]Hugst!$R$4:$W$4,0))))</f>
        <v>0</v>
      </c>
      <c r="AK65" s="169"/>
      <c r="AL65" s="169"/>
      <c r="AM65" s="169"/>
    </row>
    <row r="66" spans="1:39" x14ac:dyDescent="0.25">
      <c r="A66" s="169" t="s">
        <v>177</v>
      </c>
      <c r="B66" s="169" t="s">
        <v>23</v>
      </c>
      <c r="C66" s="169">
        <v>2022</v>
      </c>
      <c r="D66" s="169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0</v>
      </c>
      <c r="E66" s="169">
        <f t="shared" ca="1" si="1"/>
        <v>0</v>
      </c>
      <c r="F66" s="169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9">
        <f ca="1">IF($C66-G$1&lt;År1,0,F65*(1-VLOOKUP($A66,[1]Hugst!$R$5:$W$9,MATCH(ROUNDUP((G$1)/10,0)*10,[1]Hugst!$R$4:$W$4,0))))</f>
        <v>0</v>
      </c>
      <c r="H66" s="169">
        <f ca="1">IF($C66-H$1&lt;År1,0,G65*(1-VLOOKUP($A66,[1]Hugst!$R$5:$W$9,MATCH(ROUNDUP((H$1)/10,0)*10,[1]Hugst!$R$4:$W$4,0))))</f>
        <v>0</v>
      </c>
      <c r="I66" s="169">
        <f>IF($C66-I$1&lt;År1,0,H65*(1-VLOOKUP($A66,[1]Hugst!$R$5:$W$9,MATCH(ROUNDUP((I$1)/10,0)*10,[1]Hugst!$R$4:$W$4,0))))</f>
        <v>0</v>
      </c>
      <c r="J66" s="169">
        <f>IF($C66-J$1&lt;År1,0,I65*(1-VLOOKUP($A66,[1]Hugst!$R$5:$W$9,MATCH(ROUNDUP((J$1)/10,0)*10,[1]Hugst!$R$4:$W$4,0))))</f>
        <v>0</v>
      </c>
      <c r="K66" s="169">
        <f>IF($C66-K$1&lt;År1,0,J65*(1-VLOOKUP($A66,[1]Hugst!$R$5:$W$9,MATCH(ROUNDUP((K$1)/10,0)*10,[1]Hugst!$R$4:$W$4,0))))</f>
        <v>0</v>
      </c>
      <c r="L66" s="169">
        <f>IF($C66-L$1&lt;År1,0,K65*(1-VLOOKUP($A66,[1]Hugst!$R$5:$W$9,MATCH(ROUNDUP((L$1)/10,0)*10,[1]Hugst!$R$4:$W$4,0))))</f>
        <v>0</v>
      </c>
      <c r="M66" s="169">
        <f>IF($C66-M$1&lt;År1,0,L65*(1-VLOOKUP($A66,[1]Hugst!$R$5:$W$9,MATCH(ROUNDUP((M$1)/10,0)*10,[1]Hugst!$R$4:$W$4,0))))</f>
        <v>0</v>
      </c>
      <c r="N66" s="169">
        <f>IF($C66-N$1&lt;År1,0,M65*(1-VLOOKUP($A66,[1]Hugst!$R$5:$W$9,MATCH(ROUNDUP((N$1)/10,0)*10,[1]Hugst!$R$4:$W$4,0))))</f>
        <v>0</v>
      </c>
      <c r="O66" s="169">
        <f>IF($C66-O$1&lt;År1,0,N65*(1-VLOOKUP($A66,[1]Hugst!$R$5:$W$9,MATCH(ROUNDUP((O$1)/10,0)*10,[1]Hugst!$R$4:$W$4,0))))</f>
        <v>0</v>
      </c>
      <c r="P66" s="169">
        <f>IF($C66-P$1&lt;År1,0,O65*(1-VLOOKUP($A66,[1]Hugst!$R$5:$W$9,MATCH(ROUNDUP((P$1)/10,0)*10,[1]Hugst!$R$4:$W$4,0))))</f>
        <v>0</v>
      </c>
      <c r="Q66" s="169">
        <f>IF($C66-Q$1&lt;År1,0,P65*(1-VLOOKUP($A66,[1]Hugst!$R$5:$W$9,MATCH(ROUNDUP((Q$1)/10,0)*10,[1]Hugst!$R$4:$W$4,0))))</f>
        <v>0</v>
      </c>
      <c r="R66" s="169">
        <f>IF($C66-R$1&lt;År1,0,Q65*(1-VLOOKUP($A66,[1]Hugst!$R$5:$W$9,MATCH(ROUNDUP((R$1)/10,0)*10,[1]Hugst!$R$4:$W$4,0))))</f>
        <v>0</v>
      </c>
      <c r="S66" s="169">
        <f>IF($C66-S$1&lt;År1,0,R65*(1-VLOOKUP($A66,[1]Hugst!$R$5:$W$9,MATCH(ROUNDUP((S$1)/10,0)*10,[1]Hugst!$R$4:$W$4,0))))</f>
        <v>0</v>
      </c>
      <c r="T66" s="169">
        <f>IF($C66-T$1&lt;År1,0,S65*(1-VLOOKUP($A66,[1]Hugst!$R$5:$W$9,MATCH(ROUNDUP((T$1)/10,0)*10,[1]Hugst!$R$4:$W$4,0))))</f>
        <v>0</v>
      </c>
      <c r="U66" s="169">
        <f>IF($C66-U$1&lt;År1,0,T65*(1-VLOOKUP($A66,[1]Hugst!$R$5:$W$9,MATCH(ROUNDUP((U$1)/10,0)*10,[1]Hugst!$R$4:$W$4,0))))</f>
        <v>0</v>
      </c>
      <c r="V66" s="169">
        <f>IF($C66-V$1&lt;År1,0,U65*(1-VLOOKUP($A66,[1]Hugst!$R$5:$W$9,MATCH(ROUNDUP((V$1)/10,0)*10,[1]Hugst!$R$4:$W$4,0))))</f>
        <v>0</v>
      </c>
      <c r="W66" s="169">
        <f>IF($C66-W$1&lt;År1,0,V65*(1-VLOOKUP($A66,[1]Hugst!$R$5:$W$9,MATCH(ROUNDUP((W$1)/10,0)*10,[1]Hugst!$R$4:$W$4,0))))</f>
        <v>0</v>
      </c>
      <c r="X66" s="169">
        <f>IF($C66-X$1&lt;År1,0,W65*(1-VLOOKUP($A66,[1]Hugst!$R$5:$W$9,MATCH(ROUNDUP((X$1)/10,0)*10,[1]Hugst!$R$4:$W$4,0))))</f>
        <v>0</v>
      </c>
      <c r="Y66" s="169">
        <f>IF($C66-Y$1&lt;År1,0,X65*(1-VLOOKUP($A66,[1]Hugst!$R$5:$W$9,MATCH(ROUNDUP((Y$1)/10,0)*10,[1]Hugst!$R$4:$W$4,0))))</f>
        <v>0</v>
      </c>
      <c r="Z66" s="169">
        <f>IF($C66-Z$1&lt;År1,0,Y65*(1-VLOOKUP($A66,[1]Hugst!$R$5:$W$9,MATCH(ROUNDUP((Z$1)/10,0)*10,[1]Hugst!$R$4:$W$4,0))))</f>
        <v>0</v>
      </c>
      <c r="AA66" s="169">
        <f>IF($C66-AA$1&lt;År1,0,Z65*(1-VLOOKUP($A66,[1]Hugst!$R$5:$W$9,MATCH(ROUNDUP((AA$1)/10,0)*10,[1]Hugst!$R$4:$W$4,0))))</f>
        <v>0</v>
      </c>
      <c r="AB66" s="169">
        <f>IF($C66-AB$1&lt;År1,0,AA65*(1-VLOOKUP($A66,[1]Hugst!$R$5:$W$9,MATCH(ROUNDUP((AB$1)/10,0)*10,[1]Hugst!$R$4:$W$4,0))))</f>
        <v>0</v>
      </c>
      <c r="AC66" s="169">
        <f>IF($C66-AC$1&lt;År1,0,AB65*(1-VLOOKUP($A66,[1]Hugst!$R$5:$W$9,MATCH(ROUNDUP((AC$1)/10,0)*10,[1]Hugst!$R$4:$W$4,0))))</f>
        <v>0</v>
      </c>
      <c r="AD66" s="169">
        <f>IF($C66-AD$1&lt;År1,0,AC65*(1-VLOOKUP($A66,[1]Hugst!$R$5:$W$9,MATCH(ROUNDUP((AD$1)/10,0)*10,[1]Hugst!$R$4:$W$4,0))))</f>
        <v>0</v>
      </c>
      <c r="AE66" s="169">
        <f>IF($C66-AE$1&lt;År1,0,AD65*(1-VLOOKUP($A66,[1]Hugst!$R$5:$W$9,MATCH(ROUNDUP((AE$1)/10,0)*10,[1]Hugst!$R$4:$W$4,0))))</f>
        <v>0</v>
      </c>
      <c r="AF66" s="169">
        <f>IF($C66-AF$1&lt;År1,0,AE65*(1-VLOOKUP($A66,[1]Hugst!$R$5:$W$9,MATCH(ROUNDUP((AF$1)/10,0)*10,[1]Hugst!$R$4:$W$4,0))))</f>
        <v>0</v>
      </c>
      <c r="AG66" s="169">
        <f>IF($C66-AG$1&lt;År1,0,AF65*(1-VLOOKUP($A66,[1]Hugst!$R$5:$W$9,MATCH(ROUNDUP((AG$1)/10,0)*10,[1]Hugst!$R$4:$W$4,0))))</f>
        <v>0</v>
      </c>
      <c r="AH66" s="169">
        <f>IF($C66-AH$1&lt;År1,0,AG65*(1-VLOOKUP($A66,[1]Hugst!$R$5:$W$9,MATCH(ROUNDUP((AH$1)/10,0)*10,[1]Hugst!$R$4:$W$4,0))))</f>
        <v>0</v>
      </c>
      <c r="AI66" s="169">
        <f>IF($C66-AI$1&lt;År1,0,AH65*(1-VLOOKUP($A66,[1]Hugst!$R$5:$W$9,MATCH(ROUNDUP((AI$1)/10,0)*10,[1]Hugst!$R$4:$W$4,0))))</f>
        <v>0</v>
      </c>
      <c r="AJ66" s="169">
        <f>IF($C66-AJ$1&lt;År1,0,AI65*(1-VLOOKUP($A66,[1]Hugst!$R$5:$W$9,MATCH(ROUNDUP((AJ$1)/10,0)*10,[1]Hugst!$R$4:$W$4,0))))</f>
        <v>0</v>
      </c>
      <c r="AK66" s="169"/>
      <c r="AL66" s="169"/>
      <c r="AM66" s="169"/>
    </row>
    <row r="67" spans="1:39" x14ac:dyDescent="0.25">
      <c r="A67" s="169" t="s">
        <v>177</v>
      </c>
      <c r="B67" s="169" t="s">
        <v>23</v>
      </c>
      <c r="C67" s="169">
        <v>2023</v>
      </c>
      <c r="D67" s="169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0</v>
      </c>
      <c r="E67" s="169">
        <f t="shared" ca="1" si="1"/>
        <v>0</v>
      </c>
      <c r="F67" s="169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9">
        <f ca="1">IF($C67-G$1&lt;År1,0,F66*(1-VLOOKUP($A67,[1]Hugst!$R$5:$W$9,MATCH(ROUNDUP((G$1)/10,0)*10,[1]Hugst!$R$4:$W$4,0))))</f>
        <v>0</v>
      </c>
      <c r="H67" s="169">
        <f ca="1">IF($C67-H$1&lt;År1,0,G66*(1-VLOOKUP($A67,[1]Hugst!$R$5:$W$9,MATCH(ROUNDUP((H$1)/10,0)*10,[1]Hugst!$R$4:$W$4,0))))</f>
        <v>0</v>
      </c>
      <c r="I67" s="169">
        <f ca="1">IF($C67-I$1&lt;År1,0,H66*(1-VLOOKUP($A67,[1]Hugst!$R$5:$W$9,MATCH(ROUNDUP((I$1)/10,0)*10,[1]Hugst!$R$4:$W$4,0))))</f>
        <v>0</v>
      </c>
      <c r="J67" s="169">
        <f>IF($C67-J$1&lt;År1,0,I66*(1-VLOOKUP($A67,[1]Hugst!$R$5:$W$9,MATCH(ROUNDUP((J$1)/10,0)*10,[1]Hugst!$R$4:$W$4,0))))</f>
        <v>0</v>
      </c>
      <c r="K67" s="169">
        <f>IF($C67-K$1&lt;År1,0,J66*(1-VLOOKUP($A67,[1]Hugst!$R$5:$W$9,MATCH(ROUNDUP((K$1)/10,0)*10,[1]Hugst!$R$4:$W$4,0))))</f>
        <v>0</v>
      </c>
      <c r="L67" s="169">
        <f>IF($C67-L$1&lt;År1,0,K66*(1-VLOOKUP($A67,[1]Hugst!$R$5:$W$9,MATCH(ROUNDUP((L$1)/10,0)*10,[1]Hugst!$R$4:$W$4,0))))</f>
        <v>0</v>
      </c>
      <c r="M67" s="169">
        <f>IF($C67-M$1&lt;År1,0,L66*(1-VLOOKUP($A67,[1]Hugst!$R$5:$W$9,MATCH(ROUNDUP((M$1)/10,0)*10,[1]Hugst!$R$4:$W$4,0))))</f>
        <v>0</v>
      </c>
      <c r="N67" s="169">
        <f>IF($C67-N$1&lt;År1,0,M66*(1-VLOOKUP($A67,[1]Hugst!$R$5:$W$9,MATCH(ROUNDUP((N$1)/10,0)*10,[1]Hugst!$R$4:$W$4,0))))</f>
        <v>0</v>
      </c>
      <c r="O67" s="169">
        <f>IF($C67-O$1&lt;År1,0,N66*(1-VLOOKUP($A67,[1]Hugst!$R$5:$W$9,MATCH(ROUNDUP((O$1)/10,0)*10,[1]Hugst!$R$4:$W$4,0))))</f>
        <v>0</v>
      </c>
      <c r="P67" s="169">
        <f>IF($C67-P$1&lt;År1,0,O66*(1-VLOOKUP($A67,[1]Hugst!$R$5:$W$9,MATCH(ROUNDUP((P$1)/10,0)*10,[1]Hugst!$R$4:$W$4,0))))</f>
        <v>0</v>
      </c>
      <c r="Q67" s="169">
        <f>IF($C67-Q$1&lt;År1,0,P66*(1-VLOOKUP($A67,[1]Hugst!$R$5:$W$9,MATCH(ROUNDUP((Q$1)/10,0)*10,[1]Hugst!$R$4:$W$4,0))))</f>
        <v>0</v>
      </c>
      <c r="R67" s="169">
        <f>IF($C67-R$1&lt;År1,0,Q66*(1-VLOOKUP($A67,[1]Hugst!$R$5:$W$9,MATCH(ROUNDUP((R$1)/10,0)*10,[1]Hugst!$R$4:$W$4,0))))</f>
        <v>0</v>
      </c>
      <c r="S67" s="169">
        <f>IF($C67-S$1&lt;År1,0,R66*(1-VLOOKUP($A67,[1]Hugst!$R$5:$W$9,MATCH(ROUNDUP((S$1)/10,0)*10,[1]Hugst!$R$4:$W$4,0))))</f>
        <v>0</v>
      </c>
      <c r="T67" s="169">
        <f>IF($C67-T$1&lt;År1,0,S66*(1-VLOOKUP($A67,[1]Hugst!$R$5:$W$9,MATCH(ROUNDUP((T$1)/10,0)*10,[1]Hugst!$R$4:$W$4,0))))</f>
        <v>0</v>
      </c>
      <c r="U67" s="169">
        <f>IF($C67-U$1&lt;År1,0,T66*(1-VLOOKUP($A67,[1]Hugst!$R$5:$W$9,MATCH(ROUNDUP((U$1)/10,0)*10,[1]Hugst!$R$4:$W$4,0))))</f>
        <v>0</v>
      </c>
      <c r="V67" s="169">
        <f>IF($C67-V$1&lt;År1,0,U66*(1-VLOOKUP($A67,[1]Hugst!$R$5:$W$9,MATCH(ROUNDUP((V$1)/10,0)*10,[1]Hugst!$R$4:$W$4,0))))</f>
        <v>0</v>
      </c>
      <c r="W67" s="169">
        <f>IF($C67-W$1&lt;År1,0,V66*(1-VLOOKUP($A67,[1]Hugst!$R$5:$W$9,MATCH(ROUNDUP((W$1)/10,0)*10,[1]Hugst!$R$4:$W$4,0))))</f>
        <v>0</v>
      </c>
      <c r="X67" s="169">
        <f>IF($C67-X$1&lt;År1,0,W66*(1-VLOOKUP($A67,[1]Hugst!$R$5:$W$9,MATCH(ROUNDUP((X$1)/10,0)*10,[1]Hugst!$R$4:$W$4,0))))</f>
        <v>0</v>
      </c>
      <c r="Y67" s="169">
        <f>IF($C67-Y$1&lt;År1,0,X66*(1-VLOOKUP($A67,[1]Hugst!$R$5:$W$9,MATCH(ROUNDUP((Y$1)/10,0)*10,[1]Hugst!$R$4:$W$4,0))))</f>
        <v>0</v>
      </c>
      <c r="Z67" s="169">
        <f>IF($C67-Z$1&lt;År1,0,Y66*(1-VLOOKUP($A67,[1]Hugst!$R$5:$W$9,MATCH(ROUNDUP((Z$1)/10,0)*10,[1]Hugst!$R$4:$W$4,0))))</f>
        <v>0</v>
      </c>
      <c r="AA67" s="169">
        <f>IF($C67-AA$1&lt;År1,0,Z66*(1-VLOOKUP($A67,[1]Hugst!$R$5:$W$9,MATCH(ROUNDUP((AA$1)/10,0)*10,[1]Hugst!$R$4:$W$4,0))))</f>
        <v>0</v>
      </c>
      <c r="AB67" s="169">
        <f>IF($C67-AB$1&lt;År1,0,AA66*(1-VLOOKUP($A67,[1]Hugst!$R$5:$W$9,MATCH(ROUNDUP((AB$1)/10,0)*10,[1]Hugst!$R$4:$W$4,0))))</f>
        <v>0</v>
      </c>
      <c r="AC67" s="169">
        <f>IF($C67-AC$1&lt;År1,0,AB66*(1-VLOOKUP($A67,[1]Hugst!$R$5:$W$9,MATCH(ROUNDUP((AC$1)/10,0)*10,[1]Hugst!$R$4:$W$4,0))))</f>
        <v>0</v>
      </c>
      <c r="AD67" s="169">
        <f>IF($C67-AD$1&lt;År1,0,AC66*(1-VLOOKUP($A67,[1]Hugst!$R$5:$W$9,MATCH(ROUNDUP((AD$1)/10,0)*10,[1]Hugst!$R$4:$W$4,0))))</f>
        <v>0</v>
      </c>
      <c r="AE67" s="169">
        <f>IF($C67-AE$1&lt;År1,0,AD66*(1-VLOOKUP($A67,[1]Hugst!$R$5:$W$9,MATCH(ROUNDUP((AE$1)/10,0)*10,[1]Hugst!$R$4:$W$4,0))))</f>
        <v>0</v>
      </c>
      <c r="AF67" s="169">
        <f>IF($C67-AF$1&lt;År1,0,AE66*(1-VLOOKUP($A67,[1]Hugst!$R$5:$W$9,MATCH(ROUNDUP((AF$1)/10,0)*10,[1]Hugst!$R$4:$W$4,0))))</f>
        <v>0</v>
      </c>
      <c r="AG67" s="169">
        <f>IF($C67-AG$1&lt;År1,0,AF66*(1-VLOOKUP($A67,[1]Hugst!$R$5:$W$9,MATCH(ROUNDUP((AG$1)/10,0)*10,[1]Hugst!$R$4:$W$4,0))))</f>
        <v>0</v>
      </c>
      <c r="AH67" s="169">
        <f>IF($C67-AH$1&lt;År1,0,AG66*(1-VLOOKUP($A67,[1]Hugst!$R$5:$W$9,MATCH(ROUNDUP((AH$1)/10,0)*10,[1]Hugst!$R$4:$W$4,0))))</f>
        <v>0</v>
      </c>
      <c r="AI67" s="169">
        <f>IF($C67-AI$1&lt;År1,0,AH66*(1-VLOOKUP($A67,[1]Hugst!$R$5:$W$9,MATCH(ROUNDUP((AI$1)/10,0)*10,[1]Hugst!$R$4:$W$4,0))))</f>
        <v>0</v>
      </c>
      <c r="AJ67" s="169">
        <f>IF($C67-AJ$1&lt;År1,0,AI66*(1-VLOOKUP($A67,[1]Hugst!$R$5:$W$9,MATCH(ROUNDUP((AJ$1)/10,0)*10,[1]Hugst!$R$4:$W$4,0))))</f>
        <v>0</v>
      </c>
      <c r="AK67" s="169"/>
      <c r="AL67" s="169"/>
      <c r="AM67" s="169"/>
    </row>
    <row r="68" spans="1:39" x14ac:dyDescent="0.25">
      <c r="A68" s="169" t="s">
        <v>177</v>
      </c>
      <c r="B68" s="169" t="s">
        <v>23</v>
      </c>
      <c r="C68" s="169">
        <v>2024</v>
      </c>
      <c r="D68" s="169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0</v>
      </c>
      <c r="E68" s="169">
        <f t="shared" ca="1" si="1"/>
        <v>0</v>
      </c>
      <c r="F68" s="169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9">
        <f ca="1">IF($C68-G$1&lt;År1,0,F67*(1-VLOOKUP($A68,[1]Hugst!$R$5:$W$9,MATCH(ROUNDUP((G$1)/10,0)*10,[1]Hugst!$R$4:$W$4,0))))</f>
        <v>0</v>
      </c>
      <c r="H68" s="169">
        <f ca="1">IF($C68-H$1&lt;År1,0,G67*(1-VLOOKUP($A68,[1]Hugst!$R$5:$W$9,MATCH(ROUNDUP((H$1)/10,0)*10,[1]Hugst!$R$4:$W$4,0))))</f>
        <v>0</v>
      </c>
      <c r="I68" s="169">
        <f ca="1">IF($C68-I$1&lt;År1,0,H67*(1-VLOOKUP($A68,[1]Hugst!$R$5:$W$9,MATCH(ROUNDUP((I$1)/10,0)*10,[1]Hugst!$R$4:$W$4,0))))</f>
        <v>0</v>
      </c>
      <c r="J68" s="169">
        <f ca="1">IF($C68-J$1&lt;År1,0,I67*(1-VLOOKUP($A68,[1]Hugst!$R$5:$W$9,MATCH(ROUNDUP((J$1)/10,0)*10,[1]Hugst!$R$4:$W$4,0))))</f>
        <v>0</v>
      </c>
      <c r="K68" s="169">
        <f>IF($C68-K$1&lt;År1,0,J67*(1-VLOOKUP($A68,[1]Hugst!$R$5:$W$9,MATCH(ROUNDUP((K$1)/10,0)*10,[1]Hugst!$R$4:$W$4,0))))</f>
        <v>0</v>
      </c>
      <c r="L68" s="169">
        <f>IF($C68-L$1&lt;År1,0,K67*(1-VLOOKUP($A68,[1]Hugst!$R$5:$W$9,MATCH(ROUNDUP((L$1)/10,0)*10,[1]Hugst!$R$4:$W$4,0))))</f>
        <v>0</v>
      </c>
      <c r="M68" s="169">
        <f>IF($C68-M$1&lt;År1,0,L67*(1-VLOOKUP($A68,[1]Hugst!$R$5:$W$9,MATCH(ROUNDUP((M$1)/10,0)*10,[1]Hugst!$R$4:$W$4,0))))</f>
        <v>0</v>
      </c>
      <c r="N68" s="169">
        <f>IF($C68-N$1&lt;År1,0,M67*(1-VLOOKUP($A68,[1]Hugst!$R$5:$W$9,MATCH(ROUNDUP((N$1)/10,0)*10,[1]Hugst!$R$4:$W$4,0))))</f>
        <v>0</v>
      </c>
      <c r="O68" s="169">
        <f>IF($C68-O$1&lt;År1,0,N67*(1-VLOOKUP($A68,[1]Hugst!$R$5:$W$9,MATCH(ROUNDUP((O$1)/10,0)*10,[1]Hugst!$R$4:$W$4,0))))</f>
        <v>0</v>
      </c>
      <c r="P68" s="169">
        <f>IF($C68-P$1&lt;År1,0,O67*(1-VLOOKUP($A68,[1]Hugst!$R$5:$W$9,MATCH(ROUNDUP((P$1)/10,0)*10,[1]Hugst!$R$4:$W$4,0))))</f>
        <v>0</v>
      </c>
      <c r="Q68" s="169">
        <f>IF($C68-Q$1&lt;År1,0,P67*(1-VLOOKUP($A68,[1]Hugst!$R$5:$W$9,MATCH(ROUNDUP((Q$1)/10,0)*10,[1]Hugst!$R$4:$W$4,0))))</f>
        <v>0</v>
      </c>
      <c r="R68" s="169">
        <f>IF($C68-R$1&lt;År1,0,Q67*(1-VLOOKUP($A68,[1]Hugst!$R$5:$W$9,MATCH(ROUNDUP((R$1)/10,0)*10,[1]Hugst!$R$4:$W$4,0))))</f>
        <v>0</v>
      </c>
      <c r="S68" s="169">
        <f>IF($C68-S$1&lt;År1,0,R67*(1-VLOOKUP($A68,[1]Hugst!$R$5:$W$9,MATCH(ROUNDUP((S$1)/10,0)*10,[1]Hugst!$R$4:$W$4,0))))</f>
        <v>0</v>
      </c>
      <c r="T68" s="169">
        <f>IF($C68-T$1&lt;År1,0,S67*(1-VLOOKUP($A68,[1]Hugst!$R$5:$W$9,MATCH(ROUNDUP((T$1)/10,0)*10,[1]Hugst!$R$4:$W$4,0))))</f>
        <v>0</v>
      </c>
      <c r="U68" s="169">
        <f>IF($C68-U$1&lt;År1,0,T67*(1-VLOOKUP($A68,[1]Hugst!$R$5:$W$9,MATCH(ROUNDUP((U$1)/10,0)*10,[1]Hugst!$R$4:$W$4,0))))</f>
        <v>0</v>
      </c>
      <c r="V68" s="169">
        <f>IF($C68-V$1&lt;År1,0,U67*(1-VLOOKUP($A68,[1]Hugst!$R$5:$W$9,MATCH(ROUNDUP((V$1)/10,0)*10,[1]Hugst!$R$4:$W$4,0))))</f>
        <v>0</v>
      </c>
      <c r="W68" s="169">
        <f>IF($C68-W$1&lt;År1,0,V67*(1-VLOOKUP($A68,[1]Hugst!$R$5:$W$9,MATCH(ROUNDUP((W$1)/10,0)*10,[1]Hugst!$R$4:$W$4,0))))</f>
        <v>0</v>
      </c>
      <c r="X68" s="169">
        <f>IF($C68-X$1&lt;År1,0,W67*(1-VLOOKUP($A68,[1]Hugst!$R$5:$W$9,MATCH(ROUNDUP((X$1)/10,0)*10,[1]Hugst!$R$4:$W$4,0))))</f>
        <v>0</v>
      </c>
      <c r="Y68" s="169">
        <f>IF($C68-Y$1&lt;År1,0,X67*(1-VLOOKUP($A68,[1]Hugst!$R$5:$W$9,MATCH(ROUNDUP((Y$1)/10,0)*10,[1]Hugst!$R$4:$W$4,0))))</f>
        <v>0</v>
      </c>
      <c r="Z68" s="169">
        <f>IF($C68-Z$1&lt;År1,0,Y67*(1-VLOOKUP($A68,[1]Hugst!$R$5:$W$9,MATCH(ROUNDUP((Z$1)/10,0)*10,[1]Hugst!$R$4:$W$4,0))))</f>
        <v>0</v>
      </c>
      <c r="AA68" s="169">
        <f>IF($C68-AA$1&lt;År1,0,Z67*(1-VLOOKUP($A68,[1]Hugst!$R$5:$W$9,MATCH(ROUNDUP((AA$1)/10,0)*10,[1]Hugst!$R$4:$W$4,0))))</f>
        <v>0</v>
      </c>
      <c r="AB68" s="169">
        <f>IF($C68-AB$1&lt;År1,0,AA67*(1-VLOOKUP($A68,[1]Hugst!$R$5:$W$9,MATCH(ROUNDUP((AB$1)/10,0)*10,[1]Hugst!$R$4:$W$4,0))))</f>
        <v>0</v>
      </c>
      <c r="AC68" s="169">
        <f>IF($C68-AC$1&lt;År1,0,AB67*(1-VLOOKUP($A68,[1]Hugst!$R$5:$W$9,MATCH(ROUNDUP((AC$1)/10,0)*10,[1]Hugst!$R$4:$W$4,0))))</f>
        <v>0</v>
      </c>
      <c r="AD68" s="169">
        <f>IF($C68-AD$1&lt;År1,0,AC67*(1-VLOOKUP($A68,[1]Hugst!$R$5:$W$9,MATCH(ROUNDUP((AD$1)/10,0)*10,[1]Hugst!$R$4:$W$4,0))))</f>
        <v>0</v>
      </c>
      <c r="AE68" s="169">
        <f>IF($C68-AE$1&lt;År1,0,AD67*(1-VLOOKUP($A68,[1]Hugst!$R$5:$W$9,MATCH(ROUNDUP((AE$1)/10,0)*10,[1]Hugst!$R$4:$W$4,0))))</f>
        <v>0</v>
      </c>
      <c r="AF68" s="169">
        <f>IF($C68-AF$1&lt;År1,0,AE67*(1-VLOOKUP($A68,[1]Hugst!$R$5:$W$9,MATCH(ROUNDUP((AF$1)/10,0)*10,[1]Hugst!$R$4:$W$4,0))))</f>
        <v>0</v>
      </c>
      <c r="AG68" s="169">
        <f>IF($C68-AG$1&lt;År1,0,AF67*(1-VLOOKUP($A68,[1]Hugst!$R$5:$W$9,MATCH(ROUNDUP((AG$1)/10,0)*10,[1]Hugst!$R$4:$W$4,0))))</f>
        <v>0</v>
      </c>
      <c r="AH68" s="169">
        <f>IF($C68-AH$1&lt;År1,0,AG67*(1-VLOOKUP($A68,[1]Hugst!$R$5:$W$9,MATCH(ROUNDUP((AH$1)/10,0)*10,[1]Hugst!$R$4:$W$4,0))))</f>
        <v>0</v>
      </c>
      <c r="AI68" s="169">
        <f>IF($C68-AI$1&lt;År1,0,AH67*(1-VLOOKUP($A68,[1]Hugst!$R$5:$W$9,MATCH(ROUNDUP((AI$1)/10,0)*10,[1]Hugst!$R$4:$W$4,0))))</f>
        <v>0</v>
      </c>
      <c r="AJ68" s="169">
        <f>IF($C68-AJ$1&lt;År1,0,AI67*(1-VLOOKUP($A68,[1]Hugst!$R$5:$W$9,MATCH(ROUNDUP((AJ$1)/10,0)*10,[1]Hugst!$R$4:$W$4,0))))</f>
        <v>0</v>
      </c>
      <c r="AK68" s="169"/>
      <c r="AL68" s="169"/>
      <c r="AM68" s="169"/>
    </row>
    <row r="69" spans="1:39" x14ac:dyDescent="0.25">
      <c r="A69" s="169" t="s">
        <v>177</v>
      </c>
      <c r="B69" s="169" t="s">
        <v>23</v>
      </c>
      <c r="C69" s="169">
        <v>2025</v>
      </c>
      <c r="D69" s="169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0</v>
      </c>
      <c r="E69" s="169">
        <f t="shared" ca="1" si="1"/>
        <v>0</v>
      </c>
      <c r="F69" s="169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9">
        <f ca="1">IF($C69-G$1&lt;År1,0,F68*(1-VLOOKUP($A69,[1]Hugst!$R$5:$W$9,MATCH(ROUNDUP((G$1)/10,0)*10,[1]Hugst!$R$4:$W$4,0))))</f>
        <v>0</v>
      </c>
      <c r="H69" s="169">
        <f ca="1">IF($C69-H$1&lt;År1,0,G68*(1-VLOOKUP($A69,[1]Hugst!$R$5:$W$9,MATCH(ROUNDUP((H$1)/10,0)*10,[1]Hugst!$R$4:$W$4,0))))</f>
        <v>0</v>
      </c>
      <c r="I69" s="169">
        <f ca="1">IF($C69-I$1&lt;År1,0,H68*(1-VLOOKUP($A69,[1]Hugst!$R$5:$W$9,MATCH(ROUNDUP((I$1)/10,0)*10,[1]Hugst!$R$4:$W$4,0))))</f>
        <v>0</v>
      </c>
      <c r="J69" s="169">
        <f ca="1">IF($C69-J$1&lt;År1,0,I68*(1-VLOOKUP($A69,[1]Hugst!$R$5:$W$9,MATCH(ROUNDUP((J$1)/10,0)*10,[1]Hugst!$R$4:$W$4,0))))</f>
        <v>0</v>
      </c>
      <c r="K69" s="169">
        <f ca="1">IF($C69-K$1&lt;År1,0,J68*(1-VLOOKUP($A69,[1]Hugst!$R$5:$W$9,MATCH(ROUNDUP((K$1)/10,0)*10,[1]Hugst!$R$4:$W$4,0))))</f>
        <v>0</v>
      </c>
      <c r="L69" s="169">
        <f>IF($C69-L$1&lt;År1,0,K68*(1-VLOOKUP($A69,[1]Hugst!$R$5:$W$9,MATCH(ROUNDUP((L$1)/10,0)*10,[1]Hugst!$R$4:$W$4,0))))</f>
        <v>0</v>
      </c>
      <c r="M69" s="169">
        <f>IF($C69-M$1&lt;År1,0,L68*(1-VLOOKUP($A69,[1]Hugst!$R$5:$W$9,MATCH(ROUNDUP((M$1)/10,0)*10,[1]Hugst!$R$4:$W$4,0))))</f>
        <v>0</v>
      </c>
      <c r="N69" s="169">
        <f>IF($C69-N$1&lt;År1,0,M68*(1-VLOOKUP($A69,[1]Hugst!$R$5:$W$9,MATCH(ROUNDUP((N$1)/10,0)*10,[1]Hugst!$R$4:$W$4,0))))</f>
        <v>0</v>
      </c>
      <c r="O69" s="169">
        <f>IF($C69-O$1&lt;År1,0,N68*(1-VLOOKUP($A69,[1]Hugst!$R$5:$W$9,MATCH(ROUNDUP((O$1)/10,0)*10,[1]Hugst!$R$4:$W$4,0))))</f>
        <v>0</v>
      </c>
      <c r="P69" s="169">
        <f>IF($C69-P$1&lt;År1,0,O68*(1-VLOOKUP($A69,[1]Hugst!$R$5:$W$9,MATCH(ROUNDUP((P$1)/10,0)*10,[1]Hugst!$R$4:$W$4,0))))</f>
        <v>0</v>
      </c>
      <c r="Q69" s="169">
        <f>IF($C69-Q$1&lt;År1,0,P68*(1-VLOOKUP($A69,[1]Hugst!$R$5:$W$9,MATCH(ROUNDUP((Q$1)/10,0)*10,[1]Hugst!$R$4:$W$4,0))))</f>
        <v>0</v>
      </c>
      <c r="R69" s="169">
        <f>IF($C69-R$1&lt;År1,0,Q68*(1-VLOOKUP($A69,[1]Hugst!$R$5:$W$9,MATCH(ROUNDUP((R$1)/10,0)*10,[1]Hugst!$R$4:$W$4,0))))</f>
        <v>0</v>
      </c>
      <c r="S69" s="169">
        <f>IF($C69-S$1&lt;År1,0,R68*(1-VLOOKUP($A69,[1]Hugst!$R$5:$W$9,MATCH(ROUNDUP((S$1)/10,0)*10,[1]Hugst!$R$4:$W$4,0))))</f>
        <v>0</v>
      </c>
      <c r="T69" s="169">
        <f>IF($C69-T$1&lt;År1,0,S68*(1-VLOOKUP($A69,[1]Hugst!$R$5:$W$9,MATCH(ROUNDUP((T$1)/10,0)*10,[1]Hugst!$R$4:$W$4,0))))</f>
        <v>0</v>
      </c>
      <c r="U69" s="169">
        <f>IF($C69-U$1&lt;År1,0,T68*(1-VLOOKUP($A69,[1]Hugst!$R$5:$W$9,MATCH(ROUNDUP((U$1)/10,0)*10,[1]Hugst!$R$4:$W$4,0))))</f>
        <v>0</v>
      </c>
      <c r="V69" s="169">
        <f>IF($C69-V$1&lt;År1,0,U68*(1-VLOOKUP($A69,[1]Hugst!$R$5:$W$9,MATCH(ROUNDUP((V$1)/10,0)*10,[1]Hugst!$R$4:$W$4,0))))</f>
        <v>0</v>
      </c>
      <c r="W69" s="169">
        <f>IF($C69-W$1&lt;År1,0,V68*(1-VLOOKUP($A69,[1]Hugst!$R$5:$W$9,MATCH(ROUNDUP((W$1)/10,0)*10,[1]Hugst!$R$4:$W$4,0))))</f>
        <v>0</v>
      </c>
      <c r="X69" s="169">
        <f>IF($C69-X$1&lt;År1,0,W68*(1-VLOOKUP($A69,[1]Hugst!$R$5:$W$9,MATCH(ROUNDUP((X$1)/10,0)*10,[1]Hugst!$R$4:$W$4,0))))</f>
        <v>0</v>
      </c>
      <c r="Y69" s="169">
        <f>IF($C69-Y$1&lt;År1,0,X68*(1-VLOOKUP($A69,[1]Hugst!$R$5:$W$9,MATCH(ROUNDUP((Y$1)/10,0)*10,[1]Hugst!$R$4:$W$4,0))))</f>
        <v>0</v>
      </c>
      <c r="Z69" s="169">
        <f>IF($C69-Z$1&lt;År1,0,Y68*(1-VLOOKUP($A69,[1]Hugst!$R$5:$W$9,MATCH(ROUNDUP((Z$1)/10,0)*10,[1]Hugst!$R$4:$W$4,0))))</f>
        <v>0</v>
      </c>
      <c r="AA69" s="169">
        <f>IF($C69-AA$1&lt;År1,0,Z68*(1-VLOOKUP($A69,[1]Hugst!$R$5:$W$9,MATCH(ROUNDUP((AA$1)/10,0)*10,[1]Hugst!$R$4:$W$4,0))))</f>
        <v>0</v>
      </c>
      <c r="AB69" s="169">
        <f>IF($C69-AB$1&lt;År1,0,AA68*(1-VLOOKUP($A69,[1]Hugst!$R$5:$W$9,MATCH(ROUNDUP((AB$1)/10,0)*10,[1]Hugst!$R$4:$W$4,0))))</f>
        <v>0</v>
      </c>
      <c r="AC69" s="169">
        <f>IF($C69-AC$1&lt;År1,0,AB68*(1-VLOOKUP($A69,[1]Hugst!$R$5:$W$9,MATCH(ROUNDUP((AC$1)/10,0)*10,[1]Hugst!$R$4:$W$4,0))))</f>
        <v>0</v>
      </c>
      <c r="AD69" s="169">
        <f>IF($C69-AD$1&lt;År1,0,AC68*(1-VLOOKUP($A69,[1]Hugst!$R$5:$W$9,MATCH(ROUNDUP((AD$1)/10,0)*10,[1]Hugst!$R$4:$W$4,0))))</f>
        <v>0</v>
      </c>
      <c r="AE69" s="169">
        <f>IF($C69-AE$1&lt;År1,0,AD68*(1-VLOOKUP($A69,[1]Hugst!$R$5:$W$9,MATCH(ROUNDUP((AE$1)/10,0)*10,[1]Hugst!$R$4:$W$4,0))))</f>
        <v>0</v>
      </c>
      <c r="AF69" s="169">
        <f>IF($C69-AF$1&lt;År1,0,AE68*(1-VLOOKUP($A69,[1]Hugst!$R$5:$W$9,MATCH(ROUNDUP((AF$1)/10,0)*10,[1]Hugst!$R$4:$W$4,0))))</f>
        <v>0</v>
      </c>
      <c r="AG69" s="169">
        <f>IF($C69-AG$1&lt;År1,0,AF68*(1-VLOOKUP($A69,[1]Hugst!$R$5:$W$9,MATCH(ROUNDUP((AG$1)/10,0)*10,[1]Hugst!$R$4:$W$4,0))))</f>
        <v>0</v>
      </c>
      <c r="AH69" s="169">
        <f>IF($C69-AH$1&lt;År1,0,AG68*(1-VLOOKUP($A69,[1]Hugst!$R$5:$W$9,MATCH(ROUNDUP((AH$1)/10,0)*10,[1]Hugst!$R$4:$W$4,0))))</f>
        <v>0</v>
      </c>
      <c r="AI69" s="169">
        <f>IF($C69-AI$1&lt;År1,0,AH68*(1-VLOOKUP($A69,[1]Hugst!$R$5:$W$9,MATCH(ROUNDUP((AI$1)/10,0)*10,[1]Hugst!$R$4:$W$4,0))))</f>
        <v>0</v>
      </c>
      <c r="AJ69" s="169">
        <f>IF($C69-AJ$1&lt;År1,0,AI68*(1-VLOOKUP($A69,[1]Hugst!$R$5:$W$9,MATCH(ROUNDUP((AJ$1)/10,0)*10,[1]Hugst!$R$4:$W$4,0))))</f>
        <v>0</v>
      </c>
      <c r="AK69" s="169"/>
      <c r="AL69" s="169"/>
      <c r="AM69" s="169"/>
    </row>
    <row r="70" spans="1:39" x14ac:dyDescent="0.25">
      <c r="A70" s="169" t="s">
        <v>177</v>
      </c>
      <c r="B70" s="169" t="s">
        <v>23</v>
      </c>
      <c r="C70" s="169">
        <v>2026</v>
      </c>
      <c r="D70" s="169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0</v>
      </c>
      <c r="E70" s="169">
        <f t="shared" ca="1" si="1"/>
        <v>0</v>
      </c>
      <c r="F70" s="169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9">
        <f ca="1">IF($C70-G$1&lt;År1,0,F69*(1-VLOOKUP($A70,[1]Hugst!$R$5:$W$9,MATCH(ROUNDUP((G$1)/10,0)*10,[1]Hugst!$R$4:$W$4,0))))</f>
        <v>0</v>
      </c>
      <c r="H70" s="169">
        <f ca="1">IF($C70-H$1&lt;År1,0,G69*(1-VLOOKUP($A70,[1]Hugst!$R$5:$W$9,MATCH(ROUNDUP((H$1)/10,0)*10,[1]Hugst!$R$4:$W$4,0))))</f>
        <v>0</v>
      </c>
      <c r="I70" s="169">
        <f ca="1">IF($C70-I$1&lt;År1,0,H69*(1-VLOOKUP($A70,[1]Hugst!$R$5:$W$9,MATCH(ROUNDUP((I$1)/10,0)*10,[1]Hugst!$R$4:$W$4,0))))</f>
        <v>0</v>
      </c>
      <c r="J70" s="169">
        <f ca="1">IF($C70-J$1&lt;År1,0,I69*(1-VLOOKUP($A70,[1]Hugst!$R$5:$W$9,MATCH(ROUNDUP((J$1)/10,0)*10,[1]Hugst!$R$4:$W$4,0))))</f>
        <v>0</v>
      </c>
      <c r="K70" s="169">
        <f ca="1">IF($C70-K$1&lt;År1,0,J69*(1-VLOOKUP($A70,[1]Hugst!$R$5:$W$9,MATCH(ROUNDUP((K$1)/10,0)*10,[1]Hugst!$R$4:$W$4,0))))</f>
        <v>0</v>
      </c>
      <c r="L70" s="169">
        <f ca="1">IF($C70-L$1&lt;År1,0,K69*(1-VLOOKUP($A70,[1]Hugst!$R$5:$W$9,MATCH(ROUNDUP((L$1)/10,0)*10,[1]Hugst!$R$4:$W$4,0))))</f>
        <v>0</v>
      </c>
      <c r="M70" s="169">
        <f>IF($C70-M$1&lt;År1,0,L69*(1-VLOOKUP($A70,[1]Hugst!$R$5:$W$9,MATCH(ROUNDUP((M$1)/10,0)*10,[1]Hugst!$R$4:$W$4,0))))</f>
        <v>0</v>
      </c>
      <c r="N70" s="169">
        <f>IF($C70-N$1&lt;År1,0,M69*(1-VLOOKUP($A70,[1]Hugst!$R$5:$W$9,MATCH(ROUNDUP((N$1)/10,0)*10,[1]Hugst!$R$4:$W$4,0))))</f>
        <v>0</v>
      </c>
      <c r="O70" s="169">
        <f>IF($C70-O$1&lt;År1,0,N69*(1-VLOOKUP($A70,[1]Hugst!$R$5:$W$9,MATCH(ROUNDUP((O$1)/10,0)*10,[1]Hugst!$R$4:$W$4,0))))</f>
        <v>0</v>
      </c>
      <c r="P70" s="169">
        <f>IF($C70-P$1&lt;År1,0,O69*(1-VLOOKUP($A70,[1]Hugst!$R$5:$W$9,MATCH(ROUNDUP((P$1)/10,0)*10,[1]Hugst!$R$4:$W$4,0))))</f>
        <v>0</v>
      </c>
      <c r="Q70" s="169">
        <f>IF($C70-Q$1&lt;År1,0,P69*(1-VLOOKUP($A70,[1]Hugst!$R$5:$W$9,MATCH(ROUNDUP((Q$1)/10,0)*10,[1]Hugst!$R$4:$W$4,0))))</f>
        <v>0</v>
      </c>
      <c r="R70" s="169">
        <f>IF($C70-R$1&lt;År1,0,Q69*(1-VLOOKUP($A70,[1]Hugst!$R$5:$W$9,MATCH(ROUNDUP((R$1)/10,0)*10,[1]Hugst!$R$4:$W$4,0))))</f>
        <v>0</v>
      </c>
      <c r="S70" s="169">
        <f>IF($C70-S$1&lt;År1,0,R69*(1-VLOOKUP($A70,[1]Hugst!$R$5:$W$9,MATCH(ROUNDUP((S$1)/10,0)*10,[1]Hugst!$R$4:$W$4,0))))</f>
        <v>0</v>
      </c>
      <c r="T70" s="169">
        <f>IF($C70-T$1&lt;År1,0,S69*(1-VLOOKUP($A70,[1]Hugst!$R$5:$W$9,MATCH(ROUNDUP((T$1)/10,0)*10,[1]Hugst!$R$4:$W$4,0))))</f>
        <v>0</v>
      </c>
      <c r="U70" s="169">
        <f>IF($C70-U$1&lt;År1,0,T69*(1-VLOOKUP($A70,[1]Hugst!$R$5:$W$9,MATCH(ROUNDUP((U$1)/10,0)*10,[1]Hugst!$R$4:$W$4,0))))</f>
        <v>0</v>
      </c>
      <c r="V70" s="169">
        <f>IF($C70-V$1&lt;År1,0,U69*(1-VLOOKUP($A70,[1]Hugst!$R$5:$W$9,MATCH(ROUNDUP((V$1)/10,0)*10,[1]Hugst!$R$4:$W$4,0))))</f>
        <v>0</v>
      </c>
      <c r="W70" s="169">
        <f>IF($C70-W$1&lt;År1,0,V69*(1-VLOOKUP($A70,[1]Hugst!$R$5:$W$9,MATCH(ROUNDUP((W$1)/10,0)*10,[1]Hugst!$R$4:$W$4,0))))</f>
        <v>0</v>
      </c>
      <c r="X70" s="169">
        <f>IF($C70-X$1&lt;År1,0,W69*(1-VLOOKUP($A70,[1]Hugst!$R$5:$W$9,MATCH(ROUNDUP((X$1)/10,0)*10,[1]Hugst!$R$4:$W$4,0))))</f>
        <v>0</v>
      </c>
      <c r="Y70" s="169">
        <f>IF($C70-Y$1&lt;År1,0,X69*(1-VLOOKUP($A70,[1]Hugst!$R$5:$W$9,MATCH(ROUNDUP((Y$1)/10,0)*10,[1]Hugst!$R$4:$W$4,0))))</f>
        <v>0</v>
      </c>
      <c r="Z70" s="169">
        <f>IF($C70-Z$1&lt;År1,0,Y69*(1-VLOOKUP($A70,[1]Hugst!$R$5:$W$9,MATCH(ROUNDUP((Z$1)/10,0)*10,[1]Hugst!$R$4:$W$4,0))))</f>
        <v>0</v>
      </c>
      <c r="AA70" s="169">
        <f>IF($C70-AA$1&lt;År1,0,Z69*(1-VLOOKUP($A70,[1]Hugst!$R$5:$W$9,MATCH(ROUNDUP((AA$1)/10,0)*10,[1]Hugst!$R$4:$W$4,0))))</f>
        <v>0</v>
      </c>
      <c r="AB70" s="169">
        <f>IF($C70-AB$1&lt;År1,0,AA69*(1-VLOOKUP($A70,[1]Hugst!$R$5:$W$9,MATCH(ROUNDUP((AB$1)/10,0)*10,[1]Hugst!$R$4:$W$4,0))))</f>
        <v>0</v>
      </c>
      <c r="AC70" s="169">
        <f>IF($C70-AC$1&lt;År1,0,AB69*(1-VLOOKUP($A70,[1]Hugst!$R$5:$W$9,MATCH(ROUNDUP((AC$1)/10,0)*10,[1]Hugst!$R$4:$W$4,0))))</f>
        <v>0</v>
      </c>
      <c r="AD70" s="169">
        <f>IF($C70-AD$1&lt;År1,0,AC69*(1-VLOOKUP($A70,[1]Hugst!$R$5:$W$9,MATCH(ROUNDUP((AD$1)/10,0)*10,[1]Hugst!$R$4:$W$4,0))))</f>
        <v>0</v>
      </c>
      <c r="AE70" s="169">
        <f>IF($C70-AE$1&lt;År1,0,AD69*(1-VLOOKUP($A70,[1]Hugst!$R$5:$W$9,MATCH(ROUNDUP((AE$1)/10,0)*10,[1]Hugst!$R$4:$W$4,0))))</f>
        <v>0</v>
      </c>
      <c r="AF70" s="169">
        <f>IF($C70-AF$1&lt;År1,0,AE69*(1-VLOOKUP($A70,[1]Hugst!$R$5:$W$9,MATCH(ROUNDUP((AF$1)/10,0)*10,[1]Hugst!$R$4:$W$4,0))))</f>
        <v>0</v>
      </c>
      <c r="AG70" s="169">
        <f>IF($C70-AG$1&lt;År1,0,AF69*(1-VLOOKUP($A70,[1]Hugst!$R$5:$W$9,MATCH(ROUNDUP((AG$1)/10,0)*10,[1]Hugst!$R$4:$W$4,0))))</f>
        <v>0</v>
      </c>
      <c r="AH70" s="169">
        <f>IF($C70-AH$1&lt;År1,0,AG69*(1-VLOOKUP($A70,[1]Hugst!$R$5:$W$9,MATCH(ROUNDUP((AH$1)/10,0)*10,[1]Hugst!$R$4:$W$4,0))))</f>
        <v>0</v>
      </c>
      <c r="AI70" s="169">
        <f>IF($C70-AI$1&lt;År1,0,AH69*(1-VLOOKUP($A70,[1]Hugst!$R$5:$W$9,MATCH(ROUNDUP((AI$1)/10,0)*10,[1]Hugst!$R$4:$W$4,0))))</f>
        <v>0</v>
      </c>
      <c r="AJ70" s="169">
        <f>IF($C70-AJ$1&lt;År1,0,AI69*(1-VLOOKUP($A70,[1]Hugst!$R$5:$W$9,MATCH(ROUNDUP((AJ$1)/10,0)*10,[1]Hugst!$R$4:$W$4,0))))</f>
        <v>0</v>
      </c>
      <c r="AK70" s="169"/>
      <c r="AL70" s="169"/>
      <c r="AM70" s="169"/>
    </row>
    <row r="71" spans="1:39" x14ac:dyDescent="0.25">
      <c r="A71" s="169" t="s">
        <v>177</v>
      </c>
      <c r="B71" s="169" t="s">
        <v>23</v>
      </c>
      <c r="C71" s="169">
        <v>2027</v>
      </c>
      <c r="D71" s="169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0</v>
      </c>
      <c r="E71" s="169">
        <f t="shared" ca="1" si="1"/>
        <v>0</v>
      </c>
      <c r="F71" s="169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9">
        <f ca="1">IF($C71-G$1&lt;År1,0,F70*(1-VLOOKUP($A71,[1]Hugst!$R$5:$W$9,MATCH(ROUNDUP((G$1)/10,0)*10,[1]Hugst!$R$4:$W$4,0))))</f>
        <v>0</v>
      </c>
      <c r="H71" s="169">
        <f ca="1">IF($C71-H$1&lt;År1,0,G70*(1-VLOOKUP($A71,[1]Hugst!$R$5:$W$9,MATCH(ROUNDUP((H$1)/10,0)*10,[1]Hugst!$R$4:$W$4,0))))</f>
        <v>0</v>
      </c>
      <c r="I71" s="169">
        <f ca="1">IF($C71-I$1&lt;År1,0,H70*(1-VLOOKUP($A71,[1]Hugst!$R$5:$W$9,MATCH(ROUNDUP((I$1)/10,0)*10,[1]Hugst!$R$4:$W$4,0))))</f>
        <v>0</v>
      </c>
      <c r="J71" s="169">
        <f ca="1">IF($C71-J$1&lt;År1,0,I70*(1-VLOOKUP($A71,[1]Hugst!$R$5:$W$9,MATCH(ROUNDUP((J$1)/10,0)*10,[1]Hugst!$R$4:$W$4,0))))</f>
        <v>0</v>
      </c>
      <c r="K71" s="169">
        <f ca="1">IF($C71-K$1&lt;År1,0,J70*(1-VLOOKUP($A71,[1]Hugst!$R$5:$W$9,MATCH(ROUNDUP((K$1)/10,0)*10,[1]Hugst!$R$4:$W$4,0))))</f>
        <v>0</v>
      </c>
      <c r="L71" s="169">
        <f ca="1">IF($C71-L$1&lt;År1,0,K70*(1-VLOOKUP($A71,[1]Hugst!$R$5:$W$9,MATCH(ROUNDUP((L$1)/10,0)*10,[1]Hugst!$R$4:$W$4,0))))</f>
        <v>0</v>
      </c>
      <c r="M71" s="169">
        <f ca="1">IF($C71-M$1&lt;År1,0,L70*(1-VLOOKUP($A71,[1]Hugst!$R$5:$W$9,MATCH(ROUNDUP((M$1)/10,0)*10,[1]Hugst!$R$4:$W$4,0))))</f>
        <v>0</v>
      </c>
      <c r="N71" s="169">
        <f>IF($C71-N$1&lt;År1,0,M70*(1-VLOOKUP($A71,[1]Hugst!$R$5:$W$9,MATCH(ROUNDUP((N$1)/10,0)*10,[1]Hugst!$R$4:$W$4,0))))</f>
        <v>0</v>
      </c>
      <c r="O71" s="169">
        <f>IF($C71-O$1&lt;År1,0,N70*(1-VLOOKUP($A71,[1]Hugst!$R$5:$W$9,MATCH(ROUNDUP((O$1)/10,0)*10,[1]Hugst!$R$4:$W$4,0))))</f>
        <v>0</v>
      </c>
      <c r="P71" s="169">
        <f>IF($C71-P$1&lt;År1,0,O70*(1-VLOOKUP($A71,[1]Hugst!$R$5:$W$9,MATCH(ROUNDUP((P$1)/10,0)*10,[1]Hugst!$R$4:$W$4,0))))</f>
        <v>0</v>
      </c>
      <c r="Q71" s="169">
        <f>IF($C71-Q$1&lt;År1,0,P70*(1-VLOOKUP($A71,[1]Hugst!$R$5:$W$9,MATCH(ROUNDUP((Q$1)/10,0)*10,[1]Hugst!$R$4:$W$4,0))))</f>
        <v>0</v>
      </c>
      <c r="R71" s="169">
        <f>IF($C71-R$1&lt;År1,0,Q70*(1-VLOOKUP($A71,[1]Hugst!$R$5:$W$9,MATCH(ROUNDUP((R$1)/10,0)*10,[1]Hugst!$R$4:$W$4,0))))</f>
        <v>0</v>
      </c>
      <c r="S71" s="169">
        <f>IF($C71-S$1&lt;År1,0,R70*(1-VLOOKUP($A71,[1]Hugst!$R$5:$W$9,MATCH(ROUNDUP((S$1)/10,0)*10,[1]Hugst!$R$4:$W$4,0))))</f>
        <v>0</v>
      </c>
      <c r="T71" s="169">
        <f>IF($C71-T$1&lt;År1,0,S70*(1-VLOOKUP($A71,[1]Hugst!$R$5:$W$9,MATCH(ROUNDUP((T$1)/10,0)*10,[1]Hugst!$R$4:$W$4,0))))</f>
        <v>0</v>
      </c>
      <c r="U71" s="169">
        <f>IF($C71-U$1&lt;År1,0,T70*(1-VLOOKUP($A71,[1]Hugst!$R$5:$W$9,MATCH(ROUNDUP((U$1)/10,0)*10,[1]Hugst!$R$4:$W$4,0))))</f>
        <v>0</v>
      </c>
      <c r="V71" s="169">
        <f>IF($C71-V$1&lt;År1,0,U70*(1-VLOOKUP($A71,[1]Hugst!$R$5:$W$9,MATCH(ROUNDUP((V$1)/10,0)*10,[1]Hugst!$R$4:$W$4,0))))</f>
        <v>0</v>
      </c>
      <c r="W71" s="169">
        <f>IF($C71-W$1&lt;År1,0,V70*(1-VLOOKUP($A71,[1]Hugst!$R$5:$W$9,MATCH(ROUNDUP((W$1)/10,0)*10,[1]Hugst!$R$4:$W$4,0))))</f>
        <v>0</v>
      </c>
      <c r="X71" s="169">
        <f>IF($C71-X$1&lt;År1,0,W70*(1-VLOOKUP($A71,[1]Hugst!$R$5:$W$9,MATCH(ROUNDUP((X$1)/10,0)*10,[1]Hugst!$R$4:$W$4,0))))</f>
        <v>0</v>
      </c>
      <c r="Y71" s="169">
        <f>IF($C71-Y$1&lt;År1,0,X70*(1-VLOOKUP($A71,[1]Hugst!$R$5:$W$9,MATCH(ROUNDUP((Y$1)/10,0)*10,[1]Hugst!$R$4:$W$4,0))))</f>
        <v>0</v>
      </c>
      <c r="Z71" s="169">
        <f>IF($C71-Z$1&lt;År1,0,Y70*(1-VLOOKUP($A71,[1]Hugst!$R$5:$W$9,MATCH(ROUNDUP((Z$1)/10,0)*10,[1]Hugst!$R$4:$W$4,0))))</f>
        <v>0</v>
      </c>
      <c r="AA71" s="169">
        <f>IF($C71-AA$1&lt;År1,0,Z70*(1-VLOOKUP($A71,[1]Hugst!$R$5:$W$9,MATCH(ROUNDUP((AA$1)/10,0)*10,[1]Hugst!$R$4:$W$4,0))))</f>
        <v>0</v>
      </c>
      <c r="AB71" s="169">
        <f>IF($C71-AB$1&lt;År1,0,AA70*(1-VLOOKUP($A71,[1]Hugst!$R$5:$W$9,MATCH(ROUNDUP((AB$1)/10,0)*10,[1]Hugst!$R$4:$W$4,0))))</f>
        <v>0</v>
      </c>
      <c r="AC71" s="169">
        <f>IF($C71-AC$1&lt;År1,0,AB70*(1-VLOOKUP($A71,[1]Hugst!$R$5:$W$9,MATCH(ROUNDUP((AC$1)/10,0)*10,[1]Hugst!$R$4:$W$4,0))))</f>
        <v>0</v>
      </c>
      <c r="AD71" s="169">
        <f>IF($C71-AD$1&lt;År1,0,AC70*(1-VLOOKUP($A71,[1]Hugst!$R$5:$W$9,MATCH(ROUNDUP((AD$1)/10,0)*10,[1]Hugst!$R$4:$W$4,0))))</f>
        <v>0</v>
      </c>
      <c r="AE71" s="169">
        <f>IF($C71-AE$1&lt;År1,0,AD70*(1-VLOOKUP($A71,[1]Hugst!$R$5:$W$9,MATCH(ROUNDUP((AE$1)/10,0)*10,[1]Hugst!$R$4:$W$4,0))))</f>
        <v>0</v>
      </c>
      <c r="AF71" s="169">
        <f>IF($C71-AF$1&lt;År1,0,AE70*(1-VLOOKUP($A71,[1]Hugst!$R$5:$W$9,MATCH(ROUNDUP((AF$1)/10,0)*10,[1]Hugst!$R$4:$W$4,0))))</f>
        <v>0</v>
      </c>
      <c r="AG71" s="169">
        <f>IF($C71-AG$1&lt;År1,0,AF70*(1-VLOOKUP($A71,[1]Hugst!$R$5:$W$9,MATCH(ROUNDUP((AG$1)/10,0)*10,[1]Hugst!$R$4:$W$4,0))))</f>
        <v>0</v>
      </c>
      <c r="AH71" s="169">
        <f>IF($C71-AH$1&lt;År1,0,AG70*(1-VLOOKUP($A71,[1]Hugst!$R$5:$W$9,MATCH(ROUNDUP((AH$1)/10,0)*10,[1]Hugst!$R$4:$W$4,0))))</f>
        <v>0</v>
      </c>
      <c r="AI71" s="169">
        <f>IF($C71-AI$1&lt;År1,0,AH70*(1-VLOOKUP($A71,[1]Hugst!$R$5:$W$9,MATCH(ROUNDUP((AI$1)/10,0)*10,[1]Hugst!$R$4:$W$4,0))))</f>
        <v>0</v>
      </c>
      <c r="AJ71" s="169">
        <f>IF($C71-AJ$1&lt;År1,0,AI70*(1-VLOOKUP($A71,[1]Hugst!$R$5:$W$9,MATCH(ROUNDUP((AJ$1)/10,0)*10,[1]Hugst!$R$4:$W$4,0))))</f>
        <v>0</v>
      </c>
      <c r="AK71" s="169"/>
      <c r="AL71" s="169"/>
      <c r="AM71" s="169"/>
    </row>
    <row r="72" spans="1:39" x14ac:dyDescent="0.25">
      <c r="A72" s="169" t="s">
        <v>177</v>
      </c>
      <c r="B72" s="169" t="s">
        <v>23</v>
      </c>
      <c r="C72" s="169">
        <v>2028</v>
      </c>
      <c r="D72" s="169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0</v>
      </c>
      <c r="E72" s="169">
        <f t="shared" ca="1" si="1"/>
        <v>0</v>
      </c>
      <c r="F72" s="169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9">
        <f ca="1">IF($C72-G$1&lt;År1,0,F71*(1-VLOOKUP($A72,[1]Hugst!$R$5:$W$9,MATCH(ROUNDUP((G$1)/10,0)*10,[1]Hugst!$R$4:$W$4,0))))</f>
        <v>0</v>
      </c>
      <c r="H72" s="169">
        <f ca="1">IF($C72-H$1&lt;År1,0,G71*(1-VLOOKUP($A72,[1]Hugst!$R$5:$W$9,MATCH(ROUNDUP((H$1)/10,0)*10,[1]Hugst!$R$4:$W$4,0))))</f>
        <v>0</v>
      </c>
      <c r="I72" s="169">
        <f ca="1">IF($C72-I$1&lt;År1,0,H71*(1-VLOOKUP($A72,[1]Hugst!$R$5:$W$9,MATCH(ROUNDUP((I$1)/10,0)*10,[1]Hugst!$R$4:$W$4,0))))</f>
        <v>0</v>
      </c>
      <c r="J72" s="169">
        <f ca="1">IF($C72-J$1&lt;År1,0,I71*(1-VLOOKUP($A72,[1]Hugst!$R$5:$W$9,MATCH(ROUNDUP((J$1)/10,0)*10,[1]Hugst!$R$4:$W$4,0))))</f>
        <v>0</v>
      </c>
      <c r="K72" s="169">
        <f ca="1">IF($C72-K$1&lt;År1,0,J71*(1-VLOOKUP($A72,[1]Hugst!$R$5:$W$9,MATCH(ROUNDUP((K$1)/10,0)*10,[1]Hugst!$R$4:$W$4,0))))</f>
        <v>0</v>
      </c>
      <c r="L72" s="169">
        <f ca="1">IF($C72-L$1&lt;År1,0,K71*(1-VLOOKUP($A72,[1]Hugst!$R$5:$W$9,MATCH(ROUNDUP((L$1)/10,0)*10,[1]Hugst!$R$4:$W$4,0))))</f>
        <v>0</v>
      </c>
      <c r="M72" s="169">
        <f ca="1">IF($C72-M$1&lt;År1,0,L71*(1-VLOOKUP($A72,[1]Hugst!$R$5:$W$9,MATCH(ROUNDUP((M$1)/10,0)*10,[1]Hugst!$R$4:$W$4,0))))</f>
        <v>0</v>
      </c>
      <c r="N72" s="169">
        <f ca="1">IF($C72-N$1&lt;År1,0,M71*(1-VLOOKUP($A72,[1]Hugst!$R$5:$W$9,MATCH(ROUNDUP((N$1)/10,0)*10,[1]Hugst!$R$4:$W$4,0))))</f>
        <v>0</v>
      </c>
      <c r="O72" s="169">
        <f>IF($C72-O$1&lt;År1,0,N71*(1-VLOOKUP($A72,[1]Hugst!$R$5:$W$9,MATCH(ROUNDUP((O$1)/10,0)*10,[1]Hugst!$R$4:$W$4,0))))</f>
        <v>0</v>
      </c>
      <c r="P72" s="169">
        <f>IF($C72-P$1&lt;År1,0,O71*(1-VLOOKUP($A72,[1]Hugst!$R$5:$W$9,MATCH(ROUNDUP((P$1)/10,0)*10,[1]Hugst!$R$4:$W$4,0))))</f>
        <v>0</v>
      </c>
      <c r="Q72" s="169">
        <f>IF($C72-Q$1&lt;År1,0,P71*(1-VLOOKUP($A72,[1]Hugst!$R$5:$W$9,MATCH(ROUNDUP((Q$1)/10,0)*10,[1]Hugst!$R$4:$W$4,0))))</f>
        <v>0</v>
      </c>
      <c r="R72" s="169">
        <f>IF($C72-R$1&lt;År1,0,Q71*(1-VLOOKUP($A72,[1]Hugst!$R$5:$W$9,MATCH(ROUNDUP((R$1)/10,0)*10,[1]Hugst!$R$4:$W$4,0))))</f>
        <v>0</v>
      </c>
      <c r="S72" s="169">
        <f>IF($C72-S$1&lt;År1,0,R71*(1-VLOOKUP($A72,[1]Hugst!$R$5:$W$9,MATCH(ROUNDUP((S$1)/10,0)*10,[1]Hugst!$R$4:$W$4,0))))</f>
        <v>0</v>
      </c>
      <c r="T72" s="169">
        <f>IF($C72-T$1&lt;År1,0,S71*(1-VLOOKUP($A72,[1]Hugst!$R$5:$W$9,MATCH(ROUNDUP((T$1)/10,0)*10,[1]Hugst!$R$4:$W$4,0))))</f>
        <v>0</v>
      </c>
      <c r="U72" s="169">
        <f>IF($C72-U$1&lt;År1,0,T71*(1-VLOOKUP($A72,[1]Hugst!$R$5:$W$9,MATCH(ROUNDUP((U$1)/10,0)*10,[1]Hugst!$R$4:$W$4,0))))</f>
        <v>0</v>
      </c>
      <c r="V72" s="169">
        <f>IF($C72-V$1&lt;År1,0,U71*(1-VLOOKUP($A72,[1]Hugst!$R$5:$W$9,MATCH(ROUNDUP((V$1)/10,0)*10,[1]Hugst!$R$4:$W$4,0))))</f>
        <v>0</v>
      </c>
      <c r="W72" s="169">
        <f>IF($C72-W$1&lt;År1,0,V71*(1-VLOOKUP($A72,[1]Hugst!$R$5:$W$9,MATCH(ROUNDUP((W$1)/10,0)*10,[1]Hugst!$R$4:$W$4,0))))</f>
        <v>0</v>
      </c>
      <c r="X72" s="169">
        <f>IF($C72-X$1&lt;År1,0,W71*(1-VLOOKUP($A72,[1]Hugst!$R$5:$W$9,MATCH(ROUNDUP((X$1)/10,0)*10,[1]Hugst!$R$4:$W$4,0))))</f>
        <v>0</v>
      </c>
      <c r="Y72" s="169">
        <f>IF($C72-Y$1&lt;År1,0,X71*(1-VLOOKUP($A72,[1]Hugst!$R$5:$W$9,MATCH(ROUNDUP((Y$1)/10,0)*10,[1]Hugst!$R$4:$W$4,0))))</f>
        <v>0</v>
      </c>
      <c r="Z72" s="169">
        <f>IF($C72-Z$1&lt;År1,0,Y71*(1-VLOOKUP($A72,[1]Hugst!$R$5:$W$9,MATCH(ROUNDUP((Z$1)/10,0)*10,[1]Hugst!$R$4:$W$4,0))))</f>
        <v>0</v>
      </c>
      <c r="AA72" s="169">
        <f>IF($C72-AA$1&lt;År1,0,Z71*(1-VLOOKUP($A72,[1]Hugst!$R$5:$W$9,MATCH(ROUNDUP((AA$1)/10,0)*10,[1]Hugst!$R$4:$W$4,0))))</f>
        <v>0</v>
      </c>
      <c r="AB72" s="169">
        <f>IF($C72-AB$1&lt;År1,0,AA71*(1-VLOOKUP($A72,[1]Hugst!$R$5:$W$9,MATCH(ROUNDUP((AB$1)/10,0)*10,[1]Hugst!$R$4:$W$4,0))))</f>
        <v>0</v>
      </c>
      <c r="AC72" s="169">
        <f>IF($C72-AC$1&lt;År1,0,AB71*(1-VLOOKUP($A72,[1]Hugst!$R$5:$W$9,MATCH(ROUNDUP((AC$1)/10,0)*10,[1]Hugst!$R$4:$W$4,0))))</f>
        <v>0</v>
      </c>
      <c r="AD72" s="169">
        <f>IF($C72-AD$1&lt;År1,0,AC71*(1-VLOOKUP($A72,[1]Hugst!$R$5:$W$9,MATCH(ROUNDUP((AD$1)/10,0)*10,[1]Hugst!$R$4:$W$4,0))))</f>
        <v>0</v>
      </c>
      <c r="AE72" s="169">
        <f>IF($C72-AE$1&lt;År1,0,AD71*(1-VLOOKUP($A72,[1]Hugst!$R$5:$W$9,MATCH(ROUNDUP((AE$1)/10,0)*10,[1]Hugst!$R$4:$W$4,0))))</f>
        <v>0</v>
      </c>
      <c r="AF72" s="169">
        <f>IF($C72-AF$1&lt;År1,0,AE71*(1-VLOOKUP($A72,[1]Hugst!$R$5:$W$9,MATCH(ROUNDUP((AF$1)/10,0)*10,[1]Hugst!$R$4:$W$4,0))))</f>
        <v>0</v>
      </c>
      <c r="AG72" s="169">
        <f>IF($C72-AG$1&lt;År1,0,AF71*(1-VLOOKUP($A72,[1]Hugst!$R$5:$W$9,MATCH(ROUNDUP((AG$1)/10,0)*10,[1]Hugst!$R$4:$W$4,0))))</f>
        <v>0</v>
      </c>
      <c r="AH72" s="169">
        <f>IF($C72-AH$1&lt;År1,0,AG71*(1-VLOOKUP($A72,[1]Hugst!$R$5:$W$9,MATCH(ROUNDUP((AH$1)/10,0)*10,[1]Hugst!$R$4:$W$4,0))))</f>
        <v>0</v>
      </c>
      <c r="AI72" s="169">
        <f>IF($C72-AI$1&lt;År1,0,AH71*(1-VLOOKUP($A72,[1]Hugst!$R$5:$W$9,MATCH(ROUNDUP((AI$1)/10,0)*10,[1]Hugst!$R$4:$W$4,0))))</f>
        <v>0</v>
      </c>
      <c r="AJ72" s="169">
        <f>IF($C72-AJ$1&lt;År1,0,AI71*(1-VLOOKUP($A72,[1]Hugst!$R$5:$W$9,MATCH(ROUNDUP((AJ$1)/10,0)*10,[1]Hugst!$R$4:$W$4,0))))</f>
        <v>0</v>
      </c>
      <c r="AK72" s="169"/>
      <c r="AL72" s="169"/>
      <c r="AM72" s="169"/>
    </row>
    <row r="73" spans="1:39" x14ac:dyDescent="0.25">
      <c r="A73" s="169" t="s">
        <v>177</v>
      </c>
      <c r="B73" s="169" t="s">
        <v>23</v>
      </c>
      <c r="C73" s="169">
        <v>2029</v>
      </c>
      <c r="D73" s="169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0</v>
      </c>
      <c r="E73" s="169">
        <f t="shared" ca="1" si="1"/>
        <v>0</v>
      </c>
      <c r="F73" s="169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9">
        <f ca="1">IF($C73-G$1&lt;År1,0,F72*(1-VLOOKUP($A73,[1]Hugst!$R$5:$W$9,MATCH(ROUNDUP((G$1)/10,0)*10,[1]Hugst!$R$4:$W$4,0))))</f>
        <v>0</v>
      </c>
      <c r="H73" s="169">
        <f ca="1">IF($C73-H$1&lt;År1,0,G72*(1-VLOOKUP($A73,[1]Hugst!$R$5:$W$9,MATCH(ROUNDUP((H$1)/10,0)*10,[1]Hugst!$R$4:$W$4,0))))</f>
        <v>0</v>
      </c>
      <c r="I73" s="169">
        <f ca="1">IF($C73-I$1&lt;År1,0,H72*(1-VLOOKUP($A73,[1]Hugst!$R$5:$W$9,MATCH(ROUNDUP((I$1)/10,0)*10,[1]Hugst!$R$4:$W$4,0))))</f>
        <v>0</v>
      </c>
      <c r="J73" s="169">
        <f ca="1">IF($C73-J$1&lt;År1,0,I72*(1-VLOOKUP($A73,[1]Hugst!$R$5:$W$9,MATCH(ROUNDUP((J$1)/10,0)*10,[1]Hugst!$R$4:$W$4,0))))</f>
        <v>0</v>
      </c>
      <c r="K73" s="169">
        <f ca="1">IF($C73-K$1&lt;År1,0,J72*(1-VLOOKUP($A73,[1]Hugst!$R$5:$W$9,MATCH(ROUNDUP((K$1)/10,0)*10,[1]Hugst!$R$4:$W$4,0))))</f>
        <v>0</v>
      </c>
      <c r="L73" s="169">
        <f ca="1">IF($C73-L$1&lt;År1,0,K72*(1-VLOOKUP($A73,[1]Hugst!$R$5:$W$9,MATCH(ROUNDUP((L$1)/10,0)*10,[1]Hugst!$R$4:$W$4,0))))</f>
        <v>0</v>
      </c>
      <c r="M73" s="169">
        <f ca="1">IF($C73-M$1&lt;År1,0,L72*(1-VLOOKUP($A73,[1]Hugst!$R$5:$W$9,MATCH(ROUNDUP((M$1)/10,0)*10,[1]Hugst!$R$4:$W$4,0))))</f>
        <v>0</v>
      </c>
      <c r="N73" s="169">
        <f ca="1">IF($C73-N$1&lt;År1,0,M72*(1-VLOOKUP($A73,[1]Hugst!$R$5:$W$9,MATCH(ROUNDUP((N$1)/10,0)*10,[1]Hugst!$R$4:$W$4,0))))</f>
        <v>0</v>
      </c>
      <c r="O73" s="169">
        <f ca="1">IF($C73-O$1&lt;År1,0,N72*(1-VLOOKUP($A73,[1]Hugst!$R$5:$W$9,MATCH(ROUNDUP((O$1)/10,0)*10,[1]Hugst!$R$4:$W$4,0))))</f>
        <v>0</v>
      </c>
      <c r="P73" s="169">
        <f>IF($C73-P$1&lt;År1,0,O72*(1-VLOOKUP($A73,[1]Hugst!$R$5:$W$9,MATCH(ROUNDUP((P$1)/10,0)*10,[1]Hugst!$R$4:$W$4,0))))</f>
        <v>0</v>
      </c>
      <c r="Q73" s="169">
        <f>IF($C73-Q$1&lt;År1,0,P72*(1-VLOOKUP($A73,[1]Hugst!$R$5:$W$9,MATCH(ROUNDUP((Q$1)/10,0)*10,[1]Hugst!$R$4:$W$4,0))))</f>
        <v>0</v>
      </c>
      <c r="R73" s="169">
        <f>IF($C73-R$1&lt;År1,0,Q72*(1-VLOOKUP($A73,[1]Hugst!$R$5:$W$9,MATCH(ROUNDUP((R$1)/10,0)*10,[1]Hugst!$R$4:$W$4,0))))</f>
        <v>0</v>
      </c>
      <c r="S73" s="169">
        <f>IF($C73-S$1&lt;År1,0,R72*(1-VLOOKUP($A73,[1]Hugst!$R$5:$W$9,MATCH(ROUNDUP((S$1)/10,0)*10,[1]Hugst!$R$4:$W$4,0))))</f>
        <v>0</v>
      </c>
      <c r="T73" s="169">
        <f>IF($C73-T$1&lt;År1,0,S72*(1-VLOOKUP($A73,[1]Hugst!$R$5:$W$9,MATCH(ROUNDUP((T$1)/10,0)*10,[1]Hugst!$R$4:$W$4,0))))</f>
        <v>0</v>
      </c>
      <c r="U73" s="169">
        <f>IF($C73-U$1&lt;År1,0,T72*(1-VLOOKUP($A73,[1]Hugst!$R$5:$W$9,MATCH(ROUNDUP((U$1)/10,0)*10,[1]Hugst!$R$4:$W$4,0))))</f>
        <v>0</v>
      </c>
      <c r="V73" s="169">
        <f>IF($C73-V$1&lt;År1,0,U72*(1-VLOOKUP($A73,[1]Hugst!$R$5:$W$9,MATCH(ROUNDUP((V$1)/10,0)*10,[1]Hugst!$R$4:$W$4,0))))</f>
        <v>0</v>
      </c>
      <c r="W73" s="169">
        <f>IF($C73-W$1&lt;År1,0,V72*(1-VLOOKUP($A73,[1]Hugst!$R$5:$W$9,MATCH(ROUNDUP((W$1)/10,0)*10,[1]Hugst!$R$4:$W$4,0))))</f>
        <v>0</v>
      </c>
      <c r="X73" s="169">
        <f>IF($C73-X$1&lt;År1,0,W72*(1-VLOOKUP($A73,[1]Hugst!$R$5:$W$9,MATCH(ROUNDUP((X$1)/10,0)*10,[1]Hugst!$R$4:$W$4,0))))</f>
        <v>0</v>
      </c>
      <c r="Y73" s="169">
        <f>IF($C73-Y$1&lt;År1,0,X72*(1-VLOOKUP($A73,[1]Hugst!$R$5:$W$9,MATCH(ROUNDUP((Y$1)/10,0)*10,[1]Hugst!$R$4:$W$4,0))))</f>
        <v>0</v>
      </c>
      <c r="Z73" s="169">
        <f>IF($C73-Z$1&lt;År1,0,Y72*(1-VLOOKUP($A73,[1]Hugst!$R$5:$W$9,MATCH(ROUNDUP((Z$1)/10,0)*10,[1]Hugst!$R$4:$W$4,0))))</f>
        <v>0</v>
      </c>
      <c r="AA73" s="169">
        <f>IF($C73-AA$1&lt;År1,0,Z72*(1-VLOOKUP($A73,[1]Hugst!$R$5:$W$9,MATCH(ROUNDUP((AA$1)/10,0)*10,[1]Hugst!$R$4:$W$4,0))))</f>
        <v>0</v>
      </c>
      <c r="AB73" s="169">
        <f>IF($C73-AB$1&lt;År1,0,AA72*(1-VLOOKUP($A73,[1]Hugst!$R$5:$W$9,MATCH(ROUNDUP((AB$1)/10,0)*10,[1]Hugst!$R$4:$W$4,0))))</f>
        <v>0</v>
      </c>
      <c r="AC73" s="169">
        <f>IF($C73-AC$1&lt;År1,0,AB72*(1-VLOOKUP($A73,[1]Hugst!$R$5:$W$9,MATCH(ROUNDUP((AC$1)/10,0)*10,[1]Hugst!$R$4:$W$4,0))))</f>
        <v>0</v>
      </c>
      <c r="AD73" s="169">
        <f>IF($C73-AD$1&lt;År1,0,AC72*(1-VLOOKUP($A73,[1]Hugst!$R$5:$W$9,MATCH(ROUNDUP((AD$1)/10,0)*10,[1]Hugst!$R$4:$W$4,0))))</f>
        <v>0</v>
      </c>
      <c r="AE73" s="169">
        <f>IF($C73-AE$1&lt;År1,0,AD72*(1-VLOOKUP($A73,[1]Hugst!$R$5:$W$9,MATCH(ROUNDUP((AE$1)/10,0)*10,[1]Hugst!$R$4:$W$4,0))))</f>
        <v>0</v>
      </c>
      <c r="AF73" s="169">
        <f>IF($C73-AF$1&lt;År1,0,AE72*(1-VLOOKUP($A73,[1]Hugst!$R$5:$W$9,MATCH(ROUNDUP((AF$1)/10,0)*10,[1]Hugst!$R$4:$W$4,0))))</f>
        <v>0</v>
      </c>
      <c r="AG73" s="169">
        <f>IF($C73-AG$1&lt;År1,0,AF72*(1-VLOOKUP($A73,[1]Hugst!$R$5:$W$9,MATCH(ROUNDUP((AG$1)/10,0)*10,[1]Hugst!$R$4:$W$4,0))))</f>
        <v>0</v>
      </c>
      <c r="AH73" s="169">
        <f>IF($C73-AH$1&lt;År1,0,AG72*(1-VLOOKUP($A73,[1]Hugst!$R$5:$W$9,MATCH(ROUNDUP((AH$1)/10,0)*10,[1]Hugst!$R$4:$W$4,0))))</f>
        <v>0</v>
      </c>
      <c r="AI73" s="169">
        <f>IF($C73-AI$1&lt;År1,0,AH72*(1-VLOOKUP($A73,[1]Hugst!$R$5:$W$9,MATCH(ROUNDUP((AI$1)/10,0)*10,[1]Hugst!$R$4:$W$4,0))))</f>
        <v>0</v>
      </c>
      <c r="AJ73" s="169">
        <f>IF($C73-AJ$1&lt;År1,0,AI72*(1-VLOOKUP($A73,[1]Hugst!$R$5:$W$9,MATCH(ROUNDUP((AJ$1)/10,0)*10,[1]Hugst!$R$4:$W$4,0))))</f>
        <v>0</v>
      </c>
      <c r="AK73" s="169"/>
      <c r="AL73" s="169"/>
      <c r="AM73" s="169"/>
    </row>
    <row r="74" spans="1:39" x14ac:dyDescent="0.25">
      <c r="A74" s="169" t="s">
        <v>177</v>
      </c>
      <c r="B74" s="169" t="s">
        <v>23</v>
      </c>
      <c r="C74" s="169">
        <v>2030</v>
      </c>
      <c r="D74" s="169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0</v>
      </c>
      <c r="E74" s="169">
        <f t="shared" ca="1" si="1"/>
        <v>0</v>
      </c>
      <c r="F74" s="169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9">
        <f ca="1">IF($C74-G$1&lt;År1,0,F73*(1-VLOOKUP($A74,[1]Hugst!$R$5:$W$9,MATCH(ROUNDUP((G$1)/10,0)*10,[1]Hugst!$R$4:$W$4,0))))</f>
        <v>0</v>
      </c>
      <c r="H74" s="169">
        <f ca="1">IF($C74-H$1&lt;År1,0,G73*(1-VLOOKUP($A74,[1]Hugst!$R$5:$W$9,MATCH(ROUNDUP((H$1)/10,0)*10,[1]Hugst!$R$4:$W$4,0))))</f>
        <v>0</v>
      </c>
      <c r="I74" s="169">
        <f ca="1">IF($C74-I$1&lt;År1,0,H73*(1-VLOOKUP($A74,[1]Hugst!$R$5:$W$9,MATCH(ROUNDUP((I$1)/10,0)*10,[1]Hugst!$R$4:$W$4,0))))</f>
        <v>0</v>
      </c>
      <c r="J74" s="169">
        <f ca="1">IF($C74-J$1&lt;År1,0,I73*(1-VLOOKUP($A74,[1]Hugst!$R$5:$W$9,MATCH(ROUNDUP((J$1)/10,0)*10,[1]Hugst!$R$4:$W$4,0))))</f>
        <v>0</v>
      </c>
      <c r="K74" s="169">
        <f ca="1">IF($C74-K$1&lt;År1,0,J73*(1-VLOOKUP($A74,[1]Hugst!$R$5:$W$9,MATCH(ROUNDUP((K$1)/10,0)*10,[1]Hugst!$R$4:$W$4,0))))</f>
        <v>0</v>
      </c>
      <c r="L74" s="169">
        <f ca="1">IF($C74-L$1&lt;År1,0,K73*(1-VLOOKUP($A74,[1]Hugst!$R$5:$W$9,MATCH(ROUNDUP((L$1)/10,0)*10,[1]Hugst!$R$4:$W$4,0))))</f>
        <v>0</v>
      </c>
      <c r="M74" s="169">
        <f ca="1">IF($C74-M$1&lt;År1,0,L73*(1-VLOOKUP($A74,[1]Hugst!$R$5:$W$9,MATCH(ROUNDUP((M$1)/10,0)*10,[1]Hugst!$R$4:$W$4,0))))</f>
        <v>0</v>
      </c>
      <c r="N74" s="169">
        <f ca="1">IF($C74-N$1&lt;År1,0,M73*(1-VLOOKUP($A74,[1]Hugst!$R$5:$W$9,MATCH(ROUNDUP((N$1)/10,0)*10,[1]Hugst!$R$4:$W$4,0))))</f>
        <v>0</v>
      </c>
      <c r="O74" s="169">
        <f ca="1">IF($C74-O$1&lt;År1,0,N73*(1-VLOOKUP($A74,[1]Hugst!$R$5:$W$9,MATCH(ROUNDUP((O$1)/10,0)*10,[1]Hugst!$R$4:$W$4,0))))</f>
        <v>0</v>
      </c>
      <c r="P74" s="169">
        <f ca="1">IF($C74-P$1&lt;År1,0,O73*(1-VLOOKUP($A74,[1]Hugst!$R$5:$W$9,MATCH(ROUNDUP((P$1)/10,0)*10,[1]Hugst!$R$4:$W$4,0))))</f>
        <v>0</v>
      </c>
      <c r="Q74" s="169">
        <f>IF($C74-Q$1&lt;År1,0,P73*(1-VLOOKUP($A74,[1]Hugst!$R$5:$W$9,MATCH(ROUNDUP((Q$1)/10,0)*10,[1]Hugst!$R$4:$W$4,0))))</f>
        <v>0</v>
      </c>
      <c r="R74" s="169">
        <f>IF($C74-R$1&lt;År1,0,Q73*(1-VLOOKUP($A74,[1]Hugst!$R$5:$W$9,MATCH(ROUNDUP((R$1)/10,0)*10,[1]Hugst!$R$4:$W$4,0))))</f>
        <v>0</v>
      </c>
      <c r="S74" s="169">
        <f>IF($C74-S$1&lt;År1,0,R73*(1-VLOOKUP($A74,[1]Hugst!$R$5:$W$9,MATCH(ROUNDUP((S$1)/10,0)*10,[1]Hugst!$R$4:$W$4,0))))</f>
        <v>0</v>
      </c>
      <c r="T74" s="169">
        <f>IF($C74-T$1&lt;År1,0,S73*(1-VLOOKUP($A74,[1]Hugst!$R$5:$W$9,MATCH(ROUNDUP((T$1)/10,0)*10,[1]Hugst!$R$4:$W$4,0))))</f>
        <v>0</v>
      </c>
      <c r="U74" s="169">
        <f>IF($C74-U$1&lt;År1,0,T73*(1-VLOOKUP($A74,[1]Hugst!$R$5:$W$9,MATCH(ROUNDUP((U$1)/10,0)*10,[1]Hugst!$R$4:$W$4,0))))</f>
        <v>0</v>
      </c>
      <c r="V74" s="169">
        <f>IF($C74-V$1&lt;År1,0,U73*(1-VLOOKUP($A74,[1]Hugst!$R$5:$W$9,MATCH(ROUNDUP((V$1)/10,0)*10,[1]Hugst!$R$4:$W$4,0))))</f>
        <v>0</v>
      </c>
      <c r="W74" s="169">
        <f>IF($C74-W$1&lt;År1,0,V73*(1-VLOOKUP($A74,[1]Hugst!$R$5:$W$9,MATCH(ROUNDUP((W$1)/10,0)*10,[1]Hugst!$R$4:$W$4,0))))</f>
        <v>0</v>
      </c>
      <c r="X74" s="169">
        <f>IF($C74-X$1&lt;År1,0,W73*(1-VLOOKUP($A74,[1]Hugst!$R$5:$W$9,MATCH(ROUNDUP((X$1)/10,0)*10,[1]Hugst!$R$4:$W$4,0))))</f>
        <v>0</v>
      </c>
      <c r="Y74" s="169">
        <f>IF($C74-Y$1&lt;År1,0,X73*(1-VLOOKUP($A74,[1]Hugst!$R$5:$W$9,MATCH(ROUNDUP((Y$1)/10,0)*10,[1]Hugst!$R$4:$W$4,0))))</f>
        <v>0</v>
      </c>
      <c r="Z74" s="169">
        <f>IF($C74-Z$1&lt;År1,0,Y73*(1-VLOOKUP($A74,[1]Hugst!$R$5:$W$9,MATCH(ROUNDUP((Z$1)/10,0)*10,[1]Hugst!$R$4:$W$4,0))))</f>
        <v>0</v>
      </c>
      <c r="AA74" s="169">
        <f>IF($C74-AA$1&lt;År1,0,Z73*(1-VLOOKUP($A74,[1]Hugst!$R$5:$W$9,MATCH(ROUNDUP((AA$1)/10,0)*10,[1]Hugst!$R$4:$W$4,0))))</f>
        <v>0</v>
      </c>
      <c r="AB74" s="169">
        <f>IF($C74-AB$1&lt;År1,0,AA73*(1-VLOOKUP($A74,[1]Hugst!$R$5:$W$9,MATCH(ROUNDUP((AB$1)/10,0)*10,[1]Hugst!$R$4:$W$4,0))))</f>
        <v>0</v>
      </c>
      <c r="AC74" s="169">
        <f>IF($C74-AC$1&lt;År1,0,AB73*(1-VLOOKUP($A74,[1]Hugst!$R$5:$W$9,MATCH(ROUNDUP((AC$1)/10,0)*10,[1]Hugst!$R$4:$W$4,0))))</f>
        <v>0</v>
      </c>
      <c r="AD74" s="169">
        <f>IF($C74-AD$1&lt;År1,0,AC73*(1-VLOOKUP($A74,[1]Hugst!$R$5:$W$9,MATCH(ROUNDUP((AD$1)/10,0)*10,[1]Hugst!$R$4:$W$4,0))))</f>
        <v>0</v>
      </c>
      <c r="AE74" s="169">
        <f>IF($C74-AE$1&lt;År1,0,AD73*(1-VLOOKUP($A74,[1]Hugst!$R$5:$W$9,MATCH(ROUNDUP((AE$1)/10,0)*10,[1]Hugst!$R$4:$W$4,0))))</f>
        <v>0</v>
      </c>
      <c r="AF74" s="169">
        <f>IF($C74-AF$1&lt;År1,0,AE73*(1-VLOOKUP($A74,[1]Hugst!$R$5:$W$9,MATCH(ROUNDUP((AF$1)/10,0)*10,[1]Hugst!$R$4:$W$4,0))))</f>
        <v>0</v>
      </c>
      <c r="AG74" s="169">
        <f>IF($C74-AG$1&lt;År1,0,AF73*(1-VLOOKUP($A74,[1]Hugst!$R$5:$W$9,MATCH(ROUNDUP((AG$1)/10,0)*10,[1]Hugst!$R$4:$W$4,0))))</f>
        <v>0</v>
      </c>
      <c r="AH74" s="169">
        <f>IF($C74-AH$1&lt;År1,0,AG73*(1-VLOOKUP($A74,[1]Hugst!$R$5:$W$9,MATCH(ROUNDUP((AH$1)/10,0)*10,[1]Hugst!$R$4:$W$4,0))))</f>
        <v>0</v>
      </c>
      <c r="AI74" s="169">
        <f>IF($C74-AI$1&lt;År1,0,AH73*(1-VLOOKUP($A74,[1]Hugst!$R$5:$W$9,MATCH(ROUNDUP((AI$1)/10,0)*10,[1]Hugst!$R$4:$W$4,0))))</f>
        <v>0</v>
      </c>
      <c r="AJ74" s="169">
        <f>IF($C74-AJ$1&lt;År1,0,AI73*(1-VLOOKUP($A74,[1]Hugst!$R$5:$W$9,MATCH(ROUNDUP((AJ$1)/10,0)*10,[1]Hugst!$R$4:$W$4,0))))</f>
        <v>0</v>
      </c>
      <c r="AK74" s="169"/>
      <c r="AL74" s="169"/>
      <c r="AM74" s="169"/>
    </row>
    <row r="75" spans="1:39" x14ac:dyDescent="0.25">
      <c r="A75" s="169" t="s">
        <v>177</v>
      </c>
      <c r="B75" s="169" t="s">
        <v>23</v>
      </c>
      <c r="C75" s="169">
        <v>2031</v>
      </c>
      <c r="D75" s="169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0</v>
      </c>
      <c r="E75" s="169">
        <f t="shared" ca="1" si="1"/>
        <v>0</v>
      </c>
      <c r="F75" s="169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9">
        <f ca="1">IF($C75-G$1&lt;År1,0,F74*(1-VLOOKUP($A75,[1]Hugst!$R$5:$W$9,MATCH(ROUNDUP((G$1)/10,0)*10,[1]Hugst!$R$4:$W$4,0))))</f>
        <v>0</v>
      </c>
      <c r="H75" s="169">
        <f ca="1">IF($C75-H$1&lt;År1,0,G74*(1-VLOOKUP($A75,[1]Hugst!$R$5:$W$9,MATCH(ROUNDUP((H$1)/10,0)*10,[1]Hugst!$R$4:$W$4,0))))</f>
        <v>0</v>
      </c>
      <c r="I75" s="169">
        <f ca="1">IF($C75-I$1&lt;År1,0,H74*(1-VLOOKUP($A75,[1]Hugst!$R$5:$W$9,MATCH(ROUNDUP((I$1)/10,0)*10,[1]Hugst!$R$4:$W$4,0))))</f>
        <v>0</v>
      </c>
      <c r="J75" s="169">
        <f ca="1">IF($C75-J$1&lt;År1,0,I74*(1-VLOOKUP($A75,[1]Hugst!$R$5:$W$9,MATCH(ROUNDUP((J$1)/10,0)*10,[1]Hugst!$R$4:$W$4,0))))</f>
        <v>0</v>
      </c>
      <c r="K75" s="169">
        <f ca="1">IF($C75-K$1&lt;År1,0,J74*(1-VLOOKUP($A75,[1]Hugst!$R$5:$W$9,MATCH(ROUNDUP((K$1)/10,0)*10,[1]Hugst!$R$4:$W$4,0))))</f>
        <v>0</v>
      </c>
      <c r="L75" s="169">
        <f ca="1">IF($C75-L$1&lt;År1,0,K74*(1-VLOOKUP($A75,[1]Hugst!$R$5:$W$9,MATCH(ROUNDUP((L$1)/10,0)*10,[1]Hugst!$R$4:$W$4,0))))</f>
        <v>0</v>
      </c>
      <c r="M75" s="169">
        <f ca="1">IF($C75-M$1&lt;År1,0,L74*(1-VLOOKUP($A75,[1]Hugst!$R$5:$W$9,MATCH(ROUNDUP((M$1)/10,0)*10,[1]Hugst!$R$4:$W$4,0))))</f>
        <v>0</v>
      </c>
      <c r="N75" s="169">
        <f ca="1">IF($C75-N$1&lt;År1,0,M74*(1-VLOOKUP($A75,[1]Hugst!$R$5:$W$9,MATCH(ROUNDUP((N$1)/10,0)*10,[1]Hugst!$R$4:$W$4,0))))</f>
        <v>0</v>
      </c>
      <c r="O75" s="169">
        <f ca="1">IF($C75-O$1&lt;År1,0,N74*(1-VLOOKUP($A75,[1]Hugst!$R$5:$W$9,MATCH(ROUNDUP((O$1)/10,0)*10,[1]Hugst!$R$4:$W$4,0))))</f>
        <v>0</v>
      </c>
      <c r="P75" s="169">
        <f ca="1">IF($C75-P$1&lt;År1,0,O74*(1-VLOOKUP($A75,[1]Hugst!$R$5:$W$9,MATCH(ROUNDUP((P$1)/10,0)*10,[1]Hugst!$R$4:$W$4,0))))</f>
        <v>0</v>
      </c>
      <c r="Q75" s="169">
        <f ca="1">IF($C75-Q$1&lt;År1,0,P74*(1-VLOOKUP($A75,[1]Hugst!$R$5:$W$9,MATCH(ROUNDUP((Q$1)/10,0)*10,[1]Hugst!$R$4:$W$4,0))))</f>
        <v>0</v>
      </c>
      <c r="R75" s="169">
        <f>IF($C75-R$1&lt;År1,0,Q74*(1-VLOOKUP($A75,[1]Hugst!$R$5:$W$9,MATCH(ROUNDUP((R$1)/10,0)*10,[1]Hugst!$R$4:$W$4,0))))</f>
        <v>0</v>
      </c>
      <c r="S75" s="169">
        <f>IF($C75-S$1&lt;År1,0,R74*(1-VLOOKUP($A75,[1]Hugst!$R$5:$W$9,MATCH(ROUNDUP((S$1)/10,0)*10,[1]Hugst!$R$4:$W$4,0))))</f>
        <v>0</v>
      </c>
      <c r="T75" s="169">
        <f>IF($C75-T$1&lt;År1,0,S74*(1-VLOOKUP($A75,[1]Hugst!$R$5:$W$9,MATCH(ROUNDUP((T$1)/10,0)*10,[1]Hugst!$R$4:$W$4,0))))</f>
        <v>0</v>
      </c>
      <c r="U75" s="169">
        <f>IF($C75-U$1&lt;År1,0,T74*(1-VLOOKUP($A75,[1]Hugst!$R$5:$W$9,MATCH(ROUNDUP((U$1)/10,0)*10,[1]Hugst!$R$4:$W$4,0))))</f>
        <v>0</v>
      </c>
      <c r="V75" s="169">
        <f>IF($C75-V$1&lt;År1,0,U74*(1-VLOOKUP($A75,[1]Hugst!$R$5:$W$9,MATCH(ROUNDUP((V$1)/10,0)*10,[1]Hugst!$R$4:$W$4,0))))</f>
        <v>0</v>
      </c>
      <c r="W75" s="169">
        <f>IF($C75-W$1&lt;År1,0,V74*(1-VLOOKUP($A75,[1]Hugst!$R$5:$W$9,MATCH(ROUNDUP((W$1)/10,0)*10,[1]Hugst!$R$4:$W$4,0))))</f>
        <v>0</v>
      </c>
      <c r="X75" s="169">
        <f>IF($C75-X$1&lt;År1,0,W74*(1-VLOOKUP($A75,[1]Hugst!$R$5:$W$9,MATCH(ROUNDUP((X$1)/10,0)*10,[1]Hugst!$R$4:$W$4,0))))</f>
        <v>0</v>
      </c>
      <c r="Y75" s="169">
        <f>IF($C75-Y$1&lt;År1,0,X74*(1-VLOOKUP($A75,[1]Hugst!$R$5:$W$9,MATCH(ROUNDUP((Y$1)/10,0)*10,[1]Hugst!$R$4:$W$4,0))))</f>
        <v>0</v>
      </c>
      <c r="Z75" s="169">
        <f>IF($C75-Z$1&lt;År1,0,Y74*(1-VLOOKUP($A75,[1]Hugst!$R$5:$W$9,MATCH(ROUNDUP((Z$1)/10,0)*10,[1]Hugst!$R$4:$W$4,0))))</f>
        <v>0</v>
      </c>
      <c r="AA75" s="169">
        <f>IF($C75-AA$1&lt;År1,0,Z74*(1-VLOOKUP($A75,[1]Hugst!$R$5:$W$9,MATCH(ROUNDUP((AA$1)/10,0)*10,[1]Hugst!$R$4:$W$4,0))))</f>
        <v>0</v>
      </c>
      <c r="AB75" s="169">
        <f>IF($C75-AB$1&lt;År1,0,AA74*(1-VLOOKUP($A75,[1]Hugst!$R$5:$W$9,MATCH(ROUNDUP((AB$1)/10,0)*10,[1]Hugst!$R$4:$W$4,0))))</f>
        <v>0</v>
      </c>
      <c r="AC75" s="169">
        <f>IF($C75-AC$1&lt;År1,0,AB74*(1-VLOOKUP($A75,[1]Hugst!$R$5:$W$9,MATCH(ROUNDUP((AC$1)/10,0)*10,[1]Hugst!$R$4:$W$4,0))))</f>
        <v>0</v>
      </c>
      <c r="AD75" s="169">
        <f>IF($C75-AD$1&lt;År1,0,AC74*(1-VLOOKUP($A75,[1]Hugst!$R$5:$W$9,MATCH(ROUNDUP((AD$1)/10,0)*10,[1]Hugst!$R$4:$W$4,0))))</f>
        <v>0</v>
      </c>
      <c r="AE75" s="169">
        <f>IF($C75-AE$1&lt;År1,0,AD74*(1-VLOOKUP($A75,[1]Hugst!$R$5:$W$9,MATCH(ROUNDUP((AE$1)/10,0)*10,[1]Hugst!$R$4:$W$4,0))))</f>
        <v>0</v>
      </c>
      <c r="AF75" s="169">
        <f>IF($C75-AF$1&lt;År1,0,AE74*(1-VLOOKUP($A75,[1]Hugst!$R$5:$W$9,MATCH(ROUNDUP((AF$1)/10,0)*10,[1]Hugst!$R$4:$W$4,0))))</f>
        <v>0</v>
      </c>
      <c r="AG75" s="169">
        <f>IF($C75-AG$1&lt;År1,0,AF74*(1-VLOOKUP($A75,[1]Hugst!$R$5:$W$9,MATCH(ROUNDUP((AG$1)/10,0)*10,[1]Hugst!$R$4:$W$4,0))))</f>
        <v>0</v>
      </c>
      <c r="AH75" s="169">
        <f>IF($C75-AH$1&lt;År1,0,AG74*(1-VLOOKUP($A75,[1]Hugst!$R$5:$W$9,MATCH(ROUNDUP((AH$1)/10,0)*10,[1]Hugst!$R$4:$W$4,0))))</f>
        <v>0</v>
      </c>
      <c r="AI75" s="169">
        <f>IF($C75-AI$1&lt;År1,0,AH74*(1-VLOOKUP($A75,[1]Hugst!$R$5:$W$9,MATCH(ROUNDUP((AI$1)/10,0)*10,[1]Hugst!$R$4:$W$4,0))))</f>
        <v>0</v>
      </c>
      <c r="AJ75" s="169">
        <f>IF($C75-AJ$1&lt;År1,0,AI74*(1-VLOOKUP($A75,[1]Hugst!$R$5:$W$9,MATCH(ROUNDUP((AJ$1)/10,0)*10,[1]Hugst!$R$4:$W$4,0))))</f>
        <v>0</v>
      </c>
      <c r="AK75" s="169"/>
      <c r="AL75" s="169"/>
      <c r="AM75" s="169"/>
    </row>
    <row r="76" spans="1:39" x14ac:dyDescent="0.25">
      <c r="A76" s="169" t="s">
        <v>177</v>
      </c>
      <c r="B76" s="169" t="s">
        <v>23</v>
      </c>
      <c r="C76" s="169">
        <v>2032</v>
      </c>
      <c r="D76" s="169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0</v>
      </c>
      <c r="E76" s="169">
        <f t="shared" ca="1" si="1"/>
        <v>0</v>
      </c>
      <c r="F76" s="169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9">
        <f ca="1">IF($C76-G$1&lt;År1,0,F75*(1-VLOOKUP($A76,[1]Hugst!$R$5:$W$9,MATCH(ROUNDUP((G$1)/10,0)*10,[1]Hugst!$R$4:$W$4,0))))</f>
        <v>0</v>
      </c>
      <c r="H76" s="169">
        <f ca="1">IF($C76-H$1&lt;År1,0,G75*(1-VLOOKUP($A76,[1]Hugst!$R$5:$W$9,MATCH(ROUNDUP((H$1)/10,0)*10,[1]Hugst!$R$4:$W$4,0))))</f>
        <v>0</v>
      </c>
      <c r="I76" s="169">
        <f ca="1">IF($C76-I$1&lt;År1,0,H75*(1-VLOOKUP($A76,[1]Hugst!$R$5:$W$9,MATCH(ROUNDUP((I$1)/10,0)*10,[1]Hugst!$R$4:$W$4,0))))</f>
        <v>0</v>
      </c>
      <c r="J76" s="169">
        <f ca="1">IF($C76-J$1&lt;År1,0,I75*(1-VLOOKUP($A76,[1]Hugst!$R$5:$W$9,MATCH(ROUNDUP((J$1)/10,0)*10,[1]Hugst!$R$4:$W$4,0))))</f>
        <v>0</v>
      </c>
      <c r="K76" s="169">
        <f ca="1">IF($C76-K$1&lt;År1,0,J75*(1-VLOOKUP($A76,[1]Hugst!$R$5:$W$9,MATCH(ROUNDUP((K$1)/10,0)*10,[1]Hugst!$R$4:$W$4,0))))</f>
        <v>0</v>
      </c>
      <c r="L76" s="169">
        <f ca="1">IF($C76-L$1&lt;År1,0,K75*(1-VLOOKUP($A76,[1]Hugst!$R$5:$W$9,MATCH(ROUNDUP((L$1)/10,0)*10,[1]Hugst!$R$4:$W$4,0))))</f>
        <v>0</v>
      </c>
      <c r="M76" s="169">
        <f ca="1">IF($C76-M$1&lt;År1,0,L75*(1-VLOOKUP($A76,[1]Hugst!$R$5:$W$9,MATCH(ROUNDUP((M$1)/10,0)*10,[1]Hugst!$R$4:$W$4,0))))</f>
        <v>0</v>
      </c>
      <c r="N76" s="169">
        <f ca="1">IF($C76-N$1&lt;År1,0,M75*(1-VLOOKUP($A76,[1]Hugst!$R$5:$W$9,MATCH(ROUNDUP((N$1)/10,0)*10,[1]Hugst!$R$4:$W$4,0))))</f>
        <v>0</v>
      </c>
      <c r="O76" s="169">
        <f ca="1">IF($C76-O$1&lt;År1,0,N75*(1-VLOOKUP($A76,[1]Hugst!$R$5:$W$9,MATCH(ROUNDUP((O$1)/10,0)*10,[1]Hugst!$R$4:$W$4,0))))</f>
        <v>0</v>
      </c>
      <c r="P76" s="169">
        <f ca="1">IF($C76-P$1&lt;År1,0,O75*(1-VLOOKUP($A76,[1]Hugst!$R$5:$W$9,MATCH(ROUNDUP((P$1)/10,0)*10,[1]Hugst!$R$4:$W$4,0))))</f>
        <v>0</v>
      </c>
      <c r="Q76" s="169">
        <f ca="1">IF($C76-Q$1&lt;År1,0,P75*(1-VLOOKUP($A76,[1]Hugst!$R$5:$W$9,MATCH(ROUNDUP((Q$1)/10,0)*10,[1]Hugst!$R$4:$W$4,0))))</f>
        <v>0</v>
      </c>
      <c r="R76" s="169">
        <f ca="1">IF($C76-R$1&lt;År1,0,Q75*(1-VLOOKUP($A76,[1]Hugst!$R$5:$W$9,MATCH(ROUNDUP((R$1)/10,0)*10,[1]Hugst!$R$4:$W$4,0))))</f>
        <v>0</v>
      </c>
      <c r="S76" s="169">
        <f>IF($C76-S$1&lt;År1,0,R75*(1-VLOOKUP($A76,[1]Hugst!$R$5:$W$9,MATCH(ROUNDUP((S$1)/10,0)*10,[1]Hugst!$R$4:$W$4,0))))</f>
        <v>0</v>
      </c>
      <c r="T76" s="169">
        <f>IF($C76-T$1&lt;År1,0,S75*(1-VLOOKUP($A76,[1]Hugst!$R$5:$W$9,MATCH(ROUNDUP((T$1)/10,0)*10,[1]Hugst!$R$4:$W$4,0))))</f>
        <v>0</v>
      </c>
      <c r="U76" s="169">
        <f>IF($C76-U$1&lt;År1,0,T75*(1-VLOOKUP($A76,[1]Hugst!$R$5:$W$9,MATCH(ROUNDUP((U$1)/10,0)*10,[1]Hugst!$R$4:$W$4,0))))</f>
        <v>0</v>
      </c>
      <c r="V76" s="169">
        <f>IF($C76-V$1&lt;År1,0,U75*(1-VLOOKUP($A76,[1]Hugst!$R$5:$W$9,MATCH(ROUNDUP((V$1)/10,0)*10,[1]Hugst!$R$4:$W$4,0))))</f>
        <v>0</v>
      </c>
      <c r="W76" s="169">
        <f>IF($C76-W$1&lt;År1,0,V75*(1-VLOOKUP($A76,[1]Hugst!$R$5:$W$9,MATCH(ROUNDUP((W$1)/10,0)*10,[1]Hugst!$R$4:$W$4,0))))</f>
        <v>0</v>
      </c>
      <c r="X76" s="169">
        <f>IF($C76-X$1&lt;År1,0,W75*(1-VLOOKUP($A76,[1]Hugst!$R$5:$W$9,MATCH(ROUNDUP((X$1)/10,0)*10,[1]Hugst!$R$4:$W$4,0))))</f>
        <v>0</v>
      </c>
      <c r="Y76" s="169">
        <f>IF($C76-Y$1&lt;År1,0,X75*(1-VLOOKUP($A76,[1]Hugst!$R$5:$W$9,MATCH(ROUNDUP((Y$1)/10,0)*10,[1]Hugst!$R$4:$W$4,0))))</f>
        <v>0</v>
      </c>
      <c r="Z76" s="169">
        <f>IF($C76-Z$1&lt;År1,0,Y75*(1-VLOOKUP($A76,[1]Hugst!$R$5:$W$9,MATCH(ROUNDUP((Z$1)/10,0)*10,[1]Hugst!$R$4:$W$4,0))))</f>
        <v>0</v>
      </c>
      <c r="AA76" s="169">
        <f>IF($C76-AA$1&lt;År1,0,Z75*(1-VLOOKUP($A76,[1]Hugst!$R$5:$W$9,MATCH(ROUNDUP((AA$1)/10,0)*10,[1]Hugst!$R$4:$W$4,0))))</f>
        <v>0</v>
      </c>
      <c r="AB76" s="169">
        <f>IF($C76-AB$1&lt;År1,0,AA75*(1-VLOOKUP($A76,[1]Hugst!$R$5:$W$9,MATCH(ROUNDUP((AB$1)/10,0)*10,[1]Hugst!$R$4:$W$4,0))))</f>
        <v>0</v>
      </c>
      <c r="AC76" s="169">
        <f>IF($C76-AC$1&lt;År1,0,AB75*(1-VLOOKUP($A76,[1]Hugst!$R$5:$W$9,MATCH(ROUNDUP((AC$1)/10,0)*10,[1]Hugst!$R$4:$W$4,0))))</f>
        <v>0</v>
      </c>
      <c r="AD76" s="169">
        <f>IF($C76-AD$1&lt;År1,0,AC75*(1-VLOOKUP($A76,[1]Hugst!$R$5:$W$9,MATCH(ROUNDUP((AD$1)/10,0)*10,[1]Hugst!$R$4:$W$4,0))))</f>
        <v>0</v>
      </c>
      <c r="AE76" s="169">
        <f>IF($C76-AE$1&lt;År1,0,AD75*(1-VLOOKUP($A76,[1]Hugst!$R$5:$W$9,MATCH(ROUNDUP((AE$1)/10,0)*10,[1]Hugst!$R$4:$W$4,0))))</f>
        <v>0</v>
      </c>
      <c r="AF76" s="169">
        <f>IF($C76-AF$1&lt;År1,0,AE75*(1-VLOOKUP($A76,[1]Hugst!$R$5:$W$9,MATCH(ROUNDUP((AF$1)/10,0)*10,[1]Hugst!$R$4:$W$4,0))))</f>
        <v>0</v>
      </c>
      <c r="AG76" s="169">
        <f>IF($C76-AG$1&lt;År1,0,AF75*(1-VLOOKUP($A76,[1]Hugst!$R$5:$W$9,MATCH(ROUNDUP((AG$1)/10,0)*10,[1]Hugst!$R$4:$W$4,0))))</f>
        <v>0</v>
      </c>
      <c r="AH76" s="169">
        <f>IF($C76-AH$1&lt;År1,0,AG75*(1-VLOOKUP($A76,[1]Hugst!$R$5:$W$9,MATCH(ROUNDUP((AH$1)/10,0)*10,[1]Hugst!$R$4:$W$4,0))))</f>
        <v>0</v>
      </c>
      <c r="AI76" s="169">
        <f>IF($C76-AI$1&lt;År1,0,AH75*(1-VLOOKUP($A76,[1]Hugst!$R$5:$W$9,MATCH(ROUNDUP((AI$1)/10,0)*10,[1]Hugst!$R$4:$W$4,0))))</f>
        <v>0</v>
      </c>
      <c r="AJ76" s="169">
        <f>IF($C76-AJ$1&lt;År1,0,AI75*(1-VLOOKUP($A76,[1]Hugst!$R$5:$W$9,MATCH(ROUNDUP((AJ$1)/10,0)*10,[1]Hugst!$R$4:$W$4,0))))</f>
        <v>0</v>
      </c>
      <c r="AK76" s="169"/>
      <c r="AL76" s="169"/>
      <c r="AM76" s="169"/>
    </row>
    <row r="77" spans="1:39" x14ac:dyDescent="0.25">
      <c r="A77" s="169" t="s">
        <v>177</v>
      </c>
      <c r="B77" s="169" t="s">
        <v>23</v>
      </c>
      <c r="C77" s="169">
        <v>2033</v>
      </c>
      <c r="D77" s="169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0</v>
      </c>
      <c r="E77" s="169">
        <f t="shared" ca="1" si="1"/>
        <v>0</v>
      </c>
      <c r="F77" s="169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9">
        <f ca="1">IF($C77-G$1&lt;År1,0,F76*(1-VLOOKUP($A77,[1]Hugst!$R$5:$W$9,MATCH(ROUNDUP((G$1)/10,0)*10,[1]Hugst!$R$4:$W$4,0))))</f>
        <v>0</v>
      </c>
      <c r="H77" s="169">
        <f ca="1">IF($C77-H$1&lt;År1,0,G76*(1-VLOOKUP($A77,[1]Hugst!$R$5:$W$9,MATCH(ROUNDUP((H$1)/10,0)*10,[1]Hugst!$R$4:$W$4,0))))</f>
        <v>0</v>
      </c>
      <c r="I77" s="169">
        <f ca="1">IF($C77-I$1&lt;År1,0,H76*(1-VLOOKUP($A77,[1]Hugst!$R$5:$W$9,MATCH(ROUNDUP((I$1)/10,0)*10,[1]Hugst!$R$4:$W$4,0))))</f>
        <v>0</v>
      </c>
      <c r="J77" s="169">
        <f ca="1">IF($C77-J$1&lt;År1,0,I76*(1-VLOOKUP($A77,[1]Hugst!$R$5:$W$9,MATCH(ROUNDUP((J$1)/10,0)*10,[1]Hugst!$R$4:$W$4,0))))</f>
        <v>0</v>
      </c>
      <c r="K77" s="169">
        <f ca="1">IF($C77-K$1&lt;År1,0,J76*(1-VLOOKUP($A77,[1]Hugst!$R$5:$W$9,MATCH(ROUNDUP((K$1)/10,0)*10,[1]Hugst!$R$4:$W$4,0))))</f>
        <v>0</v>
      </c>
      <c r="L77" s="169">
        <f ca="1">IF($C77-L$1&lt;År1,0,K76*(1-VLOOKUP($A77,[1]Hugst!$R$5:$W$9,MATCH(ROUNDUP((L$1)/10,0)*10,[1]Hugst!$R$4:$W$4,0))))</f>
        <v>0</v>
      </c>
      <c r="M77" s="169">
        <f ca="1">IF($C77-M$1&lt;År1,0,L76*(1-VLOOKUP($A77,[1]Hugst!$R$5:$W$9,MATCH(ROUNDUP((M$1)/10,0)*10,[1]Hugst!$R$4:$W$4,0))))</f>
        <v>0</v>
      </c>
      <c r="N77" s="169">
        <f ca="1">IF($C77-N$1&lt;År1,0,M76*(1-VLOOKUP($A77,[1]Hugst!$R$5:$W$9,MATCH(ROUNDUP((N$1)/10,0)*10,[1]Hugst!$R$4:$W$4,0))))</f>
        <v>0</v>
      </c>
      <c r="O77" s="169">
        <f ca="1">IF($C77-O$1&lt;År1,0,N76*(1-VLOOKUP($A77,[1]Hugst!$R$5:$W$9,MATCH(ROUNDUP((O$1)/10,0)*10,[1]Hugst!$R$4:$W$4,0))))</f>
        <v>0</v>
      </c>
      <c r="P77" s="169">
        <f ca="1">IF($C77-P$1&lt;År1,0,O76*(1-VLOOKUP($A77,[1]Hugst!$R$5:$W$9,MATCH(ROUNDUP((P$1)/10,0)*10,[1]Hugst!$R$4:$W$4,0))))</f>
        <v>0</v>
      </c>
      <c r="Q77" s="169">
        <f ca="1">IF($C77-Q$1&lt;År1,0,P76*(1-VLOOKUP($A77,[1]Hugst!$R$5:$W$9,MATCH(ROUNDUP((Q$1)/10,0)*10,[1]Hugst!$R$4:$W$4,0))))</f>
        <v>0</v>
      </c>
      <c r="R77" s="169">
        <f ca="1">IF($C77-R$1&lt;År1,0,Q76*(1-VLOOKUP($A77,[1]Hugst!$R$5:$W$9,MATCH(ROUNDUP((R$1)/10,0)*10,[1]Hugst!$R$4:$W$4,0))))</f>
        <v>0</v>
      </c>
      <c r="S77" s="169">
        <f ca="1">IF($C77-S$1&lt;År1,0,R76*(1-VLOOKUP($A77,[1]Hugst!$R$5:$W$9,MATCH(ROUNDUP((S$1)/10,0)*10,[1]Hugst!$R$4:$W$4,0))))</f>
        <v>0</v>
      </c>
      <c r="T77" s="169">
        <f>IF($C77-T$1&lt;År1,0,S76*(1-VLOOKUP($A77,[1]Hugst!$R$5:$W$9,MATCH(ROUNDUP((T$1)/10,0)*10,[1]Hugst!$R$4:$W$4,0))))</f>
        <v>0</v>
      </c>
      <c r="U77" s="169">
        <f>IF($C77-U$1&lt;År1,0,T76*(1-VLOOKUP($A77,[1]Hugst!$R$5:$W$9,MATCH(ROUNDUP((U$1)/10,0)*10,[1]Hugst!$R$4:$W$4,0))))</f>
        <v>0</v>
      </c>
      <c r="V77" s="169">
        <f>IF($C77-V$1&lt;År1,0,U76*(1-VLOOKUP($A77,[1]Hugst!$R$5:$W$9,MATCH(ROUNDUP((V$1)/10,0)*10,[1]Hugst!$R$4:$W$4,0))))</f>
        <v>0</v>
      </c>
      <c r="W77" s="169">
        <f>IF($C77-W$1&lt;År1,0,V76*(1-VLOOKUP($A77,[1]Hugst!$R$5:$W$9,MATCH(ROUNDUP((W$1)/10,0)*10,[1]Hugst!$R$4:$W$4,0))))</f>
        <v>0</v>
      </c>
      <c r="X77" s="169">
        <f>IF($C77-X$1&lt;År1,0,W76*(1-VLOOKUP($A77,[1]Hugst!$R$5:$W$9,MATCH(ROUNDUP((X$1)/10,0)*10,[1]Hugst!$R$4:$W$4,0))))</f>
        <v>0</v>
      </c>
      <c r="Y77" s="169">
        <f>IF($C77-Y$1&lt;År1,0,X76*(1-VLOOKUP($A77,[1]Hugst!$R$5:$W$9,MATCH(ROUNDUP((Y$1)/10,0)*10,[1]Hugst!$R$4:$W$4,0))))</f>
        <v>0</v>
      </c>
      <c r="Z77" s="169">
        <f>IF($C77-Z$1&lt;År1,0,Y76*(1-VLOOKUP($A77,[1]Hugst!$R$5:$W$9,MATCH(ROUNDUP((Z$1)/10,0)*10,[1]Hugst!$R$4:$W$4,0))))</f>
        <v>0</v>
      </c>
      <c r="AA77" s="169">
        <f>IF($C77-AA$1&lt;År1,0,Z76*(1-VLOOKUP($A77,[1]Hugst!$R$5:$W$9,MATCH(ROUNDUP((AA$1)/10,0)*10,[1]Hugst!$R$4:$W$4,0))))</f>
        <v>0</v>
      </c>
      <c r="AB77" s="169">
        <f>IF($C77-AB$1&lt;År1,0,AA76*(1-VLOOKUP($A77,[1]Hugst!$R$5:$W$9,MATCH(ROUNDUP((AB$1)/10,0)*10,[1]Hugst!$R$4:$W$4,0))))</f>
        <v>0</v>
      </c>
      <c r="AC77" s="169">
        <f>IF($C77-AC$1&lt;År1,0,AB76*(1-VLOOKUP($A77,[1]Hugst!$R$5:$W$9,MATCH(ROUNDUP((AC$1)/10,0)*10,[1]Hugst!$R$4:$W$4,0))))</f>
        <v>0</v>
      </c>
      <c r="AD77" s="169">
        <f>IF($C77-AD$1&lt;År1,0,AC76*(1-VLOOKUP($A77,[1]Hugst!$R$5:$W$9,MATCH(ROUNDUP((AD$1)/10,0)*10,[1]Hugst!$R$4:$W$4,0))))</f>
        <v>0</v>
      </c>
      <c r="AE77" s="169">
        <f>IF($C77-AE$1&lt;År1,0,AD76*(1-VLOOKUP($A77,[1]Hugst!$R$5:$W$9,MATCH(ROUNDUP((AE$1)/10,0)*10,[1]Hugst!$R$4:$W$4,0))))</f>
        <v>0</v>
      </c>
      <c r="AF77" s="169">
        <f>IF($C77-AF$1&lt;År1,0,AE76*(1-VLOOKUP($A77,[1]Hugst!$R$5:$W$9,MATCH(ROUNDUP((AF$1)/10,0)*10,[1]Hugst!$R$4:$W$4,0))))</f>
        <v>0</v>
      </c>
      <c r="AG77" s="169">
        <f>IF($C77-AG$1&lt;År1,0,AF76*(1-VLOOKUP($A77,[1]Hugst!$R$5:$W$9,MATCH(ROUNDUP((AG$1)/10,0)*10,[1]Hugst!$R$4:$W$4,0))))</f>
        <v>0</v>
      </c>
      <c r="AH77" s="169">
        <f>IF($C77-AH$1&lt;År1,0,AG76*(1-VLOOKUP($A77,[1]Hugst!$R$5:$W$9,MATCH(ROUNDUP((AH$1)/10,0)*10,[1]Hugst!$R$4:$W$4,0))))</f>
        <v>0</v>
      </c>
      <c r="AI77" s="169">
        <f>IF($C77-AI$1&lt;År1,0,AH76*(1-VLOOKUP($A77,[1]Hugst!$R$5:$W$9,MATCH(ROUNDUP((AI$1)/10,0)*10,[1]Hugst!$R$4:$W$4,0))))</f>
        <v>0</v>
      </c>
      <c r="AJ77" s="169">
        <f>IF($C77-AJ$1&lt;År1,0,AI76*(1-VLOOKUP($A77,[1]Hugst!$R$5:$W$9,MATCH(ROUNDUP((AJ$1)/10,0)*10,[1]Hugst!$R$4:$W$4,0))))</f>
        <v>0</v>
      </c>
      <c r="AK77" s="169"/>
      <c r="AL77" s="169"/>
      <c r="AM77" s="169"/>
    </row>
    <row r="78" spans="1:39" x14ac:dyDescent="0.25">
      <c r="A78" s="169" t="s">
        <v>177</v>
      </c>
      <c r="B78" s="169" t="s">
        <v>23</v>
      </c>
      <c r="C78" s="169">
        <v>2034</v>
      </c>
      <c r="D78" s="169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0</v>
      </c>
      <c r="E78" s="169">
        <f t="shared" ca="1" si="1"/>
        <v>0</v>
      </c>
      <c r="F78" s="169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9">
        <f ca="1">IF($C78-G$1&lt;År1,0,F77*(1-VLOOKUP($A78,[1]Hugst!$R$5:$W$9,MATCH(ROUNDUP((G$1)/10,0)*10,[1]Hugst!$R$4:$W$4,0))))</f>
        <v>0</v>
      </c>
      <c r="H78" s="169">
        <f ca="1">IF($C78-H$1&lt;År1,0,G77*(1-VLOOKUP($A78,[1]Hugst!$R$5:$W$9,MATCH(ROUNDUP((H$1)/10,0)*10,[1]Hugst!$R$4:$W$4,0))))</f>
        <v>0</v>
      </c>
      <c r="I78" s="169">
        <f ca="1">IF($C78-I$1&lt;År1,0,H77*(1-VLOOKUP($A78,[1]Hugst!$R$5:$W$9,MATCH(ROUNDUP((I$1)/10,0)*10,[1]Hugst!$R$4:$W$4,0))))</f>
        <v>0</v>
      </c>
      <c r="J78" s="169">
        <f ca="1">IF($C78-J$1&lt;År1,0,I77*(1-VLOOKUP($A78,[1]Hugst!$R$5:$W$9,MATCH(ROUNDUP((J$1)/10,0)*10,[1]Hugst!$R$4:$W$4,0))))</f>
        <v>0</v>
      </c>
      <c r="K78" s="169">
        <f ca="1">IF($C78-K$1&lt;År1,0,J77*(1-VLOOKUP($A78,[1]Hugst!$R$5:$W$9,MATCH(ROUNDUP((K$1)/10,0)*10,[1]Hugst!$R$4:$W$4,0))))</f>
        <v>0</v>
      </c>
      <c r="L78" s="169">
        <f ca="1">IF($C78-L$1&lt;År1,0,K77*(1-VLOOKUP($A78,[1]Hugst!$R$5:$W$9,MATCH(ROUNDUP((L$1)/10,0)*10,[1]Hugst!$R$4:$W$4,0))))</f>
        <v>0</v>
      </c>
      <c r="M78" s="169">
        <f ca="1">IF($C78-M$1&lt;År1,0,L77*(1-VLOOKUP($A78,[1]Hugst!$R$5:$W$9,MATCH(ROUNDUP((M$1)/10,0)*10,[1]Hugst!$R$4:$W$4,0))))</f>
        <v>0</v>
      </c>
      <c r="N78" s="169">
        <f ca="1">IF($C78-N$1&lt;År1,0,M77*(1-VLOOKUP($A78,[1]Hugst!$R$5:$W$9,MATCH(ROUNDUP((N$1)/10,0)*10,[1]Hugst!$R$4:$W$4,0))))</f>
        <v>0</v>
      </c>
      <c r="O78" s="169">
        <f ca="1">IF($C78-O$1&lt;År1,0,N77*(1-VLOOKUP($A78,[1]Hugst!$R$5:$W$9,MATCH(ROUNDUP((O$1)/10,0)*10,[1]Hugst!$R$4:$W$4,0))))</f>
        <v>0</v>
      </c>
      <c r="P78" s="169">
        <f ca="1">IF($C78-P$1&lt;År1,0,O77*(1-VLOOKUP($A78,[1]Hugst!$R$5:$W$9,MATCH(ROUNDUP((P$1)/10,0)*10,[1]Hugst!$R$4:$W$4,0))))</f>
        <v>0</v>
      </c>
      <c r="Q78" s="169">
        <f ca="1">IF($C78-Q$1&lt;År1,0,P77*(1-VLOOKUP($A78,[1]Hugst!$R$5:$W$9,MATCH(ROUNDUP((Q$1)/10,0)*10,[1]Hugst!$R$4:$W$4,0))))</f>
        <v>0</v>
      </c>
      <c r="R78" s="169">
        <f ca="1">IF($C78-R$1&lt;År1,0,Q77*(1-VLOOKUP($A78,[1]Hugst!$R$5:$W$9,MATCH(ROUNDUP((R$1)/10,0)*10,[1]Hugst!$R$4:$W$4,0))))</f>
        <v>0</v>
      </c>
      <c r="S78" s="169">
        <f ca="1">IF($C78-S$1&lt;År1,0,R77*(1-VLOOKUP($A78,[1]Hugst!$R$5:$W$9,MATCH(ROUNDUP((S$1)/10,0)*10,[1]Hugst!$R$4:$W$4,0))))</f>
        <v>0</v>
      </c>
      <c r="T78" s="169">
        <f ca="1">IF($C78-T$1&lt;År1,0,S77*(1-VLOOKUP($A78,[1]Hugst!$R$5:$W$9,MATCH(ROUNDUP((T$1)/10,0)*10,[1]Hugst!$R$4:$W$4,0))))</f>
        <v>0</v>
      </c>
      <c r="U78" s="169">
        <f>IF($C78-U$1&lt;År1,0,T77*(1-VLOOKUP($A78,[1]Hugst!$R$5:$W$9,MATCH(ROUNDUP((U$1)/10,0)*10,[1]Hugst!$R$4:$W$4,0))))</f>
        <v>0</v>
      </c>
      <c r="V78" s="169">
        <f>IF($C78-V$1&lt;År1,0,U77*(1-VLOOKUP($A78,[1]Hugst!$R$5:$W$9,MATCH(ROUNDUP((V$1)/10,0)*10,[1]Hugst!$R$4:$W$4,0))))</f>
        <v>0</v>
      </c>
      <c r="W78" s="169">
        <f>IF($C78-W$1&lt;År1,0,V77*(1-VLOOKUP($A78,[1]Hugst!$R$5:$W$9,MATCH(ROUNDUP((W$1)/10,0)*10,[1]Hugst!$R$4:$W$4,0))))</f>
        <v>0</v>
      </c>
      <c r="X78" s="169">
        <f>IF($C78-X$1&lt;År1,0,W77*(1-VLOOKUP($A78,[1]Hugst!$R$5:$W$9,MATCH(ROUNDUP((X$1)/10,0)*10,[1]Hugst!$R$4:$W$4,0))))</f>
        <v>0</v>
      </c>
      <c r="Y78" s="169">
        <f>IF($C78-Y$1&lt;År1,0,X77*(1-VLOOKUP($A78,[1]Hugst!$R$5:$W$9,MATCH(ROUNDUP((Y$1)/10,0)*10,[1]Hugst!$R$4:$W$4,0))))</f>
        <v>0</v>
      </c>
      <c r="Z78" s="169">
        <f>IF($C78-Z$1&lt;År1,0,Y77*(1-VLOOKUP($A78,[1]Hugst!$R$5:$W$9,MATCH(ROUNDUP((Z$1)/10,0)*10,[1]Hugst!$R$4:$W$4,0))))</f>
        <v>0</v>
      </c>
      <c r="AA78" s="169">
        <f>IF($C78-AA$1&lt;År1,0,Z77*(1-VLOOKUP($A78,[1]Hugst!$R$5:$W$9,MATCH(ROUNDUP((AA$1)/10,0)*10,[1]Hugst!$R$4:$W$4,0))))</f>
        <v>0</v>
      </c>
      <c r="AB78" s="169">
        <f>IF($C78-AB$1&lt;År1,0,AA77*(1-VLOOKUP($A78,[1]Hugst!$R$5:$W$9,MATCH(ROUNDUP((AB$1)/10,0)*10,[1]Hugst!$R$4:$W$4,0))))</f>
        <v>0</v>
      </c>
      <c r="AC78" s="169">
        <f>IF($C78-AC$1&lt;År1,0,AB77*(1-VLOOKUP($A78,[1]Hugst!$R$5:$W$9,MATCH(ROUNDUP((AC$1)/10,0)*10,[1]Hugst!$R$4:$W$4,0))))</f>
        <v>0</v>
      </c>
      <c r="AD78" s="169">
        <f>IF($C78-AD$1&lt;År1,0,AC77*(1-VLOOKUP($A78,[1]Hugst!$R$5:$W$9,MATCH(ROUNDUP((AD$1)/10,0)*10,[1]Hugst!$R$4:$W$4,0))))</f>
        <v>0</v>
      </c>
      <c r="AE78" s="169">
        <f>IF($C78-AE$1&lt;År1,0,AD77*(1-VLOOKUP($A78,[1]Hugst!$R$5:$W$9,MATCH(ROUNDUP((AE$1)/10,0)*10,[1]Hugst!$R$4:$W$4,0))))</f>
        <v>0</v>
      </c>
      <c r="AF78" s="169">
        <f>IF($C78-AF$1&lt;År1,0,AE77*(1-VLOOKUP($A78,[1]Hugst!$R$5:$W$9,MATCH(ROUNDUP((AF$1)/10,0)*10,[1]Hugst!$R$4:$W$4,0))))</f>
        <v>0</v>
      </c>
      <c r="AG78" s="169">
        <f>IF($C78-AG$1&lt;År1,0,AF77*(1-VLOOKUP($A78,[1]Hugst!$R$5:$W$9,MATCH(ROUNDUP((AG$1)/10,0)*10,[1]Hugst!$R$4:$W$4,0))))</f>
        <v>0</v>
      </c>
      <c r="AH78" s="169">
        <f>IF($C78-AH$1&lt;År1,0,AG77*(1-VLOOKUP($A78,[1]Hugst!$R$5:$W$9,MATCH(ROUNDUP((AH$1)/10,0)*10,[1]Hugst!$R$4:$W$4,0))))</f>
        <v>0</v>
      </c>
      <c r="AI78" s="169">
        <f>IF($C78-AI$1&lt;År1,0,AH77*(1-VLOOKUP($A78,[1]Hugst!$R$5:$W$9,MATCH(ROUNDUP((AI$1)/10,0)*10,[1]Hugst!$R$4:$W$4,0))))</f>
        <v>0</v>
      </c>
      <c r="AJ78" s="169">
        <f>IF($C78-AJ$1&lt;År1,0,AI77*(1-VLOOKUP($A78,[1]Hugst!$R$5:$W$9,MATCH(ROUNDUP((AJ$1)/10,0)*10,[1]Hugst!$R$4:$W$4,0))))</f>
        <v>0</v>
      </c>
      <c r="AK78" s="169"/>
      <c r="AL78" s="169"/>
      <c r="AM78" s="169"/>
    </row>
    <row r="79" spans="1:39" x14ac:dyDescent="0.25">
      <c r="A79" s="169" t="s">
        <v>177</v>
      </c>
      <c r="B79" s="169" t="s">
        <v>23</v>
      </c>
      <c r="C79" s="169">
        <v>2035</v>
      </c>
      <c r="D79" s="169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0</v>
      </c>
      <c r="E79" s="169">
        <f t="shared" ca="1" si="1"/>
        <v>0</v>
      </c>
      <c r="F79" s="169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9">
        <f ca="1">IF($C79-G$1&lt;År1,0,F78*(1-VLOOKUP($A79,[1]Hugst!$R$5:$W$9,MATCH(ROUNDUP((G$1)/10,0)*10,[1]Hugst!$R$4:$W$4,0))))</f>
        <v>0</v>
      </c>
      <c r="H79" s="169">
        <f ca="1">IF($C79-H$1&lt;År1,0,G78*(1-VLOOKUP($A79,[1]Hugst!$R$5:$W$9,MATCH(ROUNDUP((H$1)/10,0)*10,[1]Hugst!$R$4:$W$4,0))))</f>
        <v>0</v>
      </c>
      <c r="I79" s="169">
        <f ca="1">IF($C79-I$1&lt;År1,0,H78*(1-VLOOKUP($A79,[1]Hugst!$R$5:$W$9,MATCH(ROUNDUP((I$1)/10,0)*10,[1]Hugst!$R$4:$W$4,0))))</f>
        <v>0</v>
      </c>
      <c r="J79" s="169">
        <f ca="1">IF($C79-J$1&lt;År1,0,I78*(1-VLOOKUP($A79,[1]Hugst!$R$5:$W$9,MATCH(ROUNDUP((J$1)/10,0)*10,[1]Hugst!$R$4:$W$4,0))))</f>
        <v>0</v>
      </c>
      <c r="K79" s="169">
        <f ca="1">IF($C79-K$1&lt;År1,0,J78*(1-VLOOKUP($A79,[1]Hugst!$R$5:$W$9,MATCH(ROUNDUP((K$1)/10,0)*10,[1]Hugst!$R$4:$W$4,0))))</f>
        <v>0</v>
      </c>
      <c r="L79" s="169">
        <f ca="1">IF($C79-L$1&lt;År1,0,K78*(1-VLOOKUP($A79,[1]Hugst!$R$5:$W$9,MATCH(ROUNDUP((L$1)/10,0)*10,[1]Hugst!$R$4:$W$4,0))))</f>
        <v>0</v>
      </c>
      <c r="M79" s="169">
        <f ca="1">IF($C79-M$1&lt;År1,0,L78*(1-VLOOKUP($A79,[1]Hugst!$R$5:$W$9,MATCH(ROUNDUP((M$1)/10,0)*10,[1]Hugst!$R$4:$W$4,0))))</f>
        <v>0</v>
      </c>
      <c r="N79" s="169">
        <f ca="1">IF($C79-N$1&lt;År1,0,M78*(1-VLOOKUP($A79,[1]Hugst!$R$5:$W$9,MATCH(ROUNDUP((N$1)/10,0)*10,[1]Hugst!$R$4:$W$4,0))))</f>
        <v>0</v>
      </c>
      <c r="O79" s="169">
        <f ca="1">IF($C79-O$1&lt;År1,0,N78*(1-VLOOKUP($A79,[1]Hugst!$R$5:$W$9,MATCH(ROUNDUP((O$1)/10,0)*10,[1]Hugst!$R$4:$W$4,0))))</f>
        <v>0</v>
      </c>
      <c r="P79" s="169">
        <f ca="1">IF($C79-P$1&lt;År1,0,O78*(1-VLOOKUP($A79,[1]Hugst!$R$5:$W$9,MATCH(ROUNDUP((P$1)/10,0)*10,[1]Hugst!$R$4:$W$4,0))))</f>
        <v>0</v>
      </c>
      <c r="Q79" s="169">
        <f ca="1">IF($C79-Q$1&lt;År1,0,P78*(1-VLOOKUP($A79,[1]Hugst!$R$5:$W$9,MATCH(ROUNDUP((Q$1)/10,0)*10,[1]Hugst!$R$4:$W$4,0))))</f>
        <v>0</v>
      </c>
      <c r="R79" s="169">
        <f ca="1">IF($C79-R$1&lt;År1,0,Q78*(1-VLOOKUP($A79,[1]Hugst!$R$5:$W$9,MATCH(ROUNDUP((R$1)/10,0)*10,[1]Hugst!$R$4:$W$4,0))))</f>
        <v>0</v>
      </c>
      <c r="S79" s="169">
        <f ca="1">IF($C79-S$1&lt;År1,0,R78*(1-VLOOKUP($A79,[1]Hugst!$R$5:$W$9,MATCH(ROUNDUP((S$1)/10,0)*10,[1]Hugst!$R$4:$W$4,0))))</f>
        <v>0</v>
      </c>
      <c r="T79" s="169">
        <f ca="1">IF($C79-T$1&lt;År1,0,S78*(1-VLOOKUP($A79,[1]Hugst!$R$5:$W$9,MATCH(ROUNDUP((T$1)/10,0)*10,[1]Hugst!$R$4:$W$4,0))))</f>
        <v>0</v>
      </c>
      <c r="U79" s="169">
        <f ca="1">IF($C79-U$1&lt;År1,0,T78*(1-VLOOKUP($A79,[1]Hugst!$R$5:$W$9,MATCH(ROUNDUP((U$1)/10,0)*10,[1]Hugst!$R$4:$W$4,0))))</f>
        <v>0</v>
      </c>
      <c r="V79" s="169">
        <f>IF($C79-V$1&lt;År1,0,U78*(1-VLOOKUP($A79,[1]Hugst!$R$5:$W$9,MATCH(ROUNDUP((V$1)/10,0)*10,[1]Hugst!$R$4:$W$4,0))))</f>
        <v>0</v>
      </c>
      <c r="W79" s="169">
        <f>IF($C79-W$1&lt;År1,0,V78*(1-VLOOKUP($A79,[1]Hugst!$R$5:$W$9,MATCH(ROUNDUP((W$1)/10,0)*10,[1]Hugst!$R$4:$W$4,0))))</f>
        <v>0</v>
      </c>
      <c r="X79" s="169">
        <f>IF($C79-X$1&lt;År1,0,W78*(1-VLOOKUP($A79,[1]Hugst!$R$5:$W$9,MATCH(ROUNDUP((X$1)/10,0)*10,[1]Hugst!$R$4:$W$4,0))))</f>
        <v>0</v>
      </c>
      <c r="Y79" s="169">
        <f>IF($C79-Y$1&lt;År1,0,X78*(1-VLOOKUP($A79,[1]Hugst!$R$5:$W$9,MATCH(ROUNDUP((Y$1)/10,0)*10,[1]Hugst!$R$4:$W$4,0))))</f>
        <v>0</v>
      </c>
      <c r="Z79" s="169">
        <f>IF($C79-Z$1&lt;År1,0,Y78*(1-VLOOKUP($A79,[1]Hugst!$R$5:$W$9,MATCH(ROUNDUP((Z$1)/10,0)*10,[1]Hugst!$R$4:$W$4,0))))</f>
        <v>0</v>
      </c>
      <c r="AA79" s="169">
        <f>IF($C79-AA$1&lt;År1,0,Z78*(1-VLOOKUP($A79,[1]Hugst!$R$5:$W$9,MATCH(ROUNDUP((AA$1)/10,0)*10,[1]Hugst!$R$4:$W$4,0))))</f>
        <v>0</v>
      </c>
      <c r="AB79" s="169">
        <f>IF($C79-AB$1&lt;År1,0,AA78*(1-VLOOKUP($A79,[1]Hugst!$R$5:$W$9,MATCH(ROUNDUP((AB$1)/10,0)*10,[1]Hugst!$R$4:$W$4,0))))</f>
        <v>0</v>
      </c>
      <c r="AC79" s="169">
        <f>IF($C79-AC$1&lt;År1,0,AB78*(1-VLOOKUP($A79,[1]Hugst!$R$5:$W$9,MATCH(ROUNDUP((AC$1)/10,0)*10,[1]Hugst!$R$4:$W$4,0))))</f>
        <v>0</v>
      </c>
      <c r="AD79" s="169">
        <f>IF($C79-AD$1&lt;År1,0,AC78*(1-VLOOKUP($A79,[1]Hugst!$R$5:$W$9,MATCH(ROUNDUP((AD$1)/10,0)*10,[1]Hugst!$R$4:$W$4,0))))</f>
        <v>0</v>
      </c>
      <c r="AE79" s="169">
        <f>IF($C79-AE$1&lt;År1,0,AD78*(1-VLOOKUP($A79,[1]Hugst!$R$5:$W$9,MATCH(ROUNDUP((AE$1)/10,0)*10,[1]Hugst!$R$4:$W$4,0))))</f>
        <v>0</v>
      </c>
      <c r="AF79" s="169">
        <f>IF($C79-AF$1&lt;År1,0,AE78*(1-VLOOKUP($A79,[1]Hugst!$R$5:$W$9,MATCH(ROUNDUP((AF$1)/10,0)*10,[1]Hugst!$R$4:$W$4,0))))</f>
        <v>0</v>
      </c>
      <c r="AG79" s="169">
        <f>IF($C79-AG$1&lt;År1,0,AF78*(1-VLOOKUP($A79,[1]Hugst!$R$5:$W$9,MATCH(ROUNDUP((AG$1)/10,0)*10,[1]Hugst!$R$4:$W$4,0))))</f>
        <v>0</v>
      </c>
      <c r="AH79" s="169">
        <f>IF($C79-AH$1&lt;År1,0,AG78*(1-VLOOKUP($A79,[1]Hugst!$R$5:$W$9,MATCH(ROUNDUP((AH$1)/10,0)*10,[1]Hugst!$R$4:$W$4,0))))</f>
        <v>0</v>
      </c>
      <c r="AI79" s="169">
        <f>IF($C79-AI$1&lt;År1,0,AH78*(1-VLOOKUP($A79,[1]Hugst!$R$5:$W$9,MATCH(ROUNDUP((AI$1)/10,0)*10,[1]Hugst!$R$4:$W$4,0))))</f>
        <v>0</v>
      </c>
      <c r="AJ79" s="169">
        <f>IF($C79-AJ$1&lt;År1,0,AI78*(1-VLOOKUP($A79,[1]Hugst!$R$5:$W$9,MATCH(ROUNDUP((AJ$1)/10,0)*10,[1]Hugst!$R$4:$W$4,0))))</f>
        <v>0</v>
      </c>
      <c r="AK79" s="169"/>
      <c r="AL79" s="169"/>
      <c r="AM79" s="169"/>
    </row>
    <row r="80" spans="1:39" x14ac:dyDescent="0.25">
      <c r="A80" s="169" t="s">
        <v>177</v>
      </c>
      <c r="B80" s="169" t="s">
        <v>23</v>
      </c>
      <c r="C80" s="169">
        <v>2036</v>
      </c>
      <c r="D80" s="169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0</v>
      </c>
      <c r="E80" s="169">
        <f t="shared" ca="1" si="1"/>
        <v>0</v>
      </c>
      <c r="F80" s="169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9">
        <f ca="1">IF($C80-G$1&lt;År1,0,F79*(1-VLOOKUP($A80,[1]Hugst!$R$5:$W$9,MATCH(ROUNDUP((G$1)/10,0)*10,[1]Hugst!$R$4:$W$4,0))))</f>
        <v>0</v>
      </c>
      <c r="H80" s="169">
        <f ca="1">IF($C80-H$1&lt;År1,0,G79*(1-VLOOKUP($A80,[1]Hugst!$R$5:$W$9,MATCH(ROUNDUP((H$1)/10,0)*10,[1]Hugst!$R$4:$W$4,0))))</f>
        <v>0</v>
      </c>
      <c r="I80" s="169">
        <f ca="1">IF($C80-I$1&lt;År1,0,H79*(1-VLOOKUP($A80,[1]Hugst!$R$5:$W$9,MATCH(ROUNDUP((I$1)/10,0)*10,[1]Hugst!$R$4:$W$4,0))))</f>
        <v>0</v>
      </c>
      <c r="J80" s="169">
        <f ca="1">IF($C80-J$1&lt;År1,0,I79*(1-VLOOKUP($A80,[1]Hugst!$R$5:$W$9,MATCH(ROUNDUP((J$1)/10,0)*10,[1]Hugst!$R$4:$W$4,0))))</f>
        <v>0</v>
      </c>
      <c r="K80" s="169">
        <f ca="1">IF($C80-K$1&lt;År1,0,J79*(1-VLOOKUP($A80,[1]Hugst!$R$5:$W$9,MATCH(ROUNDUP((K$1)/10,0)*10,[1]Hugst!$R$4:$W$4,0))))</f>
        <v>0</v>
      </c>
      <c r="L80" s="169">
        <f ca="1">IF($C80-L$1&lt;År1,0,K79*(1-VLOOKUP($A80,[1]Hugst!$R$5:$W$9,MATCH(ROUNDUP((L$1)/10,0)*10,[1]Hugst!$R$4:$W$4,0))))</f>
        <v>0</v>
      </c>
      <c r="M80" s="169">
        <f ca="1">IF($C80-M$1&lt;År1,0,L79*(1-VLOOKUP($A80,[1]Hugst!$R$5:$W$9,MATCH(ROUNDUP((M$1)/10,0)*10,[1]Hugst!$R$4:$W$4,0))))</f>
        <v>0</v>
      </c>
      <c r="N80" s="169">
        <f ca="1">IF($C80-N$1&lt;År1,0,M79*(1-VLOOKUP($A80,[1]Hugst!$R$5:$W$9,MATCH(ROUNDUP((N$1)/10,0)*10,[1]Hugst!$R$4:$W$4,0))))</f>
        <v>0</v>
      </c>
      <c r="O80" s="169">
        <f ca="1">IF($C80-O$1&lt;År1,0,N79*(1-VLOOKUP($A80,[1]Hugst!$R$5:$W$9,MATCH(ROUNDUP((O$1)/10,0)*10,[1]Hugst!$R$4:$W$4,0))))</f>
        <v>0</v>
      </c>
      <c r="P80" s="169">
        <f ca="1">IF($C80-P$1&lt;År1,0,O79*(1-VLOOKUP($A80,[1]Hugst!$R$5:$W$9,MATCH(ROUNDUP((P$1)/10,0)*10,[1]Hugst!$R$4:$W$4,0))))</f>
        <v>0</v>
      </c>
      <c r="Q80" s="169">
        <f ca="1">IF($C80-Q$1&lt;År1,0,P79*(1-VLOOKUP($A80,[1]Hugst!$R$5:$W$9,MATCH(ROUNDUP((Q$1)/10,0)*10,[1]Hugst!$R$4:$W$4,0))))</f>
        <v>0</v>
      </c>
      <c r="R80" s="169">
        <f ca="1">IF($C80-R$1&lt;År1,0,Q79*(1-VLOOKUP($A80,[1]Hugst!$R$5:$W$9,MATCH(ROUNDUP((R$1)/10,0)*10,[1]Hugst!$R$4:$W$4,0))))</f>
        <v>0</v>
      </c>
      <c r="S80" s="169">
        <f ca="1">IF($C80-S$1&lt;År1,0,R79*(1-VLOOKUP($A80,[1]Hugst!$R$5:$W$9,MATCH(ROUNDUP((S$1)/10,0)*10,[1]Hugst!$R$4:$W$4,0))))</f>
        <v>0</v>
      </c>
      <c r="T80" s="169">
        <f ca="1">IF($C80-T$1&lt;År1,0,S79*(1-VLOOKUP($A80,[1]Hugst!$R$5:$W$9,MATCH(ROUNDUP((T$1)/10,0)*10,[1]Hugst!$R$4:$W$4,0))))</f>
        <v>0</v>
      </c>
      <c r="U80" s="169">
        <f ca="1">IF($C80-U$1&lt;År1,0,T79*(1-VLOOKUP($A80,[1]Hugst!$R$5:$W$9,MATCH(ROUNDUP((U$1)/10,0)*10,[1]Hugst!$R$4:$W$4,0))))</f>
        <v>0</v>
      </c>
      <c r="V80" s="169">
        <f ca="1">IF($C80-V$1&lt;År1,0,U79*(1-VLOOKUP($A80,[1]Hugst!$R$5:$W$9,MATCH(ROUNDUP((V$1)/10,0)*10,[1]Hugst!$R$4:$W$4,0))))</f>
        <v>0</v>
      </c>
      <c r="W80" s="169">
        <f>IF($C80-W$1&lt;År1,0,V79*(1-VLOOKUP($A80,[1]Hugst!$R$5:$W$9,MATCH(ROUNDUP((W$1)/10,0)*10,[1]Hugst!$R$4:$W$4,0))))</f>
        <v>0</v>
      </c>
      <c r="X80" s="169">
        <f>IF($C80-X$1&lt;År1,0,W79*(1-VLOOKUP($A80,[1]Hugst!$R$5:$W$9,MATCH(ROUNDUP((X$1)/10,0)*10,[1]Hugst!$R$4:$W$4,0))))</f>
        <v>0</v>
      </c>
      <c r="Y80" s="169">
        <f>IF($C80-Y$1&lt;År1,0,X79*(1-VLOOKUP($A80,[1]Hugst!$R$5:$W$9,MATCH(ROUNDUP((Y$1)/10,0)*10,[1]Hugst!$R$4:$W$4,0))))</f>
        <v>0</v>
      </c>
      <c r="Z80" s="169">
        <f>IF($C80-Z$1&lt;År1,0,Y79*(1-VLOOKUP($A80,[1]Hugst!$R$5:$W$9,MATCH(ROUNDUP((Z$1)/10,0)*10,[1]Hugst!$R$4:$W$4,0))))</f>
        <v>0</v>
      </c>
      <c r="AA80" s="169">
        <f>IF($C80-AA$1&lt;År1,0,Z79*(1-VLOOKUP($A80,[1]Hugst!$R$5:$W$9,MATCH(ROUNDUP((AA$1)/10,0)*10,[1]Hugst!$R$4:$W$4,0))))</f>
        <v>0</v>
      </c>
      <c r="AB80" s="169">
        <f>IF($C80-AB$1&lt;År1,0,AA79*(1-VLOOKUP($A80,[1]Hugst!$R$5:$W$9,MATCH(ROUNDUP((AB$1)/10,0)*10,[1]Hugst!$R$4:$W$4,0))))</f>
        <v>0</v>
      </c>
      <c r="AC80" s="169">
        <f>IF($C80-AC$1&lt;År1,0,AB79*(1-VLOOKUP($A80,[1]Hugst!$R$5:$W$9,MATCH(ROUNDUP((AC$1)/10,0)*10,[1]Hugst!$R$4:$W$4,0))))</f>
        <v>0</v>
      </c>
      <c r="AD80" s="169">
        <f>IF($C80-AD$1&lt;År1,0,AC79*(1-VLOOKUP($A80,[1]Hugst!$R$5:$W$9,MATCH(ROUNDUP((AD$1)/10,0)*10,[1]Hugst!$R$4:$W$4,0))))</f>
        <v>0</v>
      </c>
      <c r="AE80" s="169">
        <f>IF($C80-AE$1&lt;År1,0,AD79*(1-VLOOKUP($A80,[1]Hugst!$R$5:$W$9,MATCH(ROUNDUP((AE$1)/10,0)*10,[1]Hugst!$R$4:$W$4,0))))</f>
        <v>0</v>
      </c>
      <c r="AF80" s="169">
        <f>IF($C80-AF$1&lt;År1,0,AE79*(1-VLOOKUP($A80,[1]Hugst!$R$5:$W$9,MATCH(ROUNDUP((AF$1)/10,0)*10,[1]Hugst!$R$4:$W$4,0))))</f>
        <v>0</v>
      </c>
      <c r="AG80" s="169">
        <f>IF($C80-AG$1&lt;År1,0,AF79*(1-VLOOKUP($A80,[1]Hugst!$R$5:$W$9,MATCH(ROUNDUP((AG$1)/10,0)*10,[1]Hugst!$R$4:$W$4,0))))</f>
        <v>0</v>
      </c>
      <c r="AH80" s="169">
        <f>IF($C80-AH$1&lt;År1,0,AG79*(1-VLOOKUP($A80,[1]Hugst!$R$5:$W$9,MATCH(ROUNDUP((AH$1)/10,0)*10,[1]Hugst!$R$4:$W$4,0))))</f>
        <v>0</v>
      </c>
      <c r="AI80" s="169">
        <f>IF($C80-AI$1&lt;År1,0,AH79*(1-VLOOKUP($A80,[1]Hugst!$R$5:$W$9,MATCH(ROUNDUP((AI$1)/10,0)*10,[1]Hugst!$R$4:$W$4,0))))</f>
        <v>0</v>
      </c>
      <c r="AJ80" s="169">
        <f>IF($C80-AJ$1&lt;År1,0,AI79*(1-VLOOKUP($A80,[1]Hugst!$R$5:$W$9,MATCH(ROUNDUP((AJ$1)/10,0)*10,[1]Hugst!$R$4:$W$4,0))))</f>
        <v>0</v>
      </c>
      <c r="AK80" s="169"/>
      <c r="AL80" s="169"/>
      <c r="AM80" s="169"/>
    </row>
    <row r="81" spans="1:39" x14ac:dyDescent="0.25">
      <c r="A81" s="169" t="s">
        <v>177</v>
      </c>
      <c r="B81" s="169" t="s">
        <v>23</v>
      </c>
      <c r="C81" s="169">
        <v>2037</v>
      </c>
      <c r="D81" s="169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0</v>
      </c>
      <c r="E81" s="169">
        <f t="shared" ca="1" si="1"/>
        <v>0</v>
      </c>
      <c r="F81" s="169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9">
        <f ca="1">IF($C81-G$1&lt;År1,0,F80*(1-VLOOKUP($A81,[1]Hugst!$R$5:$W$9,MATCH(ROUNDUP((G$1)/10,0)*10,[1]Hugst!$R$4:$W$4,0))))</f>
        <v>0</v>
      </c>
      <c r="H81" s="169">
        <f ca="1">IF($C81-H$1&lt;År1,0,G80*(1-VLOOKUP($A81,[1]Hugst!$R$5:$W$9,MATCH(ROUNDUP((H$1)/10,0)*10,[1]Hugst!$R$4:$W$4,0))))</f>
        <v>0</v>
      </c>
      <c r="I81" s="169">
        <f ca="1">IF($C81-I$1&lt;År1,0,H80*(1-VLOOKUP($A81,[1]Hugst!$R$5:$W$9,MATCH(ROUNDUP((I$1)/10,0)*10,[1]Hugst!$R$4:$W$4,0))))</f>
        <v>0</v>
      </c>
      <c r="J81" s="169">
        <f ca="1">IF($C81-J$1&lt;År1,0,I80*(1-VLOOKUP($A81,[1]Hugst!$R$5:$W$9,MATCH(ROUNDUP((J$1)/10,0)*10,[1]Hugst!$R$4:$W$4,0))))</f>
        <v>0</v>
      </c>
      <c r="K81" s="169">
        <f ca="1">IF($C81-K$1&lt;År1,0,J80*(1-VLOOKUP($A81,[1]Hugst!$R$5:$W$9,MATCH(ROUNDUP((K$1)/10,0)*10,[1]Hugst!$R$4:$W$4,0))))</f>
        <v>0</v>
      </c>
      <c r="L81" s="169">
        <f ca="1">IF($C81-L$1&lt;År1,0,K80*(1-VLOOKUP($A81,[1]Hugst!$R$5:$W$9,MATCH(ROUNDUP((L$1)/10,0)*10,[1]Hugst!$R$4:$W$4,0))))</f>
        <v>0</v>
      </c>
      <c r="M81" s="169">
        <f ca="1">IF($C81-M$1&lt;År1,0,L80*(1-VLOOKUP($A81,[1]Hugst!$R$5:$W$9,MATCH(ROUNDUP((M$1)/10,0)*10,[1]Hugst!$R$4:$W$4,0))))</f>
        <v>0</v>
      </c>
      <c r="N81" s="169">
        <f ca="1">IF($C81-N$1&lt;År1,0,M80*(1-VLOOKUP($A81,[1]Hugst!$R$5:$W$9,MATCH(ROUNDUP((N$1)/10,0)*10,[1]Hugst!$R$4:$W$4,0))))</f>
        <v>0</v>
      </c>
      <c r="O81" s="169">
        <f ca="1">IF($C81-O$1&lt;År1,0,N80*(1-VLOOKUP($A81,[1]Hugst!$R$5:$W$9,MATCH(ROUNDUP((O$1)/10,0)*10,[1]Hugst!$R$4:$W$4,0))))</f>
        <v>0</v>
      </c>
      <c r="P81" s="169">
        <f ca="1">IF($C81-P$1&lt;År1,0,O80*(1-VLOOKUP($A81,[1]Hugst!$R$5:$W$9,MATCH(ROUNDUP((P$1)/10,0)*10,[1]Hugst!$R$4:$W$4,0))))</f>
        <v>0</v>
      </c>
      <c r="Q81" s="169">
        <f ca="1">IF($C81-Q$1&lt;År1,0,P80*(1-VLOOKUP($A81,[1]Hugst!$R$5:$W$9,MATCH(ROUNDUP((Q$1)/10,0)*10,[1]Hugst!$R$4:$W$4,0))))</f>
        <v>0</v>
      </c>
      <c r="R81" s="169">
        <f ca="1">IF($C81-R$1&lt;År1,0,Q80*(1-VLOOKUP($A81,[1]Hugst!$R$5:$W$9,MATCH(ROUNDUP((R$1)/10,0)*10,[1]Hugst!$R$4:$W$4,0))))</f>
        <v>0</v>
      </c>
      <c r="S81" s="169">
        <f ca="1">IF($C81-S$1&lt;År1,0,R80*(1-VLOOKUP($A81,[1]Hugst!$R$5:$W$9,MATCH(ROUNDUP((S$1)/10,0)*10,[1]Hugst!$R$4:$W$4,0))))</f>
        <v>0</v>
      </c>
      <c r="T81" s="169">
        <f ca="1">IF($C81-T$1&lt;År1,0,S80*(1-VLOOKUP($A81,[1]Hugst!$R$5:$W$9,MATCH(ROUNDUP((T$1)/10,0)*10,[1]Hugst!$R$4:$W$4,0))))</f>
        <v>0</v>
      </c>
      <c r="U81" s="169">
        <f ca="1">IF($C81-U$1&lt;År1,0,T80*(1-VLOOKUP($A81,[1]Hugst!$R$5:$W$9,MATCH(ROUNDUP((U$1)/10,0)*10,[1]Hugst!$R$4:$W$4,0))))</f>
        <v>0</v>
      </c>
      <c r="V81" s="169">
        <f ca="1">IF($C81-V$1&lt;År1,0,U80*(1-VLOOKUP($A81,[1]Hugst!$R$5:$W$9,MATCH(ROUNDUP((V$1)/10,0)*10,[1]Hugst!$R$4:$W$4,0))))</f>
        <v>0</v>
      </c>
      <c r="W81" s="169">
        <f ca="1">IF($C81-W$1&lt;År1,0,V80*(1-VLOOKUP($A81,[1]Hugst!$R$5:$W$9,MATCH(ROUNDUP((W$1)/10,0)*10,[1]Hugst!$R$4:$W$4,0))))</f>
        <v>0</v>
      </c>
      <c r="X81" s="169">
        <f>IF($C81-X$1&lt;År1,0,W80*(1-VLOOKUP($A81,[1]Hugst!$R$5:$W$9,MATCH(ROUNDUP((X$1)/10,0)*10,[1]Hugst!$R$4:$W$4,0))))</f>
        <v>0</v>
      </c>
      <c r="Y81" s="169">
        <f>IF($C81-Y$1&lt;År1,0,X80*(1-VLOOKUP($A81,[1]Hugst!$R$5:$W$9,MATCH(ROUNDUP((Y$1)/10,0)*10,[1]Hugst!$R$4:$W$4,0))))</f>
        <v>0</v>
      </c>
      <c r="Z81" s="169">
        <f>IF($C81-Z$1&lt;År1,0,Y80*(1-VLOOKUP($A81,[1]Hugst!$R$5:$W$9,MATCH(ROUNDUP((Z$1)/10,0)*10,[1]Hugst!$R$4:$W$4,0))))</f>
        <v>0</v>
      </c>
      <c r="AA81" s="169">
        <f>IF($C81-AA$1&lt;År1,0,Z80*(1-VLOOKUP($A81,[1]Hugst!$R$5:$W$9,MATCH(ROUNDUP((AA$1)/10,0)*10,[1]Hugst!$R$4:$W$4,0))))</f>
        <v>0</v>
      </c>
      <c r="AB81" s="169">
        <f>IF($C81-AB$1&lt;År1,0,AA80*(1-VLOOKUP($A81,[1]Hugst!$R$5:$W$9,MATCH(ROUNDUP((AB$1)/10,0)*10,[1]Hugst!$R$4:$W$4,0))))</f>
        <v>0</v>
      </c>
      <c r="AC81" s="169">
        <f>IF($C81-AC$1&lt;År1,0,AB80*(1-VLOOKUP($A81,[1]Hugst!$R$5:$W$9,MATCH(ROUNDUP((AC$1)/10,0)*10,[1]Hugst!$R$4:$W$4,0))))</f>
        <v>0</v>
      </c>
      <c r="AD81" s="169">
        <f>IF($C81-AD$1&lt;År1,0,AC80*(1-VLOOKUP($A81,[1]Hugst!$R$5:$W$9,MATCH(ROUNDUP((AD$1)/10,0)*10,[1]Hugst!$R$4:$W$4,0))))</f>
        <v>0</v>
      </c>
      <c r="AE81" s="169">
        <f>IF($C81-AE$1&lt;År1,0,AD80*(1-VLOOKUP($A81,[1]Hugst!$R$5:$W$9,MATCH(ROUNDUP((AE$1)/10,0)*10,[1]Hugst!$R$4:$W$4,0))))</f>
        <v>0</v>
      </c>
      <c r="AF81" s="169">
        <f>IF($C81-AF$1&lt;År1,0,AE80*(1-VLOOKUP($A81,[1]Hugst!$R$5:$W$9,MATCH(ROUNDUP((AF$1)/10,0)*10,[1]Hugst!$R$4:$W$4,0))))</f>
        <v>0</v>
      </c>
      <c r="AG81" s="169">
        <f>IF($C81-AG$1&lt;År1,0,AF80*(1-VLOOKUP($A81,[1]Hugst!$R$5:$W$9,MATCH(ROUNDUP((AG$1)/10,0)*10,[1]Hugst!$R$4:$W$4,0))))</f>
        <v>0</v>
      </c>
      <c r="AH81" s="169">
        <f>IF($C81-AH$1&lt;År1,0,AG80*(1-VLOOKUP($A81,[1]Hugst!$R$5:$W$9,MATCH(ROUNDUP((AH$1)/10,0)*10,[1]Hugst!$R$4:$W$4,0))))</f>
        <v>0</v>
      </c>
      <c r="AI81" s="169">
        <f>IF($C81-AI$1&lt;År1,0,AH80*(1-VLOOKUP($A81,[1]Hugst!$R$5:$W$9,MATCH(ROUNDUP((AI$1)/10,0)*10,[1]Hugst!$R$4:$W$4,0))))</f>
        <v>0</v>
      </c>
      <c r="AJ81" s="169">
        <f>IF($C81-AJ$1&lt;År1,0,AI80*(1-VLOOKUP($A81,[1]Hugst!$R$5:$W$9,MATCH(ROUNDUP((AJ$1)/10,0)*10,[1]Hugst!$R$4:$W$4,0))))</f>
        <v>0</v>
      </c>
      <c r="AK81" s="169"/>
      <c r="AL81" s="169"/>
      <c r="AM81" s="169"/>
    </row>
    <row r="82" spans="1:39" x14ac:dyDescent="0.25">
      <c r="A82" s="169" t="s">
        <v>177</v>
      </c>
      <c r="B82" s="169" t="s">
        <v>23</v>
      </c>
      <c r="C82" s="169">
        <v>2038</v>
      </c>
      <c r="D82" s="169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0</v>
      </c>
      <c r="E82" s="169">
        <f t="shared" ca="1" si="1"/>
        <v>0</v>
      </c>
      <c r="F82" s="169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9">
        <f ca="1">IF($C82-G$1&lt;År1,0,F81*(1-VLOOKUP($A82,[1]Hugst!$R$5:$W$9,MATCH(ROUNDUP((G$1)/10,0)*10,[1]Hugst!$R$4:$W$4,0))))</f>
        <v>0</v>
      </c>
      <c r="H82" s="169">
        <f ca="1">IF($C82-H$1&lt;År1,0,G81*(1-VLOOKUP($A82,[1]Hugst!$R$5:$W$9,MATCH(ROUNDUP((H$1)/10,0)*10,[1]Hugst!$R$4:$W$4,0))))</f>
        <v>0</v>
      </c>
      <c r="I82" s="169">
        <f ca="1">IF($C82-I$1&lt;År1,0,H81*(1-VLOOKUP($A82,[1]Hugst!$R$5:$W$9,MATCH(ROUNDUP((I$1)/10,0)*10,[1]Hugst!$R$4:$W$4,0))))</f>
        <v>0</v>
      </c>
      <c r="J82" s="169">
        <f ca="1">IF($C82-J$1&lt;År1,0,I81*(1-VLOOKUP($A82,[1]Hugst!$R$5:$W$9,MATCH(ROUNDUP((J$1)/10,0)*10,[1]Hugst!$R$4:$W$4,0))))</f>
        <v>0</v>
      </c>
      <c r="K82" s="169">
        <f ca="1">IF($C82-K$1&lt;År1,0,J81*(1-VLOOKUP($A82,[1]Hugst!$R$5:$W$9,MATCH(ROUNDUP((K$1)/10,0)*10,[1]Hugst!$R$4:$W$4,0))))</f>
        <v>0</v>
      </c>
      <c r="L82" s="169">
        <f ca="1">IF($C82-L$1&lt;År1,0,K81*(1-VLOOKUP($A82,[1]Hugst!$R$5:$W$9,MATCH(ROUNDUP((L$1)/10,0)*10,[1]Hugst!$R$4:$W$4,0))))</f>
        <v>0</v>
      </c>
      <c r="M82" s="169">
        <f ca="1">IF($C82-M$1&lt;År1,0,L81*(1-VLOOKUP($A82,[1]Hugst!$R$5:$W$9,MATCH(ROUNDUP((M$1)/10,0)*10,[1]Hugst!$R$4:$W$4,0))))</f>
        <v>0</v>
      </c>
      <c r="N82" s="169">
        <f ca="1">IF($C82-N$1&lt;År1,0,M81*(1-VLOOKUP($A82,[1]Hugst!$R$5:$W$9,MATCH(ROUNDUP((N$1)/10,0)*10,[1]Hugst!$R$4:$W$4,0))))</f>
        <v>0</v>
      </c>
      <c r="O82" s="169">
        <f ca="1">IF($C82-O$1&lt;År1,0,N81*(1-VLOOKUP($A82,[1]Hugst!$R$5:$W$9,MATCH(ROUNDUP((O$1)/10,0)*10,[1]Hugst!$R$4:$W$4,0))))</f>
        <v>0</v>
      </c>
      <c r="P82" s="169">
        <f ca="1">IF($C82-P$1&lt;År1,0,O81*(1-VLOOKUP($A82,[1]Hugst!$R$5:$W$9,MATCH(ROUNDUP((P$1)/10,0)*10,[1]Hugst!$R$4:$W$4,0))))</f>
        <v>0</v>
      </c>
      <c r="Q82" s="169">
        <f ca="1">IF($C82-Q$1&lt;År1,0,P81*(1-VLOOKUP($A82,[1]Hugst!$R$5:$W$9,MATCH(ROUNDUP((Q$1)/10,0)*10,[1]Hugst!$R$4:$W$4,0))))</f>
        <v>0</v>
      </c>
      <c r="R82" s="169">
        <f ca="1">IF($C82-R$1&lt;År1,0,Q81*(1-VLOOKUP($A82,[1]Hugst!$R$5:$W$9,MATCH(ROUNDUP((R$1)/10,0)*10,[1]Hugst!$R$4:$W$4,0))))</f>
        <v>0</v>
      </c>
      <c r="S82" s="169">
        <f ca="1">IF($C82-S$1&lt;År1,0,R81*(1-VLOOKUP($A82,[1]Hugst!$R$5:$W$9,MATCH(ROUNDUP((S$1)/10,0)*10,[1]Hugst!$R$4:$W$4,0))))</f>
        <v>0</v>
      </c>
      <c r="T82" s="169">
        <f ca="1">IF($C82-T$1&lt;År1,0,S81*(1-VLOOKUP($A82,[1]Hugst!$R$5:$W$9,MATCH(ROUNDUP((T$1)/10,0)*10,[1]Hugst!$R$4:$W$4,0))))</f>
        <v>0</v>
      </c>
      <c r="U82" s="169">
        <f ca="1">IF($C82-U$1&lt;År1,0,T81*(1-VLOOKUP($A82,[1]Hugst!$R$5:$W$9,MATCH(ROUNDUP((U$1)/10,0)*10,[1]Hugst!$R$4:$W$4,0))))</f>
        <v>0</v>
      </c>
      <c r="V82" s="169">
        <f ca="1">IF($C82-V$1&lt;År1,0,U81*(1-VLOOKUP($A82,[1]Hugst!$R$5:$W$9,MATCH(ROUNDUP((V$1)/10,0)*10,[1]Hugst!$R$4:$W$4,0))))</f>
        <v>0</v>
      </c>
      <c r="W82" s="169">
        <f ca="1">IF($C82-W$1&lt;År1,0,V81*(1-VLOOKUP($A82,[1]Hugst!$R$5:$W$9,MATCH(ROUNDUP((W$1)/10,0)*10,[1]Hugst!$R$4:$W$4,0))))</f>
        <v>0</v>
      </c>
      <c r="X82" s="169">
        <f ca="1">IF($C82-X$1&lt;År1,0,W81*(1-VLOOKUP($A82,[1]Hugst!$R$5:$W$9,MATCH(ROUNDUP((X$1)/10,0)*10,[1]Hugst!$R$4:$W$4,0))))</f>
        <v>0</v>
      </c>
      <c r="Y82" s="169">
        <f>IF($C82-Y$1&lt;År1,0,X81*(1-VLOOKUP($A82,[1]Hugst!$R$5:$W$9,MATCH(ROUNDUP((Y$1)/10,0)*10,[1]Hugst!$R$4:$W$4,0))))</f>
        <v>0</v>
      </c>
      <c r="Z82" s="169">
        <f>IF($C82-Z$1&lt;År1,0,Y81*(1-VLOOKUP($A82,[1]Hugst!$R$5:$W$9,MATCH(ROUNDUP((Z$1)/10,0)*10,[1]Hugst!$R$4:$W$4,0))))</f>
        <v>0</v>
      </c>
      <c r="AA82" s="169">
        <f>IF($C82-AA$1&lt;År1,0,Z81*(1-VLOOKUP($A82,[1]Hugst!$R$5:$W$9,MATCH(ROUNDUP((AA$1)/10,0)*10,[1]Hugst!$R$4:$W$4,0))))</f>
        <v>0</v>
      </c>
      <c r="AB82" s="169">
        <f>IF($C82-AB$1&lt;År1,0,AA81*(1-VLOOKUP($A82,[1]Hugst!$R$5:$W$9,MATCH(ROUNDUP((AB$1)/10,0)*10,[1]Hugst!$R$4:$W$4,0))))</f>
        <v>0</v>
      </c>
      <c r="AC82" s="169">
        <f>IF($C82-AC$1&lt;År1,0,AB81*(1-VLOOKUP($A82,[1]Hugst!$R$5:$W$9,MATCH(ROUNDUP((AC$1)/10,0)*10,[1]Hugst!$R$4:$W$4,0))))</f>
        <v>0</v>
      </c>
      <c r="AD82" s="169">
        <f>IF($C82-AD$1&lt;År1,0,AC81*(1-VLOOKUP($A82,[1]Hugst!$R$5:$W$9,MATCH(ROUNDUP((AD$1)/10,0)*10,[1]Hugst!$R$4:$W$4,0))))</f>
        <v>0</v>
      </c>
      <c r="AE82" s="169">
        <f>IF($C82-AE$1&lt;År1,0,AD81*(1-VLOOKUP($A82,[1]Hugst!$R$5:$W$9,MATCH(ROUNDUP((AE$1)/10,0)*10,[1]Hugst!$R$4:$W$4,0))))</f>
        <v>0</v>
      </c>
      <c r="AF82" s="169">
        <f>IF($C82-AF$1&lt;År1,0,AE81*(1-VLOOKUP($A82,[1]Hugst!$R$5:$W$9,MATCH(ROUNDUP((AF$1)/10,0)*10,[1]Hugst!$R$4:$W$4,0))))</f>
        <v>0</v>
      </c>
      <c r="AG82" s="169">
        <f>IF($C82-AG$1&lt;År1,0,AF81*(1-VLOOKUP($A82,[1]Hugst!$R$5:$W$9,MATCH(ROUNDUP((AG$1)/10,0)*10,[1]Hugst!$R$4:$W$4,0))))</f>
        <v>0</v>
      </c>
      <c r="AH82" s="169">
        <f>IF($C82-AH$1&lt;År1,0,AG81*(1-VLOOKUP($A82,[1]Hugst!$R$5:$W$9,MATCH(ROUNDUP((AH$1)/10,0)*10,[1]Hugst!$R$4:$W$4,0))))</f>
        <v>0</v>
      </c>
      <c r="AI82" s="169">
        <f>IF($C82-AI$1&lt;År1,0,AH81*(1-VLOOKUP($A82,[1]Hugst!$R$5:$W$9,MATCH(ROUNDUP((AI$1)/10,0)*10,[1]Hugst!$R$4:$W$4,0))))</f>
        <v>0</v>
      </c>
      <c r="AJ82" s="169">
        <f>IF($C82-AJ$1&lt;År1,0,AI81*(1-VLOOKUP($A82,[1]Hugst!$R$5:$W$9,MATCH(ROUNDUP((AJ$1)/10,0)*10,[1]Hugst!$R$4:$W$4,0))))</f>
        <v>0</v>
      </c>
      <c r="AK82" s="169"/>
      <c r="AL82" s="169"/>
      <c r="AM82" s="169"/>
    </row>
    <row r="83" spans="1:39" x14ac:dyDescent="0.25">
      <c r="A83" s="169" t="s">
        <v>177</v>
      </c>
      <c r="B83" s="169" t="s">
        <v>23</v>
      </c>
      <c r="C83" s="169">
        <v>2039</v>
      </c>
      <c r="D83" s="169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0</v>
      </c>
      <c r="E83" s="169">
        <f t="shared" ca="1" si="1"/>
        <v>0</v>
      </c>
      <c r="F83" s="169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9">
        <f ca="1">IF($C83-G$1&lt;År1,0,F82*(1-VLOOKUP($A83,[1]Hugst!$R$5:$W$9,MATCH(ROUNDUP((G$1)/10,0)*10,[1]Hugst!$R$4:$W$4,0))))</f>
        <v>0</v>
      </c>
      <c r="H83" s="169">
        <f ca="1">IF($C83-H$1&lt;År1,0,G82*(1-VLOOKUP($A83,[1]Hugst!$R$5:$W$9,MATCH(ROUNDUP((H$1)/10,0)*10,[1]Hugst!$R$4:$W$4,0))))</f>
        <v>0</v>
      </c>
      <c r="I83" s="169">
        <f ca="1">IF($C83-I$1&lt;År1,0,H82*(1-VLOOKUP($A83,[1]Hugst!$R$5:$W$9,MATCH(ROUNDUP((I$1)/10,0)*10,[1]Hugst!$R$4:$W$4,0))))</f>
        <v>0</v>
      </c>
      <c r="J83" s="169">
        <f ca="1">IF($C83-J$1&lt;År1,0,I82*(1-VLOOKUP($A83,[1]Hugst!$R$5:$W$9,MATCH(ROUNDUP((J$1)/10,0)*10,[1]Hugst!$R$4:$W$4,0))))</f>
        <v>0</v>
      </c>
      <c r="K83" s="169">
        <f ca="1">IF($C83-K$1&lt;År1,0,J82*(1-VLOOKUP($A83,[1]Hugst!$R$5:$W$9,MATCH(ROUNDUP((K$1)/10,0)*10,[1]Hugst!$R$4:$W$4,0))))</f>
        <v>0</v>
      </c>
      <c r="L83" s="169">
        <f ca="1">IF($C83-L$1&lt;År1,0,K82*(1-VLOOKUP($A83,[1]Hugst!$R$5:$W$9,MATCH(ROUNDUP((L$1)/10,0)*10,[1]Hugst!$R$4:$W$4,0))))</f>
        <v>0</v>
      </c>
      <c r="M83" s="169">
        <f ca="1">IF($C83-M$1&lt;År1,0,L82*(1-VLOOKUP($A83,[1]Hugst!$R$5:$W$9,MATCH(ROUNDUP((M$1)/10,0)*10,[1]Hugst!$R$4:$W$4,0))))</f>
        <v>0</v>
      </c>
      <c r="N83" s="169">
        <f ca="1">IF($C83-N$1&lt;År1,0,M82*(1-VLOOKUP($A83,[1]Hugst!$R$5:$W$9,MATCH(ROUNDUP((N$1)/10,0)*10,[1]Hugst!$R$4:$W$4,0))))</f>
        <v>0</v>
      </c>
      <c r="O83" s="169">
        <f ca="1">IF($C83-O$1&lt;År1,0,N82*(1-VLOOKUP($A83,[1]Hugst!$R$5:$W$9,MATCH(ROUNDUP((O$1)/10,0)*10,[1]Hugst!$R$4:$W$4,0))))</f>
        <v>0</v>
      </c>
      <c r="P83" s="169">
        <f ca="1">IF($C83-P$1&lt;År1,0,O82*(1-VLOOKUP($A83,[1]Hugst!$R$5:$W$9,MATCH(ROUNDUP((P$1)/10,0)*10,[1]Hugst!$R$4:$W$4,0))))</f>
        <v>0</v>
      </c>
      <c r="Q83" s="169">
        <f ca="1">IF($C83-Q$1&lt;År1,0,P82*(1-VLOOKUP($A83,[1]Hugst!$R$5:$W$9,MATCH(ROUNDUP((Q$1)/10,0)*10,[1]Hugst!$R$4:$W$4,0))))</f>
        <v>0</v>
      </c>
      <c r="R83" s="169">
        <f ca="1">IF($C83-R$1&lt;År1,0,Q82*(1-VLOOKUP($A83,[1]Hugst!$R$5:$W$9,MATCH(ROUNDUP((R$1)/10,0)*10,[1]Hugst!$R$4:$W$4,0))))</f>
        <v>0</v>
      </c>
      <c r="S83" s="169">
        <f ca="1">IF($C83-S$1&lt;År1,0,R82*(1-VLOOKUP($A83,[1]Hugst!$R$5:$W$9,MATCH(ROUNDUP((S$1)/10,0)*10,[1]Hugst!$R$4:$W$4,0))))</f>
        <v>0</v>
      </c>
      <c r="T83" s="169">
        <f ca="1">IF($C83-T$1&lt;År1,0,S82*(1-VLOOKUP($A83,[1]Hugst!$R$5:$W$9,MATCH(ROUNDUP((T$1)/10,0)*10,[1]Hugst!$R$4:$W$4,0))))</f>
        <v>0</v>
      </c>
      <c r="U83" s="169">
        <f ca="1">IF($C83-U$1&lt;År1,0,T82*(1-VLOOKUP($A83,[1]Hugst!$R$5:$W$9,MATCH(ROUNDUP((U$1)/10,0)*10,[1]Hugst!$R$4:$W$4,0))))</f>
        <v>0</v>
      </c>
      <c r="V83" s="169">
        <f ca="1">IF($C83-V$1&lt;År1,0,U82*(1-VLOOKUP($A83,[1]Hugst!$R$5:$W$9,MATCH(ROUNDUP((V$1)/10,0)*10,[1]Hugst!$R$4:$W$4,0))))</f>
        <v>0</v>
      </c>
      <c r="W83" s="169">
        <f ca="1">IF($C83-W$1&lt;År1,0,V82*(1-VLOOKUP($A83,[1]Hugst!$R$5:$W$9,MATCH(ROUNDUP((W$1)/10,0)*10,[1]Hugst!$R$4:$W$4,0))))</f>
        <v>0</v>
      </c>
      <c r="X83" s="169">
        <f ca="1">IF($C83-X$1&lt;År1,0,W82*(1-VLOOKUP($A83,[1]Hugst!$R$5:$W$9,MATCH(ROUNDUP((X$1)/10,0)*10,[1]Hugst!$R$4:$W$4,0))))</f>
        <v>0</v>
      </c>
      <c r="Y83" s="169">
        <f ca="1">IF($C83-Y$1&lt;År1,0,X82*(1-VLOOKUP($A83,[1]Hugst!$R$5:$W$9,MATCH(ROUNDUP((Y$1)/10,0)*10,[1]Hugst!$R$4:$W$4,0))))</f>
        <v>0</v>
      </c>
      <c r="Z83" s="169">
        <f>IF($C83-Z$1&lt;År1,0,Y82*(1-VLOOKUP($A83,[1]Hugst!$R$5:$W$9,MATCH(ROUNDUP((Z$1)/10,0)*10,[1]Hugst!$R$4:$W$4,0))))</f>
        <v>0</v>
      </c>
      <c r="AA83" s="169">
        <f>IF($C83-AA$1&lt;År1,0,Z82*(1-VLOOKUP($A83,[1]Hugst!$R$5:$W$9,MATCH(ROUNDUP((AA$1)/10,0)*10,[1]Hugst!$R$4:$W$4,0))))</f>
        <v>0</v>
      </c>
      <c r="AB83" s="169">
        <f>IF($C83-AB$1&lt;År1,0,AA82*(1-VLOOKUP($A83,[1]Hugst!$R$5:$W$9,MATCH(ROUNDUP((AB$1)/10,0)*10,[1]Hugst!$R$4:$W$4,0))))</f>
        <v>0</v>
      </c>
      <c r="AC83" s="169">
        <f>IF($C83-AC$1&lt;År1,0,AB82*(1-VLOOKUP($A83,[1]Hugst!$R$5:$W$9,MATCH(ROUNDUP((AC$1)/10,0)*10,[1]Hugst!$R$4:$W$4,0))))</f>
        <v>0</v>
      </c>
      <c r="AD83" s="169">
        <f>IF($C83-AD$1&lt;År1,0,AC82*(1-VLOOKUP($A83,[1]Hugst!$R$5:$W$9,MATCH(ROUNDUP((AD$1)/10,0)*10,[1]Hugst!$R$4:$W$4,0))))</f>
        <v>0</v>
      </c>
      <c r="AE83" s="169">
        <f>IF($C83-AE$1&lt;År1,0,AD82*(1-VLOOKUP($A83,[1]Hugst!$R$5:$W$9,MATCH(ROUNDUP((AE$1)/10,0)*10,[1]Hugst!$R$4:$W$4,0))))</f>
        <v>0</v>
      </c>
      <c r="AF83" s="169">
        <f>IF($C83-AF$1&lt;År1,0,AE82*(1-VLOOKUP($A83,[1]Hugst!$R$5:$W$9,MATCH(ROUNDUP((AF$1)/10,0)*10,[1]Hugst!$R$4:$W$4,0))))</f>
        <v>0</v>
      </c>
      <c r="AG83" s="169">
        <f>IF($C83-AG$1&lt;År1,0,AF82*(1-VLOOKUP($A83,[1]Hugst!$R$5:$W$9,MATCH(ROUNDUP((AG$1)/10,0)*10,[1]Hugst!$R$4:$W$4,0))))</f>
        <v>0</v>
      </c>
      <c r="AH83" s="169">
        <f>IF($C83-AH$1&lt;År1,0,AG82*(1-VLOOKUP($A83,[1]Hugst!$R$5:$W$9,MATCH(ROUNDUP((AH$1)/10,0)*10,[1]Hugst!$R$4:$W$4,0))))</f>
        <v>0</v>
      </c>
      <c r="AI83" s="169">
        <f>IF($C83-AI$1&lt;År1,0,AH82*(1-VLOOKUP($A83,[1]Hugst!$R$5:$W$9,MATCH(ROUNDUP((AI$1)/10,0)*10,[1]Hugst!$R$4:$W$4,0))))</f>
        <v>0</v>
      </c>
      <c r="AJ83" s="169">
        <f>IF($C83-AJ$1&lt;År1,0,AI82*(1-VLOOKUP($A83,[1]Hugst!$R$5:$W$9,MATCH(ROUNDUP((AJ$1)/10,0)*10,[1]Hugst!$R$4:$W$4,0))))</f>
        <v>0</v>
      </c>
      <c r="AK83" s="169"/>
      <c r="AL83" s="169"/>
      <c r="AM83" s="169"/>
    </row>
    <row r="84" spans="1:39" x14ac:dyDescent="0.25">
      <c r="A84" s="169" t="s">
        <v>177</v>
      </c>
      <c r="B84" s="169" t="s">
        <v>23</v>
      </c>
      <c r="C84" s="169">
        <v>2040</v>
      </c>
      <c r="D84" s="169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0</v>
      </c>
      <c r="E84" s="169">
        <f t="shared" ca="1" si="1"/>
        <v>0</v>
      </c>
      <c r="F84" s="169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9">
        <f ca="1">IF($C84-G$1&lt;År1,0,F83*(1-VLOOKUP($A84,[1]Hugst!$R$5:$W$9,MATCH(ROUNDUP((G$1)/10,0)*10,[1]Hugst!$R$4:$W$4,0))))</f>
        <v>0</v>
      </c>
      <c r="H84" s="169">
        <f ca="1">IF($C84-H$1&lt;År1,0,G83*(1-VLOOKUP($A84,[1]Hugst!$R$5:$W$9,MATCH(ROUNDUP((H$1)/10,0)*10,[1]Hugst!$R$4:$W$4,0))))</f>
        <v>0</v>
      </c>
      <c r="I84" s="169">
        <f ca="1">IF($C84-I$1&lt;År1,0,H83*(1-VLOOKUP($A84,[1]Hugst!$R$5:$W$9,MATCH(ROUNDUP((I$1)/10,0)*10,[1]Hugst!$R$4:$W$4,0))))</f>
        <v>0</v>
      </c>
      <c r="J84" s="169">
        <f ca="1">IF($C84-J$1&lt;År1,0,I83*(1-VLOOKUP($A84,[1]Hugst!$R$5:$W$9,MATCH(ROUNDUP((J$1)/10,0)*10,[1]Hugst!$R$4:$W$4,0))))</f>
        <v>0</v>
      </c>
      <c r="K84" s="169">
        <f ca="1">IF($C84-K$1&lt;År1,0,J83*(1-VLOOKUP($A84,[1]Hugst!$R$5:$W$9,MATCH(ROUNDUP((K$1)/10,0)*10,[1]Hugst!$R$4:$W$4,0))))</f>
        <v>0</v>
      </c>
      <c r="L84" s="169">
        <f ca="1">IF($C84-L$1&lt;År1,0,K83*(1-VLOOKUP($A84,[1]Hugst!$R$5:$W$9,MATCH(ROUNDUP((L$1)/10,0)*10,[1]Hugst!$R$4:$W$4,0))))</f>
        <v>0</v>
      </c>
      <c r="M84" s="169">
        <f ca="1">IF($C84-M$1&lt;År1,0,L83*(1-VLOOKUP($A84,[1]Hugst!$R$5:$W$9,MATCH(ROUNDUP((M$1)/10,0)*10,[1]Hugst!$R$4:$W$4,0))))</f>
        <v>0</v>
      </c>
      <c r="N84" s="169">
        <f ca="1">IF($C84-N$1&lt;År1,0,M83*(1-VLOOKUP($A84,[1]Hugst!$R$5:$W$9,MATCH(ROUNDUP((N$1)/10,0)*10,[1]Hugst!$R$4:$W$4,0))))</f>
        <v>0</v>
      </c>
      <c r="O84" s="169">
        <f ca="1">IF($C84-O$1&lt;År1,0,N83*(1-VLOOKUP($A84,[1]Hugst!$R$5:$W$9,MATCH(ROUNDUP((O$1)/10,0)*10,[1]Hugst!$R$4:$W$4,0))))</f>
        <v>0</v>
      </c>
      <c r="P84" s="169">
        <f ca="1">IF($C84-P$1&lt;År1,0,O83*(1-VLOOKUP($A84,[1]Hugst!$R$5:$W$9,MATCH(ROUNDUP((P$1)/10,0)*10,[1]Hugst!$R$4:$W$4,0))))</f>
        <v>0</v>
      </c>
      <c r="Q84" s="169">
        <f ca="1">IF($C84-Q$1&lt;År1,0,P83*(1-VLOOKUP($A84,[1]Hugst!$R$5:$W$9,MATCH(ROUNDUP((Q$1)/10,0)*10,[1]Hugst!$R$4:$W$4,0))))</f>
        <v>0</v>
      </c>
      <c r="R84" s="169">
        <f ca="1">IF($C84-R$1&lt;År1,0,Q83*(1-VLOOKUP($A84,[1]Hugst!$R$5:$W$9,MATCH(ROUNDUP((R$1)/10,0)*10,[1]Hugst!$R$4:$W$4,0))))</f>
        <v>0</v>
      </c>
      <c r="S84" s="169">
        <f ca="1">IF($C84-S$1&lt;År1,0,R83*(1-VLOOKUP($A84,[1]Hugst!$R$5:$W$9,MATCH(ROUNDUP((S$1)/10,0)*10,[1]Hugst!$R$4:$W$4,0))))</f>
        <v>0</v>
      </c>
      <c r="T84" s="169">
        <f ca="1">IF($C84-T$1&lt;År1,0,S83*(1-VLOOKUP($A84,[1]Hugst!$R$5:$W$9,MATCH(ROUNDUP((T$1)/10,0)*10,[1]Hugst!$R$4:$W$4,0))))</f>
        <v>0</v>
      </c>
      <c r="U84" s="169">
        <f ca="1">IF($C84-U$1&lt;År1,0,T83*(1-VLOOKUP($A84,[1]Hugst!$R$5:$W$9,MATCH(ROUNDUP((U$1)/10,0)*10,[1]Hugst!$R$4:$W$4,0))))</f>
        <v>0</v>
      </c>
      <c r="V84" s="169">
        <f ca="1">IF($C84-V$1&lt;År1,0,U83*(1-VLOOKUP($A84,[1]Hugst!$R$5:$W$9,MATCH(ROUNDUP((V$1)/10,0)*10,[1]Hugst!$R$4:$W$4,0))))</f>
        <v>0</v>
      </c>
      <c r="W84" s="169">
        <f ca="1">IF($C84-W$1&lt;År1,0,V83*(1-VLOOKUP($A84,[1]Hugst!$R$5:$W$9,MATCH(ROUNDUP((W$1)/10,0)*10,[1]Hugst!$R$4:$W$4,0))))</f>
        <v>0</v>
      </c>
      <c r="X84" s="169">
        <f ca="1">IF($C84-X$1&lt;År1,0,W83*(1-VLOOKUP($A84,[1]Hugst!$R$5:$W$9,MATCH(ROUNDUP((X$1)/10,0)*10,[1]Hugst!$R$4:$W$4,0))))</f>
        <v>0</v>
      </c>
      <c r="Y84" s="169">
        <f ca="1">IF($C84-Y$1&lt;År1,0,X83*(1-VLOOKUP($A84,[1]Hugst!$R$5:$W$9,MATCH(ROUNDUP((Y$1)/10,0)*10,[1]Hugst!$R$4:$W$4,0))))</f>
        <v>0</v>
      </c>
      <c r="Z84" s="169">
        <f ca="1">IF($C84-Z$1&lt;År1,0,Y83*(1-VLOOKUP($A84,[1]Hugst!$R$5:$W$9,MATCH(ROUNDUP((Z$1)/10,0)*10,[1]Hugst!$R$4:$W$4,0))))</f>
        <v>0</v>
      </c>
      <c r="AA84" s="169">
        <f>IF($C84-AA$1&lt;År1,0,Z83*(1-VLOOKUP($A84,[1]Hugst!$R$5:$W$9,MATCH(ROUNDUP((AA$1)/10,0)*10,[1]Hugst!$R$4:$W$4,0))))</f>
        <v>0</v>
      </c>
      <c r="AB84" s="169">
        <f>IF($C84-AB$1&lt;År1,0,AA83*(1-VLOOKUP($A84,[1]Hugst!$R$5:$W$9,MATCH(ROUNDUP((AB$1)/10,0)*10,[1]Hugst!$R$4:$W$4,0))))</f>
        <v>0</v>
      </c>
      <c r="AC84" s="169">
        <f>IF($C84-AC$1&lt;År1,0,AB83*(1-VLOOKUP($A84,[1]Hugst!$R$5:$W$9,MATCH(ROUNDUP((AC$1)/10,0)*10,[1]Hugst!$R$4:$W$4,0))))</f>
        <v>0</v>
      </c>
      <c r="AD84" s="169">
        <f>IF($C84-AD$1&lt;År1,0,AC83*(1-VLOOKUP($A84,[1]Hugst!$R$5:$W$9,MATCH(ROUNDUP((AD$1)/10,0)*10,[1]Hugst!$R$4:$W$4,0))))</f>
        <v>0</v>
      </c>
      <c r="AE84" s="169">
        <f>IF($C84-AE$1&lt;År1,0,AD83*(1-VLOOKUP($A84,[1]Hugst!$R$5:$W$9,MATCH(ROUNDUP((AE$1)/10,0)*10,[1]Hugst!$R$4:$W$4,0))))</f>
        <v>0</v>
      </c>
      <c r="AF84" s="169">
        <f>IF($C84-AF$1&lt;År1,0,AE83*(1-VLOOKUP($A84,[1]Hugst!$R$5:$W$9,MATCH(ROUNDUP((AF$1)/10,0)*10,[1]Hugst!$R$4:$W$4,0))))</f>
        <v>0</v>
      </c>
      <c r="AG84" s="169">
        <f>IF($C84-AG$1&lt;År1,0,AF83*(1-VLOOKUP($A84,[1]Hugst!$R$5:$W$9,MATCH(ROUNDUP((AG$1)/10,0)*10,[1]Hugst!$R$4:$W$4,0))))</f>
        <v>0</v>
      </c>
      <c r="AH84" s="169">
        <f>IF($C84-AH$1&lt;År1,0,AG83*(1-VLOOKUP($A84,[1]Hugst!$R$5:$W$9,MATCH(ROUNDUP((AH$1)/10,0)*10,[1]Hugst!$R$4:$W$4,0))))</f>
        <v>0</v>
      </c>
      <c r="AI84" s="169">
        <f>IF($C84-AI$1&lt;År1,0,AH83*(1-VLOOKUP($A84,[1]Hugst!$R$5:$W$9,MATCH(ROUNDUP((AI$1)/10,0)*10,[1]Hugst!$R$4:$W$4,0))))</f>
        <v>0</v>
      </c>
      <c r="AJ84" s="169">
        <f>IF($C84-AJ$1&lt;År1,0,AI83*(1-VLOOKUP($A84,[1]Hugst!$R$5:$W$9,MATCH(ROUNDUP((AJ$1)/10,0)*10,[1]Hugst!$R$4:$W$4,0))))</f>
        <v>0</v>
      </c>
      <c r="AK84" s="169"/>
      <c r="AL84" s="169"/>
      <c r="AM84" s="169"/>
    </row>
    <row r="85" spans="1:39" x14ac:dyDescent="0.25">
      <c r="A85" s="169" t="s">
        <v>177</v>
      </c>
      <c r="B85" s="169" t="s">
        <v>23</v>
      </c>
      <c r="C85" s="169">
        <v>2041</v>
      </c>
      <c r="D85" s="169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0</v>
      </c>
      <c r="E85" s="169">
        <f t="shared" ca="1" si="1"/>
        <v>0</v>
      </c>
      <c r="F85" s="169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9">
        <f ca="1">IF($C85-G$1&lt;År1,0,F84*(1-VLOOKUP($A85,[1]Hugst!$R$5:$W$9,MATCH(ROUNDUP((G$1)/10,0)*10,[1]Hugst!$R$4:$W$4,0))))</f>
        <v>0</v>
      </c>
      <c r="H85" s="169">
        <f ca="1">IF($C85-H$1&lt;År1,0,G84*(1-VLOOKUP($A85,[1]Hugst!$R$5:$W$9,MATCH(ROUNDUP((H$1)/10,0)*10,[1]Hugst!$R$4:$W$4,0))))</f>
        <v>0</v>
      </c>
      <c r="I85" s="169">
        <f ca="1">IF($C85-I$1&lt;År1,0,H84*(1-VLOOKUP($A85,[1]Hugst!$R$5:$W$9,MATCH(ROUNDUP((I$1)/10,0)*10,[1]Hugst!$R$4:$W$4,0))))</f>
        <v>0</v>
      </c>
      <c r="J85" s="169">
        <f ca="1">IF($C85-J$1&lt;År1,0,I84*(1-VLOOKUP($A85,[1]Hugst!$R$5:$W$9,MATCH(ROUNDUP((J$1)/10,0)*10,[1]Hugst!$R$4:$W$4,0))))</f>
        <v>0</v>
      </c>
      <c r="K85" s="169">
        <f ca="1">IF($C85-K$1&lt;År1,0,J84*(1-VLOOKUP($A85,[1]Hugst!$R$5:$W$9,MATCH(ROUNDUP((K$1)/10,0)*10,[1]Hugst!$R$4:$W$4,0))))</f>
        <v>0</v>
      </c>
      <c r="L85" s="169">
        <f ca="1">IF($C85-L$1&lt;År1,0,K84*(1-VLOOKUP($A85,[1]Hugst!$R$5:$W$9,MATCH(ROUNDUP((L$1)/10,0)*10,[1]Hugst!$R$4:$W$4,0))))</f>
        <v>0</v>
      </c>
      <c r="M85" s="169">
        <f ca="1">IF($C85-M$1&lt;År1,0,L84*(1-VLOOKUP($A85,[1]Hugst!$R$5:$W$9,MATCH(ROUNDUP((M$1)/10,0)*10,[1]Hugst!$R$4:$W$4,0))))</f>
        <v>0</v>
      </c>
      <c r="N85" s="169">
        <f ca="1">IF($C85-N$1&lt;År1,0,M84*(1-VLOOKUP($A85,[1]Hugst!$R$5:$W$9,MATCH(ROUNDUP((N$1)/10,0)*10,[1]Hugst!$R$4:$W$4,0))))</f>
        <v>0</v>
      </c>
      <c r="O85" s="169">
        <f ca="1">IF($C85-O$1&lt;År1,0,N84*(1-VLOOKUP($A85,[1]Hugst!$R$5:$W$9,MATCH(ROUNDUP((O$1)/10,0)*10,[1]Hugst!$R$4:$W$4,0))))</f>
        <v>0</v>
      </c>
      <c r="P85" s="169">
        <f ca="1">IF($C85-P$1&lt;År1,0,O84*(1-VLOOKUP($A85,[1]Hugst!$R$5:$W$9,MATCH(ROUNDUP((P$1)/10,0)*10,[1]Hugst!$R$4:$W$4,0))))</f>
        <v>0</v>
      </c>
      <c r="Q85" s="169">
        <f ca="1">IF($C85-Q$1&lt;År1,0,P84*(1-VLOOKUP($A85,[1]Hugst!$R$5:$W$9,MATCH(ROUNDUP((Q$1)/10,0)*10,[1]Hugst!$R$4:$W$4,0))))</f>
        <v>0</v>
      </c>
      <c r="R85" s="169">
        <f ca="1">IF($C85-R$1&lt;År1,0,Q84*(1-VLOOKUP($A85,[1]Hugst!$R$5:$W$9,MATCH(ROUNDUP((R$1)/10,0)*10,[1]Hugst!$R$4:$W$4,0))))</f>
        <v>0</v>
      </c>
      <c r="S85" s="169">
        <f ca="1">IF($C85-S$1&lt;År1,0,R84*(1-VLOOKUP($A85,[1]Hugst!$R$5:$W$9,MATCH(ROUNDUP((S$1)/10,0)*10,[1]Hugst!$R$4:$W$4,0))))</f>
        <v>0</v>
      </c>
      <c r="T85" s="169">
        <f ca="1">IF($C85-T$1&lt;År1,0,S84*(1-VLOOKUP($A85,[1]Hugst!$R$5:$W$9,MATCH(ROUNDUP((T$1)/10,0)*10,[1]Hugst!$R$4:$W$4,0))))</f>
        <v>0</v>
      </c>
      <c r="U85" s="169">
        <f ca="1">IF($C85-U$1&lt;År1,0,T84*(1-VLOOKUP($A85,[1]Hugst!$R$5:$W$9,MATCH(ROUNDUP((U$1)/10,0)*10,[1]Hugst!$R$4:$W$4,0))))</f>
        <v>0</v>
      </c>
      <c r="V85" s="169">
        <f ca="1">IF($C85-V$1&lt;År1,0,U84*(1-VLOOKUP($A85,[1]Hugst!$R$5:$W$9,MATCH(ROUNDUP((V$1)/10,0)*10,[1]Hugst!$R$4:$W$4,0))))</f>
        <v>0</v>
      </c>
      <c r="W85" s="169">
        <f ca="1">IF($C85-W$1&lt;År1,0,V84*(1-VLOOKUP($A85,[1]Hugst!$R$5:$W$9,MATCH(ROUNDUP((W$1)/10,0)*10,[1]Hugst!$R$4:$W$4,0))))</f>
        <v>0</v>
      </c>
      <c r="X85" s="169">
        <f ca="1">IF($C85-X$1&lt;År1,0,W84*(1-VLOOKUP($A85,[1]Hugst!$R$5:$W$9,MATCH(ROUNDUP((X$1)/10,0)*10,[1]Hugst!$R$4:$W$4,0))))</f>
        <v>0</v>
      </c>
      <c r="Y85" s="169">
        <f ca="1">IF($C85-Y$1&lt;År1,0,X84*(1-VLOOKUP($A85,[1]Hugst!$R$5:$W$9,MATCH(ROUNDUP((Y$1)/10,0)*10,[1]Hugst!$R$4:$W$4,0))))</f>
        <v>0</v>
      </c>
      <c r="Z85" s="169">
        <f ca="1">IF($C85-Z$1&lt;År1,0,Y84*(1-VLOOKUP($A85,[1]Hugst!$R$5:$W$9,MATCH(ROUNDUP((Z$1)/10,0)*10,[1]Hugst!$R$4:$W$4,0))))</f>
        <v>0</v>
      </c>
      <c r="AA85" s="169">
        <f ca="1">IF($C85-AA$1&lt;År1,0,Z84*(1-VLOOKUP($A85,[1]Hugst!$R$5:$W$9,MATCH(ROUNDUP((AA$1)/10,0)*10,[1]Hugst!$R$4:$W$4,0))))</f>
        <v>0</v>
      </c>
      <c r="AB85" s="169">
        <f>IF($C85-AB$1&lt;År1,0,AA84*(1-VLOOKUP($A85,[1]Hugst!$R$5:$W$9,MATCH(ROUNDUP((AB$1)/10,0)*10,[1]Hugst!$R$4:$W$4,0))))</f>
        <v>0</v>
      </c>
      <c r="AC85" s="169">
        <f>IF($C85-AC$1&lt;År1,0,AB84*(1-VLOOKUP($A85,[1]Hugst!$R$5:$W$9,MATCH(ROUNDUP((AC$1)/10,0)*10,[1]Hugst!$R$4:$W$4,0))))</f>
        <v>0</v>
      </c>
      <c r="AD85" s="169">
        <f>IF($C85-AD$1&lt;År1,0,AC84*(1-VLOOKUP($A85,[1]Hugst!$R$5:$W$9,MATCH(ROUNDUP((AD$1)/10,0)*10,[1]Hugst!$R$4:$W$4,0))))</f>
        <v>0</v>
      </c>
      <c r="AE85" s="169">
        <f>IF($C85-AE$1&lt;År1,0,AD84*(1-VLOOKUP($A85,[1]Hugst!$R$5:$W$9,MATCH(ROUNDUP((AE$1)/10,0)*10,[1]Hugst!$R$4:$W$4,0))))</f>
        <v>0</v>
      </c>
      <c r="AF85" s="169">
        <f>IF($C85-AF$1&lt;År1,0,AE84*(1-VLOOKUP($A85,[1]Hugst!$R$5:$W$9,MATCH(ROUNDUP((AF$1)/10,0)*10,[1]Hugst!$R$4:$W$4,0))))</f>
        <v>0</v>
      </c>
      <c r="AG85" s="169">
        <f>IF($C85-AG$1&lt;År1,0,AF84*(1-VLOOKUP($A85,[1]Hugst!$R$5:$W$9,MATCH(ROUNDUP((AG$1)/10,0)*10,[1]Hugst!$R$4:$W$4,0))))</f>
        <v>0</v>
      </c>
      <c r="AH85" s="169">
        <f>IF($C85-AH$1&lt;År1,0,AG84*(1-VLOOKUP($A85,[1]Hugst!$R$5:$W$9,MATCH(ROUNDUP((AH$1)/10,0)*10,[1]Hugst!$R$4:$W$4,0))))</f>
        <v>0</v>
      </c>
      <c r="AI85" s="169">
        <f>IF($C85-AI$1&lt;År1,0,AH84*(1-VLOOKUP($A85,[1]Hugst!$R$5:$W$9,MATCH(ROUNDUP((AI$1)/10,0)*10,[1]Hugst!$R$4:$W$4,0))))</f>
        <v>0</v>
      </c>
      <c r="AJ85" s="169">
        <f>IF($C85-AJ$1&lt;År1,0,AI84*(1-VLOOKUP($A85,[1]Hugst!$R$5:$W$9,MATCH(ROUNDUP((AJ$1)/10,0)*10,[1]Hugst!$R$4:$W$4,0))))</f>
        <v>0</v>
      </c>
      <c r="AK85" s="169"/>
      <c r="AL85" s="169"/>
      <c r="AM85" s="169"/>
    </row>
    <row r="86" spans="1:39" x14ac:dyDescent="0.25">
      <c r="A86" s="169" t="s">
        <v>177</v>
      </c>
      <c r="B86" s="169" t="s">
        <v>23</v>
      </c>
      <c r="C86" s="169">
        <v>2042</v>
      </c>
      <c r="D86" s="169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0</v>
      </c>
      <c r="E86" s="169">
        <f t="shared" ca="1" si="1"/>
        <v>0</v>
      </c>
      <c r="F86" s="169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9">
        <f ca="1">IF($C86-G$1&lt;År1,0,F85*(1-VLOOKUP($A86,[1]Hugst!$R$5:$W$9,MATCH(ROUNDUP((G$1)/10,0)*10,[1]Hugst!$R$4:$W$4,0))))</f>
        <v>0</v>
      </c>
      <c r="H86" s="169">
        <f ca="1">IF($C86-H$1&lt;År1,0,G85*(1-VLOOKUP($A86,[1]Hugst!$R$5:$W$9,MATCH(ROUNDUP((H$1)/10,0)*10,[1]Hugst!$R$4:$W$4,0))))</f>
        <v>0</v>
      </c>
      <c r="I86" s="169">
        <f ca="1">IF($C86-I$1&lt;År1,0,H85*(1-VLOOKUP($A86,[1]Hugst!$R$5:$W$9,MATCH(ROUNDUP((I$1)/10,0)*10,[1]Hugst!$R$4:$W$4,0))))</f>
        <v>0</v>
      </c>
      <c r="J86" s="169">
        <f ca="1">IF($C86-J$1&lt;År1,0,I85*(1-VLOOKUP($A86,[1]Hugst!$R$5:$W$9,MATCH(ROUNDUP((J$1)/10,0)*10,[1]Hugst!$R$4:$W$4,0))))</f>
        <v>0</v>
      </c>
      <c r="K86" s="169">
        <f ca="1">IF($C86-K$1&lt;År1,0,J85*(1-VLOOKUP($A86,[1]Hugst!$R$5:$W$9,MATCH(ROUNDUP((K$1)/10,0)*10,[1]Hugst!$R$4:$W$4,0))))</f>
        <v>0</v>
      </c>
      <c r="L86" s="169">
        <f ca="1">IF($C86-L$1&lt;År1,0,K85*(1-VLOOKUP($A86,[1]Hugst!$R$5:$W$9,MATCH(ROUNDUP((L$1)/10,0)*10,[1]Hugst!$R$4:$W$4,0))))</f>
        <v>0</v>
      </c>
      <c r="M86" s="169">
        <f ca="1">IF($C86-M$1&lt;År1,0,L85*(1-VLOOKUP($A86,[1]Hugst!$R$5:$W$9,MATCH(ROUNDUP((M$1)/10,0)*10,[1]Hugst!$R$4:$W$4,0))))</f>
        <v>0</v>
      </c>
      <c r="N86" s="169">
        <f ca="1">IF($C86-N$1&lt;År1,0,M85*(1-VLOOKUP($A86,[1]Hugst!$R$5:$W$9,MATCH(ROUNDUP((N$1)/10,0)*10,[1]Hugst!$R$4:$W$4,0))))</f>
        <v>0</v>
      </c>
      <c r="O86" s="169">
        <f ca="1">IF($C86-O$1&lt;År1,0,N85*(1-VLOOKUP($A86,[1]Hugst!$R$5:$W$9,MATCH(ROUNDUP((O$1)/10,0)*10,[1]Hugst!$R$4:$W$4,0))))</f>
        <v>0</v>
      </c>
      <c r="P86" s="169">
        <f ca="1">IF($C86-P$1&lt;År1,0,O85*(1-VLOOKUP($A86,[1]Hugst!$R$5:$W$9,MATCH(ROUNDUP((P$1)/10,0)*10,[1]Hugst!$R$4:$W$4,0))))</f>
        <v>0</v>
      </c>
      <c r="Q86" s="169">
        <f ca="1">IF($C86-Q$1&lt;År1,0,P85*(1-VLOOKUP($A86,[1]Hugst!$R$5:$W$9,MATCH(ROUNDUP((Q$1)/10,0)*10,[1]Hugst!$R$4:$W$4,0))))</f>
        <v>0</v>
      </c>
      <c r="R86" s="169">
        <f ca="1">IF($C86-R$1&lt;År1,0,Q85*(1-VLOOKUP($A86,[1]Hugst!$R$5:$W$9,MATCH(ROUNDUP((R$1)/10,0)*10,[1]Hugst!$R$4:$W$4,0))))</f>
        <v>0</v>
      </c>
      <c r="S86" s="169">
        <f ca="1">IF($C86-S$1&lt;År1,0,R85*(1-VLOOKUP($A86,[1]Hugst!$R$5:$W$9,MATCH(ROUNDUP((S$1)/10,0)*10,[1]Hugst!$R$4:$W$4,0))))</f>
        <v>0</v>
      </c>
      <c r="T86" s="169">
        <f ca="1">IF($C86-T$1&lt;År1,0,S85*(1-VLOOKUP($A86,[1]Hugst!$R$5:$W$9,MATCH(ROUNDUP((T$1)/10,0)*10,[1]Hugst!$R$4:$W$4,0))))</f>
        <v>0</v>
      </c>
      <c r="U86" s="169">
        <f ca="1">IF($C86-U$1&lt;År1,0,T85*(1-VLOOKUP($A86,[1]Hugst!$R$5:$W$9,MATCH(ROUNDUP((U$1)/10,0)*10,[1]Hugst!$R$4:$W$4,0))))</f>
        <v>0</v>
      </c>
      <c r="V86" s="169">
        <f ca="1">IF($C86-V$1&lt;År1,0,U85*(1-VLOOKUP($A86,[1]Hugst!$R$5:$W$9,MATCH(ROUNDUP((V$1)/10,0)*10,[1]Hugst!$R$4:$W$4,0))))</f>
        <v>0</v>
      </c>
      <c r="W86" s="169">
        <f ca="1">IF($C86-W$1&lt;År1,0,V85*(1-VLOOKUP($A86,[1]Hugst!$R$5:$W$9,MATCH(ROUNDUP((W$1)/10,0)*10,[1]Hugst!$R$4:$W$4,0))))</f>
        <v>0</v>
      </c>
      <c r="X86" s="169">
        <f ca="1">IF($C86-X$1&lt;År1,0,W85*(1-VLOOKUP($A86,[1]Hugst!$R$5:$W$9,MATCH(ROUNDUP((X$1)/10,0)*10,[1]Hugst!$R$4:$W$4,0))))</f>
        <v>0</v>
      </c>
      <c r="Y86" s="169">
        <f ca="1">IF($C86-Y$1&lt;År1,0,X85*(1-VLOOKUP($A86,[1]Hugst!$R$5:$W$9,MATCH(ROUNDUP((Y$1)/10,0)*10,[1]Hugst!$R$4:$W$4,0))))</f>
        <v>0</v>
      </c>
      <c r="Z86" s="169">
        <f ca="1">IF($C86-Z$1&lt;År1,0,Y85*(1-VLOOKUP($A86,[1]Hugst!$R$5:$W$9,MATCH(ROUNDUP((Z$1)/10,0)*10,[1]Hugst!$R$4:$W$4,0))))</f>
        <v>0</v>
      </c>
      <c r="AA86" s="169">
        <f ca="1">IF($C86-AA$1&lt;År1,0,Z85*(1-VLOOKUP($A86,[1]Hugst!$R$5:$W$9,MATCH(ROUNDUP((AA$1)/10,0)*10,[1]Hugst!$R$4:$W$4,0))))</f>
        <v>0</v>
      </c>
      <c r="AB86" s="169">
        <f ca="1">IF($C86-AB$1&lt;År1,0,AA85*(1-VLOOKUP($A86,[1]Hugst!$R$5:$W$9,MATCH(ROUNDUP((AB$1)/10,0)*10,[1]Hugst!$R$4:$W$4,0))))</f>
        <v>0</v>
      </c>
      <c r="AC86" s="169">
        <f>IF($C86-AC$1&lt;År1,0,AB85*(1-VLOOKUP($A86,[1]Hugst!$R$5:$W$9,MATCH(ROUNDUP((AC$1)/10,0)*10,[1]Hugst!$R$4:$W$4,0))))</f>
        <v>0</v>
      </c>
      <c r="AD86" s="169">
        <f>IF($C86-AD$1&lt;År1,0,AC85*(1-VLOOKUP($A86,[1]Hugst!$R$5:$W$9,MATCH(ROUNDUP((AD$1)/10,0)*10,[1]Hugst!$R$4:$W$4,0))))</f>
        <v>0</v>
      </c>
      <c r="AE86" s="169">
        <f>IF($C86-AE$1&lt;År1,0,AD85*(1-VLOOKUP($A86,[1]Hugst!$R$5:$W$9,MATCH(ROUNDUP((AE$1)/10,0)*10,[1]Hugst!$R$4:$W$4,0))))</f>
        <v>0</v>
      </c>
      <c r="AF86" s="169">
        <f>IF($C86-AF$1&lt;År1,0,AE85*(1-VLOOKUP($A86,[1]Hugst!$R$5:$W$9,MATCH(ROUNDUP((AF$1)/10,0)*10,[1]Hugst!$R$4:$W$4,0))))</f>
        <v>0</v>
      </c>
      <c r="AG86" s="169">
        <f>IF($C86-AG$1&lt;År1,0,AF85*(1-VLOOKUP($A86,[1]Hugst!$R$5:$W$9,MATCH(ROUNDUP((AG$1)/10,0)*10,[1]Hugst!$R$4:$W$4,0))))</f>
        <v>0</v>
      </c>
      <c r="AH86" s="169">
        <f>IF($C86-AH$1&lt;År1,0,AG85*(1-VLOOKUP($A86,[1]Hugst!$R$5:$W$9,MATCH(ROUNDUP((AH$1)/10,0)*10,[1]Hugst!$R$4:$W$4,0))))</f>
        <v>0</v>
      </c>
      <c r="AI86" s="169">
        <f>IF($C86-AI$1&lt;År1,0,AH85*(1-VLOOKUP($A86,[1]Hugst!$R$5:$W$9,MATCH(ROUNDUP((AI$1)/10,0)*10,[1]Hugst!$R$4:$W$4,0))))</f>
        <v>0</v>
      </c>
      <c r="AJ86" s="169">
        <f>IF($C86-AJ$1&lt;År1,0,AI85*(1-VLOOKUP($A86,[1]Hugst!$R$5:$W$9,MATCH(ROUNDUP((AJ$1)/10,0)*10,[1]Hugst!$R$4:$W$4,0))))</f>
        <v>0</v>
      </c>
      <c r="AK86" s="169"/>
      <c r="AL86" s="169"/>
      <c r="AM86" s="169"/>
    </row>
    <row r="87" spans="1:39" x14ac:dyDescent="0.25">
      <c r="A87" s="169" t="s">
        <v>177</v>
      </c>
      <c r="B87" s="169" t="s">
        <v>23</v>
      </c>
      <c r="C87" s="169">
        <v>2043</v>
      </c>
      <c r="D87" s="169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0</v>
      </c>
      <c r="E87" s="169">
        <f t="shared" ca="1" si="1"/>
        <v>0</v>
      </c>
      <c r="F87" s="169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9">
        <f ca="1">IF($C87-G$1&lt;År1,0,F86*(1-VLOOKUP($A87,[1]Hugst!$R$5:$W$9,MATCH(ROUNDUP((G$1)/10,0)*10,[1]Hugst!$R$4:$W$4,0))))</f>
        <v>0</v>
      </c>
      <c r="H87" s="169">
        <f ca="1">IF($C87-H$1&lt;År1,0,G86*(1-VLOOKUP($A87,[1]Hugst!$R$5:$W$9,MATCH(ROUNDUP((H$1)/10,0)*10,[1]Hugst!$R$4:$W$4,0))))</f>
        <v>0</v>
      </c>
      <c r="I87" s="169">
        <f ca="1">IF($C87-I$1&lt;År1,0,H86*(1-VLOOKUP($A87,[1]Hugst!$R$5:$W$9,MATCH(ROUNDUP((I$1)/10,0)*10,[1]Hugst!$R$4:$W$4,0))))</f>
        <v>0</v>
      </c>
      <c r="J87" s="169">
        <f ca="1">IF($C87-J$1&lt;År1,0,I86*(1-VLOOKUP($A87,[1]Hugst!$R$5:$W$9,MATCH(ROUNDUP((J$1)/10,0)*10,[1]Hugst!$R$4:$W$4,0))))</f>
        <v>0</v>
      </c>
      <c r="K87" s="169">
        <f ca="1">IF($C87-K$1&lt;År1,0,J86*(1-VLOOKUP($A87,[1]Hugst!$R$5:$W$9,MATCH(ROUNDUP((K$1)/10,0)*10,[1]Hugst!$R$4:$W$4,0))))</f>
        <v>0</v>
      </c>
      <c r="L87" s="169">
        <f ca="1">IF($C87-L$1&lt;År1,0,K86*(1-VLOOKUP($A87,[1]Hugst!$R$5:$W$9,MATCH(ROUNDUP((L$1)/10,0)*10,[1]Hugst!$R$4:$W$4,0))))</f>
        <v>0</v>
      </c>
      <c r="M87" s="169">
        <f ca="1">IF($C87-M$1&lt;År1,0,L86*(1-VLOOKUP($A87,[1]Hugst!$R$5:$W$9,MATCH(ROUNDUP((M$1)/10,0)*10,[1]Hugst!$R$4:$W$4,0))))</f>
        <v>0</v>
      </c>
      <c r="N87" s="169">
        <f ca="1">IF($C87-N$1&lt;År1,0,M86*(1-VLOOKUP($A87,[1]Hugst!$R$5:$W$9,MATCH(ROUNDUP((N$1)/10,0)*10,[1]Hugst!$R$4:$W$4,0))))</f>
        <v>0</v>
      </c>
      <c r="O87" s="169">
        <f ca="1">IF($C87-O$1&lt;År1,0,N86*(1-VLOOKUP($A87,[1]Hugst!$R$5:$W$9,MATCH(ROUNDUP((O$1)/10,0)*10,[1]Hugst!$R$4:$W$4,0))))</f>
        <v>0</v>
      </c>
      <c r="P87" s="169">
        <f ca="1">IF($C87-P$1&lt;År1,0,O86*(1-VLOOKUP($A87,[1]Hugst!$R$5:$W$9,MATCH(ROUNDUP((P$1)/10,0)*10,[1]Hugst!$R$4:$W$4,0))))</f>
        <v>0</v>
      </c>
      <c r="Q87" s="169">
        <f ca="1">IF($C87-Q$1&lt;År1,0,P86*(1-VLOOKUP($A87,[1]Hugst!$R$5:$W$9,MATCH(ROUNDUP((Q$1)/10,0)*10,[1]Hugst!$R$4:$W$4,0))))</f>
        <v>0</v>
      </c>
      <c r="R87" s="169">
        <f ca="1">IF($C87-R$1&lt;År1,0,Q86*(1-VLOOKUP($A87,[1]Hugst!$R$5:$W$9,MATCH(ROUNDUP((R$1)/10,0)*10,[1]Hugst!$R$4:$W$4,0))))</f>
        <v>0</v>
      </c>
      <c r="S87" s="169">
        <f ca="1">IF($C87-S$1&lt;År1,0,R86*(1-VLOOKUP($A87,[1]Hugst!$R$5:$W$9,MATCH(ROUNDUP((S$1)/10,0)*10,[1]Hugst!$R$4:$W$4,0))))</f>
        <v>0</v>
      </c>
      <c r="T87" s="169">
        <f ca="1">IF($C87-T$1&lt;År1,0,S86*(1-VLOOKUP($A87,[1]Hugst!$R$5:$W$9,MATCH(ROUNDUP((T$1)/10,0)*10,[1]Hugst!$R$4:$W$4,0))))</f>
        <v>0</v>
      </c>
      <c r="U87" s="169">
        <f ca="1">IF($C87-U$1&lt;År1,0,T86*(1-VLOOKUP($A87,[1]Hugst!$R$5:$W$9,MATCH(ROUNDUP((U$1)/10,0)*10,[1]Hugst!$R$4:$W$4,0))))</f>
        <v>0</v>
      </c>
      <c r="V87" s="169">
        <f ca="1">IF($C87-V$1&lt;År1,0,U86*(1-VLOOKUP($A87,[1]Hugst!$R$5:$W$9,MATCH(ROUNDUP((V$1)/10,0)*10,[1]Hugst!$R$4:$W$4,0))))</f>
        <v>0</v>
      </c>
      <c r="W87" s="169">
        <f ca="1">IF($C87-W$1&lt;År1,0,V86*(1-VLOOKUP($A87,[1]Hugst!$R$5:$W$9,MATCH(ROUNDUP((W$1)/10,0)*10,[1]Hugst!$R$4:$W$4,0))))</f>
        <v>0</v>
      </c>
      <c r="X87" s="169">
        <f ca="1">IF($C87-X$1&lt;År1,0,W86*(1-VLOOKUP($A87,[1]Hugst!$R$5:$W$9,MATCH(ROUNDUP((X$1)/10,0)*10,[1]Hugst!$R$4:$W$4,0))))</f>
        <v>0</v>
      </c>
      <c r="Y87" s="169">
        <f ca="1">IF($C87-Y$1&lt;År1,0,X86*(1-VLOOKUP($A87,[1]Hugst!$R$5:$W$9,MATCH(ROUNDUP((Y$1)/10,0)*10,[1]Hugst!$R$4:$W$4,0))))</f>
        <v>0</v>
      </c>
      <c r="Z87" s="169">
        <f ca="1">IF($C87-Z$1&lt;År1,0,Y86*(1-VLOOKUP($A87,[1]Hugst!$R$5:$W$9,MATCH(ROUNDUP((Z$1)/10,0)*10,[1]Hugst!$R$4:$W$4,0))))</f>
        <v>0</v>
      </c>
      <c r="AA87" s="169">
        <f ca="1">IF($C87-AA$1&lt;År1,0,Z86*(1-VLOOKUP($A87,[1]Hugst!$R$5:$W$9,MATCH(ROUNDUP((AA$1)/10,0)*10,[1]Hugst!$R$4:$W$4,0))))</f>
        <v>0</v>
      </c>
      <c r="AB87" s="169">
        <f ca="1">IF($C87-AB$1&lt;År1,0,AA86*(1-VLOOKUP($A87,[1]Hugst!$R$5:$W$9,MATCH(ROUNDUP((AB$1)/10,0)*10,[1]Hugst!$R$4:$W$4,0))))</f>
        <v>0</v>
      </c>
      <c r="AC87" s="169">
        <f ca="1">IF($C87-AC$1&lt;År1,0,AB86*(1-VLOOKUP($A87,[1]Hugst!$R$5:$W$9,MATCH(ROUNDUP((AC$1)/10,0)*10,[1]Hugst!$R$4:$W$4,0))))</f>
        <v>0</v>
      </c>
      <c r="AD87" s="169">
        <f>IF($C87-AD$1&lt;År1,0,AC86*(1-VLOOKUP($A87,[1]Hugst!$R$5:$W$9,MATCH(ROUNDUP((AD$1)/10,0)*10,[1]Hugst!$R$4:$W$4,0))))</f>
        <v>0</v>
      </c>
      <c r="AE87" s="169">
        <f>IF($C87-AE$1&lt;År1,0,AD86*(1-VLOOKUP($A87,[1]Hugst!$R$5:$W$9,MATCH(ROUNDUP((AE$1)/10,0)*10,[1]Hugst!$R$4:$W$4,0))))</f>
        <v>0</v>
      </c>
      <c r="AF87" s="169">
        <f>IF($C87-AF$1&lt;År1,0,AE86*(1-VLOOKUP($A87,[1]Hugst!$R$5:$W$9,MATCH(ROUNDUP((AF$1)/10,0)*10,[1]Hugst!$R$4:$W$4,0))))</f>
        <v>0</v>
      </c>
      <c r="AG87" s="169">
        <f>IF($C87-AG$1&lt;År1,0,AF86*(1-VLOOKUP($A87,[1]Hugst!$R$5:$W$9,MATCH(ROUNDUP((AG$1)/10,0)*10,[1]Hugst!$R$4:$W$4,0))))</f>
        <v>0</v>
      </c>
      <c r="AH87" s="169">
        <f>IF($C87-AH$1&lt;År1,0,AG86*(1-VLOOKUP($A87,[1]Hugst!$R$5:$W$9,MATCH(ROUNDUP((AH$1)/10,0)*10,[1]Hugst!$R$4:$W$4,0))))</f>
        <v>0</v>
      </c>
      <c r="AI87" s="169">
        <f>IF($C87-AI$1&lt;År1,0,AH86*(1-VLOOKUP($A87,[1]Hugst!$R$5:$W$9,MATCH(ROUNDUP((AI$1)/10,0)*10,[1]Hugst!$R$4:$W$4,0))))</f>
        <v>0</v>
      </c>
      <c r="AJ87" s="169">
        <f>IF($C87-AJ$1&lt;År1,0,AI86*(1-VLOOKUP($A87,[1]Hugst!$R$5:$W$9,MATCH(ROUNDUP((AJ$1)/10,0)*10,[1]Hugst!$R$4:$W$4,0))))</f>
        <v>0</v>
      </c>
      <c r="AK87" s="169"/>
      <c r="AL87" s="169"/>
      <c r="AM87" s="169"/>
    </row>
    <row r="88" spans="1:39" x14ac:dyDescent="0.25">
      <c r="A88" s="169" t="s">
        <v>177</v>
      </c>
      <c r="B88" s="169" t="s">
        <v>23</v>
      </c>
      <c r="C88" s="169">
        <v>2044</v>
      </c>
      <c r="D88" s="169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0</v>
      </c>
      <c r="E88" s="169">
        <f t="shared" ca="1" si="1"/>
        <v>0</v>
      </c>
      <c r="F88" s="169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9">
        <f ca="1">IF($C88-G$1&lt;År1,0,F87*(1-VLOOKUP($A88,[1]Hugst!$R$5:$W$9,MATCH(ROUNDUP((G$1)/10,0)*10,[1]Hugst!$R$4:$W$4,0))))</f>
        <v>0</v>
      </c>
      <c r="H88" s="169">
        <f ca="1">IF($C88-H$1&lt;År1,0,G87*(1-VLOOKUP($A88,[1]Hugst!$R$5:$W$9,MATCH(ROUNDUP((H$1)/10,0)*10,[1]Hugst!$R$4:$W$4,0))))</f>
        <v>0</v>
      </c>
      <c r="I88" s="169">
        <f ca="1">IF($C88-I$1&lt;År1,0,H87*(1-VLOOKUP($A88,[1]Hugst!$R$5:$W$9,MATCH(ROUNDUP((I$1)/10,0)*10,[1]Hugst!$R$4:$W$4,0))))</f>
        <v>0</v>
      </c>
      <c r="J88" s="169">
        <f ca="1">IF($C88-J$1&lt;År1,0,I87*(1-VLOOKUP($A88,[1]Hugst!$R$5:$W$9,MATCH(ROUNDUP((J$1)/10,0)*10,[1]Hugst!$R$4:$W$4,0))))</f>
        <v>0</v>
      </c>
      <c r="K88" s="169">
        <f ca="1">IF($C88-K$1&lt;År1,0,J87*(1-VLOOKUP($A88,[1]Hugst!$R$5:$W$9,MATCH(ROUNDUP((K$1)/10,0)*10,[1]Hugst!$R$4:$W$4,0))))</f>
        <v>0</v>
      </c>
      <c r="L88" s="169">
        <f ca="1">IF($C88-L$1&lt;År1,0,K87*(1-VLOOKUP($A88,[1]Hugst!$R$5:$W$9,MATCH(ROUNDUP((L$1)/10,0)*10,[1]Hugst!$R$4:$W$4,0))))</f>
        <v>0</v>
      </c>
      <c r="M88" s="169">
        <f ca="1">IF($C88-M$1&lt;År1,0,L87*(1-VLOOKUP($A88,[1]Hugst!$R$5:$W$9,MATCH(ROUNDUP((M$1)/10,0)*10,[1]Hugst!$R$4:$W$4,0))))</f>
        <v>0</v>
      </c>
      <c r="N88" s="169">
        <f ca="1">IF($C88-N$1&lt;År1,0,M87*(1-VLOOKUP($A88,[1]Hugst!$R$5:$W$9,MATCH(ROUNDUP((N$1)/10,0)*10,[1]Hugst!$R$4:$W$4,0))))</f>
        <v>0</v>
      </c>
      <c r="O88" s="169">
        <f ca="1">IF($C88-O$1&lt;År1,0,N87*(1-VLOOKUP($A88,[1]Hugst!$R$5:$W$9,MATCH(ROUNDUP((O$1)/10,0)*10,[1]Hugst!$R$4:$W$4,0))))</f>
        <v>0</v>
      </c>
      <c r="P88" s="169">
        <f ca="1">IF($C88-P$1&lt;År1,0,O87*(1-VLOOKUP($A88,[1]Hugst!$R$5:$W$9,MATCH(ROUNDUP((P$1)/10,0)*10,[1]Hugst!$R$4:$W$4,0))))</f>
        <v>0</v>
      </c>
      <c r="Q88" s="169">
        <f ca="1">IF($C88-Q$1&lt;År1,0,P87*(1-VLOOKUP($A88,[1]Hugst!$R$5:$W$9,MATCH(ROUNDUP((Q$1)/10,0)*10,[1]Hugst!$R$4:$W$4,0))))</f>
        <v>0</v>
      </c>
      <c r="R88" s="169">
        <f ca="1">IF($C88-R$1&lt;År1,0,Q87*(1-VLOOKUP($A88,[1]Hugst!$R$5:$W$9,MATCH(ROUNDUP((R$1)/10,0)*10,[1]Hugst!$R$4:$W$4,0))))</f>
        <v>0</v>
      </c>
      <c r="S88" s="169">
        <f ca="1">IF($C88-S$1&lt;År1,0,R87*(1-VLOOKUP($A88,[1]Hugst!$R$5:$W$9,MATCH(ROUNDUP((S$1)/10,0)*10,[1]Hugst!$R$4:$W$4,0))))</f>
        <v>0</v>
      </c>
      <c r="T88" s="169">
        <f ca="1">IF($C88-T$1&lt;År1,0,S87*(1-VLOOKUP($A88,[1]Hugst!$R$5:$W$9,MATCH(ROUNDUP((T$1)/10,0)*10,[1]Hugst!$R$4:$W$4,0))))</f>
        <v>0</v>
      </c>
      <c r="U88" s="169">
        <f ca="1">IF($C88-U$1&lt;År1,0,T87*(1-VLOOKUP($A88,[1]Hugst!$R$5:$W$9,MATCH(ROUNDUP((U$1)/10,0)*10,[1]Hugst!$R$4:$W$4,0))))</f>
        <v>0</v>
      </c>
      <c r="V88" s="169">
        <f ca="1">IF($C88-V$1&lt;År1,0,U87*(1-VLOOKUP($A88,[1]Hugst!$R$5:$W$9,MATCH(ROUNDUP((V$1)/10,0)*10,[1]Hugst!$R$4:$W$4,0))))</f>
        <v>0</v>
      </c>
      <c r="W88" s="169">
        <f ca="1">IF($C88-W$1&lt;År1,0,V87*(1-VLOOKUP($A88,[1]Hugst!$R$5:$W$9,MATCH(ROUNDUP((W$1)/10,0)*10,[1]Hugst!$R$4:$W$4,0))))</f>
        <v>0</v>
      </c>
      <c r="X88" s="169">
        <f ca="1">IF($C88-X$1&lt;År1,0,W87*(1-VLOOKUP($A88,[1]Hugst!$R$5:$W$9,MATCH(ROUNDUP((X$1)/10,0)*10,[1]Hugst!$R$4:$W$4,0))))</f>
        <v>0</v>
      </c>
      <c r="Y88" s="169">
        <f ca="1">IF($C88-Y$1&lt;År1,0,X87*(1-VLOOKUP($A88,[1]Hugst!$R$5:$W$9,MATCH(ROUNDUP((Y$1)/10,0)*10,[1]Hugst!$R$4:$W$4,0))))</f>
        <v>0</v>
      </c>
      <c r="Z88" s="169">
        <f ca="1">IF($C88-Z$1&lt;År1,0,Y87*(1-VLOOKUP($A88,[1]Hugst!$R$5:$W$9,MATCH(ROUNDUP((Z$1)/10,0)*10,[1]Hugst!$R$4:$W$4,0))))</f>
        <v>0</v>
      </c>
      <c r="AA88" s="169">
        <f ca="1">IF($C88-AA$1&lt;År1,0,Z87*(1-VLOOKUP($A88,[1]Hugst!$R$5:$W$9,MATCH(ROUNDUP((AA$1)/10,0)*10,[1]Hugst!$R$4:$W$4,0))))</f>
        <v>0</v>
      </c>
      <c r="AB88" s="169">
        <f ca="1">IF($C88-AB$1&lt;År1,0,AA87*(1-VLOOKUP($A88,[1]Hugst!$R$5:$W$9,MATCH(ROUNDUP((AB$1)/10,0)*10,[1]Hugst!$R$4:$W$4,0))))</f>
        <v>0</v>
      </c>
      <c r="AC88" s="169">
        <f ca="1">IF($C88-AC$1&lt;År1,0,AB87*(1-VLOOKUP($A88,[1]Hugst!$R$5:$W$9,MATCH(ROUNDUP((AC$1)/10,0)*10,[1]Hugst!$R$4:$W$4,0))))</f>
        <v>0</v>
      </c>
      <c r="AD88" s="169">
        <f ca="1">IF($C88-AD$1&lt;År1,0,AC87*(1-VLOOKUP($A88,[1]Hugst!$R$5:$W$9,MATCH(ROUNDUP((AD$1)/10,0)*10,[1]Hugst!$R$4:$W$4,0))))</f>
        <v>0</v>
      </c>
      <c r="AE88" s="169">
        <f>IF($C88-AE$1&lt;År1,0,AD87*(1-VLOOKUP($A88,[1]Hugst!$R$5:$W$9,MATCH(ROUNDUP((AE$1)/10,0)*10,[1]Hugst!$R$4:$W$4,0))))</f>
        <v>0</v>
      </c>
      <c r="AF88" s="169">
        <f>IF($C88-AF$1&lt;År1,0,AE87*(1-VLOOKUP($A88,[1]Hugst!$R$5:$W$9,MATCH(ROUNDUP((AF$1)/10,0)*10,[1]Hugst!$R$4:$W$4,0))))</f>
        <v>0</v>
      </c>
      <c r="AG88" s="169">
        <f>IF($C88-AG$1&lt;År1,0,AF87*(1-VLOOKUP($A88,[1]Hugst!$R$5:$W$9,MATCH(ROUNDUP((AG$1)/10,0)*10,[1]Hugst!$R$4:$W$4,0))))</f>
        <v>0</v>
      </c>
      <c r="AH88" s="169">
        <f>IF($C88-AH$1&lt;År1,0,AG87*(1-VLOOKUP($A88,[1]Hugst!$R$5:$W$9,MATCH(ROUNDUP((AH$1)/10,0)*10,[1]Hugst!$R$4:$W$4,0))))</f>
        <v>0</v>
      </c>
      <c r="AI88" s="169">
        <f>IF($C88-AI$1&lt;År1,0,AH87*(1-VLOOKUP($A88,[1]Hugst!$R$5:$W$9,MATCH(ROUNDUP((AI$1)/10,0)*10,[1]Hugst!$R$4:$W$4,0))))</f>
        <v>0</v>
      </c>
      <c r="AJ88" s="169">
        <f>IF($C88-AJ$1&lt;År1,0,AI87*(1-VLOOKUP($A88,[1]Hugst!$R$5:$W$9,MATCH(ROUNDUP((AJ$1)/10,0)*10,[1]Hugst!$R$4:$W$4,0))))</f>
        <v>0</v>
      </c>
      <c r="AK88" s="169"/>
      <c r="AL88" s="169"/>
      <c r="AM88" s="169"/>
    </row>
    <row r="89" spans="1:39" x14ac:dyDescent="0.25">
      <c r="A89" s="169" t="s">
        <v>177</v>
      </c>
      <c r="B89" s="169" t="s">
        <v>23</v>
      </c>
      <c r="C89" s="169">
        <v>2045</v>
      </c>
      <c r="D89" s="169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0</v>
      </c>
      <c r="E89" s="169">
        <f t="shared" ca="1" si="1"/>
        <v>0</v>
      </c>
      <c r="F89" s="169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9">
        <f ca="1">IF($C89-G$1&lt;År1,0,F88*(1-VLOOKUP($A89,[1]Hugst!$R$5:$W$9,MATCH(ROUNDUP((G$1)/10,0)*10,[1]Hugst!$R$4:$W$4,0))))</f>
        <v>0</v>
      </c>
      <c r="H89" s="169">
        <f ca="1">IF($C89-H$1&lt;År1,0,G88*(1-VLOOKUP($A89,[1]Hugst!$R$5:$W$9,MATCH(ROUNDUP((H$1)/10,0)*10,[1]Hugst!$R$4:$W$4,0))))</f>
        <v>0</v>
      </c>
      <c r="I89" s="169">
        <f ca="1">IF($C89-I$1&lt;År1,0,H88*(1-VLOOKUP($A89,[1]Hugst!$R$5:$W$9,MATCH(ROUNDUP((I$1)/10,0)*10,[1]Hugst!$R$4:$W$4,0))))</f>
        <v>0</v>
      </c>
      <c r="J89" s="169">
        <f ca="1">IF($C89-J$1&lt;År1,0,I88*(1-VLOOKUP($A89,[1]Hugst!$R$5:$W$9,MATCH(ROUNDUP((J$1)/10,0)*10,[1]Hugst!$R$4:$W$4,0))))</f>
        <v>0</v>
      </c>
      <c r="K89" s="169">
        <f ca="1">IF($C89-K$1&lt;År1,0,J88*(1-VLOOKUP($A89,[1]Hugst!$R$5:$W$9,MATCH(ROUNDUP((K$1)/10,0)*10,[1]Hugst!$R$4:$W$4,0))))</f>
        <v>0</v>
      </c>
      <c r="L89" s="169">
        <f ca="1">IF($C89-L$1&lt;År1,0,K88*(1-VLOOKUP($A89,[1]Hugst!$R$5:$W$9,MATCH(ROUNDUP((L$1)/10,0)*10,[1]Hugst!$R$4:$W$4,0))))</f>
        <v>0</v>
      </c>
      <c r="M89" s="169">
        <f ca="1">IF($C89-M$1&lt;År1,0,L88*(1-VLOOKUP($A89,[1]Hugst!$R$5:$W$9,MATCH(ROUNDUP((M$1)/10,0)*10,[1]Hugst!$R$4:$W$4,0))))</f>
        <v>0</v>
      </c>
      <c r="N89" s="169">
        <f ca="1">IF($C89-N$1&lt;År1,0,M88*(1-VLOOKUP($A89,[1]Hugst!$R$5:$W$9,MATCH(ROUNDUP((N$1)/10,0)*10,[1]Hugst!$R$4:$W$4,0))))</f>
        <v>0</v>
      </c>
      <c r="O89" s="169">
        <f ca="1">IF($C89-O$1&lt;År1,0,N88*(1-VLOOKUP($A89,[1]Hugst!$R$5:$W$9,MATCH(ROUNDUP((O$1)/10,0)*10,[1]Hugst!$R$4:$W$4,0))))</f>
        <v>0</v>
      </c>
      <c r="P89" s="169">
        <f ca="1">IF($C89-P$1&lt;År1,0,O88*(1-VLOOKUP($A89,[1]Hugst!$R$5:$W$9,MATCH(ROUNDUP((P$1)/10,0)*10,[1]Hugst!$R$4:$W$4,0))))</f>
        <v>0</v>
      </c>
      <c r="Q89" s="169">
        <f ca="1">IF($C89-Q$1&lt;År1,0,P88*(1-VLOOKUP($A89,[1]Hugst!$R$5:$W$9,MATCH(ROUNDUP((Q$1)/10,0)*10,[1]Hugst!$R$4:$W$4,0))))</f>
        <v>0</v>
      </c>
      <c r="R89" s="169">
        <f ca="1">IF($C89-R$1&lt;År1,0,Q88*(1-VLOOKUP($A89,[1]Hugst!$R$5:$W$9,MATCH(ROUNDUP((R$1)/10,0)*10,[1]Hugst!$R$4:$W$4,0))))</f>
        <v>0</v>
      </c>
      <c r="S89" s="169">
        <f ca="1">IF($C89-S$1&lt;År1,0,R88*(1-VLOOKUP($A89,[1]Hugst!$R$5:$W$9,MATCH(ROUNDUP((S$1)/10,0)*10,[1]Hugst!$R$4:$W$4,0))))</f>
        <v>0</v>
      </c>
      <c r="T89" s="169">
        <f ca="1">IF($C89-T$1&lt;År1,0,S88*(1-VLOOKUP($A89,[1]Hugst!$R$5:$W$9,MATCH(ROUNDUP((T$1)/10,0)*10,[1]Hugst!$R$4:$W$4,0))))</f>
        <v>0</v>
      </c>
      <c r="U89" s="169">
        <f ca="1">IF($C89-U$1&lt;År1,0,T88*(1-VLOOKUP($A89,[1]Hugst!$R$5:$W$9,MATCH(ROUNDUP((U$1)/10,0)*10,[1]Hugst!$R$4:$W$4,0))))</f>
        <v>0</v>
      </c>
      <c r="V89" s="169">
        <f ca="1">IF($C89-V$1&lt;År1,0,U88*(1-VLOOKUP($A89,[1]Hugst!$R$5:$W$9,MATCH(ROUNDUP((V$1)/10,0)*10,[1]Hugst!$R$4:$W$4,0))))</f>
        <v>0</v>
      </c>
      <c r="W89" s="169">
        <f ca="1">IF($C89-W$1&lt;År1,0,V88*(1-VLOOKUP($A89,[1]Hugst!$R$5:$W$9,MATCH(ROUNDUP((W$1)/10,0)*10,[1]Hugst!$R$4:$W$4,0))))</f>
        <v>0</v>
      </c>
      <c r="X89" s="169">
        <f ca="1">IF($C89-X$1&lt;År1,0,W88*(1-VLOOKUP($A89,[1]Hugst!$R$5:$W$9,MATCH(ROUNDUP((X$1)/10,0)*10,[1]Hugst!$R$4:$W$4,0))))</f>
        <v>0</v>
      </c>
      <c r="Y89" s="169">
        <f ca="1">IF($C89-Y$1&lt;År1,0,X88*(1-VLOOKUP($A89,[1]Hugst!$R$5:$W$9,MATCH(ROUNDUP((Y$1)/10,0)*10,[1]Hugst!$R$4:$W$4,0))))</f>
        <v>0</v>
      </c>
      <c r="Z89" s="169">
        <f ca="1">IF($C89-Z$1&lt;År1,0,Y88*(1-VLOOKUP($A89,[1]Hugst!$R$5:$W$9,MATCH(ROUNDUP((Z$1)/10,0)*10,[1]Hugst!$R$4:$W$4,0))))</f>
        <v>0</v>
      </c>
      <c r="AA89" s="169">
        <f ca="1">IF($C89-AA$1&lt;År1,0,Z88*(1-VLOOKUP($A89,[1]Hugst!$R$5:$W$9,MATCH(ROUNDUP((AA$1)/10,0)*10,[1]Hugst!$R$4:$W$4,0))))</f>
        <v>0</v>
      </c>
      <c r="AB89" s="169">
        <f ca="1">IF($C89-AB$1&lt;År1,0,AA88*(1-VLOOKUP($A89,[1]Hugst!$R$5:$W$9,MATCH(ROUNDUP((AB$1)/10,0)*10,[1]Hugst!$R$4:$W$4,0))))</f>
        <v>0</v>
      </c>
      <c r="AC89" s="169">
        <f ca="1">IF($C89-AC$1&lt;År1,0,AB88*(1-VLOOKUP($A89,[1]Hugst!$R$5:$W$9,MATCH(ROUNDUP((AC$1)/10,0)*10,[1]Hugst!$R$4:$W$4,0))))</f>
        <v>0</v>
      </c>
      <c r="AD89" s="169">
        <f ca="1">IF($C89-AD$1&lt;År1,0,AC88*(1-VLOOKUP($A89,[1]Hugst!$R$5:$W$9,MATCH(ROUNDUP((AD$1)/10,0)*10,[1]Hugst!$R$4:$W$4,0))))</f>
        <v>0</v>
      </c>
      <c r="AE89" s="169">
        <f ca="1">IF($C89-AE$1&lt;År1,0,AD88*(1-VLOOKUP($A89,[1]Hugst!$R$5:$W$9,MATCH(ROUNDUP((AE$1)/10,0)*10,[1]Hugst!$R$4:$W$4,0))))</f>
        <v>0</v>
      </c>
      <c r="AF89" s="169">
        <f>IF($C89-AF$1&lt;År1,0,AE88*(1-VLOOKUP($A89,[1]Hugst!$R$5:$W$9,MATCH(ROUNDUP((AF$1)/10,0)*10,[1]Hugst!$R$4:$W$4,0))))</f>
        <v>0</v>
      </c>
      <c r="AG89" s="169">
        <f>IF($C89-AG$1&lt;År1,0,AF88*(1-VLOOKUP($A89,[1]Hugst!$R$5:$W$9,MATCH(ROUNDUP((AG$1)/10,0)*10,[1]Hugst!$R$4:$W$4,0))))</f>
        <v>0</v>
      </c>
      <c r="AH89" s="169">
        <f>IF($C89-AH$1&lt;År1,0,AG88*(1-VLOOKUP($A89,[1]Hugst!$R$5:$W$9,MATCH(ROUNDUP((AH$1)/10,0)*10,[1]Hugst!$R$4:$W$4,0))))</f>
        <v>0</v>
      </c>
      <c r="AI89" s="169">
        <f>IF($C89-AI$1&lt;År1,0,AH88*(1-VLOOKUP($A89,[1]Hugst!$R$5:$W$9,MATCH(ROUNDUP((AI$1)/10,0)*10,[1]Hugst!$R$4:$W$4,0))))</f>
        <v>0</v>
      </c>
      <c r="AJ89" s="169">
        <f>IF($C89-AJ$1&lt;År1,0,AI88*(1-VLOOKUP($A89,[1]Hugst!$R$5:$W$9,MATCH(ROUNDUP((AJ$1)/10,0)*10,[1]Hugst!$R$4:$W$4,0))))</f>
        <v>0</v>
      </c>
      <c r="AK89" s="169"/>
      <c r="AL89" s="169"/>
      <c r="AM89" s="169"/>
    </row>
    <row r="90" spans="1:39" x14ac:dyDescent="0.25">
      <c r="A90" s="169" t="s">
        <v>177</v>
      </c>
      <c r="B90" s="169" t="s">
        <v>23</v>
      </c>
      <c r="C90" s="169">
        <v>2046</v>
      </c>
      <c r="D90" s="169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0</v>
      </c>
      <c r="E90" s="169">
        <f t="shared" ca="1" si="1"/>
        <v>0</v>
      </c>
      <c r="F90" s="169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9">
        <f ca="1">IF($C90-G$1&lt;År1,0,F89*(1-VLOOKUP($A90,[1]Hugst!$R$5:$W$9,MATCH(ROUNDUP((G$1)/10,0)*10,[1]Hugst!$R$4:$W$4,0))))</f>
        <v>0</v>
      </c>
      <c r="H90" s="169">
        <f ca="1">IF($C90-H$1&lt;År1,0,G89*(1-VLOOKUP($A90,[1]Hugst!$R$5:$W$9,MATCH(ROUNDUP((H$1)/10,0)*10,[1]Hugst!$R$4:$W$4,0))))</f>
        <v>0</v>
      </c>
      <c r="I90" s="169">
        <f ca="1">IF($C90-I$1&lt;År1,0,H89*(1-VLOOKUP($A90,[1]Hugst!$R$5:$W$9,MATCH(ROUNDUP((I$1)/10,0)*10,[1]Hugst!$R$4:$W$4,0))))</f>
        <v>0</v>
      </c>
      <c r="J90" s="169">
        <f ca="1">IF($C90-J$1&lt;År1,0,I89*(1-VLOOKUP($A90,[1]Hugst!$R$5:$W$9,MATCH(ROUNDUP((J$1)/10,0)*10,[1]Hugst!$R$4:$W$4,0))))</f>
        <v>0</v>
      </c>
      <c r="K90" s="169">
        <f ca="1">IF($C90-K$1&lt;År1,0,J89*(1-VLOOKUP($A90,[1]Hugst!$R$5:$W$9,MATCH(ROUNDUP((K$1)/10,0)*10,[1]Hugst!$R$4:$W$4,0))))</f>
        <v>0</v>
      </c>
      <c r="L90" s="169">
        <f ca="1">IF($C90-L$1&lt;År1,0,K89*(1-VLOOKUP($A90,[1]Hugst!$R$5:$W$9,MATCH(ROUNDUP((L$1)/10,0)*10,[1]Hugst!$R$4:$W$4,0))))</f>
        <v>0</v>
      </c>
      <c r="M90" s="169">
        <f ca="1">IF($C90-M$1&lt;År1,0,L89*(1-VLOOKUP($A90,[1]Hugst!$R$5:$W$9,MATCH(ROUNDUP((M$1)/10,0)*10,[1]Hugst!$R$4:$W$4,0))))</f>
        <v>0</v>
      </c>
      <c r="N90" s="169">
        <f ca="1">IF($C90-N$1&lt;År1,0,M89*(1-VLOOKUP($A90,[1]Hugst!$R$5:$W$9,MATCH(ROUNDUP((N$1)/10,0)*10,[1]Hugst!$R$4:$W$4,0))))</f>
        <v>0</v>
      </c>
      <c r="O90" s="169">
        <f ca="1">IF($C90-O$1&lt;År1,0,N89*(1-VLOOKUP($A90,[1]Hugst!$R$5:$W$9,MATCH(ROUNDUP((O$1)/10,0)*10,[1]Hugst!$R$4:$W$4,0))))</f>
        <v>0</v>
      </c>
      <c r="P90" s="169">
        <f ca="1">IF($C90-P$1&lt;År1,0,O89*(1-VLOOKUP($A90,[1]Hugst!$R$5:$W$9,MATCH(ROUNDUP((P$1)/10,0)*10,[1]Hugst!$R$4:$W$4,0))))</f>
        <v>0</v>
      </c>
      <c r="Q90" s="169">
        <f ca="1">IF($C90-Q$1&lt;År1,0,P89*(1-VLOOKUP($A90,[1]Hugst!$R$5:$W$9,MATCH(ROUNDUP((Q$1)/10,0)*10,[1]Hugst!$R$4:$W$4,0))))</f>
        <v>0</v>
      </c>
      <c r="R90" s="169">
        <f ca="1">IF($C90-R$1&lt;År1,0,Q89*(1-VLOOKUP($A90,[1]Hugst!$R$5:$W$9,MATCH(ROUNDUP((R$1)/10,0)*10,[1]Hugst!$R$4:$W$4,0))))</f>
        <v>0</v>
      </c>
      <c r="S90" s="169">
        <f ca="1">IF($C90-S$1&lt;År1,0,R89*(1-VLOOKUP($A90,[1]Hugst!$R$5:$W$9,MATCH(ROUNDUP((S$1)/10,0)*10,[1]Hugst!$R$4:$W$4,0))))</f>
        <v>0</v>
      </c>
      <c r="T90" s="169">
        <f ca="1">IF($C90-T$1&lt;År1,0,S89*(1-VLOOKUP($A90,[1]Hugst!$R$5:$W$9,MATCH(ROUNDUP((T$1)/10,0)*10,[1]Hugst!$R$4:$W$4,0))))</f>
        <v>0</v>
      </c>
      <c r="U90" s="169">
        <f ca="1">IF($C90-U$1&lt;År1,0,T89*(1-VLOOKUP($A90,[1]Hugst!$R$5:$W$9,MATCH(ROUNDUP((U$1)/10,0)*10,[1]Hugst!$R$4:$W$4,0))))</f>
        <v>0</v>
      </c>
      <c r="V90" s="169">
        <f ca="1">IF($C90-V$1&lt;År1,0,U89*(1-VLOOKUP($A90,[1]Hugst!$R$5:$W$9,MATCH(ROUNDUP((V$1)/10,0)*10,[1]Hugst!$R$4:$W$4,0))))</f>
        <v>0</v>
      </c>
      <c r="W90" s="169">
        <f ca="1">IF($C90-W$1&lt;År1,0,V89*(1-VLOOKUP($A90,[1]Hugst!$R$5:$W$9,MATCH(ROUNDUP((W$1)/10,0)*10,[1]Hugst!$R$4:$W$4,0))))</f>
        <v>0</v>
      </c>
      <c r="X90" s="169">
        <f ca="1">IF($C90-X$1&lt;År1,0,W89*(1-VLOOKUP($A90,[1]Hugst!$R$5:$W$9,MATCH(ROUNDUP((X$1)/10,0)*10,[1]Hugst!$R$4:$W$4,0))))</f>
        <v>0</v>
      </c>
      <c r="Y90" s="169">
        <f ca="1">IF($C90-Y$1&lt;År1,0,X89*(1-VLOOKUP($A90,[1]Hugst!$R$5:$W$9,MATCH(ROUNDUP((Y$1)/10,0)*10,[1]Hugst!$R$4:$W$4,0))))</f>
        <v>0</v>
      </c>
      <c r="Z90" s="169">
        <f ca="1">IF($C90-Z$1&lt;År1,0,Y89*(1-VLOOKUP($A90,[1]Hugst!$R$5:$W$9,MATCH(ROUNDUP((Z$1)/10,0)*10,[1]Hugst!$R$4:$W$4,0))))</f>
        <v>0</v>
      </c>
      <c r="AA90" s="169">
        <f ca="1">IF($C90-AA$1&lt;År1,0,Z89*(1-VLOOKUP($A90,[1]Hugst!$R$5:$W$9,MATCH(ROUNDUP((AA$1)/10,0)*10,[1]Hugst!$R$4:$W$4,0))))</f>
        <v>0</v>
      </c>
      <c r="AB90" s="169">
        <f ca="1">IF($C90-AB$1&lt;År1,0,AA89*(1-VLOOKUP($A90,[1]Hugst!$R$5:$W$9,MATCH(ROUNDUP((AB$1)/10,0)*10,[1]Hugst!$R$4:$W$4,0))))</f>
        <v>0</v>
      </c>
      <c r="AC90" s="169">
        <f ca="1">IF($C90-AC$1&lt;År1,0,AB89*(1-VLOOKUP($A90,[1]Hugst!$R$5:$W$9,MATCH(ROUNDUP((AC$1)/10,0)*10,[1]Hugst!$R$4:$W$4,0))))</f>
        <v>0</v>
      </c>
      <c r="AD90" s="169">
        <f ca="1">IF($C90-AD$1&lt;År1,0,AC89*(1-VLOOKUP($A90,[1]Hugst!$R$5:$W$9,MATCH(ROUNDUP((AD$1)/10,0)*10,[1]Hugst!$R$4:$W$4,0))))</f>
        <v>0</v>
      </c>
      <c r="AE90" s="169">
        <f ca="1">IF($C90-AE$1&lt;År1,0,AD89*(1-VLOOKUP($A90,[1]Hugst!$R$5:$W$9,MATCH(ROUNDUP((AE$1)/10,0)*10,[1]Hugst!$R$4:$W$4,0))))</f>
        <v>0</v>
      </c>
      <c r="AF90" s="169">
        <f ca="1">IF($C90-AF$1&lt;År1,0,AE89*(1-VLOOKUP($A90,[1]Hugst!$R$5:$W$9,MATCH(ROUNDUP((AF$1)/10,0)*10,[1]Hugst!$R$4:$W$4,0))))</f>
        <v>0</v>
      </c>
      <c r="AG90" s="169">
        <f>IF($C90-AG$1&lt;År1,0,AF89*(1-VLOOKUP($A90,[1]Hugst!$R$5:$W$9,MATCH(ROUNDUP((AG$1)/10,0)*10,[1]Hugst!$R$4:$W$4,0))))</f>
        <v>0</v>
      </c>
      <c r="AH90" s="169">
        <f>IF($C90-AH$1&lt;År1,0,AG89*(1-VLOOKUP($A90,[1]Hugst!$R$5:$W$9,MATCH(ROUNDUP((AH$1)/10,0)*10,[1]Hugst!$R$4:$W$4,0))))</f>
        <v>0</v>
      </c>
      <c r="AI90" s="169">
        <f>IF($C90-AI$1&lt;År1,0,AH89*(1-VLOOKUP($A90,[1]Hugst!$R$5:$W$9,MATCH(ROUNDUP((AI$1)/10,0)*10,[1]Hugst!$R$4:$W$4,0))))</f>
        <v>0</v>
      </c>
      <c r="AJ90" s="169">
        <f>IF($C90-AJ$1&lt;År1,0,AI89*(1-VLOOKUP($A90,[1]Hugst!$R$5:$W$9,MATCH(ROUNDUP((AJ$1)/10,0)*10,[1]Hugst!$R$4:$W$4,0))))</f>
        <v>0</v>
      </c>
      <c r="AK90" s="169"/>
      <c r="AL90" s="169"/>
      <c r="AM90" s="169"/>
    </row>
    <row r="91" spans="1:39" x14ac:dyDescent="0.25">
      <c r="A91" s="169" t="s">
        <v>177</v>
      </c>
      <c r="B91" s="169" t="s">
        <v>23</v>
      </c>
      <c r="C91" s="169">
        <v>2047</v>
      </c>
      <c r="D91" s="169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0</v>
      </c>
      <c r="E91" s="169">
        <f t="shared" ca="1" si="1"/>
        <v>0</v>
      </c>
      <c r="F91" s="169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9">
        <f ca="1">IF($C91-G$1&lt;År1,0,F90*(1-VLOOKUP($A91,[1]Hugst!$R$5:$W$9,MATCH(ROUNDUP((G$1)/10,0)*10,[1]Hugst!$R$4:$W$4,0))))</f>
        <v>0</v>
      </c>
      <c r="H91" s="169">
        <f ca="1">IF($C91-H$1&lt;År1,0,G90*(1-VLOOKUP($A91,[1]Hugst!$R$5:$W$9,MATCH(ROUNDUP((H$1)/10,0)*10,[1]Hugst!$R$4:$W$4,0))))</f>
        <v>0</v>
      </c>
      <c r="I91" s="169">
        <f ca="1">IF($C91-I$1&lt;År1,0,H90*(1-VLOOKUP($A91,[1]Hugst!$R$5:$W$9,MATCH(ROUNDUP((I$1)/10,0)*10,[1]Hugst!$R$4:$W$4,0))))</f>
        <v>0</v>
      </c>
      <c r="J91" s="169">
        <f ca="1">IF($C91-J$1&lt;År1,0,I90*(1-VLOOKUP($A91,[1]Hugst!$R$5:$W$9,MATCH(ROUNDUP((J$1)/10,0)*10,[1]Hugst!$R$4:$W$4,0))))</f>
        <v>0</v>
      </c>
      <c r="K91" s="169">
        <f ca="1">IF($C91-K$1&lt;År1,0,J90*(1-VLOOKUP($A91,[1]Hugst!$R$5:$W$9,MATCH(ROUNDUP((K$1)/10,0)*10,[1]Hugst!$R$4:$W$4,0))))</f>
        <v>0</v>
      </c>
      <c r="L91" s="169">
        <f ca="1">IF($C91-L$1&lt;År1,0,K90*(1-VLOOKUP($A91,[1]Hugst!$R$5:$W$9,MATCH(ROUNDUP((L$1)/10,0)*10,[1]Hugst!$R$4:$W$4,0))))</f>
        <v>0</v>
      </c>
      <c r="M91" s="169">
        <f ca="1">IF($C91-M$1&lt;År1,0,L90*(1-VLOOKUP($A91,[1]Hugst!$R$5:$W$9,MATCH(ROUNDUP((M$1)/10,0)*10,[1]Hugst!$R$4:$W$4,0))))</f>
        <v>0</v>
      </c>
      <c r="N91" s="169">
        <f ca="1">IF($C91-N$1&lt;År1,0,M90*(1-VLOOKUP($A91,[1]Hugst!$R$5:$W$9,MATCH(ROUNDUP((N$1)/10,0)*10,[1]Hugst!$R$4:$W$4,0))))</f>
        <v>0</v>
      </c>
      <c r="O91" s="169">
        <f ca="1">IF($C91-O$1&lt;År1,0,N90*(1-VLOOKUP($A91,[1]Hugst!$R$5:$W$9,MATCH(ROUNDUP((O$1)/10,0)*10,[1]Hugst!$R$4:$W$4,0))))</f>
        <v>0</v>
      </c>
      <c r="P91" s="169">
        <f ca="1">IF($C91-P$1&lt;År1,0,O90*(1-VLOOKUP($A91,[1]Hugst!$R$5:$W$9,MATCH(ROUNDUP((P$1)/10,0)*10,[1]Hugst!$R$4:$W$4,0))))</f>
        <v>0</v>
      </c>
      <c r="Q91" s="169">
        <f ca="1">IF($C91-Q$1&lt;År1,0,P90*(1-VLOOKUP($A91,[1]Hugst!$R$5:$W$9,MATCH(ROUNDUP((Q$1)/10,0)*10,[1]Hugst!$R$4:$W$4,0))))</f>
        <v>0</v>
      </c>
      <c r="R91" s="169">
        <f ca="1">IF($C91-R$1&lt;År1,0,Q90*(1-VLOOKUP($A91,[1]Hugst!$R$5:$W$9,MATCH(ROUNDUP((R$1)/10,0)*10,[1]Hugst!$R$4:$W$4,0))))</f>
        <v>0</v>
      </c>
      <c r="S91" s="169">
        <f ca="1">IF($C91-S$1&lt;År1,0,R90*(1-VLOOKUP($A91,[1]Hugst!$R$5:$W$9,MATCH(ROUNDUP((S$1)/10,0)*10,[1]Hugst!$R$4:$W$4,0))))</f>
        <v>0</v>
      </c>
      <c r="T91" s="169">
        <f ca="1">IF($C91-T$1&lt;År1,0,S90*(1-VLOOKUP($A91,[1]Hugst!$R$5:$W$9,MATCH(ROUNDUP((T$1)/10,0)*10,[1]Hugst!$R$4:$W$4,0))))</f>
        <v>0</v>
      </c>
      <c r="U91" s="169">
        <f ca="1">IF($C91-U$1&lt;År1,0,T90*(1-VLOOKUP($A91,[1]Hugst!$R$5:$W$9,MATCH(ROUNDUP((U$1)/10,0)*10,[1]Hugst!$R$4:$W$4,0))))</f>
        <v>0</v>
      </c>
      <c r="V91" s="169">
        <f ca="1">IF($C91-V$1&lt;År1,0,U90*(1-VLOOKUP($A91,[1]Hugst!$R$5:$W$9,MATCH(ROUNDUP((V$1)/10,0)*10,[1]Hugst!$R$4:$W$4,0))))</f>
        <v>0</v>
      </c>
      <c r="W91" s="169">
        <f ca="1">IF($C91-W$1&lt;År1,0,V90*(1-VLOOKUP($A91,[1]Hugst!$R$5:$W$9,MATCH(ROUNDUP((W$1)/10,0)*10,[1]Hugst!$R$4:$W$4,0))))</f>
        <v>0</v>
      </c>
      <c r="X91" s="169">
        <f ca="1">IF($C91-X$1&lt;År1,0,W90*(1-VLOOKUP($A91,[1]Hugst!$R$5:$W$9,MATCH(ROUNDUP((X$1)/10,0)*10,[1]Hugst!$R$4:$W$4,0))))</f>
        <v>0</v>
      </c>
      <c r="Y91" s="169">
        <f ca="1">IF($C91-Y$1&lt;År1,0,X90*(1-VLOOKUP($A91,[1]Hugst!$R$5:$W$9,MATCH(ROUNDUP((Y$1)/10,0)*10,[1]Hugst!$R$4:$W$4,0))))</f>
        <v>0</v>
      </c>
      <c r="Z91" s="169">
        <f ca="1">IF($C91-Z$1&lt;År1,0,Y90*(1-VLOOKUP($A91,[1]Hugst!$R$5:$W$9,MATCH(ROUNDUP((Z$1)/10,0)*10,[1]Hugst!$R$4:$W$4,0))))</f>
        <v>0</v>
      </c>
      <c r="AA91" s="169">
        <f ca="1">IF($C91-AA$1&lt;År1,0,Z90*(1-VLOOKUP($A91,[1]Hugst!$R$5:$W$9,MATCH(ROUNDUP((AA$1)/10,0)*10,[1]Hugst!$R$4:$W$4,0))))</f>
        <v>0</v>
      </c>
      <c r="AB91" s="169">
        <f ca="1">IF($C91-AB$1&lt;År1,0,AA90*(1-VLOOKUP($A91,[1]Hugst!$R$5:$W$9,MATCH(ROUNDUP((AB$1)/10,0)*10,[1]Hugst!$R$4:$W$4,0))))</f>
        <v>0</v>
      </c>
      <c r="AC91" s="169">
        <f ca="1">IF($C91-AC$1&lt;År1,0,AB90*(1-VLOOKUP($A91,[1]Hugst!$R$5:$W$9,MATCH(ROUNDUP((AC$1)/10,0)*10,[1]Hugst!$R$4:$W$4,0))))</f>
        <v>0</v>
      </c>
      <c r="AD91" s="169">
        <f ca="1">IF($C91-AD$1&lt;År1,0,AC90*(1-VLOOKUP($A91,[1]Hugst!$R$5:$W$9,MATCH(ROUNDUP((AD$1)/10,0)*10,[1]Hugst!$R$4:$W$4,0))))</f>
        <v>0</v>
      </c>
      <c r="AE91" s="169">
        <f ca="1">IF($C91-AE$1&lt;År1,0,AD90*(1-VLOOKUP($A91,[1]Hugst!$R$5:$W$9,MATCH(ROUNDUP((AE$1)/10,0)*10,[1]Hugst!$R$4:$W$4,0))))</f>
        <v>0</v>
      </c>
      <c r="AF91" s="169">
        <f ca="1">IF($C91-AF$1&lt;År1,0,AE90*(1-VLOOKUP($A91,[1]Hugst!$R$5:$W$9,MATCH(ROUNDUP((AF$1)/10,0)*10,[1]Hugst!$R$4:$W$4,0))))</f>
        <v>0</v>
      </c>
      <c r="AG91" s="169">
        <f ca="1">IF($C91-AG$1&lt;År1,0,AF90*(1-VLOOKUP($A91,[1]Hugst!$R$5:$W$9,MATCH(ROUNDUP((AG$1)/10,0)*10,[1]Hugst!$R$4:$W$4,0))))</f>
        <v>0</v>
      </c>
      <c r="AH91" s="169">
        <f>IF($C91-AH$1&lt;År1,0,AG90*(1-VLOOKUP($A91,[1]Hugst!$R$5:$W$9,MATCH(ROUNDUP((AH$1)/10,0)*10,[1]Hugst!$R$4:$W$4,0))))</f>
        <v>0</v>
      </c>
      <c r="AI91" s="169">
        <f>IF($C91-AI$1&lt;År1,0,AH90*(1-VLOOKUP($A91,[1]Hugst!$R$5:$W$9,MATCH(ROUNDUP((AI$1)/10,0)*10,[1]Hugst!$R$4:$W$4,0))))</f>
        <v>0</v>
      </c>
      <c r="AJ91" s="169">
        <f>IF($C91-AJ$1&lt;År1,0,AI90*(1-VLOOKUP($A91,[1]Hugst!$R$5:$W$9,MATCH(ROUNDUP((AJ$1)/10,0)*10,[1]Hugst!$R$4:$W$4,0))))</f>
        <v>0</v>
      </c>
      <c r="AK91" s="169"/>
      <c r="AL91" s="169"/>
      <c r="AM91" s="169"/>
    </row>
    <row r="92" spans="1:39" x14ac:dyDescent="0.25">
      <c r="A92" s="169" t="s">
        <v>177</v>
      </c>
      <c r="B92" s="169" t="s">
        <v>23</v>
      </c>
      <c r="C92" s="169">
        <v>2048</v>
      </c>
      <c r="D92" s="169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0</v>
      </c>
      <c r="E92" s="169">
        <f t="shared" ca="1" si="1"/>
        <v>0</v>
      </c>
      <c r="F92" s="169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9">
        <f ca="1">IF($C92-G$1&lt;År1,0,F91*(1-VLOOKUP($A92,[1]Hugst!$R$5:$W$9,MATCH(ROUNDUP((G$1)/10,0)*10,[1]Hugst!$R$4:$W$4,0))))</f>
        <v>0</v>
      </c>
      <c r="H92" s="169">
        <f ca="1">IF($C92-H$1&lt;År1,0,G91*(1-VLOOKUP($A92,[1]Hugst!$R$5:$W$9,MATCH(ROUNDUP((H$1)/10,0)*10,[1]Hugst!$R$4:$W$4,0))))</f>
        <v>0</v>
      </c>
      <c r="I92" s="169">
        <f ca="1">IF($C92-I$1&lt;År1,0,H91*(1-VLOOKUP($A92,[1]Hugst!$R$5:$W$9,MATCH(ROUNDUP((I$1)/10,0)*10,[1]Hugst!$R$4:$W$4,0))))</f>
        <v>0</v>
      </c>
      <c r="J92" s="169">
        <f ca="1">IF($C92-J$1&lt;År1,0,I91*(1-VLOOKUP($A92,[1]Hugst!$R$5:$W$9,MATCH(ROUNDUP((J$1)/10,0)*10,[1]Hugst!$R$4:$W$4,0))))</f>
        <v>0</v>
      </c>
      <c r="K92" s="169">
        <f ca="1">IF($C92-K$1&lt;År1,0,J91*(1-VLOOKUP($A92,[1]Hugst!$R$5:$W$9,MATCH(ROUNDUP((K$1)/10,0)*10,[1]Hugst!$R$4:$W$4,0))))</f>
        <v>0</v>
      </c>
      <c r="L92" s="169">
        <f ca="1">IF($C92-L$1&lt;År1,0,K91*(1-VLOOKUP($A92,[1]Hugst!$R$5:$W$9,MATCH(ROUNDUP((L$1)/10,0)*10,[1]Hugst!$R$4:$W$4,0))))</f>
        <v>0</v>
      </c>
      <c r="M92" s="169">
        <f ca="1">IF($C92-M$1&lt;År1,0,L91*(1-VLOOKUP($A92,[1]Hugst!$R$5:$W$9,MATCH(ROUNDUP((M$1)/10,0)*10,[1]Hugst!$R$4:$W$4,0))))</f>
        <v>0</v>
      </c>
      <c r="N92" s="169">
        <f ca="1">IF($C92-N$1&lt;År1,0,M91*(1-VLOOKUP($A92,[1]Hugst!$R$5:$W$9,MATCH(ROUNDUP((N$1)/10,0)*10,[1]Hugst!$R$4:$W$4,0))))</f>
        <v>0</v>
      </c>
      <c r="O92" s="169">
        <f ca="1">IF($C92-O$1&lt;År1,0,N91*(1-VLOOKUP($A92,[1]Hugst!$R$5:$W$9,MATCH(ROUNDUP((O$1)/10,0)*10,[1]Hugst!$R$4:$W$4,0))))</f>
        <v>0</v>
      </c>
      <c r="P92" s="169">
        <f ca="1">IF($C92-P$1&lt;År1,0,O91*(1-VLOOKUP($A92,[1]Hugst!$R$5:$W$9,MATCH(ROUNDUP((P$1)/10,0)*10,[1]Hugst!$R$4:$W$4,0))))</f>
        <v>0</v>
      </c>
      <c r="Q92" s="169">
        <f ca="1">IF($C92-Q$1&lt;År1,0,P91*(1-VLOOKUP($A92,[1]Hugst!$R$5:$W$9,MATCH(ROUNDUP((Q$1)/10,0)*10,[1]Hugst!$R$4:$W$4,0))))</f>
        <v>0</v>
      </c>
      <c r="R92" s="169">
        <f ca="1">IF($C92-R$1&lt;År1,0,Q91*(1-VLOOKUP($A92,[1]Hugst!$R$5:$W$9,MATCH(ROUNDUP((R$1)/10,0)*10,[1]Hugst!$R$4:$W$4,0))))</f>
        <v>0</v>
      </c>
      <c r="S92" s="169">
        <f ca="1">IF($C92-S$1&lt;År1,0,R91*(1-VLOOKUP($A92,[1]Hugst!$R$5:$W$9,MATCH(ROUNDUP((S$1)/10,0)*10,[1]Hugst!$R$4:$W$4,0))))</f>
        <v>0</v>
      </c>
      <c r="T92" s="169">
        <f ca="1">IF($C92-T$1&lt;År1,0,S91*(1-VLOOKUP($A92,[1]Hugst!$R$5:$W$9,MATCH(ROUNDUP((T$1)/10,0)*10,[1]Hugst!$R$4:$W$4,0))))</f>
        <v>0</v>
      </c>
      <c r="U92" s="169">
        <f ca="1">IF($C92-U$1&lt;År1,0,T91*(1-VLOOKUP($A92,[1]Hugst!$R$5:$W$9,MATCH(ROUNDUP((U$1)/10,0)*10,[1]Hugst!$R$4:$W$4,0))))</f>
        <v>0</v>
      </c>
      <c r="V92" s="169">
        <f ca="1">IF($C92-V$1&lt;År1,0,U91*(1-VLOOKUP($A92,[1]Hugst!$R$5:$W$9,MATCH(ROUNDUP((V$1)/10,0)*10,[1]Hugst!$R$4:$W$4,0))))</f>
        <v>0</v>
      </c>
      <c r="W92" s="169">
        <f ca="1">IF($C92-W$1&lt;År1,0,V91*(1-VLOOKUP($A92,[1]Hugst!$R$5:$W$9,MATCH(ROUNDUP((W$1)/10,0)*10,[1]Hugst!$R$4:$W$4,0))))</f>
        <v>0</v>
      </c>
      <c r="X92" s="169">
        <f ca="1">IF($C92-X$1&lt;År1,0,W91*(1-VLOOKUP($A92,[1]Hugst!$R$5:$W$9,MATCH(ROUNDUP((X$1)/10,0)*10,[1]Hugst!$R$4:$W$4,0))))</f>
        <v>0</v>
      </c>
      <c r="Y92" s="169">
        <f ca="1">IF($C92-Y$1&lt;År1,0,X91*(1-VLOOKUP($A92,[1]Hugst!$R$5:$W$9,MATCH(ROUNDUP((Y$1)/10,0)*10,[1]Hugst!$R$4:$W$4,0))))</f>
        <v>0</v>
      </c>
      <c r="Z92" s="169">
        <f ca="1">IF($C92-Z$1&lt;År1,0,Y91*(1-VLOOKUP($A92,[1]Hugst!$R$5:$W$9,MATCH(ROUNDUP((Z$1)/10,0)*10,[1]Hugst!$R$4:$W$4,0))))</f>
        <v>0</v>
      </c>
      <c r="AA92" s="169">
        <f ca="1">IF($C92-AA$1&lt;År1,0,Z91*(1-VLOOKUP($A92,[1]Hugst!$R$5:$W$9,MATCH(ROUNDUP((AA$1)/10,0)*10,[1]Hugst!$R$4:$W$4,0))))</f>
        <v>0</v>
      </c>
      <c r="AB92" s="169">
        <f ca="1">IF($C92-AB$1&lt;År1,0,AA91*(1-VLOOKUP($A92,[1]Hugst!$R$5:$W$9,MATCH(ROUNDUP((AB$1)/10,0)*10,[1]Hugst!$R$4:$W$4,0))))</f>
        <v>0</v>
      </c>
      <c r="AC92" s="169">
        <f ca="1">IF($C92-AC$1&lt;År1,0,AB91*(1-VLOOKUP($A92,[1]Hugst!$R$5:$W$9,MATCH(ROUNDUP((AC$1)/10,0)*10,[1]Hugst!$R$4:$W$4,0))))</f>
        <v>0</v>
      </c>
      <c r="AD92" s="169">
        <f ca="1">IF($C92-AD$1&lt;År1,0,AC91*(1-VLOOKUP($A92,[1]Hugst!$R$5:$W$9,MATCH(ROUNDUP((AD$1)/10,0)*10,[1]Hugst!$R$4:$W$4,0))))</f>
        <v>0</v>
      </c>
      <c r="AE92" s="169">
        <f ca="1">IF($C92-AE$1&lt;År1,0,AD91*(1-VLOOKUP($A92,[1]Hugst!$R$5:$W$9,MATCH(ROUNDUP((AE$1)/10,0)*10,[1]Hugst!$R$4:$W$4,0))))</f>
        <v>0</v>
      </c>
      <c r="AF92" s="169">
        <f ca="1">IF($C92-AF$1&lt;År1,0,AE91*(1-VLOOKUP($A92,[1]Hugst!$R$5:$W$9,MATCH(ROUNDUP((AF$1)/10,0)*10,[1]Hugst!$R$4:$W$4,0))))</f>
        <v>0</v>
      </c>
      <c r="AG92" s="169">
        <f ca="1">IF($C92-AG$1&lt;År1,0,AF91*(1-VLOOKUP($A92,[1]Hugst!$R$5:$W$9,MATCH(ROUNDUP((AG$1)/10,0)*10,[1]Hugst!$R$4:$W$4,0))))</f>
        <v>0</v>
      </c>
      <c r="AH92" s="169">
        <f ca="1">IF($C92-AH$1&lt;År1,0,AG91*(1-VLOOKUP($A92,[1]Hugst!$R$5:$W$9,MATCH(ROUNDUP((AH$1)/10,0)*10,[1]Hugst!$R$4:$W$4,0))))</f>
        <v>0</v>
      </c>
      <c r="AI92" s="169">
        <f>IF($C92-AI$1&lt;År1,0,AH91*(1-VLOOKUP($A92,[1]Hugst!$R$5:$W$9,MATCH(ROUNDUP((AI$1)/10,0)*10,[1]Hugst!$R$4:$W$4,0))))</f>
        <v>0</v>
      </c>
      <c r="AJ92" s="169">
        <f>IF($C92-AJ$1&lt;År1,0,AI91*(1-VLOOKUP($A92,[1]Hugst!$R$5:$W$9,MATCH(ROUNDUP((AJ$1)/10,0)*10,[1]Hugst!$R$4:$W$4,0))))</f>
        <v>0</v>
      </c>
      <c r="AK92" s="169"/>
      <c r="AL92" s="169"/>
      <c r="AM92" s="169"/>
    </row>
    <row r="93" spans="1:39" x14ac:dyDescent="0.25">
      <c r="A93" s="169" t="s">
        <v>177</v>
      </c>
      <c r="B93" s="169" t="s">
        <v>23</v>
      </c>
      <c r="C93" s="169">
        <v>2049</v>
      </c>
      <c r="D93" s="169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0</v>
      </c>
      <c r="E93" s="169">
        <f t="shared" ca="1" si="1"/>
        <v>0</v>
      </c>
      <c r="F93" s="169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9">
        <f ca="1">IF($C93-G$1&lt;År1,0,F92*(1-VLOOKUP($A93,[1]Hugst!$R$5:$W$9,MATCH(ROUNDUP((G$1)/10,0)*10,[1]Hugst!$R$4:$W$4,0))))</f>
        <v>0</v>
      </c>
      <c r="H93" s="169">
        <f ca="1">IF($C93-H$1&lt;År1,0,G92*(1-VLOOKUP($A93,[1]Hugst!$R$5:$W$9,MATCH(ROUNDUP((H$1)/10,0)*10,[1]Hugst!$R$4:$W$4,0))))</f>
        <v>0</v>
      </c>
      <c r="I93" s="169">
        <f ca="1">IF($C93-I$1&lt;År1,0,H92*(1-VLOOKUP($A93,[1]Hugst!$R$5:$W$9,MATCH(ROUNDUP((I$1)/10,0)*10,[1]Hugst!$R$4:$W$4,0))))</f>
        <v>0</v>
      </c>
      <c r="J93" s="169">
        <f ca="1">IF($C93-J$1&lt;År1,0,I92*(1-VLOOKUP($A93,[1]Hugst!$R$5:$W$9,MATCH(ROUNDUP((J$1)/10,0)*10,[1]Hugst!$R$4:$W$4,0))))</f>
        <v>0</v>
      </c>
      <c r="K93" s="169">
        <f ca="1">IF($C93-K$1&lt;År1,0,J92*(1-VLOOKUP($A93,[1]Hugst!$R$5:$W$9,MATCH(ROUNDUP((K$1)/10,0)*10,[1]Hugst!$R$4:$W$4,0))))</f>
        <v>0</v>
      </c>
      <c r="L93" s="169">
        <f ca="1">IF($C93-L$1&lt;År1,0,K92*(1-VLOOKUP($A93,[1]Hugst!$R$5:$W$9,MATCH(ROUNDUP((L$1)/10,0)*10,[1]Hugst!$R$4:$W$4,0))))</f>
        <v>0</v>
      </c>
      <c r="M93" s="169">
        <f ca="1">IF($C93-M$1&lt;År1,0,L92*(1-VLOOKUP($A93,[1]Hugst!$R$5:$W$9,MATCH(ROUNDUP((M$1)/10,0)*10,[1]Hugst!$R$4:$W$4,0))))</f>
        <v>0</v>
      </c>
      <c r="N93" s="169">
        <f ca="1">IF($C93-N$1&lt;År1,0,M92*(1-VLOOKUP($A93,[1]Hugst!$R$5:$W$9,MATCH(ROUNDUP((N$1)/10,0)*10,[1]Hugst!$R$4:$W$4,0))))</f>
        <v>0</v>
      </c>
      <c r="O93" s="169">
        <f ca="1">IF($C93-O$1&lt;År1,0,N92*(1-VLOOKUP($A93,[1]Hugst!$R$5:$W$9,MATCH(ROUNDUP((O$1)/10,0)*10,[1]Hugst!$R$4:$W$4,0))))</f>
        <v>0</v>
      </c>
      <c r="P93" s="169">
        <f ca="1">IF($C93-P$1&lt;År1,0,O92*(1-VLOOKUP($A93,[1]Hugst!$R$5:$W$9,MATCH(ROUNDUP((P$1)/10,0)*10,[1]Hugst!$R$4:$W$4,0))))</f>
        <v>0</v>
      </c>
      <c r="Q93" s="169">
        <f ca="1">IF($C93-Q$1&lt;År1,0,P92*(1-VLOOKUP($A93,[1]Hugst!$R$5:$W$9,MATCH(ROUNDUP((Q$1)/10,0)*10,[1]Hugst!$R$4:$W$4,0))))</f>
        <v>0</v>
      </c>
      <c r="R93" s="169">
        <f ca="1">IF($C93-R$1&lt;År1,0,Q92*(1-VLOOKUP($A93,[1]Hugst!$R$5:$W$9,MATCH(ROUNDUP((R$1)/10,0)*10,[1]Hugst!$R$4:$W$4,0))))</f>
        <v>0</v>
      </c>
      <c r="S93" s="169">
        <f ca="1">IF($C93-S$1&lt;År1,0,R92*(1-VLOOKUP($A93,[1]Hugst!$R$5:$W$9,MATCH(ROUNDUP((S$1)/10,0)*10,[1]Hugst!$R$4:$W$4,0))))</f>
        <v>0</v>
      </c>
      <c r="T93" s="169">
        <f ca="1">IF($C93-T$1&lt;År1,0,S92*(1-VLOOKUP($A93,[1]Hugst!$R$5:$W$9,MATCH(ROUNDUP((T$1)/10,0)*10,[1]Hugst!$R$4:$W$4,0))))</f>
        <v>0</v>
      </c>
      <c r="U93" s="169">
        <f ca="1">IF($C93-U$1&lt;År1,0,T92*(1-VLOOKUP($A93,[1]Hugst!$R$5:$W$9,MATCH(ROUNDUP((U$1)/10,0)*10,[1]Hugst!$R$4:$W$4,0))))</f>
        <v>0</v>
      </c>
      <c r="V93" s="169">
        <f ca="1">IF($C93-V$1&lt;År1,0,U92*(1-VLOOKUP($A93,[1]Hugst!$R$5:$W$9,MATCH(ROUNDUP((V$1)/10,0)*10,[1]Hugst!$R$4:$W$4,0))))</f>
        <v>0</v>
      </c>
      <c r="W93" s="169">
        <f ca="1">IF($C93-W$1&lt;År1,0,V92*(1-VLOOKUP($A93,[1]Hugst!$R$5:$W$9,MATCH(ROUNDUP((W$1)/10,0)*10,[1]Hugst!$R$4:$W$4,0))))</f>
        <v>0</v>
      </c>
      <c r="X93" s="169">
        <f ca="1">IF($C93-X$1&lt;År1,0,W92*(1-VLOOKUP($A93,[1]Hugst!$R$5:$W$9,MATCH(ROUNDUP((X$1)/10,0)*10,[1]Hugst!$R$4:$W$4,0))))</f>
        <v>0</v>
      </c>
      <c r="Y93" s="169">
        <f ca="1">IF($C93-Y$1&lt;År1,0,X92*(1-VLOOKUP($A93,[1]Hugst!$R$5:$W$9,MATCH(ROUNDUP((Y$1)/10,0)*10,[1]Hugst!$R$4:$W$4,0))))</f>
        <v>0</v>
      </c>
      <c r="Z93" s="169">
        <f ca="1">IF($C93-Z$1&lt;År1,0,Y92*(1-VLOOKUP($A93,[1]Hugst!$R$5:$W$9,MATCH(ROUNDUP((Z$1)/10,0)*10,[1]Hugst!$R$4:$W$4,0))))</f>
        <v>0</v>
      </c>
      <c r="AA93" s="169">
        <f ca="1">IF($C93-AA$1&lt;År1,0,Z92*(1-VLOOKUP($A93,[1]Hugst!$R$5:$W$9,MATCH(ROUNDUP((AA$1)/10,0)*10,[1]Hugst!$R$4:$W$4,0))))</f>
        <v>0</v>
      </c>
      <c r="AB93" s="169">
        <f ca="1">IF($C93-AB$1&lt;År1,0,AA92*(1-VLOOKUP($A93,[1]Hugst!$R$5:$W$9,MATCH(ROUNDUP((AB$1)/10,0)*10,[1]Hugst!$R$4:$W$4,0))))</f>
        <v>0</v>
      </c>
      <c r="AC93" s="169">
        <f ca="1">IF($C93-AC$1&lt;År1,0,AB92*(1-VLOOKUP($A93,[1]Hugst!$R$5:$W$9,MATCH(ROUNDUP((AC$1)/10,0)*10,[1]Hugst!$R$4:$W$4,0))))</f>
        <v>0</v>
      </c>
      <c r="AD93" s="169">
        <f ca="1">IF($C93-AD$1&lt;År1,0,AC92*(1-VLOOKUP($A93,[1]Hugst!$R$5:$W$9,MATCH(ROUNDUP((AD$1)/10,0)*10,[1]Hugst!$R$4:$W$4,0))))</f>
        <v>0</v>
      </c>
      <c r="AE93" s="169">
        <f ca="1">IF($C93-AE$1&lt;År1,0,AD92*(1-VLOOKUP($A93,[1]Hugst!$R$5:$W$9,MATCH(ROUNDUP((AE$1)/10,0)*10,[1]Hugst!$R$4:$W$4,0))))</f>
        <v>0</v>
      </c>
      <c r="AF93" s="169">
        <f ca="1">IF($C93-AF$1&lt;År1,0,AE92*(1-VLOOKUP($A93,[1]Hugst!$R$5:$W$9,MATCH(ROUNDUP((AF$1)/10,0)*10,[1]Hugst!$R$4:$W$4,0))))</f>
        <v>0</v>
      </c>
      <c r="AG93" s="169">
        <f ca="1">IF($C93-AG$1&lt;År1,0,AF92*(1-VLOOKUP($A93,[1]Hugst!$R$5:$W$9,MATCH(ROUNDUP((AG$1)/10,0)*10,[1]Hugst!$R$4:$W$4,0))))</f>
        <v>0</v>
      </c>
      <c r="AH93" s="169">
        <f ca="1">IF($C93-AH$1&lt;År1,0,AG92*(1-VLOOKUP($A93,[1]Hugst!$R$5:$W$9,MATCH(ROUNDUP((AH$1)/10,0)*10,[1]Hugst!$R$4:$W$4,0))))</f>
        <v>0</v>
      </c>
      <c r="AI93" s="169">
        <f ca="1">IF($C93-AI$1&lt;År1,0,AH92*(1-VLOOKUP($A93,[1]Hugst!$R$5:$W$9,MATCH(ROUNDUP((AI$1)/10,0)*10,[1]Hugst!$R$4:$W$4,0))))</f>
        <v>0</v>
      </c>
      <c r="AJ93" s="169">
        <f>IF($C93-AJ$1&lt;År1,0,AI92*(1-VLOOKUP($A93,[1]Hugst!$R$5:$W$9,MATCH(ROUNDUP((AJ$1)/10,0)*10,[1]Hugst!$R$4:$W$4,0))))</f>
        <v>0</v>
      </c>
      <c r="AK93" s="169"/>
      <c r="AL93" s="169"/>
      <c r="AM93" s="169"/>
    </row>
    <row r="94" spans="1:39" x14ac:dyDescent="0.25">
      <c r="A94" s="169" t="s">
        <v>177</v>
      </c>
      <c r="B94" s="169" t="s">
        <v>23</v>
      </c>
      <c r="C94" s="169">
        <v>2050</v>
      </c>
      <c r="D94" s="169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0</v>
      </c>
      <c r="E94" s="169">
        <f t="shared" ca="1" si="1"/>
        <v>0</v>
      </c>
      <c r="F94" s="169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9">
        <f ca="1">IF($C94-G$1&lt;År1,0,F93*(1-VLOOKUP($A94,[1]Hugst!$R$5:$W$9,MATCH(ROUNDUP((G$1)/10,0)*10,[1]Hugst!$R$4:$W$4,0))))</f>
        <v>0</v>
      </c>
      <c r="H94" s="169">
        <f ca="1">IF($C94-H$1&lt;År1,0,G93*(1-VLOOKUP($A94,[1]Hugst!$R$5:$W$9,MATCH(ROUNDUP((H$1)/10,0)*10,[1]Hugst!$R$4:$W$4,0))))</f>
        <v>0</v>
      </c>
      <c r="I94" s="169">
        <f ca="1">IF($C94-I$1&lt;År1,0,H93*(1-VLOOKUP($A94,[1]Hugst!$R$5:$W$9,MATCH(ROUNDUP((I$1)/10,0)*10,[1]Hugst!$R$4:$W$4,0))))</f>
        <v>0</v>
      </c>
      <c r="J94" s="169">
        <f ca="1">IF($C94-J$1&lt;År1,0,I93*(1-VLOOKUP($A94,[1]Hugst!$R$5:$W$9,MATCH(ROUNDUP((J$1)/10,0)*10,[1]Hugst!$R$4:$W$4,0))))</f>
        <v>0</v>
      </c>
      <c r="K94" s="169">
        <f ca="1">IF($C94-K$1&lt;År1,0,J93*(1-VLOOKUP($A94,[1]Hugst!$R$5:$W$9,MATCH(ROUNDUP((K$1)/10,0)*10,[1]Hugst!$R$4:$W$4,0))))</f>
        <v>0</v>
      </c>
      <c r="L94" s="169">
        <f ca="1">IF($C94-L$1&lt;År1,0,K93*(1-VLOOKUP($A94,[1]Hugst!$R$5:$W$9,MATCH(ROUNDUP((L$1)/10,0)*10,[1]Hugst!$R$4:$W$4,0))))</f>
        <v>0</v>
      </c>
      <c r="M94" s="169">
        <f ca="1">IF($C94-M$1&lt;År1,0,L93*(1-VLOOKUP($A94,[1]Hugst!$R$5:$W$9,MATCH(ROUNDUP((M$1)/10,0)*10,[1]Hugst!$R$4:$W$4,0))))</f>
        <v>0</v>
      </c>
      <c r="N94" s="169">
        <f ca="1">IF($C94-N$1&lt;År1,0,M93*(1-VLOOKUP($A94,[1]Hugst!$R$5:$W$9,MATCH(ROUNDUP((N$1)/10,0)*10,[1]Hugst!$R$4:$W$4,0))))</f>
        <v>0</v>
      </c>
      <c r="O94" s="169">
        <f ca="1">IF($C94-O$1&lt;År1,0,N93*(1-VLOOKUP($A94,[1]Hugst!$R$5:$W$9,MATCH(ROUNDUP((O$1)/10,0)*10,[1]Hugst!$R$4:$W$4,0))))</f>
        <v>0</v>
      </c>
      <c r="P94" s="169">
        <f ca="1">IF($C94-P$1&lt;År1,0,O93*(1-VLOOKUP($A94,[1]Hugst!$R$5:$W$9,MATCH(ROUNDUP((P$1)/10,0)*10,[1]Hugst!$R$4:$W$4,0))))</f>
        <v>0</v>
      </c>
      <c r="Q94" s="169">
        <f ca="1">IF($C94-Q$1&lt;År1,0,P93*(1-VLOOKUP($A94,[1]Hugst!$R$5:$W$9,MATCH(ROUNDUP((Q$1)/10,0)*10,[1]Hugst!$R$4:$W$4,0))))</f>
        <v>0</v>
      </c>
      <c r="R94" s="169">
        <f ca="1">IF($C94-R$1&lt;År1,0,Q93*(1-VLOOKUP($A94,[1]Hugst!$R$5:$W$9,MATCH(ROUNDUP((R$1)/10,0)*10,[1]Hugst!$R$4:$W$4,0))))</f>
        <v>0</v>
      </c>
      <c r="S94" s="169">
        <f ca="1">IF($C94-S$1&lt;År1,0,R93*(1-VLOOKUP($A94,[1]Hugst!$R$5:$W$9,MATCH(ROUNDUP((S$1)/10,0)*10,[1]Hugst!$R$4:$W$4,0))))</f>
        <v>0</v>
      </c>
      <c r="T94" s="169">
        <f ca="1">IF($C94-T$1&lt;År1,0,S93*(1-VLOOKUP($A94,[1]Hugst!$R$5:$W$9,MATCH(ROUNDUP((T$1)/10,0)*10,[1]Hugst!$R$4:$W$4,0))))</f>
        <v>0</v>
      </c>
      <c r="U94" s="169">
        <f ca="1">IF($C94-U$1&lt;År1,0,T93*(1-VLOOKUP($A94,[1]Hugst!$R$5:$W$9,MATCH(ROUNDUP((U$1)/10,0)*10,[1]Hugst!$R$4:$W$4,0))))</f>
        <v>0</v>
      </c>
      <c r="V94" s="169">
        <f ca="1">IF($C94-V$1&lt;År1,0,U93*(1-VLOOKUP($A94,[1]Hugst!$R$5:$W$9,MATCH(ROUNDUP((V$1)/10,0)*10,[1]Hugst!$R$4:$W$4,0))))</f>
        <v>0</v>
      </c>
      <c r="W94" s="169">
        <f ca="1">IF($C94-W$1&lt;År1,0,V93*(1-VLOOKUP($A94,[1]Hugst!$R$5:$W$9,MATCH(ROUNDUP((W$1)/10,0)*10,[1]Hugst!$R$4:$W$4,0))))</f>
        <v>0</v>
      </c>
      <c r="X94" s="169">
        <f ca="1">IF($C94-X$1&lt;År1,0,W93*(1-VLOOKUP($A94,[1]Hugst!$R$5:$W$9,MATCH(ROUNDUP((X$1)/10,0)*10,[1]Hugst!$R$4:$W$4,0))))</f>
        <v>0</v>
      </c>
      <c r="Y94" s="169">
        <f ca="1">IF($C94-Y$1&lt;År1,0,X93*(1-VLOOKUP($A94,[1]Hugst!$R$5:$W$9,MATCH(ROUNDUP((Y$1)/10,0)*10,[1]Hugst!$R$4:$W$4,0))))</f>
        <v>0</v>
      </c>
      <c r="Z94" s="169">
        <f ca="1">IF($C94-Z$1&lt;År1,0,Y93*(1-VLOOKUP($A94,[1]Hugst!$R$5:$W$9,MATCH(ROUNDUP((Z$1)/10,0)*10,[1]Hugst!$R$4:$W$4,0))))</f>
        <v>0</v>
      </c>
      <c r="AA94" s="169">
        <f ca="1">IF($C94-AA$1&lt;År1,0,Z93*(1-VLOOKUP($A94,[1]Hugst!$R$5:$W$9,MATCH(ROUNDUP((AA$1)/10,0)*10,[1]Hugst!$R$4:$W$4,0))))</f>
        <v>0</v>
      </c>
      <c r="AB94" s="169">
        <f ca="1">IF($C94-AB$1&lt;År1,0,AA93*(1-VLOOKUP($A94,[1]Hugst!$R$5:$W$9,MATCH(ROUNDUP((AB$1)/10,0)*10,[1]Hugst!$R$4:$W$4,0))))</f>
        <v>0</v>
      </c>
      <c r="AC94" s="169">
        <f ca="1">IF($C94-AC$1&lt;År1,0,AB93*(1-VLOOKUP($A94,[1]Hugst!$R$5:$W$9,MATCH(ROUNDUP((AC$1)/10,0)*10,[1]Hugst!$R$4:$W$4,0))))</f>
        <v>0</v>
      </c>
      <c r="AD94" s="169">
        <f ca="1">IF($C94-AD$1&lt;År1,0,AC93*(1-VLOOKUP($A94,[1]Hugst!$R$5:$W$9,MATCH(ROUNDUP((AD$1)/10,0)*10,[1]Hugst!$R$4:$W$4,0))))</f>
        <v>0</v>
      </c>
      <c r="AE94" s="169">
        <f ca="1">IF($C94-AE$1&lt;År1,0,AD93*(1-VLOOKUP($A94,[1]Hugst!$R$5:$W$9,MATCH(ROUNDUP((AE$1)/10,0)*10,[1]Hugst!$R$4:$W$4,0))))</f>
        <v>0</v>
      </c>
      <c r="AF94" s="169">
        <f ca="1">IF($C94-AF$1&lt;År1,0,AE93*(1-VLOOKUP($A94,[1]Hugst!$R$5:$W$9,MATCH(ROUNDUP((AF$1)/10,0)*10,[1]Hugst!$R$4:$W$4,0))))</f>
        <v>0</v>
      </c>
      <c r="AG94" s="169">
        <f ca="1">IF($C94-AG$1&lt;År1,0,AF93*(1-VLOOKUP($A94,[1]Hugst!$R$5:$W$9,MATCH(ROUNDUP((AG$1)/10,0)*10,[1]Hugst!$R$4:$W$4,0))))</f>
        <v>0</v>
      </c>
      <c r="AH94" s="169">
        <f ca="1">IF($C94-AH$1&lt;År1,0,AG93*(1-VLOOKUP($A94,[1]Hugst!$R$5:$W$9,MATCH(ROUNDUP((AH$1)/10,0)*10,[1]Hugst!$R$4:$W$4,0))))</f>
        <v>0</v>
      </c>
      <c r="AI94" s="169">
        <f ca="1">IF($C94-AI$1&lt;År1,0,AH93*(1-VLOOKUP($A94,[1]Hugst!$R$5:$W$9,MATCH(ROUNDUP((AI$1)/10,0)*10,[1]Hugst!$R$4:$W$4,0))))</f>
        <v>0</v>
      </c>
      <c r="AJ94" s="169">
        <f ca="1">IF($C94-AJ$1&lt;År1,0,AI93*(1-VLOOKUP($A94,[1]Hugst!$R$5:$W$9,MATCH(ROUNDUP((AJ$1)/10,0)*10,[1]Hugst!$R$4:$W$4,0))))</f>
        <v>0</v>
      </c>
      <c r="AK94" s="169"/>
      <c r="AL94" s="169">
        <f ca="1">SUM(F94:AJ94)</f>
        <v>0</v>
      </c>
      <c r="AM94" s="169"/>
    </row>
    <row r="95" spans="1:39" s="169" customFormat="1" x14ac:dyDescent="0.25">
      <c r="A95" s="169" t="s">
        <v>177</v>
      </c>
      <c r="B95" s="169" t="s">
        <v>24</v>
      </c>
      <c r="C95" s="169">
        <v>2020</v>
      </c>
      <c r="D95" s="169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0</v>
      </c>
      <c r="E95" s="169">
        <f>IF(C95=2020,SUM(G95:AJ95),SUM(F94:AJ94)-SUM(G95:AJ95))</f>
        <v>0</v>
      </c>
      <c r="F95" s="169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9">
        <f>IF($C95-G$1&lt;År1,0,F94*(1-VLOOKUP($A95,[1]Hugst!$R$5:$W$9,MATCH(ROUNDUP((G$1)/10,0)*10,[1]Hugst!$R$4:$W$4,0))))</f>
        <v>0</v>
      </c>
      <c r="H95" s="169">
        <f>IF($C95-H$1&lt;År1,0,G94*(1-VLOOKUP($A95,[1]Hugst!$R$5:$W$9,MATCH(ROUNDUP((H$1)/10,0)*10,[1]Hugst!$R$4:$W$4,0))))</f>
        <v>0</v>
      </c>
      <c r="I95" s="169">
        <f>IF($C95-I$1&lt;År1,0,H94*(1-VLOOKUP($A95,[1]Hugst!$R$5:$W$9,MATCH(ROUNDUP((I$1)/10,0)*10,[1]Hugst!$R$4:$W$4,0))))</f>
        <v>0</v>
      </c>
      <c r="J95" s="169">
        <f>IF($C95-J$1&lt;År1,0,I94*(1-VLOOKUP($A95,[1]Hugst!$R$5:$W$9,MATCH(ROUNDUP((J$1)/10,0)*10,[1]Hugst!$R$4:$W$4,0))))</f>
        <v>0</v>
      </c>
      <c r="K95" s="169">
        <f>IF($C95-K$1&lt;År1,0,J94*(1-VLOOKUP($A95,[1]Hugst!$R$5:$W$9,MATCH(ROUNDUP((K$1)/10,0)*10,[1]Hugst!$R$4:$W$4,0))))</f>
        <v>0</v>
      </c>
      <c r="L95" s="169">
        <f>IF($C95-L$1&lt;År1,0,K94*(1-VLOOKUP($A95,[1]Hugst!$R$5:$W$9,MATCH(ROUNDUP((L$1)/10,0)*10,[1]Hugst!$R$4:$W$4,0))))</f>
        <v>0</v>
      </c>
      <c r="M95" s="169">
        <f>IF($C95-M$1&lt;År1,0,L94*(1-VLOOKUP($A95,[1]Hugst!$R$5:$W$9,MATCH(ROUNDUP((M$1)/10,0)*10,[1]Hugst!$R$4:$W$4,0))))</f>
        <v>0</v>
      </c>
      <c r="N95" s="169">
        <f>IF($C95-N$1&lt;År1,0,M94*(1-VLOOKUP($A95,[1]Hugst!$R$5:$W$9,MATCH(ROUNDUP((N$1)/10,0)*10,[1]Hugst!$R$4:$W$4,0))))</f>
        <v>0</v>
      </c>
      <c r="O95" s="169">
        <f>IF($C95-O$1&lt;År1,0,N94*(1-VLOOKUP($A95,[1]Hugst!$R$5:$W$9,MATCH(ROUNDUP((O$1)/10,0)*10,[1]Hugst!$R$4:$W$4,0))))</f>
        <v>0</v>
      </c>
      <c r="P95" s="169">
        <f>IF($C95-P$1&lt;År1,0,O94*(1-VLOOKUP($A95,[1]Hugst!$R$5:$W$9,MATCH(ROUNDUP((P$1)/10,0)*10,[1]Hugst!$R$4:$W$4,0))))</f>
        <v>0</v>
      </c>
      <c r="Q95" s="169">
        <f>IF($C95-Q$1&lt;År1,0,P94*(1-VLOOKUP($A95,[1]Hugst!$R$5:$W$9,MATCH(ROUNDUP((Q$1)/10,0)*10,[1]Hugst!$R$4:$W$4,0))))</f>
        <v>0</v>
      </c>
      <c r="R95" s="169">
        <f>IF($C95-R$1&lt;År1,0,Q94*(1-VLOOKUP($A95,[1]Hugst!$R$5:$W$9,MATCH(ROUNDUP((R$1)/10,0)*10,[1]Hugst!$R$4:$W$4,0))))</f>
        <v>0</v>
      </c>
      <c r="S95" s="169">
        <f>IF($C95-S$1&lt;År1,0,R94*(1-VLOOKUP($A95,[1]Hugst!$R$5:$W$9,MATCH(ROUNDUP((S$1)/10,0)*10,[1]Hugst!$R$4:$W$4,0))))</f>
        <v>0</v>
      </c>
      <c r="T95" s="169">
        <f>IF($C95-T$1&lt;År1,0,S94*(1-VLOOKUP($A95,[1]Hugst!$R$5:$W$9,MATCH(ROUNDUP((T$1)/10,0)*10,[1]Hugst!$R$4:$W$4,0))))</f>
        <v>0</v>
      </c>
      <c r="U95" s="169">
        <f>IF($C95-U$1&lt;År1,0,T94*(1-VLOOKUP($A95,[1]Hugst!$R$5:$W$9,MATCH(ROUNDUP((U$1)/10,0)*10,[1]Hugst!$R$4:$W$4,0))))</f>
        <v>0</v>
      </c>
      <c r="V95" s="169">
        <f>IF($C95-V$1&lt;År1,0,U94*(1-VLOOKUP($A95,[1]Hugst!$R$5:$W$9,MATCH(ROUNDUP((V$1)/10,0)*10,[1]Hugst!$R$4:$W$4,0))))</f>
        <v>0</v>
      </c>
      <c r="W95" s="169">
        <f>IF($C95-W$1&lt;År1,0,V94*(1-VLOOKUP($A95,[1]Hugst!$R$5:$W$9,MATCH(ROUNDUP((W$1)/10,0)*10,[1]Hugst!$R$4:$W$4,0))))</f>
        <v>0</v>
      </c>
      <c r="X95" s="169">
        <f>IF($C95-X$1&lt;År1,0,W94*(1-VLOOKUP($A95,[1]Hugst!$R$5:$W$9,MATCH(ROUNDUP((X$1)/10,0)*10,[1]Hugst!$R$4:$W$4,0))))</f>
        <v>0</v>
      </c>
      <c r="Y95" s="169">
        <f>IF($C95-Y$1&lt;År1,0,X94*(1-VLOOKUP($A95,[1]Hugst!$R$5:$W$9,MATCH(ROUNDUP((Y$1)/10,0)*10,[1]Hugst!$R$4:$W$4,0))))</f>
        <v>0</v>
      </c>
      <c r="Z95" s="169">
        <f>IF($C95-Z$1&lt;År1,0,Y94*(1-VLOOKUP($A95,[1]Hugst!$R$5:$W$9,MATCH(ROUNDUP((Z$1)/10,0)*10,[1]Hugst!$R$4:$W$4,0))))</f>
        <v>0</v>
      </c>
      <c r="AA95" s="169">
        <f>IF($C95-AA$1&lt;År1,0,Z94*(1-VLOOKUP($A95,[1]Hugst!$R$5:$W$9,MATCH(ROUNDUP((AA$1)/10,0)*10,[1]Hugst!$R$4:$W$4,0))))</f>
        <v>0</v>
      </c>
      <c r="AB95" s="169">
        <f>IF($C95-AB$1&lt;År1,0,AA94*(1-VLOOKUP($A95,[1]Hugst!$R$5:$W$9,MATCH(ROUNDUP((AB$1)/10,0)*10,[1]Hugst!$R$4:$W$4,0))))</f>
        <v>0</v>
      </c>
      <c r="AC95" s="169">
        <f>IF($C95-AC$1&lt;År1,0,AB94*(1-VLOOKUP($A95,[1]Hugst!$R$5:$W$9,MATCH(ROUNDUP((AC$1)/10,0)*10,[1]Hugst!$R$4:$W$4,0))))</f>
        <v>0</v>
      </c>
      <c r="AD95" s="169">
        <f>IF($C95-AD$1&lt;År1,0,AC94*(1-VLOOKUP($A95,[1]Hugst!$R$5:$W$9,MATCH(ROUNDUP((AD$1)/10,0)*10,[1]Hugst!$R$4:$W$4,0))))</f>
        <v>0</v>
      </c>
      <c r="AE95" s="169">
        <f>IF($C95-AE$1&lt;År1,0,AD94*(1-VLOOKUP($A95,[1]Hugst!$R$5:$W$9,MATCH(ROUNDUP((AE$1)/10,0)*10,[1]Hugst!$R$4:$W$4,0))))</f>
        <v>0</v>
      </c>
      <c r="AF95" s="169">
        <f>IF($C95-AF$1&lt;År1,0,AE94*(1-VLOOKUP($A95,[1]Hugst!$R$5:$W$9,MATCH(ROUNDUP((AF$1)/10,0)*10,[1]Hugst!$R$4:$W$4,0))))</f>
        <v>0</v>
      </c>
      <c r="AG95" s="169">
        <f>IF($C95-AG$1&lt;År1,0,AF94*(1-VLOOKUP($A95,[1]Hugst!$R$5:$W$9,MATCH(ROUNDUP((AG$1)/10,0)*10,[1]Hugst!$R$4:$W$4,0))))</f>
        <v>0</v>
      </c>
      <c r="AH95" s="169">
        <f>IF($C95-AH$1&lt;År1,0,AG94*(1-VLOOKUP($A95,[1]Hugst!$R$5:$W$9,MATCH(ROUNDUP((AH$1)/10,0)*10,[1]Hugst!$R$4:$W$4,0))))</f>
        <v>0</v>
      </c>
      <c r="AI95" s="169">
        <f>IF($C95-AI$1&lt;År1,0,AH94*(1-VLOOKUP($A95,[1]Hugst!$R$5:$W$9,MATCH(ROUNDUP((AI$1)/10,0)*10,[1]Hugst!$R$4:$W$4,0))))</f>
        <v>0</v>
      </c>
      <c r="AJ95" s="169">
        <f>IF($C95-AJ$1&lt;År1,0,AI94*(1-VLOOKUP($A95,[1]Hugst!$R$5:$W$9,MATCH(ROUNDUP((AJ$1)/10,0)*10,[1]Hugst!$R$4:$W$4,0))))</f>
        <v>0</v>
      </c>
    </row>
    <row r="96" spans="1:39" s="169" customFormat="1" x14ac:dyDescent="0.25">
      <c r="A96" s="169" t="s">
        <v>177</v>
      </c>
      <c r="B96" s="169" t="s">
        <v>24</v>
      </c>
      <c r="C96" s="169">
        <v>2021</v>
      </c>
      <c r="D96" s="169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0</v>
      </c>
      <c r="E96" s="169">
        <f t="shared" ref="E96:E124" ca="1" si="2">IF(C96=2020,SUM(G96:AJ96),SUM(F95:AJ95)-SUM(G96:AJ96))</f>
        <v>0</v>
      </c>
      <c r="F96" s="169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9">
        <f ca="1">IF($C96-G$1&lt;År1,0,F95*(1-VLOOKUP($A96,[1]Hugst!$R$5:$W$9,MATCH(ROUNDUP((G$1)/10,0)*10,[1]Hugst!$R$4:$W$4,0))))</f>
        <v>0</v>
      </c>
      <c r="H96" s="169">
        <f>IF($C96-H$1&lt;År1,0,G95*(1-VLOOKUP($A96,[1]Hugst!$R$5:$W$9,MATCH(ROUNDUP((H$1)/10,0)*10,[1]Hugst!$R$4:$W$4,0))))</f>
        <v>0</v>
      </c>
      <c r="I96" s="169">
        <f>IF($C96-I$1&lt;År1,0,H95*(1-VLOOKUP($A96,[1]Hugst!$R$5:$W$9,MATCH(ROUNDUP((I$1)/10,0)*10,[1]Hugst!$R$4:$W$4,0))))</f>
        <v>0</v>
      </c>
      <c r="J96" s="169">
        <f>IF($C96-J$1&lt;År1,0,I95*(1-VLOOKUP($A96,[1]Hugst!$R$5:$W$9,MATCH(ROUNDUP((J$1)/10,0)*10,[1]Hugst!$R$4:$W$4,0))))</f>
        <v>0</v>
      </c>
      <c r="K96" s="169">
        <f>IF($C96-K$1&lt;År1,0,J95*(1-VLOOKUP($A96,[1]Hugst!$R$5:$W$9,MATCH(ROUNDUP((K$1)/10,0)*10,[1]Hugst!$R$4:$W$4,0))))</f>
        <v>0</v>
      </c>
      <c r="L96" s="169">
        <f>IF($C96-L$1&lt;År1,0,K95*(1-VLOOKUP($A96,[1]Hugst!$R$5:$W$9,MATCH(ROUNDUP((L$1)/10,0)*10,[1]Hugst!$R$4:$W$4,0))))</f>
        <v>0</v>
      </c>
      <c r="M96" s="169">
        <f>IF($C96-M$1&lt;År1,0,L95*(1-VLOOKUP($A96,[1]Hugst!$R$5:$W$9,MATCH(ROUNDUP((M$1)/10,0)*10,[1]Hugst!$R$4:$W$4,0))))</f>
        <v>0</v>
      </c>
      <c r="N96" s="169">
        <f>IF($C96-N$1&lt;År1,0,M95*(1-VLOOKUP($A96,[1]Hugst!$R$5:$W$9,MATCH(ROUNDUP((N$1)/10,0)*10,[1]Hugst!$R$4:$W$4,0))))</f>
        <v>0</v>
      </c>
      <c r="O96" s="169">
        <f>IF($C96-O$1&lt;År1,0,N95*(1-VLOOKUP($A96,[1]Hugst!$R$5:$W$9,MATCH(ROUNDUP((O$1)/10,0)*10,[1]Hugst!$R$4:$W$4,0))))</f>
        <v>0</v>
      </c>
      <c r="P96" s="169">
        <f>IF($C96-P$1&lt;År1,0,O95*(1-VLOOKUP($A96,[1]Hugst!$R$5:$W$9,MATCH(ROUNDUP((P$1)/10,0)*10,[1]Hugst!$R$4:$W$4,0))))</f>
        <v>0</v>
      </c>
      <c r="Q96" s="169">
        <f>IF($C96-Q$1&lt;År1,0,P95*(1-VLOOKUP($A96,[1]Hugst!$R$5:$W$9,MATCH(ROUNDUP((Q$1)/10,0)*10,[1]Hugst!$R$4:$W$4,0))))</f>
        <v>0</v>
      </c>
      <c r="R96" s="169">
        <f>IF($C96-R$1&lt;År1,0,Q95*(1-VLOOKUP($A96,[1]Hugst!$R$5:$W$9,MATCH(ROUNDUP((R$1)/10,0)*10,[1]Hugst!$R$4:$W$4,0))))</f>
        <v>0</v>
      </c>
      <c r="S96" s="169">
        <f>IF($C96-S$1&lt;År1,0,R95*(1-VLOOKUP($A96,[1]Hugst!$R$5:$W$9,MATCH(ROUNDUP((S$1)/10,0)*10,[1]Hugst!$R$4:$W$4,0))))</f>
        <v>0</v>
      </c>
      <c r="T96" s="169">
        <f>IF($C96-T$1&lt;År1,0,S95*(1-VLOOKUP($A96,[1]Hugst!$R$5:$W$9,MATCH(ROUNDUP((T$1)/10,0)*10,[1]Hugst!$R$4:$W$4,0))))</f>
        <v>0</v>
      </c>
      <c r="U96" s="169">
        <f>IF($C96-U$1&lt;År1,0,T95*(1-VLOOKUP($A96,[1]Hugst!$R$5:$W$9,MATCH(ROUNDUP((U$1)/10,0)*10,[1]Hugst!$R$4:$W$4,0))))</f>
        <v>0</v>
      </c>
      <c r="V96" s="169">
        <f>IF($C96-V$1&lt;År1,0,U95*(1-VLOOKUP($A96,[1]Hugst!$R$5:$W$9,MATCH(ROUNDUP((V$1)/10,0)*10,[1]Hugst!$R$4:$W$4,0))))</f>
        <v>0</v>
      </c>
      <c r="W96" s="169">
        <f>IF($C96-W$1&lt;År1,0,V95*(1-VLOOKUP($A96,[1]Hugst!$R$5:$W$9,MATCH(ROUNDUP((W$1)/10,0)*10,[1]Hugst!$R$4:$W$4,0))))</f>
        <v>0</v>
      </c>
      <c r="X96" s="169">
        <f>IF($C96-X$1&lt;År1,0,W95*(1-VLOOKUP($A96,[1]Hugst!$R$5:$W$9,MATCH(ROUNDUP((X$1)/10,0)*10,[1]Hugst!$R$4:$W$4,0))))</f>
        <v>0</v>
      </c>
      <c r="Y96" s="169">
        <f>IF($C96-Y$1&lt;År1,0,X95*(1-VLOOKUP($A96,[1]Hugst!$R$5:$W$9,MATCH(ROUNDUP((Y$1)/10,0)*10,[1]Hugst!$R$4:$W$4,0))))</f>
        <v>0</v>
      </c>
      <c r="Z96" s="169">
        <f>IF($C96-Z$1&lt;År1,0,Y95*(1-VLOOKUP($A96,[1]Hugst!$R$5:$W$9,MATCH(ROUNDUP((Z$1)/10,0)*10,[1]Hugst!$R$4:$W$4,0))))</f>
        <v>0</v>
      </c>
      <c r="AA96" s="169">
        <f>IF($C96-AA$1&lt;År1,0,Z95*(1-VLOOKUP($A96,[1]Hugst!$R$5:$W$9,MATCH(ROUNDUP((AA$1)/10,0)*10,[1]Hugst!$R$4:$W$4,0))))</f>
        <v>0</v>
      </c>
      <c r="AB96" s="169">
        <f>IF($C96-AB$1&lt;År1,0,AA95*(1-VLOOKUP($A96,[1]Hugst!$R$5:$W$9,MATCH(ROUNDUP((AB$1)/10,0)*10,[1]Hugst!$R$4:$W$4,0))))</f>
        <v>0</v>
      </c>
      <c r="AC96" s="169">
        <f>IF($C96-AC$1&lt;År1,0,AB95*(1-VLOOKUP($A96,[1]Hugst!$R$5:$W$9,MATCH(ROUNDUP((AC$1)/10,0)*10,[1]Hugst!$R$4:$W$4,0))))</f>
        <v>0</v>
      </c>
      <c r="AD96" s="169">
        <f>IF($C96-AD$1&lt;År1,0,AC95*(1-VLOOKUP($A96,[1]Hugst!$R$5:$W$9,MATCH(ROUNDUP((AD$1)/10,0)*10,[1]Hugst!$R$4:$W$4,0))))</f>
        <v>0</v>
      </c>
      <c r="AE96" s="169">
        <f>IF($C96-AE$1&lt;År1,0,AD95*(1-VLOOKUP($A96,[1]Hugst!$R$5:$W$9,MATCH(ROUNDUP((AE$1)/10,0)*10,[1]Hugst!$R$4:$W$4,0))))</f>
        <v>0</v>
      </c>
      <c r="AF96" s="169">
        <f>IF($C96-AF$1&lt;År1,0,AE95*(1-VLOOKUP($A96,[1]Hugst!$R$5:$W$9,MATCH(ROUNDUP((AF$1)/10,0)*10,[1]Hugst!$R$4:$W$4,0))))</f>
        <v>0</v>
      </c>
      <c r="AG96" s="169">
        <f>IF($C96-AG$1&lt;År1,0,AF95*(1-VLOOKUP($A96,[1]Hugst!$R$5:$W$9,MATCH(ROUNDUP((AG$1)/10,0)*10,[1]Hugst!$R$4:$W$4,0))))</f>
        <v>0</v>
      </c>
      <c r="AH96" s="169">
        <f>IF($C96-AH$1&lt;År1,0,AG95*(1-VLOOKUP($A96,[1]Hugst!$R$5:$W$9,MATCH(ROUNDUP((AH$1)/10,0)*10,[1]Hugst!$R$4:$W$4,0))))</f>
        <v>0</v>
      </c>
      <c r="AI96" s="169">
        <f>IF($C96-AI$1&lt;År1,0,AH95*(1-VLOOKUP($A96,[1]Hugst!$R$5:$W$9,MATCH(ROUNDUP((AI$1)/10,0)*10,[1]Hugst!$R$4:$W$4,0))))</f>
        <v>0</v>
      </c>
      <c r="AJ96" s="169">
        <f>IF($C96-AJ$1&lt;År1,0,AI95*(1-VLOOKUP($A96,[1]Hugst!$R$5:$W$9,MATCH(ROUNDUP((AJ$1)/10,0)*10,[1]Hugst!$R$4:$W$4,0))))</f>
        <v>0</v>
      </c>
    </row>
    <row r="97" spans="1:36" s="169" customFormat="1" x14ac:dyDescent="0.25">
      <c r="A97" s="169" t="s">
        <v>177</v>
      </c>
      <c r="B97" s="169" t="s">
        <v>24</v>
      </c>
      <c r="C97" s="169">
        <v>2022</v>
      </c>
      <c r="D97" s="169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0</v>
      </c>
      <c r="E97" s="169">
        <f t="shared" ca="1" si="2"/>
        <v>0</v>
      </c>
      <c r="F97" s="169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9">
        <f ca="1">IF($C97-G$1&lt;År1,0,F96*(1-VLOOKUP($A97,[1]Hugst!$R$5:$W$9,MATCH(ROUNDUP((G$1)/10,0)*10,[1]Hugst!$R$4:$W$4,0))))</f>
        <v>0</v>
      </c>
      <c r="H97" s="169">
        <f ca="1">IF($C97-H$1&lt;År1,0,G96*(1-VLOOKUP($A97,[1]Hugst!$R$5:$W$9,MATCH(ROUNDUP((H$1)/10,0)*10,[1]Hugst!$R$4:$W$4,0))))</f>
        <v>0</v>
      </c>
      <c r="I97" s="169">
        <f>IF($C97-I$1&lt;År1,0,H96*(1-VLOOKUP($A97,[1]Hugst!$R$5:$W$9,MATCH(ROUNDUP((I$1)/10,0)*10,[1]Hugst!$R$4:$W$4,0))))</f>
        <v>0</v>
      </c>
      <c r="J97" s="169">
        <f>IF($C97-J$1&lt;År1,0,I96*(1-VLOOKUP($A97,[1]Hugst!$R$5:$W$9,MATCH(ROUNDUP((J$1)/10,0)*10,[1]Hugst!$R$4:$W$4,0))))</f>
        <v>0</v>
      </c>
      <c r="K97" s="169">
        <f>IF($C97-K$1&lt;År1,0,J96*(1-VLOOKUP($A97,[1]Hugst!$R$5:$W$9,MATCH(ROUNDUP((K$1)/10,0)*10,[1]Hugst!$R$4:$W$4,0))))</f>
        <v>0</v>
      </c>
      <c r="L97" s="169">
        <f>IF($C97-L$1&lt;År1,0,K96*(1-VLOOKUP($A97,[1]Hugst!$R$5:$W$9,MATCH(ROUNDUP((L$1)/10,0)*10,[1]Hugst!$R$4:$W$4,0))))</f>
        <v>0</v>
      </c>
      <c r="M97" s="169">
        <f>IF($C97-M$1&lt;År1,0,L96*(1-VLOOKUP($A97,[1]Hugst!$R$5:$W$9,MATCH(ROUNDUP((M$1)/10,0)*10,[1]Hugst!$R$4:$W$4,0))))</f>
        <v>0</v>
      </c>
      <c r="N97" s="169">
        <f>IF($C97-N$1&lt;År1,0,M96*(1-VLOOKUP($A97,[1]Hugst!$R$5:$W$9,MATCH(ROUNDUP((N$1)/10,0)*10,[1]Hugst!$R$4:$W$4,0))))</f>
        <v>0</v>
      </c>
      <c r="O97" s="169">
        <f>IF($C97-O$1&lt;År1,0,N96*(1-VLOOKUP($A97,[1]Hugst!$R$5:$W$9,MATCH(ROUNDUP((O$1)/10,0)*10,[1]Hugst!$R$4:$W$4,0))))</f>
        <v>0</v>
      </c>
      <c r="P97" s="169">
        <f>IF($C97-P$1&lt;År1,0,O96*(1-VLOOKUP($A97,[1]Hugst!$R$5:$W$9,MATCH(ROUNDUP((P$1)/10,0)*10,[1]Hugst!$R$4:$W$4,0))))</f>
        <v>0</v>
      </c>
      <c r="Q97" s="169">
        <f>IF($C97-Q$1&lt;År1,0,P96*(1-VLOOKUP($A97,[1]Hugst!$R$5:$W$9,MATCH(ROUNDUP((Q$1)/10,0)*10,[1]Hugst!$R$4:$W$4,0))))</f>
        <v>0</v>
      </c>
      <c r="R97" s="169">
        <f>IF($C97-R$1&lt;År1,0,Q96*(1-VLOOKUP($A97,[1]Hugst!$R$5:$W$9,MATCH(ROUNDUP((R$1)/10,0)*10,[1]Hugst!$R$4:$W$4,0))))</f>
        <v>0</v>
      </c>
      <c r="S97" s="169">
        <f>IF($C97-S$1&lt;År1,0,R96*(1-VLOOKUP($A97,[1]Hugst!$R$5:$W$9,MATCH(ROUNDUP((S$1)/10,0)*10,[1]Hugst!$R$4:$W$4,0))))</f>
        <v>0</v>
      </c>
      <c r="T97" s="169">
        <f>IF($C97-T$1&lt;År1,0,S96*(1-VLOOKUP($A97,[1]Hugst!$R$5:$W$9,MATCH(ROUNDUP((T$1)/10,0)*10,[1]Hugst!$R$4:$W$4,0))))</f>
        <v>0</v>
      </c>
      <c r="U97" s="169">
        <f>IF($C97-U$1&lt;År1,0,T96*(1-VLOOKUP($A97,[1]Hugst!$R$5:$W$9,MATCH(ROUNDUP((U$1)/10,0)*10,[1]Hugst!$R$4:$W$4,0))))</f>
        <v>0</v>
      </c>
      <c r="V97" s="169">
        <f>IF($C97-V$1&lt;År1,0,U96*(1-VLOOKUP($A97,[1]Hugst!$R$5:$W$9,MATCH(ROUNDUP((V$1)/10,0)*10,[1]Hugst!$R$4:$W$4,0))))</f>
        <v>0</v>
      </c>
      <c r="W97" s="169">
        <f>IF($C97-W$1&lt;År1,0,V96*(1-VLOOKUP($A97,[1]Hugst!$R$5:$W$9,MATCH(ROUNDUP((W$1)/10,0)*10,[1]Hugst!$R$4:$W$4,0))))</f>
        <v>0</v>
      </c>
      <c r="X97" s="169">
        <f>IF($C97-X$1&lt;År1,0,W96*(1-VLOOKUP($A97,[1]Hugst!$R$5:$W$9,MATCH(ROUNDUP((X$1)/10,0)*10,[1]Hugst!$R$4:$W$4,0))))</f>
        <v>0</v>
      </c>
      <c r="Y97" s="169">
        <f>IF($C97-Y$1&lt;År1,0,X96*(1-VLOOKUP($A97,[1]Hugst!$R$5:$W$9,MATCH(ROUNDUP((Y$1)/10,0)*10,[1]Hugst!$R$4:$W$4,0))))</f>
        <v>0</v>
      </c>
      <c r="Z97" s="169">
        <f>IF($C97-Z$1&lt;År1,0,Y96*(1-VLOOKUP($A97,[1]Hugst!$R$5:$W$9,MATCH(ROUNDUP((Z$1)/10,0)*10,[1]Hugst!$R$4:$W$4,0))))</f>
        <v>0</v>
      </c>
      <c r="AA97" s="169">
        <f>IF($C97-AA$1&lt;År1,0,Z96*(1-VLOOKUP($A97,[1]Hugst!$R$5:$W$9,MATCH(ROUNDUP((AA$1)/10,0)*10,[1]Hugst!$R$4:$W$4,0))))</f>
        <v>0</v>
      </c>
      <c r="AB97" s="169">
        <f>IF($C97-AB$1&lt;År1,0,AA96*(1-VLOOKUP($A97,[1]Hugst!$R$5:$W$9,MATCH(ROUNDUP((AB$1)/10,0)*10,[1]Hugst!$R$4:$W$4,0))))</f>
        <v>0</v>
      </c>
      <c r="AC97" s="169">
        <f>IF($C97-AC$1&lt;År1,0,AB96*(1-VLOOKUP($A97,[1]Hugst!$R$5:$W$9,MATCH(ROUNDUP((AC$1)/10,0)*10,[1]Hugst!$R$4:$W$4,0))))</f>
        <v>0</v>
      </c>
      <c r="AD97" s="169">
        <f>IF($C97-AD$1&lt;År1,0,AC96*(1-VLOOKUP($A97,[1]Hugst!$R$5:$W$9,MATCH(ROUNDUP((AD$1)/10,0)*10,[1]Hugst!$R$4:$W$4,0))))</f>
        <v>0</v>
      </c>
      <c r="AE97" s="169">
        <f>IF($C97-AE$1&lt;År1,0,AD96*(1-VLOOKUP($A97,[1]Hugst!$R$5:$W$9,MATCH(ROUNDUP((AE$1)/10,0)*10,[1]Hugst!$R$4:$W$4,0))))</f>
        <v>0</v>
      </c>
      <c r="AF97" s="169">
        <f>IF($C97-AF$1&lt;År1,0,AE96*(1-VLOOKUP($A97,[1]Hugst!$R$5:$W$9,MATCH(ROUNDUP((AF$1)/10,0)*10,[1]Hugst!$R$4:$W$4,0))))</f>
        <v>0</v>
      </c>
      <c r="AG97" s="169">
        <f>IF($C97-AG$1&lt;År1,0,AF96*(1-VLOOKUP($A97,[1]Hugst!$R$5:$W$9,MATCH(ROUNDUP((AG$1)/10,0)*10,[1]Hugst!$R$4:$W$4,0))))</f>
        <v>0</v>
      </c>
      <c r="AH97" s="169">
        <f>IF($C97-AH$1&lt;År1,0,AG96*(1-VLOOKUP($A97,[1]Hugst!$R$5:$W$9,MATCH(ROUNDUP((AH$1)/10,0)*10,[1]Hugst!$R$4:$W$4,0))))</f>
        <v>0</v>
      </c>
      <c r="AI97" s="169">
        <f>IF($C97-AI$1&lt;År1,0,AH96*(1-VLOOKUP($A97,[1]Hugst!$R$5:$W$9,MATCH(ROUNDUP((AI$1)/10,0)*10,[1]Hugst!$R$4:$W$4,0))))</f>
        <v>0</v>
      </c>
      <c r="AJ97" s="169">
        <f>IF($C97-AJ$1&lt;År1,0,AI96*(1-VLOOKUP($A97,[1]Hugst!$R$5:$W$9,MATCH(ROUNDUP((AJ$1)/10,0)*10,[1]Hugst!$R$4:$W$4,0))))</f>
        <v>0</v>
      </c>
    </row>
    <row r="98" spans="1:36" s="169" customFormat="1" x14ac:dyDescent="0.25">
      <c r="A98" s="169" t="s">
        <v>177</v>
      </c>
      <c r="B98" s="169" t="s">
        <v>24</v>
      </c>
      <c r="C98" s="169">
        <v>2023</v>
      </c>
      <c r="D98" s="169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0</v>
      </c>
      <c r="E98" s="169">
        <f t="shared" ca="1" si="2"/>
        <v>0</v>
      </c>
      <c r="F98" s="169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9">
        <f ca="1">IF($C98-G$1&lt;År1,0,F97*(1-VLOOKUP($A98,[1]Hugst!$R$5:$W$9,MATCH(ROUNDUP((G$1)/10,0)*10,[1]Hugst!$R$4:$W$4,0))))</f>
        <v>0</v>
      </c>
      <c r="H98" s="169">
        <f ca="1">IF($C98-H$1&lt;År1,0,G97*(1-VLOOKUP($A98,[1]Hugst!$R$5:$W$9,MATCH(ROUNDUP((H$1)/10,0)*10,[1]Hugst!$R$4:$W$4,0))))</f>
        <v>0</v>
      </c>
      <c r="I98" s="169">
        <f ca="1">IF($C98-I$1&lt;År1,0,H97*(1-VLOOKUP($A98,[1]Hugst!$R$5:$W$9,MATCH(ROUNDUP((I$1)/10,0)*10,[1]Hugst!$R$4:$W$4,0))))</f>
        <v>0</v>
      </c>
      <c r="J98" s="169">
        <f>IF($C98-J$1&lt;År1,0,I97*(1-VLOOKUP($A98,[1]Hugst!$R$5:$W$9,MATCH(ROUNDUP((J$1)/10,0)*10,[1]Hugst!$R$4:$W$4,0))))</f>
        <v>0</v>
      </c>
      <c r="K98" s="169">
        <f>IF($C98-K$1&lt;År1,0,J97*(1-VLOOKUP($A98,[1]Hugst!$R$5:$W$9,MATCH(ROUNDUP((K$1)/10,0)*10,[1]Hugst!$R$4:$W$4,0))))</f>
        <v>0</v>
      </c>
      <c r="L98" s="169">
        <f>IF($C98-L$1&lt;År1,0,K97*(1-VLOOKUP($A98,[1]Hugst!$R$5:$W$9,MATCH(ROUNDUP((L$1)/10,0)*10,[1]Hugst!$R$4:$W$4,0))))</f>
        <v>0</v>
      </c>
      <c r="M98" s="169">
        <f>IF($C98-M$1&lt;År1,0,L97*(1-VLOOKUP($A98,[1]Hugst!$R$5:$W$9,MATCH(ROUNDUP((M$1)/10,0)*10,[1]Hugst!$R$4:$W$4,0))))</f>
        <v>0</v>
      </c>
      <c r="N98" s="169">
        <f>IF($C98-N$1&lt;År1,0,M97*(1-VLOOKUP($A98,[1]Hugst!$R$5:$W$9,MATCH(ROUNDUP((N$1)/10,0)*10,[1]Hugst!$R$4:$W$4,0))))</f>
        <v>0</v>
      </c>
      <c r="O98" s="169">
        <f>IF($C98-O$1&lt;År1,0,N97*(1-VLOOKUP($A98,[1]Hugst!$R$5:$W$9,MATCH(ROUNDUP((O$1)/10,0)*10,[1]Hugst!$R$4:$W$4,0))))</f>
        <v>0</v>
      </c>
      <c r="P98" s="169">
        <f>IF($C98-P$1&lt;År1,0,O97*(1-VLOOKUP($A98,[1]Hugst!$R$5:$W$9,MATCH(ROUNDUP((P$1)/10,0)*10,[1]Hugst!$R$4:$W$4,0))))</f>
        <v>0</v>
      </c>
      <c r="Q98" s="169">
        <f>IF($C98-Q$1&lt;År1,0,P97*(1-VLOOKUP($A98,[1]Hugst!$R$5:$W$9,MATCH(ROUNDUP((Q$1)/10,0)*10,[1]Hugst!$R$4:$W$4,0))))</f>
        <v>0</v>
      </c>
      <c r="R98" s="169">
        <f>IF($C98-R$1&lt;År1,0,Q97*(1-VLOOKUP($A98,[1]Hugst!$R$5:$W$9,MATCH(ROUNDUP((R$1)/10,0)*10,[1]Hugst!$R$4:$W$4,0))))</f>
        <v>0</v>
      </c>
      <c r="S98" s="169">
        <f>IF($C98-S$1&lt;År1,0,R97*(1-VLOOKUP($A98,[1]Hugst!$R$5:$W$9,MATCH(ROUNDUP((S$1)/10,0)*10,[1]Hugst!$R$4:$W$4,0))))</f>
        <v>0</v>
      </c>
      <c r="T98" s="169">
        <f>IF($C98-T$1&lt;År1,0,S97*(1-VLOOKUP($A98,[1]Hugst!$R$5:$W$9,MATCH(ROUNDUP((T$1)/10,0)*10,[1]Hugst!$R$4:$W$4,0))))</f>
        <v>0</v>
      </c>
      <c r="U98" s="169">
        <f>IF($C98-U$1&lt;År1,0,T97*(1-VLOOKUP($A98,[1]Hugst!$R$5:$W$9,MATCH(ROUNDUP((U$1)/10,0)*10,[1]Hugst!$R$4:$W$4,0))))</f>
        <v>0</v>
      </c>
      <c r="V98" s="169">
        <f>IF($C98-V$1&lt;År1,0,U97*(1-VLOOKUP($A98,[1]Hugst!$R$5:$W$9,MATCH(ROUNDUP((V$1)/10,0)*10,[1]Hugst!$R$4:$W$4,0))))</f>
        <v>0</v>
      </c>
      <c r="W98" s="169">
        <f>IF($C98-W$1&lt;År1,0,V97*(1-VLOOKUP($A98,[1]Hugst!$R$5:$W$9,MATCH(ROUNDUP((W$1)/10,0)*10,[1]Hugst!$R$4:$W$4,0))))</f>
        <v>0</v>
      </c>
      <c r="X98" s="169">
        <f>IF($C98-X$1&lt;År1,0,W97*(1-VLOOKUP($A98,[1]Hugst!$R$5:$W$9,MATCH(ROUNDUP((X$1)/10,0)*10,[1]Hugst!$R$4:$W$4,0))))</f>
        <v>0</v>
      </c>
      <c r="Y98" s="169">
        <f>IF($C98-Y$1&lt;År1,0,X97*(1-VLOOKUP($A98,[1]Hugst!$R$5:$W$9,MATCH(ROUNDUP((Y$1)/10,0)*10,[1]Hugst!$R$4:$W$4,0))))</f>
        <v>0</v>
      </c>
      <c r="Z98" s="169">
        <f>IF($C98-Z$1&lt;År1,0,Y97*(1-VLOOKUP($A98,[1]Hugst!$R$5:$W$9,MATCH(ROUNDUP((Z$1)/10,0)*10,[1]Hugst!$R$4:$W$4,0))))</f>
        <v>0</v>
      </c>
      <c r="AA98" s="169">
        <f>IF($C98-AA$1&lt;År1,0,Z97*(1-VLOOKUP($A98,[1]Hugst!$R$5:$W$9,MATCH(ROUNDUP((AA$1)/10,0)*10,[1]Hugst!$R$4:$W$4,0))))</f>
        <v>0</v>
      </c>
      <c r="AB98" s="169">
        <f>IF($C98-AB$1&lt;År1,0,AA97*(1-VLOOKUP($A98,[1]Hugst!$R$5:$W$9,MATCH(ROUNDUP((AB$1)/10,0)*10,[1]Hugst!$R$4:$W$4,0))))</f>
        <v>0</v>
      </c>
      <c r="AC98" s="169">
        <f>IF($C98-AC$1&lt;År1,0,AB97*(1-VLOOKUP($A98,[1]Hugst!$R$5:$W$9,MATCH(ROUNDUP((AC$1)/10,0)*10,[1]Hugst!$R$4:$W$4,0))))</f>
        <v>0</v>
      </c>
      <c r="AD98" s="169">
        <f>IF($C98-AD$1&lt;År1,0,AC97*(1-VLOOKUP($A98,[1]Hugst!$R$5:$W$9,MATCH(ROUNDUP((AD$1)/10,0)*10,[1]Hugst!$R$4:$W$4,0))))</f>
        <v>0</v>
      </c>
      <c r="AE98" s="169">
        <f>IF($C98-AE$1&lt;År1,0,AD97*(1-VLOOKUP($A98,[1]Hugst!$R$5:$W$9,MATCH(ROUNDUP((AE$1)/10,0)*10,[1]Hugst!$R$4:$W$4,0))))</f>
        <v>0</v>
      </c>
      <c r="AF98" s="169">
        <f>IF($C98-AF$1&lt;År1,0,AE97*(1-VLOOKUP($A98,[1]Hugst!$R$5:$W$9,MATCH(ROUNDUP((AF$1)/10,0)*10,[1]Hugst!$R$4:$W$4,0))))</f>
        <v>0</v>
      </c>
      <c r="AG98" s="169">
        <f>IF($C98-AG$1&lt;År1,0,AF97*(1-VLOOKUP($A98,[1]Hugst!$R$5:$W$9,MATCH(ROUNDUP((AG$1)/10,0)*10,[1]Hugst!$R$4:$W$4,0))))</f>
        <v>0</v>
      </c>
      <c r="AH98" s="169">
        <f>IF($C98-AH$1&lt;År1,0,AG97*(1-VLOOKUP($A98,[1]Hugst!$R$5:$W$9,MATCH(ROUNDUP((AH$1)/10,0)*10,[1]Hugst!$R$4:$W$4,0))))</f>
        <v>0</v>
      </c>
      <c r="AI98" s="169">
        <f>IF($C98-AI$1&lt;År1,0,AH97*(1-VLOOKUP($A98,[1]Hugst!$R$5:$W$9,MATCH(ROUNDUP((AI$1)/10,0)*10,[1]Hugst!$R$4:$W$4,0))))</f>
        <v>0</v>
      </c>
      <c r="AJ98" s="169">
        <f>IF($C98-AJ$1&lt;År1,0,AI97*(1-VLOOKUP($A98,[1]Hugst!$R$5:$W$9,MATCH(ROUNDUP((AJ$1)/10,0)*10,[1]Hugst!$R$4:$W$4,0))))</f>
        <v>0</v>
      </c>
    </row>
    <row r="99" spans="1:36" s="169" customFormat="1" x14ac:dyDescent="0.25">
      <c r="A99" s="169" t="s">
        <v>177</v>
      </c>
      <c r="B99" s="169" t="s">
        <v>24</v>
      </c>
      <c r="C99" s="169">
        <v>2024</v>
      </c>
      <c r="D99" s="169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0</v>
      </c>
      <c r="E99" s="169">
        <f t="shared" ca="1" si="2"/>
        <v>0</v>
      </c>
      <c r="F99" s="169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9">
        <f ca="1">IF($C99-G$1&lt;År1,0,F98*(1-VLOOKUP($A99,[1]Hugst!$R$5:$W$9,MATCH(ROUNDUP((G$1)/10,0)*10,[1]Hugst!$R$4:$W$4,0))))</f>
        <v>0</v>
      </c>
      <c r="H99" s="169">
        <f ca="1">IF($C99-H$1&lt;År1,0,G98*(1-VLOOKUP($A99,[1]Hugst!$R$5:$W$9,MATCH(ROUNDUP((H$1)/10,0)*10,[1]Hugst!$R$4:$W$4,0))))</f>
        <v>0</v>
      </c>
      <c r="I99" s="169">
        <f ca="1">IF($C99-I$1&lt;År1,0,H98*(1-VLOOKUP($A99,[1]Hugst!$R$5:$W$9,MATCH(ROUNDUP((I$1)/10,0)*10,[1]Hugst!$R$4:$W$4,0))))</f>
        <v>0</v>
      </c>
      <c r="J99" s="169">
        <f ca="1">IF($C99-J$1&lt;År1,0,I98*(1-VLOOKUP($A99,[1]Hugst!$R$5:$W$9,MATCH(ROUNDUP((J$1)/10,0)*10,[1]Hugst!$R$4:$W$4,0))))</f>
        <v>0</v>
      </c>
      <c r="K99" s="169">
        <f>IF($C99-K$1&lt;År1,0,J98*(1-VLOOKUP($A99,[1]Hugst!$R$5:$W$9,MATCH(ROUNDUP((K$1)/10,0)*10,[1]Hugst!$R$4:$W$4,0))))</f>
        <v>0</v>
      </c>
      <c r="L99" s="169">
        <f>IF($C99-L$1&lt;År1,0,K98*(1-VLOOKUP($A99,[1]Hugst!$R$5:$W$9,MATCH(ROUNDUP((L$1)/10,0)*10,[1]Hugst!$R$4:$W$4,0))))</f>
        <v>0</v>
      </c>
      <c r="M99" s="169">
        <f>IF($C99-M$1&lt;År1,0,L98*(1-VLOOKUP($A99,[1]Hugst!$R$5:$W$9,MATCH(ROUNDUP((M$1)/10,0)*10,[1]Hugst!$R$4:$W$4,0))))</f>
        <v>0</v>
      </c>
      <c r="N99" s="169">
        <f>IF($C99-N$1&lt;År1,0,M98*(1-VLOOKUP($A99,[1]Hugst!$R$5:$W$9,MATCH(ROUNDUP((N$1)/10,0)*10,[1]Hugst!$R$4:$W$4,0))))</f>
        <v>0</v>
      </c>
      <c r="O99" s="169">
        <f>IF($C99-O$1&lt;År1,0,N98*(1-VLOOKUP($A99,[1]Hugst!$R$5:$W$9,MATCH(ROUNDUP((O$1)/10,0)*10,[1]Hugst!$R$4:$W$4,0))))</f>
        <v>0</v>
      </c>
      <c r="P99" s="169">
        <f>IF($C99-P$1&lt;År1,0,O98*(1-VLOOKUP($A99,[1]Hugst!$R$5:$W$9,MATCH(ROUNDUP((P$1)/10,0)*10,[1]Hugst!$R$4:$W$4,0))))</f>
        <v>0</v>
      </c>
      <c r="Q99" s="169">
        <f>IF($C99-Q$1&lt;År1,0,P98*(1-VLOOKUP($A99,[1]Hugst!$R$5:$W$9,MATCH(ROUNDUP((Q$1)/10,0)*10,[1]Hugst!$R$4:$W$4,0))))</f>
        <v>0</v>
      </c>
      <c r="R99" s="169">
        <f>IF($C99-R$1&lt;År1,0,Q98*(1-VLOOKUP($A99,[1]Hugst!$R$5:$W$9,MATCH(ROUNDUP((R$1)/10,0)*10,[1]Hugst!$R$4:$W$4,0))))</f>
        <v>0</v>
      </c>
      <c r="S99" s="169">
        <f>IF($C99-S$1&lt;År1,0,R98*(1-VLOOKUP($A99,[1]Hugst!$R$5:$W$9,MATCH(ROUNDUP((S$1)/10,0)*10,[1]Hugst!$R$4:$W$4,0))))</f>
        <v>0</v>
      </c>
      <c r="T99" s="169">
        <f>IF($C99-T$1&lt;År1,0,S98*(1-VLOOKUP($A99,[1]Hugst!$R$5:$W$9,MATCH(ROUNDUP((T$1)/10,0)*10,[1]Hugst!$R$4:$W$4,0))))</f>
        <v>0</v>
      </c>
      <c r="U99" s="169">
        <f>IF($C99-U$1&lt;År1,0,T98*(1-VLOOKUP($A99,[1]Hugst!$R$5:$W$9,MATCH(ROUNDUP((U$1)/10,0)*10,[1]Hugst!$R$4:$W$4,0))))</f>
        <v>0</v>
      </c>
      <c r="V99" s="169">
        <f>IF($C99-V$1&lt;År1,0,U98*(1-VLOOKUP($A99,[1]Hugst!$R$5:$W$9,MATCH(ROUNDUP((V$1)/10,0)*10,[1]Hugst!$R$4:$W$4,0))))</f>
        <v>0</v>
      </c>
      <c r="W99" s="169">
        <f>IF($C99-W$1&lt;År1,0,V98*(1-VLOOKUP($A99,[1]Hugst!$R$5:$W$9,MATCH(ROUNDUP((W$1)/10,0)*10,[1]Hugst!$R$4:$W$4,0))))</f>
        <v>0</v>
      </c>
      <c r="X99" s="169">
        <f>IF($C99-X$1&lt;År1,0,W98*(1-VLOOKUP($A99,[1]Hugst!$R$5:$W$9,MATCH(ROUNDUP((X$1)/10,0)*10,[1]Hugst!$R$4:$W$4,0))))</f>
        <v>0</v>
      </c>
      <c r="Y99" s="169">
        <f>IF($C99-Y$1&lt;År1,0,X98*(1-VLOOKUP($A99,[1]Hugst!$R$5:$W$9,MATCH(ROUNDUP((Y$1)/10,0)*10,[1]Hugst!$R$4:$W$4,0))))</f>
        <v>0</v>
      </c>
      <c r="Z99" s="169">
        <f>IF($C99-Z$1&lt;År1,0,Y98*(1-VLOOKUP($A99,[1]Hugst!$R$5:$W$9,MATCH(ROUNDUP((Z$1)/10,0)*10,[1]Hugst!$R$4:$W$4,0))))</f>
        <v>0</v>
      </c>
      <c r="AA99" s="169">
        <f>IF($C99-AA$1&lt;År1,0,Z98*(1-VLOOKUP($A99,[1]Hugst!$R$5:$W$9,MATCH(ROUNDUP((AA$1)/10,0)*10,[1]Hugst!$R$4:$W$4,0))))</f>
        <v>0</v>
      </c>
      <c r="AB99" s="169">
        <f>IF($C99-AB$1&lt;År1,0,AA98*(1-VLOOKUP($A99,[1]Hugst!$R$5:$W$9,MATCH(ROUNDUP((AB$1)/10,0)*10,[1]Hugst!$R$4:$W$4,0))))</f>
        <v>0</v>
      </c>
      <c r="AC99" s="169">
        <f>IF($C99-AC$1&lt;År1,0,AB98*(1-VLOOKUP($A99,[1]Hugst!$R$5:$W$9,MATCH(ROUNDUP((AC$1)/10,0)*10,[1]Hugst!$R$4:$W$4,0))))</f>
        <v>0</v>
      </c>
      <c r="AD99" s="169">
        <f>IF($C99-AD$1&lt;År1,0,AC98*(1-VLOOKUP($A99,[1]Hugst!$R$5:$W$9,MATCH(ROUNDUP((AD$1)/10,0)*10,[1]Hugst!$R$4:$W$4,0))))</f>
        <v>0</v>
      </c>
      <c r="AE99" s="169">
        <f>IF($C99-AE$1&lt;År1,0,AD98*(1-VLOOKUP($A99,[1]Hugst!$R$5:$W$9,MATCH(ROUNDUP((AE$1)/10,0)*10,[1]Hugst!$R$4:$W$4,0))))</f>
        <v>0</v>
      </c>
      <c r="AF99" s="169">
        <f>IF($C99-AF$1&lt;År1,0,AE98*(1-VLOOKUP($A99,[1]Hugst!$R$5:$W$9,MATCH(ROUNDUP((AF$1)/10,0)*10,[1]Hugst!$R$4:$W$4,0))))</f>
        <v>0</v>
      </c>
      <c r="AG99" s="169">
        <f>IF($C99-AG$1&lt;År1,0,AF98*(1-VLOOKUP($A99,[1]Hugst!$R$5:$W$9,MATCH(ROUNDUP((AG$1)/10,0)*10,[1]Hugst!$R$4:$W$4,0))))</f>
        <v>0</v>
      </c>
      <c r="AH99" s="169">
        <f>IF($C99-AH$1&lt;År1,0,AG98*(1-VLOOKUP($A99,[1]Hugst!$R$5:$W$9,MATCH(ROUNDUP((AH$1)/10,0)*10,[1]Hugst!$R$4:$W$4,0))))</f>
        <v>0</v>
      </c>
      <c r="AI99" s="169">
        <f>IF($C99-AI$1&lt;År1,0,AH98*(1-VLOOKUP($A99,[1]Hugst!$R$5:$W$9,MATCH(ROUNDUP((AI$1)/10,0)*10,[1]Hugst!$R$4:$W$4,0))))</f>
        <v>0</v>
      </c>
      <c r="AJ99" s="169">
        <f>IF($C99-AJ$1&lt;År1,0,AI98*(1-VLOOKUP($A99,[1]Hugst!$R$5:$W$9,MATCH(ROUNDUP((AJ$1)/10,0)*10,[1]Hugst!$R$4:$W$4,0))))</f>
        <v>0</v>
      </c>
    </row>
    <row r="100" spans="1:36" s="169" customFormat="1" x14ac:dyDescent="0.25">
      <c r="A100" s="169" t="s">
        <v>177</v>
      </c>
      <c r="B100" s="169" t="s">
        <v>24</v>
      </c>
      <c r="C100" s="169">
        <v>2025</v>
      </c>
      <c r="D100" s="169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0</v>
      </c>
      <c r="E100" s="169">
        <f t="shared" ca="1" si="2"/>
        <v>0</v>
      </c>
      <c r="F100" s="169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9">
        <f ca="1">IF($C100-G$1&lt;År1,0,F99*(1-VLOOKUP($A100,[1]Hugst!$R$5:$W$9,MATCH(ROUNDUP((G$1)/10,0)*10,[1]Hugst!$R$4:$W$4,0))))</f>
        <v>0</v>
      </c>
      <c r="H100" s="169">
        <f ca="1">IF($C100-H$1&lt;År1,0,G99*(1-VLOOKUP($A100,[1]Hugst!$R$5:$W$9,MATCH(ROUNDUP((H$1)/10,0)*10,[1]Hugst!$R$4:$W$4,0))))</f>
        <v>0</v>
      </c>
      <c r="I100" s="169">
        <f ca="1">IF($C100-I$1&lt;År1,0,H99*(1-VLOOKUP($A100,[1]Hugst!$R$5:$W$9,MATCH(ROUNDUP((I$1)/10,0)*10,[1]Hugst!$R$4:$W$4,0))))</f>
        <v>0</v>
      </c>
      <c r="J100" s="169">
        <f ca="1">IF($C100-J$1&lt;År1,0,I99*(1-VLOOKUP($A100,[1]Hugst!$R$5:$W$9,MATCH(ROUNDUP((J$1)/10,0)*10,[1]Hugst!$R$4:$W$4,0))))</f>
        <v>0</v>
      </c>
      <c r="K100" s="169">
        <f ca="1">IF($C100-K$1&lt;År1,0,J99*(1-VLOOKUP($A100,[1]Hugst!$R$5:$W$9,MATCH(ROUNDUP((K$1)/10,0)*10,[1]Hugst!$R$4:$W$4,0))))</f>
        <v>0</v>
      </c>
      <c r="L100" s="169">
        <f>IF($C100-L$1&lt;År1,0,K99*(1-VLOOKUP($A100,[1]Hugst!$R$5:$W$9,MATCH(ROUNDUP((L$1)/10,0)*10,[1]Hugst!$R$4:$W$4,0))))</f>
        <v>0</v>
      </c>
      <c r="M100" s="169">
        <f>IF($C100-M$1&lt;År1,0,L99*(1-VLOOKUP($A100,[1]Hugst!$R$5:$W$9,MATCH(ROUNDUP((M$1)/10,0)*10,[1]Hugst!$R$4:$W$4,0))))</f>
        <v>0</v>
      </c>
      <c r="N100" s="169">
        <f>IF($C100-N$1&lt;År1,0,M99*(1-VLOOKUP($A100,[1]Hugst!$R$5:$W$9,MATCH(ROUNDUP((N$1)/10,0)*10,[1]Hugst!$R$4:$W$4,0))))</f>
        <v>0</v>
      </c>
      <c r="O100" s="169">
        <f>IF($C100-O$1&lt;År1,0,N99*(1-VLOOKUP($A100,[1]Hugst!$R$5:$W$9,MATCH(ROUNDUP((O$1)/10,0)*10,[1]Hugst!$R$4:$W$4,0))))</f>
        <v>0</v>
      </c>
      <c r="P100" s="169">
        <f>IF($C100-P$1&lt;År1,0,O99*(1-VLOOKUP($A100,[1]Hugst!$R$5:$W$9,MATCH(ROUNDUP((P$1)/10,0)*10,[1]Hugst!$R$4:$W$4,0))))</f>
        <v>0</v>
      </c>
      <c r="Q100" s="169">
        <f>IF($C100-Q$1&lt;År1,0,P99*(1-VLOOKUP($A100,[1]Hugst!$R$5:$W$9,MATCH(ROUNDUP((Q$1)/10,0)*10,[1]Hugst!$R$4:$W$4,0))))</f>
        <v>0</v>
      </c>
      <c r="R100" s="169">
        <f>IF($C100-R$1&lt;År1,0,Q99*(1-VLOOKUP($A100,[1]Hugst!$R$5:$W$9,MATCH(ROUNDUP((R$1)/10,0)*10,[1]Hugst!$R$4:$W$4,0))))</f>
        <v>0</v>
      </c>
      <c r="S100" s="169">
        <f>IF($C100-S$1&lt;År1,0,R99*(1-VLOOKUP($A100,[1]Hugst!$R$5:$W$9,MATCH(ROUNDUP((S$1)/10,0)*10,[1]Hugst!$R$4:$W$4,0))))</f>
        <v>0</v>
      </c>
      <c r="T100" s="169">
        <f>IF($C100-T$1&lt;År1,0,S99*(1-VLOOKUP($A100,[1]Hugst!$R$5:$W$9,MATCH(ROUNDUP((T$1)/10,0)*10,[1]Hugst!$R$4:$W$4,0))))</f>
        <v>0</v>
      </c>
      <c r="U100" s="169">
        <f>IF($C100-U$1&lt;År1,0,T99*(1-VLOOKUP($A100,[1]Hugst!$R$5:$W$9,MATCH(ROUNDUP((U$1)/10,0)*10,[1]Hugst!$R$4:$W$4,0))))</f>
        <v>0</v>
      </c>
      <c r="V100" s="169">
        <f>IF($C100-V$1&lt;År1,0,U99*(1-VLOOKUP($A100,[1]Hugst!$R$5:$W$9,MATCH(ROUNDUP((V$1)/10,0)*10,[1]Hugst!$R$4:$W$4,0))))</f>
        <v>0</v>
      </c>
      <c r="W100" s="169">
        <f>IF($C100-W$1&lt;År1,0,V99*(1-VLOOKUP($A100,[1]Hugst!$R$5:$W$9,MATCH(ROUNDUP((W$1)/10,0)*10,[1]Hugst!$R$4:$W$4,0))))</f>
        <v>0</v>
      </c>
      <c r="X100" s="169">
        <f>IF($C100-X$1&lt;År1,0,W99*(1-VLOOKUP($A100,[1]Hugst!$R$5:$W$9,MATCH(ROUNDUP((X$1)/10,0)*10,[1]Hugst!$R$4:$W$4,0))))</f>
        <v>0</v>
      </c>
      <c r="Y100" s="169">
        <f>IF($C100-Y$1&lt;År1,0,X99*(1-VLOOKUP($A100,[1]Hugst!$R$5:$W$9,MATCH(ROUNDUP((Y$1)/10,0)*10,[1]Hugst!$R$4:$W$4,0))))</f>
        <v>0</v>
      </c>
      <c r="Z100" s="169">
        <f>IF($C100-Z$1&lt;År1,0,Y99*(1-VLOOKUP($A100,[1]Hugst!$R$5:$W$9,MATCH(ROUNDUP((Z$1)/10,0)*10,[1]Hugst!$R$4:$W$4,0))))</f>
        <v>0</v>
      </c>
      <c r="AA100" s="169">
        <f>IF($C100-AA$1&lt;År1,0,Z99*(1-VLOOKUP($A100,[1]Hugst!$R$5:$W$9,MATCH(ROUNDUP((AA$1)/10,0)*10,[1]Hugst!$R$4:$W$4,0))))</f>
        <v>0</v>
      </c>
      <c r="AB100" s="169">
        <f>IF($C100-AB$1&lt;År1,0,AA99*(1-VLOOKUP($A100,[1]Hugst!$R$5:$W$9,MATCH(ROUNDUP((AB$1)/10,0)*10,[1]Hugst!$R$4:$W$4,0))))</f>
        <v>0</v>
      </c>
      <c r="AC100" s="169">
        <f>IF($C100-AC$1&lt;År1,0,AB99*(1-VLOOKUP($A100,[1]Hugst!$R$5:$W$9,MATCH(ROUNDUP((AC$1)/10,0)*10,[1]Hugst!$R$4:$W$4,0))))</f>
        <v>0</v>
      </c>
      <c r="AD100" s="169">
        <f>IF($C100-AD$1&lt;År1,0,AC99*(1-VLOOKUP($A100,[1]Hugst!$R$5:$W$9,MATCH(ROUNDUP((AD$1)/10,0)*10,[1]Hugst!$R$4:$W$4,0))))</f>
        <v>0</v>
      </c>
      <c r="AE100" s="169">
        <f>IF($C100-AE$1&lt;År1,0,AD99*(1-VLOOKUP($A100,[1]Hugst!$R$5:$W$9,MATCH(ROUNDUP((AE$1)/10,0)*10,[1]Hugst!$R$4:$W$4,0))))</f>
        <v>0</v>
      </c>
      <c r="AF100" s="169">
        <f>IF($C100-AF$1&lt;År1,0,AE99*(1-VLOOKUP($A100,[1]Hugst!$R$5:$W$9,MATCH(ROUNDUP((AF$1)/10,0)*10,[1]Hugst!$R$4:$W$4,0))))</f>
        <v>0</v>
      </c>
      <c r="AG100" s="169">
        <f>IF($C100-AG$1&lt;År1,0,AF99*(1-VLOOKUP($A100,[1]Hugst!$R$5:$W$9,MATCH(ROUNDUP((AG$1)/10,0)*10,[1]Hugst!$R$4:$W$4,0))))</f>
        <v>0</v>
      </c>
      <c r="AH100" s="169">
        <f>IF($C100-AH$1&lt;År1,0,AG99*(1-VLOOKUP($A100,[1]Hugst!$R$5:$W$9,MATCH(ROUNDUP((AH$1)/10,0)*10,[1]Hugst!$R$4:$W$4,0))))</f>
        <v>0</v>
      </c>
      <c r="AI100" s="169">
        <f>IF($C100-AI$1&lt;År1,0,AH99*(1-VLOOKUP($A100,[1]Hugst!$R$5:$W$9,MATCH(ROUNDUP((AI$1)/10,0)*10,[1]Hugst!$R$4:$W$4,0))))</f>
        <v>0</v>
      </c>
      <c r="AJ100" s="169">
        <f>IF($C100-AJ$1&lt;År1,0,AI99*(1-VLOOKUP($A100,[1]Hugst!$R$5:$W$9,MATCH(ROUNDUP((AJ$1)/10,0)*10,[1]Hugst!$R$4:$W$4,0))))</f>
        <v>0</v>
      </c>
    </row>
    <row r="101" spans="1:36" s="169" customFormat="1" x14ac:dyDescent="0.25">
      <c r="A101" s="169" t="s">
        <v>177</v>
      </c>
      <c r="B101" s="169" t="s">
        <v>24</v>
      </c>
      <c r="C101" s="169">
        <v>2026</v>
      </c>
      <c r="D101" s="169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0</v>
      </c>
      <c r="E101" s="169">
        <f t="shared" ca="1" si="2"/>
        <v>0</v>
      </c>
      <c r="F101" s="169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9">
        <f ca="1">IF($C101-G$1&lt;År1,0,F100*(1-VLOOKUP($A101,[1]Hugst!$R$5:$W$9,MATCH(ROUNDUP((G$1)/10,0)*10,[1]Hugst!$R$4:$W$4,0))))</f>
        <v>0</v>
      </c>
      <c r="H101" s="169">
        <f ca="1">IF($C101-H$1&lt;År1,0,G100*(1-VLOOKUP($A101,[1]Hugst!$R$5:$W$9,MATCH(ROUNDUP((H$1)/10,0)*10,[1]Hugst!$R$4:$W$4,0))))</f>
        <v>0</v>
      </c>
      <c r="I101" s="169">
        <f ca="1">IF($C101-I$1&lt;År1,0,H100*(1-VLOOKUP($A101,[1]Hugst!$R$5:$W$9,MATCH(ROUNDUP((I$1)/10,0)*10,[1]Hugst!$R$4:$W$4,0))))</f>
        <v>0</v>
      </c>
      <c r="J101" s="169">
        <f ca="1">IF($C101-J$1&lt;År1,0,I100*(1-VLOOKUP($A101,[1]Hugst!$R$5:$W$9,MATCH(ROUNDUP((J$1)/10,0)*10,[1]Hugst!$R$4:$W$4,0))))</f>
        <v>0</v>
      </c>
      <c r="K101" s="169">
        <f ca="1">IF($C101-K$1&lt;År1,0,J100*(1-VLOOKUP($A101,[1]Hugst!$R$5:$W$9,MATCH(ROUNDUP((K$1)/10,0)*10,[1]Hugst!$R$4:$W$4,0))))</f>
        <v>0</v>
      </c>
      <c r="L101" s="169">
        <f ca="1">IF($C101-L$1&lt;År1,0,K100*(1-VLOOKUP($A101,[1]Hugst!$R$5:$W$9,MATCH(ROUNDUP((L$1)/10,0)*10,[1]Hugst!$R$4:$W$4,0))))</f>
        <v>0</v>
      </c>
      <c r="M101" s="169">
        <f>IF($C101-M$1&lt;År1,0,L100*(1-VLOOKUP($A101,[1]Hugst!$R$5:$W$9,MATCH(ROUNDUP((M$1)/10,0)*10,[1]Hugst!$R$4:$W$4,0))))</f>
        <v>0</v>
      </c>
      <c r="N101" s="169">
        <f>IF($C101-N$1&lt;År1,0,M100*(1-VLOOKUP($A101,[1]Hugst!$R$5:$W$9,MATCH(ROUNDUP((N$1)/10,0)*10,[1]Hugst!$R$4:$W$4,0))))</f>
        <v>0</v>
      </c>
      <c r="O101" s="169">
        <f>IF($C101-O$1&lt;År1,0,N100*(1-VLOOKUP($A101,[1]Hugst!$R$5:$W$9,MATCH(ROUNDUP((O$1)/10,0)*10,[1]Hugst!$R$4:$W$4,0))))</f>
        <v>0</v>
      </c>
      <c r="P101" s="169">
        <f>IF($C101-P$1&lt;År1,0,O100*(1-VLOOKUP($A101,[1]Hugst!$R$5:$W$9,MATCH(ROUNDUP((P$1)/10,0)*10,[1]Hugst!$R$4:$W$4,0))))</f>
        <v>0</v>
      </c>
      <c r="Q101" s="169">
        <f>IF($C101-Q$1&lt;År1,0,P100*(1-VLOOKUP($A101,[1]Hugst!$R$5:$W$9,MATCH(ROUNDUP((Q$1)/10,0)*10,[1]Hugst!$R$4:$W$4,0))))</f>
        <v>0</v>
      </c>
      <c r="R101" s="169">
        <f>IF($C101-R$1&lt;År1,0,Q100*(1-VLOOKUP($A101,[1]Hugst!$R$5:$W$9,MATCH(ROUNDUP((R$1)/10,0)*10,[1]Hugst!$R$4:$W$4,0))))</f>
        <v>0</v>
      </c>
      <c r="S101" s="169">
        <f>IF($C101-S$1&lt;År1,0,R100*(1-VLOOKUP($A101,[1]Hugst!$R$5:$W$9,MATCH(ROUNDUP((S$1)/10,0)*10,[1]Hugst!$R$4:$W$4,0))))</f>
        <v>0</v>
      </c>
      <c r="T101" s="169">
        <f>IF($C101-T$1&lt;År1,0,S100*(1-VLOOKUP($A101,[1]Hugst!$R$5:$W$9,MATCH(ROUNDUP((T$1)/10,0)*10,[1]Hugst!$R$4:$W$4,0))))</f>
        <v>0</v>
      </c>
      <c r="U101" s="169">
        <f>IF($C101-U$1&lt;År1,0,T100*(1-VLOOKUP($A101,[1]Hugst!$R$5:$W$9,MATCH(ROUNDUP((U$1)/10,0)*10,[1]Hugst!$R$4:$W$4,0))))</f>
        <v>0</v>
      </c>
      <c r="V101" s="169">
        <f>IF($C101-V$1&lt;År1,0,U100*(1-VLOOKUP($A101,[1]Hugst!$R$5:$W$9,MATCH(ROUNDUP((V$1)/10,0)*10,[1]Hugst!$R$4:$W$4,0))))</f>
        <v>0</v>
      </c>
      <c r="W101" s="169">
        <f>IF($C101-W$1&lt;År1,0,V100*(1-VLOOKUP($A101,[1]Hugst!$R$5:$W$9,MATCH(ROUNDUP((W$1)/10,0)*10,[1]Hugst!$R$4:$W$4,0))))</f>
        <v>0</v>
      </c>
      <c r="X101" s="169">
        <f>IF($C101-X$1&lt;År1,0,W100*(1-VLOOKUP($A101,[1]Hugst!$R$5:$W$9,MATCH(ROUNDUP((X$1)/10,0)*10,[1]Hugst!$R$4:$W$4,0))))</f>
        <v>0</v>
      </c>
      <c r="Y101" s="169">
        <f>IF($C101-Y$1&lt;År1,0,X100*(1-VLOOKUP($A101,[1]Hugst!$R$5:$W$9,MATCH(ROUNDUP((Y$1)/10,0)*10,[1]Hugst!$R$4:$W$4,0))))</f>
        <v>0</v>
      </c>
      <c r="Z101" s="169">
        <f>IF($C101-Z$1&lt;År1,0,Y100*(1-VLOOKUP($A101,[1]Hugst!$R$5:$W$9,MATCH(ROUNDUP((Z$1)/10,0)*10,[1]Hugst!$R$4:$W$4,0))))</f>
        <v>0</v>
      </c>
      <c r="AA101" s="169">
        <f>IF($C101-AA$1&lt;År1,0,Z100*(1-VLOOKUP($A101,[1]Hugst!$R$5:$W$9,MATCH(ROUNDUP((AA$1)/10,0)*10,[1]Hugst!$R$4:$W$4,0))))</f>
        <v>0</v>
      </c>
      <c r="AB101" s="169">
        <f>IF($C101-AB$1&lt;År1,0,AA100*(1-VLOOKUP($A101,[1]Hugst!$R$5:$W$9,MATCH(ROUNDUP((AB$1)/10,0)*10,[1]Hugst!$R$4:$W$4,0))))</f>
        <v>0</v>
      </c>
      <c r="AC101" s="169">
        <f>IF($C101-AC$1&lt;År1,0,AB100*(1-VLOOKUP($A101,[1]Hugst!$R$5:$W$9,MATCH(ROUNDUP((AC$1)/10,0)*10,[1]Hugst!$R$4:$W$4,0))))</f>
        <v>0</v>
      </c>
      <c r="AD101" s="169">
        <f>IF($C101-AD$1&lt;År1,0,AC100*(1-VLOOKUP($A101,[1]Hugst!$R$5:$W$9,MATCH(ROUNDUP((AD$1)/10,0)*10,[1]Hugst!$R$4:$W$4,0))))</f>
        <v>0</v>
      </c>
      <c r="AE101" s="169">
        <f>IF($C101-AE$1&lt;År1,0,AD100*(1-VLOOKUP($A101,[1]Hugst!$R$5:$W$9,MATCH(ROUNDUP((AE$1)/10,0)*10,[1]Hugst!$R$4:$W$4,0))))</f>
        <v>0</v>
      </c>
      <c r="AF101" s="169">
        <f>IF($C101-AF$1&lt;År1,0,AE100*(1-VLOOKUP($A101,[1]Hugst!$R$5:$W$9,MATCH(ROUNDUP((AF$1)/10,0)*10,[1]Hugst!$R$4:$W$4,0))))</f>
        <v>0</v>
      </c>
      <c r="AG101" s="169">
        <f>IF($C101-AG$1&lt;År1,0,AF100*(1-VLOOKUP($A101,[1]Hugst!$R$5:$W$9,MATCH(ROUNDUP((AG$1)/10,0)*10,[1]Hugst!$R$4:$W$4,0))))</f>
        <v>0</v>
      </c>
      <c r="AH101" s="169">
        <f>IF($C101-AH$1&lt;År1,0,AG100*(1-VLOOKUP($A101,[1]Hugst!$R$5:$W$9,MATCH(ROUNDUP((AH$1)/10,0)*10,[1]Hugst!$R$4:$W$4,0))))</f>
        <v>0</v>
      </c>
      <c r="AI101" s="169">
        <f>IF($C101-AI$1&lt;År1,0,AH100*(1-VLOOKUP($A101,[1]Hugst!$R$5:$W$9,MATCH(ROUNDUP((AI$1)/10,0)*10,[1]Hugst!$R$4:$W$4,0))))</f>
        <v>0</v>
      </c>
      <c r="AJ101" s="169">
        <f>IF($C101-AJ$1&lt;År1,0,AI100*(1-VLOOKUP($A101,[1]Hugst!$R$5:$W$9,MATCH(ROUNDUP((AJ$1)/10,0)*10,[1]Hugst!$R$4:$W$4,0))))</f>
        <v>0</v>
      </c>
    </row>
    <row r="102" spans="1:36" s="169" customFormat="1" x14ac:dyDescent="0.25">
      <c r="A102" s="169" t="s">
        <v>177</v>
      </c>
      <c r="B102" s="169" t="s">
        <v>24</v>
      </c>
      <c r="C102" s="169">
        <v>2027</v>
      </c>
      <c r="D102" s="169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0</v>
      </c>
      <c r="E102" s="169">
        <f t="shared" ca="1" si="2"/>
        <v>0</v>
      </c>
      <c r="F102" s="169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9">
        <f ca="1">IF($C102-G$1&lt;År1,0,F101*(1-VLOOKUP($A102,[1]Hugst!$R$5:$W$9,MATCH(ROUNDUP((G$1)/10,0)*10,[1]Hugst!$R$4:$W$4,0))))</f>
        <v>0</v>
      </c>
      <c r="H102" s="169">
        <f ca="1">IF($C102-H$1&lt;År1,0,G101*(1-VLOOKUP($A102,[1]Hugst!$R$5:$W$9,MATCH(ROUNDUP((H$1)/10,0)*10,[1]Hugst!$R$4:$W$4,0))))</f>
        <v>0</v>
      </c>
      <c r="I102" s="169">
        <f ca="1">IF($C102-I$1&lt;År1,0,H101*(1-VLOOKUP($A102,[1]Hugst!$R$5:$W$9,MATCH(ROUNDUP((I$1)/10,0)*10,[1]Hugst!$R$4:$W$4,0))))</f>
        <v>0</v>
      </c>
      <c r="J102" s="169">
        <f ca="1">IF($C102-J$1&lt;År1,0,I101*(1-VLOOKUP($A102,[1]Hugst!$R$5:$W$9,MATCH(ROUNDUP((J$1)/10,0)*10,[1]Hugst!$R$4:$W$4,0))))</f>
        <v>0</v>
      </c>
      <c r="K102" s="169">
        <f ca="1">IF($C102-K$1&lt;År1,0,J101*(1-VLOOKUP($A102,[1]Hugst!$R$5:$W$9,MATCH(ROUNDUP((K$1)/10,0)*10,[1]Hugst!$R$4:$W$4,0))))</f>
        <v>0</v>
      </c>
      <c r="L102" s="169">
        <f ca="1">IF($C102-L$1&lt;År1,0,K101*(1-VLOOKUP($A102,[1]Hugst!$R$5:$W$9,MATCH(ROUNDUP((L$1)/10,0)*10,[1]Hugst!$R$4:$W$4,0))))</f>
        <v>0</v>
      </c>
      <c r="M102" s="169">
        <f ca="1">IF($C102-M$1&lt;År1,0,L101*(1-VLOOKUP($A102,[1]Hugst!$R$5:$W$9,MATCH(ROUNDUP((M$1)/10,0)*10,[1]Hugst!$R$4:$W$4,0))))</f>
        <v>0</v>
      </c>
      <c r="N102" s="169">
        <f>IF($C102-N$1&lt;År1,0,M101*(1-VLOOKUP($A102,[1]Hugst!$R$5:$W$9,MATCH(ROUNDUP((N$1)/10,0)*10,[1]Hugst!$R$4:$W$4,0))))</f>
        <v>0</v>
      </c>
      <c r="O102" s="169">
        <f>IF($C102-O$1&lt;År1,0,N101*(1-VLOOKUP($A102,[1]Hugst!$R$5:$W$9,MATCH(ROUNDUP((O$1)/10,0)*10,[1]Hugst!$R$4:$W$4,0))))</f>
        <v>0</v>
      </c>
      <c r="P102" s="169">
        <f>IF($C102-P$1&lt;År1,0,O101*(1-VLOOKUP($A102,[1]Hugst!$R$5:$W$9,MATCH(ROUNDUP((P$1)/10,0)*10,[1]Hugst!$R$4:$W$4,0))))</f>
        <v>0</v>
      </c>
      <c r="Q102" s="169">
        <f>IF($C102-Q$1&lt;År1,0,P101*(1-VLOOKUP($A102,[1]Hugst!$R$5:$W$9,MATCH(ROUNDUP((Q$1)/10,0)*10,[1]Hugst!$R$4:$W$4,0))))</f>
        <v>0</v>
      </c>
      <c r="R102" s="169">
        <f>IF($C102-R$1&lt;År1,0,Q101*(1-VLOOKUP($A102,[1]Hugst!$R$5:$W$9,MATCH(ROUNDUP((R$1)/10,0)*10,[1]Hugst!$R$4:$W$4,0))))</f>
        <v>0</v>
      </c>
      <c r="S102" s="169">
        <f>IF($C102-S$1&lt;År1,0,R101*(1-VLOOKUP($A102,[1]Hugst!$R$5:$W$9,MATCH(ROUNDUP((S$1)/10,0)*10,[1]Hugst!$R$4:$W$4,0))))</f>
        <v>0</v>
      </c>
      <c r="T102" s="169">
        <f>IF($C102-T$1&lt;År1,0,S101*(1-VLOOKUP($A102,[1]Hugst!$R$5:$W$9,MATCH(ROUNDUP((T$1)/10,0)*10,[1]Hugst!$R$4:$W$4,0))))</f>
        <v>0</v>
      </c>
      <c r="U102" s="169">
        <f>IF($C102-U$1&lt;År1,0,T101*(1-VLOOKUP($A102,[1]Hugst!$R$5:$W$9,MATCH(ROUNDUP((U$1)/10,0)*10,[1]Hugst!$R$4:$W$4,0))))</f>
        <v>0</v>
      </c>
      <c r="V102" s="169">
        <f>IF($C102-V$1&lt;År1,0,U101*(1-VLOOKUP($A102,[1]Hugst!$R$5:$W$9,MATCH(ROUNDUP((V$1)/10,0)*10,[1]Hugst!$R$4:$W$4,0))))</f>
        <v>0</v>
      </c>
      <c r="W102" s="169">
        <f>IF($C102-W$1&lt;År1,0,V101*(1-VLOOKUP($A102,[1]Hugst!$R$5:$W$9,MATCH(ROUNDUP((W$1)/10,0)*10,[1]Hugst!$R$4:$W$4,0))))</f>
        <v>0</v>
      </c>
      <c r="X102" s="169">
        <f>IF($C102-X$1&lt;År1,0,W101*(1-VLOOKUP($A102,[1]Hugst!$R$5:$W$9,MATCH(ROUNDUP((X$1)/10,0)*10,[1]Hugst!$R$4:$W$4,0))))</f>
        <v>0</v>
      </c>
      <c r="Y102" s="169">
        <f>IF($C102-Y$1&lt;År1,0,X101*(1-VLOOKUP($A102,[1]Hugst!$R$5:$W$9,MATCH(ROUNDUP((Y$1)/10,0)*10,[1]Hugst!$R$4:$W$4,0))))</f>
        <v>0</v>
      </c>
      <c r="Z102" s="169">
        <f>IF($C102-Z$1&lt;År1,0,Y101*(1-VLOOKUP($A102,[1]Hugst!$R$5:$W$9,MATCH(ROUNDUP((Z$1)/10,0)*10,[1]Hugst!$R$4:$W$4,0))))</f>
        <v>0</v>
      </c>
      <c r="AA102" s="169">
        <f>IF($C102-AA$1&lt;År1,0,Z101*(1-VLOOKUP($A102,[1]Hugst!$R$5:$W$9,MATCH(ROUNDUP((AA$1)/10,0)*10,[1]Hugst!$R$4:$W$4,0))))</f>
        <v>0</v>
      </c>
      <c r="AB102" s="169">
        <f>IF($C102-AB$1&lt;År1,0,AA101*(1-VLOOKUP($A102,[1]Hugst!$R$5:$W$9,MATCH(ROUNDUP((AB$1)/10,0)*10,[1]Hugst!$R$4:$W$4,0))))</f>
        <v>0</v>
      </c>
      <c r="AC102" s="169">
        <f>IF($C102-AC$1&lt;År1,0,AB101*(1-VLOOKUP($A102,[1]Hugst!$R$5:$W$9,MATCH(ROUNDUP((AC$1)/10,0)*10,[1]Hugst!$R$4:$W$4,0))))</f>
        <v>0</v>
      </c>
      <c r="AD102" s="169">
        <f>IF($C102-AD$1&lt;År1,0,AC101*(1-VLOOKUP($A102,[1]Hugst!$R$5:$W$9,MATCH(ROUNDUP((AD$1)/10,0)*10,[1]Hugst!$R$4:$W$4,0))))</f>
        <v>0</v>
      </c>
      <c r="AE102" s="169">
        <f>IF($C102-AE$1&lt;År1,0,AD101*(1-VLOOKUP($A102,[1]Hugst!$R$5:$W$9,MATCH(ROUNDUP((AE$1)/10,0)*10,[1]Hugst!$R$4:$W$4,0))))</f>
        <v>0</v>
      </c>
      <c r="AF102" s="169">
        <f>IF($C102-AF$1&lt;År1,0,AE101*(1-VLOOKUP($A102,[1]Hugst!$R$5:$W$9,MATCH(ROUNDUP((AF$1)/10,0)*10,[1]Hugst!$R$4:$W$4,0))))</f>
        <v>0</v>
      </c>
      <c r="AG102" s="169">
        <f>IF($C102-AG$1&lt;År1,0,AF101*(1-VLOOKUP($A102,[1]Hugst!$R$5:$W$9,MATCH(ROUNDUP((AG$1)/10,0)*10,[1]Hugst!$R$4:$W$4,0))))</f>
        <v>0</v>
      </c>
      <c r="AH102" s="169">
        <f>IF($C102-AH$1&lt;År1,0,AG101*(1-VLOOKUP($A102,[1]Hugst!$R$5:$W$9,MATCH(ROUNDUP((AH$1)/10,0)*10,[1]Hugst!$R$4:$W$4,0))))</f>
        <v>0</v>
      </c>
      <c r="AI102" s="169">
        <f>IF($C102-AI$1&lt;År1,0,AH101*(1-VLOOKUP($A102,[1]Hugst!$R$5:$W$9,MATCH(ROUNDUP((AI$1)/10,0)*10,[1]Hugst!$R$4:$W$4,0))))</f>
        <v>0</v>
      </c>
      <c r="AJ102" s="169">
        <f>IF($C102-AJ$1&lt;År1,0,AI101*(1-VLOOKUP($A102,[1]Hugst!$R$5:$W$9,MATCH(ROUNDUP((AJ$1)/10,0)*10,[1]Hugst!$R$4:$W$4,0))))</f>
        <v>0</v>
      </c>
    </row>
    <row r="103" spans="1:36" s="169" customFormat="1" x14ac:dyDescent="0.25">
      <c r="A103" s="169" t="s">
        <v>177</v>
      </c>
      <c r="B103" s="169" t="s">
        <v>24</v>
      </c>
      <c r="C103" s="169">
        <v>2028</v>
      </c>
      <c r="D103" s="169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0</v>
      </c>
      <c r="E103" s="169">
        <f t="shared" ca="1" si="2"/>
        <v>0</v>
      </c>
      <c r="F103" s="169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9">
        <f ca="1">IF($C103-G$1&lt;År1,0,F102*(1-VLOOKUP($A103,[1]Hugst!$R$5:$W$9,MATCH(ROUNDUP((G$1)/10,0)*10,[1]Hugst!$R$4:$W$4,0))))</f>
        <v>0</v>
      </c>
      <c r="H103" s="169">
        <f ca="1">IF($C103-H$1&lt;År1,0,G102*(1-VLOOKUP($A103,[1]Hugst!$R$5:$W$9,MATCH(ROUNDUP((H$1)/10,0)*10,[1]Hugst!$R$4:$W$4,0))))</f>
        <v>0</v>
      </c>
      <c r="I103" s="169">
        <f ca="1">IF($C103-I$1&lt;År1,0,H102*(1-VLOOKUP($A103,[1]Hugst!$R$5:$W$9,MATCH(ROUNDUP((I$1)/10,0)*10,[1]Hugst!$R$4:$W$4,0))))</f>
        <v>0</v>
      </c>
      <c r="J103" s="169">
        <f ca="1">IF($C103-J$1&lt;År1,0,I102*(1-VLOOKUP($A103,[1]Hugst!$R$5:$W$9,MATCH(ROUNDUP((J$1)/10,0)*10,[1]Hugst!$R$4:$W$4,0))))</f>
        <v>0</v>
      </c>
      <c r="K103" s="169">
        <f ca="1">IF($C103-K$1&lt;År1,0,J102*(1-VLOOKUP($A103,[1]Hugst!$R$5:$W$9,MATCH(ROUNDUP((K$1)/10,0)*10,[1]Hugst!$R$4:$W$4,0))))</f>
        <v>0</v>
      </c>
      <c r="L103" s="169">
        <f ca="1">IF($C103-L$1&lt;År1,0,K102*(1-VLOOKUP($A103,[1]Hugst!$R$5:$W$9,MATCH(ROUNDUP((L$1)/10,0)*10,[1]Hugst!$R$4:$W$4,0))))</f>
        <v>0</v>
      </c>
      <c r="M103" s="169">
        <f ca="1">IF($C103-M$1&lt;År1,0,L102*(1-VLOOKUP($A103,[1]Hugst!$R$5:$W$9,MATCH(ROUNDUP((M$1)/10,0)*10,[1]Hugst!$R$4:$W$4,0))))</f>
        <v>0</v>
      </c>
      <c r="N103" s="169">
        <f ca="1">IF($C103-N$1&lt;År1,0,M102*(1-VLOOKUP($A103,[1]Hugst!$R$5:$W$9,MATCH(ROUNDUP((N$1)/10,0)*10,[1]Hugst!$R$4:$W$4,0))))</f>
        <v>0</v>
      </c>
      <c r="O103" s="169">
        <f>IF($C103-O$1&lt;År1,0,N102*(1-VLOOKUP($A103,[1]Hugst!$R$5:$W$9,MATCH(ROUNDUP((O$1)/10,0)*10,[1]Hugst!$R$4:$W$4,0))))</f>
        <v>0</v>
      </c>
      <c r="P103" s="169">
        <f>IF($C103-P$1&lt;År1,0,O102*(1-VLOOKUP($A103,[1]Hugst!$R$5:$W$9,MATCH(ROUNDUP((P$1)/10,0)*10,[1]Hugst!$R$4:$W$4,0))))</f>
        <v>0</v>
      </c>
      <c r="Q103" s="169">
        <f>IF($C103-Q$1&lt;År1,0,P102*(1-VLOOKUP($A103,[1]Hugst!$R$5:$W$9,MATCH(ROUNDUP((Q$1)/10,0)*10,[1]Hugst!$R$4:$W$4,0))))</f>
        <v>0</v>
      </c>
      <c r="R103" s="169">
        <f>IF($C103-R$1&lt;År1,0,Q102*(1-VLOOKUP($A103,[1]Hugst!$R$5:$W$9,MATCH(ROUNDUP((R$1)/10,0)*10,[1]Hugst!$R$4:$W$4,0))))</f>
        <v>0</v>
      </c>
      <c r="S103" s="169">
        <f>IF($C103-S$1&lt;År1,0,R102*(1-VLOOKUP($A103,[1]Hugst!$R$5:$W$9,MATCH(ROUNDUP((S$1)/10,0)*10,[1]Hugst!$R$4:$W$4,0))))</f>
        <v>0</v>
      </c>
      <c r="T103" s="169">
        <f>IF($C103-T$1&lt;År1,0,S102*(1-VLOOKUP($A103,[1]Hugst!$R$5:$W$9,MATCH(ROUNDUP((T$1)/10,0)*10,[1]Hugst!$R$4:$W$4,0))))</f>
        <v>0</v>
      </c>
      <c r="U103" s="169">
        <f>IF($C103-U$1&lt;År1,0,T102*(1-VLOOKUP($A103,[1]Hugst!$R$5:$W$9,MATCH(ROUNDUP((U$1)/10,0)*10,[1]Hugst!$R$4:$W$4,0))))</f>
        <v>0</v>
      </c>
      <c r="V103" s="169">
        <f>IF($C103-V$1&lt;År1,0,U102*(1-VLOOKUP($A103,[1]Hugst!$R$5:$W$9,MATCH(ROUNDUP((V$1)/10,0)*10,[1]Hugst!$R$4:$W$4,0))))</f>
        <v>0</v>
      </c>
      <c r="W103" s="169">
        <f>IF($C103-W$1&lt;År1,0,V102*(1-VLOOKUP($A103,[1]Hugst!$R$5:$W$9,MATCH(ROUNDUP((W$1)/10,0)*10,[1]Hugst!$R$4:$W$4,0))))</f>
        <v>0</v>
      </c>
      <c r="X103" s="169">
        <f>IF($C103-X$1&lt;År1,0,W102*(1-VLOOKUP($A103,[1]Hugst!$R$5:$W$9,MATCH(ROUNDUP((X$1)/10,0)*10,[1]Hugst!$R$4:$W$4,0))))</f>
        <v>0</v>
      </c>
      <c r="Y103" s="169">
        <f>IF($C103-Y$1&lt;År1,0,X102*(1-VLOOKUP($A103,[1]Hugst!$R$5:$W$9,MATCH(ROUNDUP((Y$1)/10,0)*10,[1]Hugst!$R$4:$W$4,0))))</f>
        <v>0</v>
      </c>
      <c r="Z103" s="169">
        <f>IF($C103-Z$1&lt;År1,0,Y102*(1-VLOOKUP($A103,[1]Hugst!$R$5:$W$9,MATCH(ROUNDUP((Z$1)/10,0)*10,[1]Hugst!$R$4:$W$4,0))))</f>
        <v>0</v>
      </c>
      <c r="AA103" s="169">
        <f>IF($C103-AA$1&lt;År1,0,Z102*(1-VLOOKUP($A103,[1]Hugst!$R$5:$W$9,MATCH(ROUNDUP((AA$1)/10,0)*10,[1]Hugst!$R$4:$W$4,0))))</f>
        <v>0</v>
      </c>
      <c r="AB103" s="169">
        <f>IF($C103-AB$1&lt;År1,0,AA102*(1-VLOOKUP($A103,[1]Hugst!$R$5:$W$9,MATCH(ROUNDUP((AB$1)/10,0)*10,[1]Hugst!$R$4:$W$4,0))))</f>
        <v>0</v>
      </c>
      <c r="AC103" s="169">
        <f>IF($C103-AC$1&lt;År1,0,AB102*(1-VLOOKUP($A103,[1]Hugst!$R$5:$W$9,MATCH(ROUNDUP((AC$1)/10,0)*10,[1]Hugst!$R$4:$W$4,0))))</f>
        <v>0</v>
      </c>
      <c r="AD103" s="169">
        <f>IF($C103-AD$1&lt;År1,0,AC102*(1-VLOOKUP($A103,[1]Hugst!$R$5:$W$9,MATCH(ROUNDUP((AD$1)/10,0)*10,[1]Hugst!$R$4:$W$4,0))))</f>
        <v>0</v>
      </c>
      <c r="AE103" s="169">
        <f>IF($C103-AE$1&lt;År1,0,AD102*(1-VLOOKUP($A103,[1]Hugst!$R$5:$W$9,MATCH(ROUNDUP((AE$1)/10,0)*10,[1]Hugst!$R$4:$W$4,0))))</f>
        <v>0</v>
      </c>
      <c r="AF103" s="169">
        <f>IF($C103-AF$1&lt;År1,0,AE102*(1-VLOOKUP($A103,[1]Hugst!$R$5:$W$9,MATCH(ROUNDUP((AF$1)/10,0)*10,[1]Hugst!$R$4:$W$4,0))))</f>
        <v>0</v>
      </c>
      <c r="AG103" s="169">
        <f>IF($C103-AG$1&lt;År1,0,AF102*(1-VLOOKUP($A103,[1]Hugst!$R$5:$W$9,MATCH(ROUNDUP((AG$1)/10,0)*10,[1]Hugst!$R$4:$W$4,0))))</f>
        <v>0</v>
      </c>
      <c r="AH103" s="169">
        <f>IF($C103-AH$1&lt;År1,0,AG102*(1-VLOOKUP($A103,[1]Hugst!$R$5:$W$9,MATCH(ROUNDUP((AH$1)/10,0)*10,[1]Hugst!$R$4:$W$4,0))))</f>
        <v>0</v>
      </c>
      <c r="AI103" s="169">
        <f>IF($C103-AI$1&lt;År1,0,AH102*(1-VLOOKUP($A103,[1]Hugst!$R$5:$W$9,MATCH(ROUNDUP((AI$1)/10,0)*10,[1]Hugst!$R$4:$W$4,0))))</f>
        <v>0</v>
      </c>
      <c r="AJ103" s="169">
        <f>IF($C103-AJ$1&lt;År1,0,AI102*(1-VLOOKUP($A103,[1]Hugst!$R$5:$W$9,MATCH(ROUNDUP((AJ$1)/10,0)*10,[1]Hugst!$R$4:$W$4,0))))</f>
        <v>0</v>
      </c>
    </row>
    <row r="104" spans="1:36" s="169" customFormat="1" x14ac:dyDescent="0.25">
      <c r="A104" s="169" t="s">
        <v>177</v>
      </c>
      <c r="B104" s="169" t="s">
        <v>24</v>
      </c>
      <c r="C104" s="169">
        <v>2029</v>
      </c>
      <c r="D104" s="169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0</v>
      </c>
      <c r="E104" s="169">
        <f ca="1">IF(C104=2020,SUM(G104:AJ104),SUM(F103:AJ103)-SUM(G104:AJ104))</f>
        <v>0</v>
      </c>
      <c r="F104" s="169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9">
        <f ca="1">IF($C104-G$1&lt;År1,0,F103*(1-VLOOKUP($A104,[1]Hugst!$R$5:$W$9,MATCH(ROUNDUP((G$1)/10,0)*10,[1]Hugst!$R$4:$W$4,0))))</f>
        <v>0</v>
      </c>
      <c r="H104" s="169">
        <f ca="1">IF($C104-H$1&lt;År1,0,G103*(1-VLOOKUP($A104,[1]Hugst!$R$5:$W$9,MATCH(ROUNDUP((H$1)/10,0)*10,[1]Hugst!$R$4:$W$4,0))))</f>
        <v>0</v>
      </c>
      <c r="I104" s="169">
        <f ca="1">IF($C104-I$1&lt;År1,0,H103*(1-VLOOKUP($A104,[1]Hugst!$R$5:$W$9,MATCH(ROUNDUP((I$1)/10,0)*10,[1]Hugst!$R$4:$W$4,0))))</f>
        <v>0</v>
      </c>
      <c r="J104" s="169">
        <f ca="1">IF($C104-J$1&lt;År1,0,I103*(1-VLOOKUP($A104,[1]Hugst!$R$5:$W$9,MATCH(ROUNDUP((J$1)/10,0)*10,[1]Hugst!$R$4:$W$4,0))))</f>
        <v>0</v>
      </c>
      <c r="K104" s="169">
        <f ca="1">IF($C104-K$1&lt;År1,0,J103*(1-VLOOKUP($A104,[1]Hugst!$R$5:$W$9,MATCH(ROUNDUP((K$1)/10,0)*10,[1]Hugst!$R$4:$W$4,0))))</f>
        <v>0</v>
      </c>
      <c r="L104" s="169">
        <f ca="1">IF($C104-L$1&lt;År1,0,K103*(1-VLOOKUP($A104,[1]Hugst!$R$5:$W$9,MATCH(ROUNDUP((L$1)/10,0)*10,[1]Hugst!$R$4:$W$4,0))))</f>
        <v>0</v>
      </c>
      <c r="M104" s="169">
        <f ca="1">IF($C104-M$1&lt;År1,0,L103*(1-VLOOKUP($A104,[1]Hugst!$R$5:$W$9,MATCH(ROUNDUP((M$1)/10,0)*10,[1]Hugst!$R$4:$W$4,0))))</f>
        <v>0</v>
      </c>
      <c r="N104" s="169">
        <f ca="1">IF($C104-N$1&lt;År1,0,M103*(1-VLOOKUP($A104,[1]Hugst!$R$5:$W$9,MATCH(ROUNDUP((N$1)/10,0)*10,[1]Hugst!$R$4:$W$4,0))))</f>
        <v>0</v>
      </c>
      <c r="O104" s="169">
        <f ca="1">IF($C104-O$1&lt;År1,0,N103*(1-VLOOKUP($A104,[1]Hugst!$R$5:$W$9,MATCH(ROUNDUP((O$1)/10,0)*10,[1]Hugst!$R$4:$W$4,0))))</f>
        <v>0</v>
      </c>
      <c r="P104" s="169">
        <f>IF($C104-P$1&lt;År1,0,O103*(1-VLOOKUP($A104,[1]Hugst!$R$5:$W$9,MATCH(ROUNDUP((P$1)/10,0)*10,[1]Hugst!$R$4:$W$4,0))))</f>
        <v>0</v>
      </c>
      <c r="Q104" s="169">
        <f>IF($C104-Q$1&lt;År1,0,P103*(1-VLOOKUP($A104,[1]Hugst!$R$5:$W$9,MATCH(ROUNDUP((Q$1)/10,0)*10,[1]Hugst!$R$4:$W$4,0))))</f>
        <v>0</v>
      </c>
      <c r="R104" s="169">
        <f>IF($C104-R$1&lt;År1,0,Q103*(1-VLOOKUP($A104,[1]Hugst!$R$5:$W$9,MATCH(ROUNDUP((R$1)/10,0)*10,[1]Hugst!$R$4:$W$4,0))))</f>
        <v>0</v>
      </c>
      <c r="S104" s="169">
        <f>IF($C104-S$1&lt;År1,0,R103*(1-VLOOKUP($A104,[1]Hugst!$R$5:$W$9,MATCH(ROUNDUP((S$1)/10,0)*10,[1]Hugst!$R$4:$W$4,0))))</f>
        <v>0</v>
      </c>
      <c r="T104" s="169">
        <f>IF($C104-T$1&lt;År1,0,S103*(1-VLOOKUP($A104,[1]Hugst!$R$5:$W$9,MATCH(ROUNDUP((T$1)/10,0)*10,[1]Hugst!$R$4:$W$4,0))))</f>
        <v>0</v>
      </c>
      <c r="U104" s="169">
        <f>IF($C104-U$1&lt;År1,0,T103*(1-VLOOKUP($A104,[1]Hugst!$R$5:$W$9,MATCH(ROUNDUP((U$1)/10,0)*10,[1]Hugst!$R$4:$W$4,0))))</f>
        <v>0</v>
      </c>
      <c r="V104" s="169">
        <f>IF($C104-V$1&lt;År1,0,U103*(1-VLOOKUP($A104,[1]Hugst!$R$5:$W$9,MATCH(ROUNDUP((V$1)/10,0)*10,[1]Hugst!$R$4:$W$4,0))))</f>
        <v>0</v>
      </c>
      <c r="W104" s="169">
        <f>IF($C104-W$1&lt;År1,0,V103*(1-VLOOKUP($A104,[1]Hugst!$R$5:$W$9,MATCH(ROUNDUP((W$1)/10,0)*10,[1]Hugst!$R$4:$W$4,0))))</f>
        <v>0</v>
      </c>
      <c r="X104" s="169">
        <f>IF($C104-X$1&lt;År1,0,W103*(1-VLOOKUP($A104,[1]Hugst!$R$5:$W$9,MATCH(ROUNDUP((X$1)/10,0)*10,[1]Hugst!$R$4:$W$4,0))))</f>
        <v>0</v>
      </c>
      <c r="Y104" s="169">
        <f>IF($C104-Y$1&lt;År1,0,X103*(1-VLOOKUP($A104,[1]Hugst!$R$5:$W$9,MATCH(ROUNDUP((Y$1)/10,0)*10,[1]Hugst!$R$4:$W$4,0))))</f>
        <v>0</v>
      </c>
      <c r="Z104" s="169">
        <f>IF($C104-Z$1&lt;År1,0,Y103*(1-VLOOKUP($A104,[1]Hugst!$R$5:$W$9,MATCH(ROUNDUP((Z$1)/10,0)*10,[1]Hugst!$R$4:$W$4,0))))</f>
        <v>0</v>
      </c>
      <c r="AA104" s="169">
        <f>IF($C104-AA$1&lt;År1,0,Z103*(1-VLOOKUP($A104,[1]Hugst!$R$5:$W$9,MATCH(ROUNDUP((AA$1)/10,0)*10,[1]Hugst!$R$4:$W$4,0))))</f>
        <v>0</v>
      </c>
      <c r="AB104" s="169">
        <f>IF($C104-AB$1&lt;År1,0,AA103*(1-VLOOKUP($A104,[1]Hugst!$R$5:$W$9,MATCH(ROUNDUP((AB$1)/10,0)*10,[1]Hugst!$R$4:$W$4,0))))</f>
        <v>0</v>
      </c>
      <c r="AC104" s="169">
        <f>IF($C104-AC$1&lt;År1,0,AB103*(1-VLOOKUP($A104,[1]Hugst!$R$5:$W$9,MATCH(ROUNDUP((AC$1)/10,0)*10,[1]Hugst!$R$4:$W$4,0))))</f>
        <v>0</v>
      </c>
      <c r="AD104" s="169">
        <f>IF($C104-AD$1&lt;År1,0,AC103*(1-VLOOKUP($A104,[1]Hugst!$R$5:$W$9,MATCH(ROUNDUP((AD$1)/10,0)*10,[1]Hugst!$R$4:$W$4,0))))</f>
        <v>0</v>
      </c>
      <c r="AE104" s="169">
        <f>IF($C104-AE$1&lt;År1,0,AD103*(1-VLOOKUP($A104,[1]Hugst!$R$5:$W$9,MATCH(ROUNDUP((AE$1)/10,0)*10,[1]Hugst!$R$4:$W$4,0))))</f>
        <v>0</v>
      </c>
      <c r="AF104" s="169">
        <f>IF($C104-AF$1&lt;År1,0,AE103*(1-VLOOKUP($A104,[1]Hugst!$R$5:$W$9,MATCH(ROUNDUP((AF$1)/10,0)*10,[1]Hugst!$R$4:$W$4,0))))</f>
        <v>0</v>
      </c>
      <c r="AG104" s="169">
        <f>IF($C104-AG$1&lt;År1,0,AF103*(1-VLOOKUP($A104,[1]Hugst!$R$5:$W$9,MATCH(ROUNDUP((AG$1)/10,0)*10,[1]Hugst!$R$4:$W$4,0))))</f>
        <v>0</v>
      </c>
      <c r="AH104" s="169">
        <f>IF($C104-AH$1&lt;År1,0,AG103*(1-VLOOKUP($A104,[1]Hugst!$R$5:$W$9,MATCH(ROUNDUP((AH$1)/10,0)*10,[1]Hugst!$R$4:$W$4,0))))</f>
        <v>0</v>
      </c>
      <c r="AI104" s="169">
        <f>IF($C104-AI$1&lt;År1,0,AH103*(1-VLOOKUP($A104,[1]Hugst!$R$5:$W$9,MATCH(ROUNDUP((AI$1)/10,0)*10,[1]Hugst!$R$4:$W$4,0))))</f>
        <v>0</v>
      </c>
      <c r="AJ104" s="169">
        <f>IF($C104-AJ$1&lt;År1,0,AI103*(1-VLOOKUP($A104,[1]Hugst!$R$5:$W$9,MATCH(ROUNDUP((AJ$1)/10,0)*10,[1]Hugst!$R$4:$W$4,0))))</f>
        <v>0</v>
      </c>
    </row>
    <row r="105" spans="1:36" s="169" customFormat="1" x14ac:dyDescent="0.25">
      <c r="A105" s="169" t="s">
        <v>177</v>
      </c>
      <c r="B105" s="169" t="s">
        <v>24</v>
      </c>
      <c r="C105" s="169">
        <v>2030</v>
      </c>
      <c r="D105" s="169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0</v>
      </c>
      <c r="E105" s="169">
        <f t="shared" ca="1" si="2"/>
        <v>0</v>
      </c>
      <c r="F105" s="169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9">
        <f ca="1">IF($C105-G$1&lt;År1,0,F104*(1-VLOOKUP($A105,[1]Hugst!$R$5:$W$9,MATCH(ROUNDUP((G$1)/10,0)*10,[1]Hugst!$R$4:$W$4,0))))</f>
        <v>0</v>
      </c>
      <c r="H105" s="169">
        <f ca="1">IF($C105-H$1&lt;År1,0,G104*(1-VLOOKUP($A105,[1]Hugst!$R$5:$W$9,MATCH(ROUNDUP((H$1)/10,0)*10,[1]Hugst!$R$4:$W$4,0))))</f>
        <v>0</v>
      </c>
      <c r="I105" s="169">
        <f ca="1">IF($C105-I$1&lt;År1,0,H104*(1-VLOOKUP($A105,[1]Hugst!$R$5:$W$9,MATCH(ROUNDUP((I$1)/10,0)*10,[1]Hugst!$R$4:$W$4,0))))</f>
        <v>0</v>
      </c>
      <c r="J105" s="169">
        <f ca="1">IF($C105-J$1&lt;År1,0,I104*(1-VLOOKUP($A105,[1]Hugst!$R$5:$W$9,MATCH(ROUNDUP((J$1)/10,0)*10,[1]Hugst!$R$4:$W$4,0))))</f>
        <v>0</v>
      </c>
      <c r="K105" s="169">
        <f ca="1">IF($C105-K$1&lt;År1,0,J104*(1-VLOOKUP($A105,[1]Hugst!$R$5:$W$9,MATCH(ROUNDUP((K$1)/10,0)*10,[1]Hugst!$R$4:$W$4,0))))</f>
        <v>0</v>
      </c>
      <c r="L105" s="169">
        <f ca="1">IF($C105-L$1&lt;År1,0,K104*(1-VLOOKUP($A105,[1]Hugst!$R$5:$W$9,MATCH(ROUNDUP((L$1)/10,0)*10,[1]Hugst!$R$4:$W$4,0))))</f>
        <v>0</v>
      </c>
      <c r="M105" s="169">
        <f ca="1">IF($C105-M$1&lt;År1,0,L104*(1-VLOOKUP($A105,[1]Hugst!$R$5:$W$9,MATCH(ROUNDUP((M$1)/10,0)*10,[1]Hugst!$R$4:$W$4,0))))</f>
        <v>0</v>
      </c>
      <c r="N105" s="169">
        <f ca="1">IF($C105-N$1&lt;År1,0,M104*(1-VLOOKUP($A105,[1]Hugst!$R$5:$W$9,MATCH(ROUNDUP((N$1)/10,0)*10,[1]Hugst!$R$4:$W$4,0))))</f>
        <v>0</v>
      </c>
      <c r="O105" s="169">
        <f ca="1">IF($C105-O$1&lt;År1,0,N104*(1-VLOOKUP($A105,[1]Hugst!$R$5:$W$9,MATCH(ROUNDUP((O$1)/10,0)*10,[1]Hugst!$R$4:$W$4,0))))</f>
        <v>0</v>
      </c>
      <c r="P105" s="169">
        <f ca="1">IF($C105-P$1&lt;År1,0,O104*(1-VLOOKUP($A105,[1]Hugst!$R$5:$W$9,MATCH(ROUNDUP((P$1)/10,0)*10,[1]Hugst!$R$4:$W$4,0))))</f>
        <v>0</v>
      </c>
      <c r="Q105" s="169">
        <f>IF($C105-Q$1&lt;År1,0,P104*(1-VLOOKUP($A105,[1]Hugst!$R$5:$W$9,MATCH(ROUNDUP((Q$1)/10,0)*10,[1]Hugst!$R$4:$W$4,0))))</f>
        <v>0</v>
      </c>
      <c r="R105" s="169">
        <f>IF($C105-R$1&lt;År1,0,Q104*(1-VLOOKUP($A105,[1]Hugst!$R$5:$W$9,MATCH(ROUNDUP((R$1)/10,0)*10,[1]Hugst!$R$4:$W$4,0))))</f>
        <v>0</v>
      </c>
      <c r="S105" s="169">
        <f>IF($C105-S$1&lt;År1,0,R104*(1-VLOOKUP($A105,[1]Hugst!$R$5:$W$9,MATCH(ROUNDUP((S$1)/10,0)*10,[1]Hugst!$R$4:$W$4,0))))</f>
        <v>0</v>
      </c>
      <c r="T105" s="169">
        <f>IF($C105-T$1&lt;År1,0,S104*(1-VLOOKUP($A105,[1]Hugst!$R$5:$W$9,MATCH(ROUNDUP((T$1)/10,0)*10,[1]Hugst!$R$4:$W$4,0))))</f>
        <v>0</v>
      </c>
      <c r="U105" s="169">
        <f>IF($C105-U$1&lt;År1,0,T104*(1-VLOOKUP($A105,[1]Hugst!$R$5:$W$9,MATCH(ROUNDUP((U$1)/10,0)*10,[1]Hugst!$R$4:$W$4,0))))</f>
        <v>0</v>
      </c>
      <c r="V105" s="169">
        <f>IF($C105-V$1&lt;År1,0,U104*(1-VLOOKUP($A105,[1]Hugst!$R$5:$W$9,MATCH(ROUNDUP((V$1)/10,0)*10,[1]Hugst!$R$4:$W$4,0))))</f>
        <v>0</v>
      </c>
      <c r="W105" s="169">
        <f>IF($C105-W$1&lt;År1,0,V104*(1-VLOOKUP($A105,[1]Hugst!$R$5:$W$9,MATCH(ROUNDUP((W$1)/10,0)*10,[1]Hugst!$R$4:$W$4,0))))</f>
        <v>0</v>
      </c>
      <c r="X105" s="169">
        <f>IF($C105-X$1&lt;År1,0,W104*(1-VLOOKUP($A105,[1]Hugst!$R$5:$W$9,MATCH(ROUNDUP((X$1)/10,0)*10,[1]Hugst!$R$4:$W$4,0))))</f>
        <v>0</v>
      </c>
      <c r="Y105" s="169">
        <f>IF($C105-Y$1&lt;År1,0,X104*(1-VLOOKUP($A105,[1]Hugst!$R$5:$W$9,MATCH(ROUNDUP((Y$1)/10,0)*10,[1]Hugst!$R$4:$W$4,0))))</f>
        <v>0</v>
      </c>
      <c r="Z105" s="169">
        <f>IF($C105-Z$1&lt;År1,0,Y104*(1-VLOOKUP($A105,[1]Hugst!$R$5:$W$9,MATCH(ROUNDUP((Z$1)/10,0)*10,[1]Hugst!$R$4:$W$4,0))))</f>
        <v>0</v>
      </c>
      <c r="AA105" s="169">
        <f>IF($C105-AA$1&lt;År1,0,Z104*(1-VLOOKUP($A105,[1]Hugst!$R$5:$W$9,MATCH(ROUNDUP((AA$1)/10,0)*10,[1]Hugst!$R$4:$W$4,0))))</f>
        <v>0</v>
      </c>
      <c r="AB105" s="169">
        <f>IF($C105-AB$1&lt;År1,0,AA104*(1-VLOOKUP($A105,[1]Hugst!$R$5:$W$9,MATCH(ROUNDUP((AB$1)/10,0)*10,[1]Hugst!$R$4:$W$4,0))))</f>
        <v>0</v>
      </c>
      <c r="AC105" s="169">
        <f>IF($C105-AC$1&lt;År1,0,AB104*(1-VLOOKUP($A105,[1]Hugst!$R$5:$W$9,MATCH(ROUNDUP((AC$1)/10,0)*10,[1]Hugst!$R$4:$W$4,0))))</f>
        <v>0</v>
      </c>
      <c r="AD105" s="169">
        <f>IF($C105-AD$1&lt;År1,0,AC104*(1-VLOOKUP($A105,[1]Hugst!$R$5:$W$9,MATCH(ROUNDUP((AD$1)/10,0)*10,[1]Hugst!$R$4:$W$4,0))))</f>
        <v>0</v>
      </c>
      <c r="AE105" s="169">
        <f>IF($C105-AE$1&lt;År1,0,AD104*(1-VLOOKUP($A105,[1]Hugst!$R$5:$W$9,MATCH(ROUNDUP((AE$1)/10,0)*10,[1]Hugst!$R$4:$W$4,0))))</f>
        <v>0</v>
      </c>
      <c r="AF105" s="169">
        <f>IF($C105-AF$1&lt;År1,0,AE104*(1-VLOOKUP($A105,[1]Hugst!$R$5:$W$9,MATCH(ROUNDUP((AF$1)/10,0)*10,[1]Hugst!$R$4:$W$4,0))))</f>
        <v>0</v>
      </c>
      <c r="AG105" s="169">
        <f>IF($C105-AG$1&lt;År1,0,AF104*(1-VLOOKUP($A105,[1]Hugst!$R$5:$W$9,MATCH(ROUNDUP((AG$1)/10,0)*10,[1]Hugst!$R$4:$W$4,0))))</f>
        <v>0</v>
      </c>
      <c r="AH105" s="169">
        <f>IF($C105-AH$1&lt;År1,0,AG104*(1-VLOOKUP($A105,[1]Hugst!$R$5:$W$9,MATCH(ROUNDUP((AH$1)/10,0)*10,[1]Hugst!$R$4:$W$4,0))))</f>
        <v>0</v>
      </c>
      <c r="AI105" s="169">
        <f>IF($C105-AI$1&lt;År1,0,AH104*(1-VLOOKUP($A105,[1]Hugst!$R$5:$W$9,MATCH(ROUNDUP((AI$1)/10,0)*10,[1]Hugst!$R$4:$W$4,0))))</f>
        <v>0</v>
      </c>
      <c r="AJ105" s="169">
        <f>IF($C105-AJ$1&lt;År1,0,AI104*(1-VLOOKUP($A105,[1]Hugst!$R$5:$W$9,MATCH(ROUNDUP((AJ$1)/10,0)*10,[1]Hugst!$R$4:$W$4,0))))</f>
        <v>0</v>
      </c>
    </row>
    <row r="106" spans="1:36" s="169" customFormat="1" x14ac:dyDescent="0.25">
      <c r="A106" s="169" t="s">
        <v>177</v>
      </c>
      <c r="B106" s="169" t="s">
        <v>24</v>
      </c>
      <c r="C106" s="169">
        <v>2031</v>
      </c>
      <c r="D106" s="169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0</v>
      </c>
      <c r="E106" s="169">
        <f t="shared" ca="1" si="2"/>
        <v>0</v>
      </c>
      <c r="F106" s="169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9">
        <f ca="1">IF($C106-G$1&lt;År1,0,F105*(1-VLOOKUP($A106,[1]Hugst!$R$5:$W$9,MATCH(ROUNDUP((G$1)/10,0)*10,[1]Hugst!$R$4:$W$4,0))))</f>
        <v>0</v>
      </c>
      <c r="H106" s="169">
        <f ca="1">IF($C106-H$1&lt;År1,0,G105*(1-VLOOKUP($A106,[1]Hugst!$R$5:$W$9,MATCH(ROUNDUP((H$1)/10,0)*10,[1]Hugst!$R$4:$W$4,0))))</f>
        <v>0</v>
      </c>
      <c r="I106" s="169">
        <f ca="1">IF($C106-I$1&lt;År1,0,H105*(1-VLOOKUP($A106,[1]Hugst!$R$5:$W$9,MATCH(ROUNDUP((I$1)/10,0)*10,[1]Hugst!$R$4:$W$4,0))))</f>
        <v>0</v>
      </c>
      <c r="J106" s="169">
        <f ca="1">IF($C106-J$1&lt;År1,0,I105*(1-VLOOKUP($A106,[1]Hugst!$R$5:$W$9,MATCH(ROUNDUP((J$1)/10,0)*10,[1]Hugst!$R$4:$W$4,0))))</f>
        <v>0</v>
      </c>
      <c r="K106" s="169">
        <f ca="1">IF($C106-K$1&lt;År1,0,J105*(1-VLOOKUP($A106,[1]Hugst!$R$5:$W$9,MATCH(ROUNDUP((K$1)/10,0)*10,[1]Hugst!$R$4:$W$4,0))))</f>
        <v>0</v>
      </c>
      <c r="L106" s="169">
        <f ca="1">IF($C106-L$1&lt;År1,0,K105*(1-VLOOKUP($A106,[1]Hugst!$R$5:$W$9,MATCH(ROUNDUP((L$1)/10,0)*10,[1]Hugst!$R$4:$W$4,0))))</f>
        <v>0</v>
      </c>
      <c r="M106" s="169">
        <f ca="1">IF($C106-M$1&lt;År1,0,L105*(1-VLOOKUP($A106,[1]Hugst!$R$5:$W$9,MATCH(ROUNDUP((M$1)/10,0)*10,[1]Hugst!$R$4:$W$4,0))))</f>
        <v>0</v>
      </c>
      <c r="N106" s="169">
        <f ca="1">IF($C106-N$1&lt;År1,0,M105*(1-VLOOKUP($A106,[1]Hugst!$R$5:$W$9,MATCH(ROUNDUP((N$1)/10,0)*10,[1]Hugst!$R$4:$W$4,0))))</f>
        <v>0</v>
      </c>
      <c r="O106" s="169">
        <f ca="1">IF($C106-O$1&lt;År1,0,N105*(1-VLOOKUP($A106,[1]Hugst!$R$5:$W$9,MATCH(ROUNDUP((O$1)/10,0)*10,[1]Hugst!$R$4:$W$4,0))))</f>
        <v>0</v>
      </c>
      <c r="P106" s="169">
        <f ca="1">IF($C106-P$1&lt;År1,0,O105*(1-VLOOKUP($A106,[1]Hugst!$R$5:$W$9,MATCH(ROUNDUP((P$1)/10,0)*10,[1]Hugst!$R$4:$W$4,0))))</f>
        <v>0</v>
      </c>
      <c r="Q106" s="169">
        <f ca="1">IF($C106-Q$1&lt;År1,0,P105*(1-VLOOKUP($A106,[1]Hugst!$R$5:$W$9,MATCH(ROUNDUP((Q$1)/10,0)*10,[1]Hugst!$R$4:$W$4,0))))</f>
        <v>0</v>
      </c>
      <c r="R106" s="169">
        <f>IF($C106-R$1&lt;År1,0,Q105*(1-VLOOKUP($A106,[1]Hugst!$R$5:$W$9,MATCH(ROUNDUP((R$1)/10,0)*10,[1]Hugst!$R$4:$W$4,0))))</f>
        <v>0</v>
      </c>
      <c r="S106" s="169">
        <f>IF($C106-S$1&lt;År1,0,R105*(1-VLOOKUP($A106,[1]Hugst!$R$5:$W$9,MATCH(ROUNDUP((S$1)/10,0)*10,[1]Hugst!$R$4:$W$4,0))))</f>
        <v>0</v>
      </c>
      <c r="T106" s="169">
        <f>IF($C106-T$1&lt;År1,0,S105*(1-VLOOKUP($A106,[1]Hugst!$R$5:$W$9,MATCH(ROUNDUP((T$1)/10,0)*10,[1]Hugst!$R$4:$W$4,0))))</f>
        <v>0</v>
      </c>
      <c r="U106" s="169">
        <f>IF($C106-U$1&lt;År1,0,T105*(1-VLOOKUP($A106,[1]Hugst!$R$5:$W$9,MATCH(ROUNDUP((U$1)/10,0)*10,[1]Hugst!$R$4:$W$4,0))))</f>
        <v>0</v>
      </c>
      <c r="V106" s="169">
        <f>IF($C106-V$1&lt;År1,0,U105*(1-VLOOKUP($A106,[1]Hugst!$R$5:$W$9,MATCH(ROUNDUP((V$1)/10,0)*10,[1]Hugst!$R$4:$W$4,0))))</f>
        <v>0</v>
      </c>
      <c r="W106" s="169">
        <f>IF($C106-W$1&lt;År1,0,V105*(1-VLOOKUP($A106,[1]Hugst!$R$5:$W$9,MATCH(ROUNDUP((W$1)/10,0)*10,[1]Hugst!$R$4:$W$4,0))))</f>
        <v>0</v>
      </c>
      <c r="X106" s="169">
        <f>IF($C106-X$1&lt;År1,0,W105*(1-VLOOKUP($A106,[1]Hugst!$R$5:$W$9,MATCH(ROUNDUP((X$1)/10,0)*10,[1]Hugst!$R$4:$W$4,0))))</f>
        <v>0</v>
      </c>
      <c r="Y106" s="169">
        <f>IF($C106-Y$1&lt;År1,0,X105*(1-VLOOKUP($A106,[1]Hugst!$R$5:$W$9,MATCH(ROUNDUP((Y$1)/10,0)*10,[1]Hugst!$R$4:$W$4,0))))</f>
        <v>0</v>
      </c>
      <c r="Z106" s="169">
        <f>IF($C106-Z$1&lt;År1,0,Y105*(1-VLOOKUP($A106,[1]Hugst!$R$5:$W$9,MATCH(ROUNDUP((Z$1)/10,0)*10,[1]Hugst!$R$4:$W$4,0))))</f>
        <v>0</v>
      </c>
      <c r="AA106" s="169">
        <f>IF($C106-AA$1&lt;År1,0,Z105*(1-VLOOKUP($A106,[1]Hugst!$R$5:$W$9,MATCH(ROUNDUP((AA$1)/10,0)*10,[1]Hugst!$R$4:$W$4,0))))</f>
        <v>0</v>
      </c>
      <c r="AB106" s="169">
        <f>IF($C106-AB$1&lt;År1,0,AA105*(1-VLOOKUP($A106,[1]Hugst!$R$5:$W$9,MATCH(ROUNDUP((AB$1)/10,0)*10,[1]Hugst!$R$4:$W$4,0))))</f>
        <v>0</v>
      </c>
      <c r="AC106" s="169">
        <f>IF($C106-AC$1&lt;År1,0,AB105*(1-VLOOKUP($A106,[1]Hugst!$R$5:$W$9,MATCH(ROUNDUP((AC$1)/10,0)*10,[1]Hugst!$R$4:$W$4,0))))</f>
        <v>0</v>
      </c>
      <c r="AD106" s="169">
        <f>IF($C106-AD$1&lt;År1,0,AC105*(1-VLOOKUP($A106,[1]Hugst!$R$5:$W$9,MATCH(ROUNDUP((AD$1)/10,0)*10,[1]Hugst!$R$4:$W$4,0))))</f>
        <v>0</v>
      </c>
      <c r="AE106" s="169">
        <f>IF($C106-AE$1&lt;År1,0,AD105*(1-VLOOKUP($A106,[1]Hugst!$R$5:$W$9,MATCH(ROUNDUP((AE$1)/10,0)*10,[1]Hugst!$R$4:$W$4,0))))</f>
        <v>0</v>
      </c>
      <c r="AF106" s="169">
        <f>IF($C106-AF$1&lt;År1,0,AE105*(1-VLOOKUP($A106,[1]Hugst!$R$5:$W$9,MATCH(ROUNDUP((AF$1)/10,0)*10,[1]Hugst!$R$4:$W$4,0))))</f>
        <v>0</v>
      </c>
      <c r="AG106" s="169">
        <f>IF($C106-AG$1&lt;År1,0,AF105*(1-VLOOKUP($A106,[1]Hugst!$R$5:$W$9,MATCH(ROUNDUP((AG$1)/10,0)*10,[1]Hugst!$R$4:$W$4,0))))</f>
        <v>0</v>
      </c>
      <c r="AH106" s="169">
        <f>IF($C106-AH$1&lt;År1,0,AG105*(1-VLOOKUP($A106,[1]Hugst!$R$5:$W$9,MATCH(ROUNDUP((AH$1)/10,0)*10,[1]Hugst!$R$4:$W$4,0))))</f>
        <v>0</v>
      </c>
      <c r="AI106" s="169">
        <f>IF($C106-AI$1&lt;År1,0,AH105*(1-VLOOKUP($A106,[1]Hugst!$R$5:$W$9,MATCH(ROUNDUP((AI$1)/10,0)*10,[1]Hugst!$R$4:$W$4,0))))</f>
        <v>0</v>
      </c>
      <c r="AJ106" s="169">
        <f>IF($C106-AJ$1&lt;År1,0,AI105*(1-VLOOKUP($A106,[1]Hugst!$R$5:$W$9,MATCH(ROUNDUP((AJ$1)/10,0)*10,[1]Hugst!$R$4:$W$4,0))))</f>
        <v>0</v>
      </c>
    </row>
    <row r="107" spans="1:36" s="169" customFormat="1" x14ac:dyDescent="0.25">
      <c r="A107" s="169" t="s">
        <v>177</v>
      </c>
      <c r="B107" s="169" t="s">
        <v>24</v>
      </c>
      <c r="C107" s="169">
        <v>2032</v>
      </c>
      <c r="D107" s="169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0</v>
      </c>
      <c r="E107" s="169">
        <f t="shared" ca="1" si="2"/>
        <v>0</v>
      </c>
      <c r="F107" s="169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9">
        <f ca="1">IF($C107-G$1&lt;År1,0,F106*(1-VLOOKUP($A107,[1]Hugst!$R$5:$W$9,MATCH(ROUNDUP((G$1)/10,0)*10,[1]Hugst!$R$4:$W$4,0))))</f>
        <v>0</v>
      </c>
      <c r="H107" s="169">
        <f ca="1">IF($C107-H$1&lt;År1,0,G106*(1-VLOOKUP($A107,[1]Hugst!$R$5:$W$9,MATCH(ROUNDUP((H$1)/10,0)*10,[1]Hugst!$R$4:$W$4,0))))</f>
        <v>0</v>
      </c>
      <c r="I107" s="169">
        <f ca="1">IF($C107-I$1&lt;År1,0,H106*(1-VLOOKUP($A107,[1]Hugst!$R$5:$W$9,MATCH(ROUNDUP((I$1)/10,0)*10,[1]Hugst!$R$4:$W$4,0))))</f>
        <v>0</v>
      </c>
      <c r="J107" s="169">
        <f ca="1">IF($C107-J$1&lt;År1,0,I106*(1-VLOOKUP($A107,[1]Hugst!$R$5:$W$9,MATCH(ROUNDUP((J$1)/10,0)*10,[1]Hugst!$R$4:$W$4,0))))</f>
        <v>0</v>
      </c>
      <c r="K107" s="169">
        <f ca="1">IF($C107-K$1&lt;År1,0,J106*(1-VLOOKUP($A107,[1]Hugst!$R$5:$W$9,MATCH(ROUNDUP((K$1)/10,0)*10,[1]Hugst!$R$4:$W$4,0))))</f>
        <v>0</v>
      </c>
      <c r="L107" s="169">
        <f ca="1">IF($C107-L$1&lt;År1,0,K106*(1-VLOOKUP($A107,[1]Hugst!$R$5:$W$9,MATCH(ROUNDUP((L$1)/10,0)*10,[1]Hugst!$R$4:$W$4,0))))</f>
        <v>0</v>
      </c>
      <c r="M107" s="169">
        <f ca="1">IF($C107-M$1&lt;År1,0,L106*(1-VLOOKUP($A107,[1]Hugst!$R$5:$W$9,MATCH(ROUNDUP((M$1)/10,0)*10,[1]Hugst!$R$4:$W$4,0))))</f>
        <v>0</v>
      </c>
      <c r="N107" s="169">
        <f ca="1">IF($C107-N$1&lt;År1,0,M106*(1-VLOOKUP($A107,[1]Hugst!$R$5:$W$9,MATCH(ROUNDUP((N$1)/10,0)*10,[1]Hugst!$R$4:$W$4,0))))</f>
        <v>0</v>
      </c>
      <c r="O107" s="169">
        <f ca="1">IF($C107-O$1&lt;År1,0,N106*(1-VLOOKUP($A107,[1]Hugst!$R$5:$W$9,MATCH(ROUNDUP((O$1)/10,0)*10,[1]Hugst!$R$4:$W$4,0))))</f>
        <v>0</v>
      </c>
      <c r="P107" s="169">
        <f ca="1">IF($C107-P$1&lt;År1,0,O106*(1-VLOOKUP($A107,[1]Hugst!$R$5:$W$9,MATCH(ROUNDUP((P$1)/10,0)*10,[1]Hugst!$R$4:$W$4,0))))</f>
        <v>0</v>
      </c>
      <c r="Q107" s="169">
        <f ca="1">IF($C107-Q$1&lt;År1,0,P106*(1-VLOOKUP($A107,[1]Hugst!$R$5:$W$9,MATCH(ROUNDUP((Q$1)/10,0)*10,[1]Hugst!$R$4:$W$4,0))))</f>
        <v>0</v>
      </c>
      <c r="R107" s="169">
        <f ca="1">IF($C107-R$1&lt;År1,0,Q106*(1-VLOOKUP($A107,[1]Hugst!$R$5:$W$9,MATCH(ROUNDUP((R$1)/10,0)*10,[1]Hugst!$R$4:$W$4,0))))</f>
        <v>0</v>
      </c>
      <c r="S107" s="169">
        <f>IF($C107-S$1&lt;År1,0,R106*(1-VLOOKUP($A107,[1]Hugst!$R$5:$W$9,MATCH(ROUNDUP((S$1)/10,0)*10,[1]Hugst!$R$4:$W$4,0))))</f>
        <v>0</v>
      </c>
      <c r="T107" s="169">
        <f>IF($C107-T$1&lt;År1,0,S106*(1-VLOOKUP($A107,[1]Hugst!$R$5:$W$9,MATCH(ROUNDUP((T$1)/10,0)*10,[1]Hugst!$R$4:$W$4,0))))</f>
        <v>0</v>
      </c>
      <c r="U107" s="169">
        <f>IF($C107-U$1&lt;År1,0,T106*(1-VLOOKUP($A107,[1]Hugst!$R$5:$W$9,MATCH(ROUNDUP((U$1)/10,0)*10,[1]Hugst!$R$4:$W$4,0))))</f>
        <v>0</v>
      </c>
      <c r="V107" s="169">
        <f>IF($C107-V$1&lt;År1,0,U106*(1-VLOOKUP($A107,[1]Hugst!$R$5:$W$9,MATCH(ROUNDUP((V$1)/10,0)*10,[1]Hugst!$R$4:$W$4,0))))</f>
        <v>0</v>
      </c>
      <c r="W107" s="169">
        <f>IF($C107-W$1&lt;År1,0,V106*(1-VLOOKUP($A107,[1]Hugst!$R$5:$W$9,MATCH(ROUNDUP((W$1)/10,0)*10,[1]Hugst!$R$4:$W$4,0))))</f>
        <v>0</v>
      </c>
      <c r="X107" s="169">
        <f>IF($C107-X$1&lt;År1,0,W106*(1-VLOOKUP($A107,[1]Hugst!$R$5:$W$9,MATCH(ROUNDUP((X$1)/10,0)*10,[1]Hugst!$R$4:$W$4,0))))</f>
        <v>0</v>
      </c>
      <c r="Y107" s="169">
        <f>IF($C107-Y$1&lt;År1,0,X106*(1-VLOOKUP($A107,[1]Hugst!$R$5:$W$9,MATCH(ROUNDUP((Y$1)/10,0)*10,[1]Hugst!$R$4:$W$4,0))))</f>
        <v>0</v>
      </c>
      <c r="Z107" s="169">
        <f>IF($C107-Z$1&lt;År1,0,Y106*(1-VLOOKUP($A107,[1]Hugst!$R$5:$W$9,MATCH(ROUNDUP((Z$1)/10,0)*10,[1]Hugst!$R$4:$W$4,0))))</f>
        <v>0</v>
      </c>
      <c r="AA107" s="169">
        <f>IF($C107-AA$1&lt;År1,0,Z106*(1-VLOOKUP($A107,[1]Hugst!$R$5:$W$9,MATCH(ROUNDUP((AA$1)/10,0)*10,[1]Hugst!$R$4:$W$4,0))))</f>
        <v>0</v>
      </c>
      <c r="AB107" s="169">
        <f>IF($C107-AB$1&lt;År1,0,AA106*(1-VLOOKUP($A107,[1]Hugst!$R$5:$W$9,MATCH(ROUNDUP((AB$1)/10,0)*10,[1]Hugst!$R$4:$W$4,0))))</f>
        <v>0</v>
      </c>
      <c r="AC107" s="169">
        <f>IF($C107-AC$1&lt;År1,0,AB106*(1-VLOOKUP($A107,[1]Hugst!$R$5:$W$9,MATCH(ROUNDUP((AC$1)/10,0)*10,[1]Hugst!$R$4:$W$4,0))))</f>
        <v>0</v>
      </c>
      <c r="AD107" s="169">
        <f>IF($C107-AD$1&lt;År1,0,AC106*(1-VLOOKUP($A107,[1]Hugst!$R$5:$W$9,MATCH(ROUNDUP((AD$1)/10,0)*10,[1]Hugst!$R$4:$W$4,0))))</f>
        <v>0</v>
      </c>
      <c r="AE107" s="169">
        <f>IF($C107-AE$1&lt;År1,0,AD106*(1-VLOOKUP($A107,[1]Hugst!$R$5:$W$9,MATCH(ROUNDUP((AE$1)/10,0)*10,[1]Hugst!$R$4:$W$4,0))))</f>
        <v>0</v>
      </c>
      <c r="AF107" s="169">
        <f>IF($C107-AF$1&lt;År1,0,AE106*(1-VLOOKUP($A107,[1]Hugst!$R$5:$W$9,MATCH(ROUNDUP((AF$1)/10,0)*10,[1]Hugst!$R$4:$W$4,0))))</f>
        <v>0</v>
      </c>
      <c r="AG107" s="169">
        <f>IF($C107-AG$1&lt;År1,0,AF106*(1-VLOOKUP($A107,[1]Hugst!$R$5:$W$9,MATCH(ROUNDUP((AG$1)/10,0)*10,[1]Hugst!$R$4:$W$4,0))))</f>
        <v>0</v>
      </c>
      <c r="AH107" s="169">
        <f>IF($C107-AH$1&lt;År1,0,AG106*(1-VLOOKUP($A107,[1]Hugst!$R$5:$W$9,MATCH(ROUNDUP((AH$1)/10,0)*10,[1]Hugst!$R$4:$W$4,0))))</f>
        <v>0</v>
      </c>
      <c r="AI107" s="169">
        <f>IF($C107-AI$1&lt;År1,0,AH106*(1-VLOOKUP($A107,[1]Hugst!$R$5:$W$9,MATCH(ROUNDUP((AI$1)/10,0)*10,[1]Hugst!$R$4:$W$4,0))))</f>
        <v>0</v>
      </c>
      <c r="AJ107" s="169">
        <f>IF($C107-AJ$1&lt;År1,0,AI106*(1-VLOOKUP($A107,[1]Hugst!$R$5:$W$9,MATCH(ROUNDUP((AJ$1)/10,0)*10,[1]Hugst!$R$4:$W$4,0))))</f>
        <v>0</v>
      </c>
    </row>
    <row r="108" spans="1:36" s="169" customFormat="1" x14ac:dyDescent="0.25">
      <c r="A108" s="169" t="s">
        <v>177</v>
      </c>
      <c r="B108" s="169" t="s">
        <v>24</v>
      </c>
      <c r="C108" s="169">
        <v>2033</v>
      </c>
      <c r="D108" s="169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0</v>
      </c>
      <c r="E108" s="169">
        <f t="shared" ca="1" si="2"/>
        <v>0</v>
      </c>
      <c r="F108" s="169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9">
        <f ca="1">IF($C108-G$1&lt;År1,0,F107*(1-VLOOKUP($A108,[1]Hugst!$R$5:$W$9,MATCH(ROUNDUP((G$1)/10,0)*10,[1]Hugst!$R$4:$W$4,0))))</f>
        <v>0</v>
      </c>
      <c r="H108" s="169">
        <f ca="1">IF($C108-H$1&lt;År1,0,G107*(1-VLOOKUP($A108,[1]Hugst!$R$5:$W$9,MATCH(ROUNDUP((H$1)/10,0)*10,[1]Hugst!$R$4:$W$4,0))))</f>
        <v>0</v>
      </c>
      <c r="I108" s="169">
        <f ca="1">IF($C108-I$1&lt;År1,0,H107*(1-VLOOKUP($A108,[1]Hugst!$R$5:$W$9,MATCH(ROUNDUP((I$1)/10,0)*10,[1]Hugst!$R$4:$W$4,0))))</f>
        <v>0</v>
      </c>
      <c r="J108" s="169">
        <f ca="1">IF($C108-J$1&lt;År1,0,I107*(1-VLOOKUP($A108,[1]Hugst!$R$5:$W$9,MATCH(ROUNDUP((J$1)/10,0)*10,[1]Hugst!$R$4:$W$4,0))))</f>
        <v>0</v>
      </c>
      <c r="K108" s="169">
        <f ca="1">IF($C108-K$1&lt;År1,0,J107*(1-VLOOKUP($A108,[1]Hugst!$R$5:$W$9,MATCH(ROUNDUP((K$1)/10,0)*10,[1]Hugst!$R$4:$W$4,0))))</f>
        <v>0</v>
      </c>
      <c r="L108" s="169">
        <f ca="1">IF($C108-L$1&lt;År1,0,K107*(1-VLOOKUP($A108,[1]Hugst!$R$5:$W$9,MATCH(ROUNDUP((L$1)/10,0)*10,[1]Hugst!$R$4:$W$4,0))))</f>
        <v>0</v>
      </c>
      <c r="M108" s="169">
        <f ca="1">IF($C108-M$1&lt;År1,0,L107*(1-VLOOKUP($A108,[1]Hugst!$R$5:$W$9,MATCH(ROUNDUP((M$1)/10,0)*10,[1]Hugst!$R$4:$W$4,0))))</f>
        <v>0</v>
      </c>
      <c r="N108" s="169">
        <f ca="1">IF($C108-N$1&lt;År1,0,M107*(1-VLOOKUP($A108,[1]Hugst!$R$5:$W$9,MATCH(ROUNDUP((N$1)/10,0)*10,[1]Hugst!$R$4:$W$4,0))))</f>
        <v>0</v>
      </c>
      <c r="O108" s="169">
        <f ca="1">IF($C108-O$1&lt;År1,0,N107*(1-VLOOKUP($A108,[1]Hugst!$R$5:$W$9,MATCH(ROUNDUP((O$1)/10,0)*10,[1]Hugst!$R$4:$W$4,0))))</f>
        <v>0</v>
      </c>
      <c r="P108" s="169">
        <f ca="1">IF($C108-P$1&lt;År1,0,O107*(1-VLOOKUP($A108,[1]Hugst!$R$5:$W$9,MATCH(ROUNDUP((P$1)/10,0)*10,[1]Hugst!$R$4:$W$4,0))))</f>
        <v>0</v>
      </c>
      <c r="Q108" s="169">
        <f ca="1">IF($C108-Q$1&lt;År1,0,P107*(1-VLOOKUP($A108,[1]Hugst!$R$5:$W$9,MATCH(ROUNDUP((Q$1)/10,0)*10,[1]Hugst!$R$4:$W$4,0))))</f>
        <v>0</v>
      </c>
      <c r="R108" s="169">
        <f ca="1">IF($C108-R$1&lt;År1,0,Q107*(1-VLOOKUP($A108,[1]Hugst!$R$5:$W$9,MATCH(ROUNDUP((R$1)/10,0)*10,[1]Hugst!$R$4:$W$4,0))))</f>
        <v>0</v>
      </c>
      <c r="S108" s="169">
        <f ca="1">IF($C108-S$1&lt;År1,0,R107*(1-VLOOKUP($A108,[1]Hugst!$R$5:$W$9,MATCH(ROUNDUP((S$1)/10,0)*10,[1]Hugst!$R$4:$W$4,0))))</f>
        <v>0</v>
      </c>
      <c r="T108" s="169">
        <f>IF($C108-T$1&lt;År1,0,S107*(1-VLOOKUP($A108,[1]Hugst!$R$5:$W$9,MATCH(ROUNDUP((T$1)/10,0)*10,[1]Hugst!$R$4:$W$4,0))))</f>
        <v>0</v>
      </c>
      <c r="U108" s="169">
        <f>IF($C108-U$1&lt;År1,0,T107*(1-VLOOKUP($A108,[1]Hugst!$R$5:$W$9,MATCH(ROUNDUP((U$1)/10,0)*10,[1]Hugst!$R$4:$W$4,0))))</f>
        <v>0</v>
      </c>
      <c r="V108" s="169">
        <f>IF($C108-V$1&lt;År1,0,U107*(1-VLOOKUP($A108,[1]Hugst!$R$5:$W$9,MATCH(ROUNDUP((V$1)/10,0)*10,[1]Hugst!$R$4:$W$4,0))))</f>
        <v>0</v>
      </c>
      <c r="W108" s="169">
        <f>IF($C108-W$1&lt;År1,0,V107*(1-VLOOKUP($A108,[1]Hugst!$R$5:$W$9,MATCH(ROUNDUP((W$1)/10,0)*10,[1]Hugst!$R$4:$W$4,0))))</f>
        <v>0</v>
      </c>
      <c r="X108" s="169">
        <f>IF($C108-X$1&lt;År1,0,W107*(1-VLOOKUP($A108,[1]Hugst!$R$5:$W$9,MATCH(ROUNDUP((X$1)/10,0)*10,[1]Hugst!$R$4:$W$4,0))))</f>
        <v>0</v>
      </c>
      <c r="Y108" s="169">
        <f>IF($C108-Y$1&lt;År1,0,X107*(1-VLOOKUP($A108,[1]Hugst!$R$5:$W$9,MATCH(ROUNDUP((Y$1)/10,0)*10,[1]Hugst!$R$4:$W$4,0))))</f>
        <v>0</v>
      </c>
      <c r="Z108" s="169">
        <f>IF($C108-Z$1&lt;År1,0,Y107*(1-VLOOKUP($A108,[1]Hugst!$R$5:$W$9,MATCH(ROUNDUP((Z$1)/10,0)*10,[1]Hugst!$R$4:$W$4,0))))</f>
        <v>0</v>
      </c>
      <c r="AA108" s="169">
        <f>IF($C108-AA$1&lt;År1,0,Z107*(1-VLOOKUP($A108,[1]Hugst!$R$5:$W$9,MATCH(ROUNDUP((AA$1)/10,0)*10,[1]Hugst!$R$4:$W$4,0))))</f>
        <v>0</v>
      </c>
      <c r="AB108" s="169">
        <f>IF($C108-AB$1&lt;År1,0,AA107*(1-VLOOKUP($A108,[1]Hugst!$R$5:$W$9,MATCH(ROUNDUP((AB$1)/10,0)*10,[1]Hugst!$R$4:$W$4,0))))</f>
        <v>0</v>
      </c>
      <c r="AC108" s="169">
        <f>IF($C108-AC$1&lt;År1,0,AB107*(1-VLOOKUP($A108,[1]Hugst!$R$5:$W$9,MATCH(ROUNDUP((AC$1)/10,0)*10,[1]Hugst!$R$4:$W$4,0))))</f>
        <v>0</v>
      </c>
      <c r="AD108" s="169">
        <f>IF($C108-AD$1&lt;År1,0,AC107*(1-VLOOKUP($A108,[1]Hugst!$R$5:$W$9,MATCH(ROUNDUP((AD$1)/10,0)*10,[1]Hugst!$R$4:$W$4,0))))</f>
        <v>0</v>
      </c>
      <c r="AE108" s="169">
        <f>IF($C108-AE$1&lt;År1,0,AD107*(1-VLOOKUP($A108,[1]Hugst!$R$5:$W$9,MATCH(ROUNDUP((AE$1)/10,0)*10,[1]Hugst!$R$4:$W$4,0))))</f>
        <v>0</v>
      </c>
      <c r="AF108" s="169">
        <f>IF($C108-AF$1&lt;År1,0,AE107*(1-VLOOKUP($A108,[1]Hugst!$R$5:$W$9,MATCH(ROUNDUP((AF$1)/10,0)*10,[1]Hugst!$R$4:$W$4,0))))</f>
        <v>0</v>
      </c>
      <c r="AG108" s="169">
        <f>IF($C108-AG$1&lt;År1,0,AF107*(1-VLOOKUP($A108,[1]Hugst!$R$5:$W$9,MATCH(ROUNDUP((AG$1)/10,0)*10,[1]Hugst!$R$4:$W$4,0))))</f>
        <v>0</v>
      </c>
      <c r="AH108" s="169">
        <f>IF($C108-AH$1&lt;År1,0,AG107*(1-VLOOKUP($A108,[1]Hugst!$R$5:$W$9,MATCH(ROUNDUP((AH$1)/10,0)*10,[1]Hugst!$R$4:$W$4,0))))</f>
        <v>0</v>
      </c>
      <c r="AI108" s="169">
        <f>IF($C108-AI$1&lt;År1,0,AH107*(1-VLOOKUP($A108,[1]Hugst!$R$5:$W$9,MATCH(ROUNDUP((AI$1)/10,0)*10,[1]Hugst!$R$4:$W$4,0))))</f>
        <v>0</v>
      </c>
      <c r="AJ108" s="169">
        <f>IF($C108-AJ$1&lt;År1,0,AI107*(1-VLOOKUP($A108,[1]Hugst!$R$5:$W$9,MATCH(ROUNDUP((AJ$1)/10,0)*10,[1]Hugst!$R$4:$W$4,0))))</f>
        <v>0</v>
      </c>
    </row>
    <row r="109" spans="1:36" s="169" customFormat="1" x14ac:dyDescent="0.25">
      <c r="A109" s="169" t="s">
        <v>177</v>
      </c>
      <c r="B109" s="169" t="s">
        <v>24</v>
      </c>
      <c r="C109" s="169">
        <v>2034</v>
      </c>
      <c r="D109" s="169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0</v>
      </c>
      <c r="E109" s="169">
        <f t="shared" ca="1" si="2"/>
        <v>0</v>
      </c>
      <c r="F109" s="169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9">
        <f ca="1">IF($C109-G$1&lt;År1,0,F108*(1-VLOOKUP($A109,[1]Hugst!$R$5:$W$9,MATCH(ROUNDUP((G$1)/10,0)*10,[1]Hugst!$R$4:$W$4,0))))</f>
        <v>0</v>
      </c>
      <c r="H109" s="169">
        <f ca="1">IF($C109-H$1&lt;År1,0,G108*(1-VLOOKUP($A109,[1]Hugst!$R$5:$W$9,MATCH(ROUNDUP((H$1)/10,0)*10,[1]Hugst!$R$4:$W$4,0))))</f>
        <v>0</v>
      </c>
      <c r="I109" s="169">
        <f ca="1">IF($C109-I$1&lt;År1,0,H108*(1-VLOOKUP($A109,[1]Hugst!$R$5:$W$9,MATCH(ROUNDUP((I$1)/10,0)*10,[1]Hugst!$R$4:$W$4,0))))</f>
        <v>0</v>
      </c>
      <c r="J109" s="169">
        <f ca="1">IF($C109-J$1&lt;År1,0,I108*(1-VLOOKUP($A109,[1]Hugst!$R$5:$W$9,MATCH(ROUNDUP((J$1)/10,0)*10,[1]Hugst!$R$4:$W$4,0))))</f>
        <v>0</v>
      </c>
      <c r="K109" s="169">
        <f ca="1">IF($C109-K$1&lt;År1,0,J108*(1-VLOOKUP($A109,[1]Hugst!$R$5:$W$9,MATCH(ROUNDUP((K$1)/10,0)*10,[1]Hugst!$R$4:$W$4,0))))</f>
        <v>0</v>
      </c>
      <c r="L109" s="169">
        <f ca="1">IF($C109-L$1&lt;År1,0,K108*(1-VLOOKUP($A109,[1]Hugst!$R$5:$W$9,MATCH(ROUNDUP((L$1)/10,0)*10,[1]Hugst!$R$4:$W$4,0))))</f>
        <v>0</v>
      </c>
      <c r="M109" s="169">
        <f ca="1">IF($C109-M$1&lt;År1,0,L108*(1-VLOOKUP($A109,[1]Hugst!$R$5:$W$9,MATCH(ROUNDUP((M$1)/10,0)*10,[1]Hugst!$R$4:$W$4,0))))</f>
        <v>0</v>
      </c>
      <c r="N109" s="169">
        <f ca="1">IF($C109-N$1&lt;År1,0,M108*(1-VLOOKUP($A109,[1]Hugst!$R$5:$W$9,MATCH(ROUNDUP((N$1)/10,0)*10,[1]Hugst!$R$4:$W$4,0))))</f>
        <v>0</v>
      </c>
      <c r="O109" s="169">
        <f ca="1">IF($C109-O$1&lt;År1,0,N108*(1-VLOOKUP($A109,[1]Hugst!$R$5:$W$9,MATCH(ROUNDUP((O$1)/10,0)*10,[1]Hugst!$R$4:$W$4,0))))</f>
        <v>0</v>
      </c>
      <c r="P109" s="169">
        <f ca="1">IF($C109-P$1&lt;År1,0,O108*(1-VLOOKUP($A109,[1]Hugst!$R$5:$W$9,MATCH(ROUNDUP((P$1)/10,0)*10,[1]Hugst!$R$4:$W$4,0))))</f>
        <v>0</v>
      </c>
      <c r="Q109" s="169">
        <f ca="1">IF($C109-Q$1&lt;År1,0,P108*(1-VLOOKUP($A109,[1]Hugst!$R$5:$W$9,MATCH(ROUNDUP((Q$1)/10,0)*10,[1]Hugst!$R$4:$W$4,0))))</f>
        <v>0</v>
      </c>
      <c r="R109" s="169">
        <f ca="1">IF($C109-R$1&lt;År1,0,Q108*(1-VLOOKUP($A109,[1]Hugst!$R$5:$W$9,MATCH(ROUNDUP((R$1)/10,0)*10,[1]Hugst!$R$4:$W$4,0))))</f>
        <v>0</v>
      </c>
      <c r="S109" s="169">
        <f ca="1">IF($C109-S$1&lt;År1,0,R108*(1-VLOOKUP($A109,[1]Hugst!$R$5:$W$9,MATCH(ROUNDUP((S$1)/10,0)*10,[1]Hugst!$R$4:$W$4,0))))</f>
        <v>0</v>
      </c>
      <c r="T109" s="169">
        <f ca="1">IF($C109-T$1&lt;År1,0,S108*(1-VLOOKUP($A109,[1]Hugst!$R$5:$W$9,MATCH(ROUNDUP((T$1)/10,0)*10,[1]Hugst!$R$4:$W$4,0))))</f>
        <v>0</v>
      </c>
      <c r="U109" s="169">
        <f>IF($C109-U$1&lt;År1,0,T108*(1-VLOOKUP($A109,[1]Hugst!$R$5:$W$9,MATCH(ROUNDUP((U$1)/10,0)*10,[1]Hugst!$R$4:$W$4,0))))</f>
        <v>0</v>
      </c>
      <c r="V109" s="169">
        <f>IF($C109-V$1&lt;År1,0,U108*(1-VLOOKUP($A109,[1]Hugst!$R$5:$W$9,MATCH(ROUNDUP((V$1)/10,0)*10,[1]Hugst!$R$4:$W$4,0))))</f>
        <v>0</v>
      </c>
      <c r="W109" s="169">
        <f>IF($C109-W$1&lt;År1,0,V108*(1-VLOOKUP($A109,[1]Hugst!$R$5:$W$9,MATCH(ROUNDUP((W$1)/10,0)*10,[1]Hugst!$R$4:$W$4,0))))</f>
        <v>0</v>
      </c>
      <c r="X109" s="169">
        <f>IF($C109-X$1&lt;År1,0,W108*(1-VLOOKUP($A109,[1]Hugst!$R$5:$W$9,MATCH(ROUNDUP((X$1)/10,0)*10,[1]Hugst!$R$4:$W$4,0))))</f>
        <v>0</v>
      </c>
      <c r="Y109" s="169">
        <f>IF($C109-Y$1&lt;År1,0,X108*(1-VLOOKUP($A109,[1]Hugst!$R$5:$W$9,MATCH(ROUNDUP((Y$1)/10,0)*10,[1]Hugst!$R$4:$W$4,0))))</f>
        <v>0</v>
      </c>
      <c r="Z109" s="169">
        <f>IF($C109-Z$1&lt;År1,0,Y108*(1-VLOOKUP($A109,[1]Hugst!$R$5:$W$9,MATCH(ROUNDUP((Z$1)/10,0)*10,[1]Hugst!$R$4:$W$4,0))))</f>
        <v>0</v>
      </c>
      <c r="AA109" s="169">
        <f>IF($C109-AA$1&lt;År1,0,Z108*(1-VLOOKUP($A109,[1]Hugst!$R$5:$W$9,MATCH(ROUNDUP((AA$1)/10,0)*10,[1]Hugst!$R$4:$W$4,0))))</f>
        <v>0</v>
      </c>
      <c r="AB109" s="169">
        <f>IF($C109-AB$1&lt;År1,0,AA108*(1-VLOOKUP($A109,[1]Hugst!$R$5:$W$9,MATCH(ROUNDUP((AB$1)/10,0)*10,[1]Hugst!$R$4:$W$4,0))))</f>
        <v>0</v>
      </c>
      <c r="AC109" s="169">
        <f>IF($C109-AC$1&lt;År1,0,AB108*(1-VLOOKUP($A109,[1]Hugst!$R$5:$W$9,MATCH(ROUNDUP((AC$1)/10,0)*10,[1]Hugst!$R$4:$W$4,0))))</f>
        <v>0</v>
      </c>
      <c r="AD109" s="169">
        <f>IF($C109-AD$1&lt;År1,0,AC108*(1-VLOOKUP($A109,[1]Hugst!$R$5:$W$9,MATCH(ROUNDUP((AD$1)/10,0)*10,[1]Hugst!$R$4:$W$4,0))))</f>
        <v>0</v>
      </c>
      <c r="AE109" s="169">
        <f>IF($C109-AE$1&lt;År1,0,AD108*(1-VLOOKUP($A109,[1]Hugst!$R$5:$W$9,MATCH(ROUNDUP((AE$1)/10,0)*10,[1]Hugst!$R$4:$W$4,0))))</f>
        <v>0</v>
      </c>
      <c r="AF109" s="169">
        <f>IF($C109-AF$1&lt;År1,0,AE108*(1-VLOOKUP($A109,[1]Hugst!$R$5:$W$9,MATCH(ROUNDUP((AF$1)/10,0)*10,[1]Hugst!$R$4:$W$4,0))))</f>
        <v>0</v>
      </c>
      <c r="AG109" s="169">
        <f>IF($C109-AG$1&lt;År1,0,AF108*(1-VLOOKUP($A109,[1]Hugst!$R$5:$W$9,MATCH(ROUNDUP((AG$1)/10,0)*10,[1]Hugst!$R$4:$W$4,0))))</f>
        <v>0</v>
      </c>
      <c r="AH109" s="169">
        <f>IF($C109-AH$1&lt;År1,0,AG108*(1-VLOOKUP($A109,[1]Hugst!$R$5:$W$9,MATCH(ROUNDUP((AH$1)/10,0)*10,[1]Hugst!$R$4:$W$4,0))))</f>
        <v>0</v>
      </c>
      <c r="AI109" s="169">
        <f>IF($C109-AI$1&lt;År1,0,AH108*(1-VLOOKUP($A109,[1]Hugst!$R$5:$W$9,MATCH(ROUNDUP((AI$1)/10,0)*10,[1]Hugst!$R$4:$W$4,0))))</f>
        <v>0</v>
      </c>
      <c r="AJ109" s="169">
        <f>IF($C109-AJ$1&lt;År1,0,AI108*(1-VLOOKUP($A109,[1]Hugst!$R$5:$W$9,MATCH(ROUNDUP((AJ$1)/10,0)*10,[1]Hugst!$R$4:$W$4,0))))</f>
        <v>0</v>
      </c>
    </row>
    <row r="110" spans="1:36" s="169" customFormat="1" x14ac:dyDescent="0.25">
      <c r="A110" s="169" t="s">
        <v>177</v>
      </c>
      <c r="B110" s="169" t="s">
        <v>24</v>
      </c>
      <c r="C110" s="169">
        <v>2035</v>
      </c>
      <c r="D110" s="169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0</v>
      </c>
      <c r="E110" s="169">
        <f t="shared" ca="1" si="2"/>
        <v>0</v>
      </c>
      <c r="F110" s="169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9">
        <f ca="1">IF($C110-G$1&lt;År1,0,F109*(1-VLOOKUP($A110,[1]Hugst!$R$5:$W$9,MATCH(ROUNDUP((G$1)/10,0)*10,[1]Hugst!$R$4:$W$4,0))))</f>
        <v>0</v>
      </c>
      <c r="H110" s="169">
        <f ca="1">IF($C110-H$1&lt;År1,0,G109*(1-VLOOKUP($A110,[1]Hugst!$R$5:$W$9,MATCH(ROUNDUP((H$1)/10,0)*10,[1]Hugst!$R$4:$W$4,0))))</f>
        <v>0</v>
      </c>
      <c r="I110" s="169">
        <f ca="1">IF($C110-I$1&lt;År1,0,H109*(1-VLOOKUP($A110,[1]Hugst!$R$5:$W$9,MATCH(ROUNDUP((I$1)/10,0)*10,[1]Hugst!$R$4:$W$4,0))))</f>
        <v>0</v>
      </c>
      <c r="J110" s="169">
        <f ca="1">IF($C110-J$1&lt;År1,0,I109*(1-VLOOKUP($A110,[1]Hugst!$R$5:$W$9,MATCH(ROUNDUP((J$1)/10,0)*10,[1]Hugst!$R$4:$W$4,0))))</f>
        <v>0</v>
      </c>
      <c r="K110" s="169">
        <f ca="1">IF($C110-K$1&lt;År1,0,J109*(1-VLOOKUP($A110,[1]Hugst!$R$5:$W$9,MATCH(ROUNDUP((K$1)/10,0)*10,[1]Hugst!$R$4:$W$4,0))))</f>
        <v>0</v>
      </c>
      <c r="L110" s="169">
        <f ca="1">IF($C110-L$1&lt;År1,0,K109*(1-VLOOKUP($A110,[1]Hugst!$R$5:$W$9,MATCH(ROUNDUP((L$1)/10,0)*10,[1]Hugst!$R$4:$W$4,0))))</f>
        <v>0</v>
      </c>
      <c r="M110" s="169">
        <f ca="1">IF($C110-M$1&lt;År1,0,L109*(1-VLOOKUP($A110,[1]Hugst!$R$5:$W$9,MATCH(ROUNDUP((M$1)/10,0)*10,[1]Hugst!$R$4:$W$4,0))))</f>
        <v>0</v>
      </c>
      <c r="N110" s="169">
        <f ca="1">IF($C110-N$1&lt;År1,0,M109*(1-VLOOKUP($A110,[1]Hugst!$R$5:$W$9,MATCH(ROUNDUP((N$1)/10,0)*10,[1]Hugst!$R$4:$W$4,0))))</f>
        <v>0</v>
      </c>
      <c r="O110" s="169">
        <f ca="1">IF($C110-O$1&lt;År1,0,N109*(1-VLOOKUP($A110,[1]Hugst!$R$5:$W$9,MATCH(ROUNDUP((O$1)/10,0)*10,[1]Hugst!$R$4:$W$4,0))))</f>
        <v>0</v>
      </c>
      <c r="P110" s="169">
        <f ca="1">IF($C110-P$1&lt;År1,0,O109*(1-VLOOKUP($A110,[1]Hugst!$R$5:$W$9,MATCH(ROUNDUP((P$1)/10,0)*10,[1]Hugst!$R$4:$W$4,0))))</f>
        <v>0</v>
      </c>
      <c r="Q110" s="169">
        <f ca="1">IF($C110-Q$1&lt;År1,0,P109*(1-VLOOKUP($A110,[1]Hugst!$R$5:$W$9,MATCH(ROUNDUP((Q$1)/10,0)*10,[1]Hugst!$R$4:$W$4,0))))</f>
        <v>0</v>
      </c>
      <c r="R110" s="169">
        <f ca="1">IF($C110-R$1&lt;År1,0,Q109*(1-VLOOKUP($A110,[1]Hugst!$R$5:$W$9,MATCH(ROUNDUP((R$1)/10,0)*10,[1]Hugst!$R$4:$W$4,0))))</f>
        <v>0</v>
      </c>
      <c r="S110" s="169">
        <f ca="1">IF($C110-S$1&lt;År1,0,R109*(1-VLOOKUP($A110,[1]Hugst!$R$5:$W$9,MATCH(ROUNDUP((S$1)/10,0)*10,[1]Hugst!$R$4:$W$4,0))))</f>
        <v>0</v>
      </c>
      <c r="T110" s="169">
        <f ca="1">IF($C110-T$1&lt;År1,0,S109*(1-VLOOKUP($A110,[1]Hugst!$R$5:$W$9,MATCH(ROUNDUP((T$1)/10,0)*10,[1]Hugst!$R$4:$W$4,0))))</f>
        <v>0</v>
      </c>
      <c r="U110" s="169">
        <f ca="1">IF($C110-U$1&lt;År1,0,T109*(1-VLOOKUP($A110,[1]Hugst!$R$5:$W$9,MATCH(ROUNDUP((U$1)/10,0)*10,[1]Hugst!$R$4:$W$4,0))))</f>
        <v>0</v>
      </c>
      <c r="V110" s="169">
        <f>IF($C110-V$1&lt;År1,0,U109*(1-VLOOKUP($A110,[1]Hugst!$R$5:$W$9,MATCH(ROUNDUP((V$1)/10,0)*10,[1]Hugst!$R$4:$W$4,0))))</f>
        <v>0</v>
      </c>
      <c r="W110" s="169">
        <f>IF($C110-W$1&lt;År1,0,V109*(1-VLOOKUP($A110,[1]Hugst!$R$5:$W$9,MATCH(ROUNDUP((W$1)/10,0)*10,[1]Hugst!$R$4:$W$4,0))))</f>
        <v>0</v>
      </c>
      <c r="X110" s="169">
        <f>IF($C110-X$1&lt;År1,0,W109*(1-VLOOKUP($A110,[1]Hugst!$R$5:$W$9,MATCH(ROUNDUP((X$1)/10,0)*10,[1]Hugst!$R$4:$W$4,0))))</f>
        <v>0</v>
      </c>
      <c r="Y110" s="169">
        <f>IF($C110-Y$1&lt;År1,0,X109*(1-VLOOKUP($A110,[1]Hugst!$R$5:$W$9,MATCH(ROUNDUP((Y$1)/10,0)*10,[1]Hugst!$R$4:$W$4,0))))</f>
        <v>0</v>
      </c>
      <c r="Z110" s="169">
        <f>IF($C110-Z$1&lt;År1,0,Y109*(1-VLOOKUP($A110,[1]Hugst!$R$5:$W$9,MATCH(ROUNDUP((Z$1)/10,0)*10,[1]Hugst!$R$4:$W$4,0))))</f>
        <v>0</v>
      </c>
      <c r="AA110" s="169">
        <f>IF($C110-AA$1&lt;År1,0,Z109*(1-VLOOKUP($A110,[1]Hugst!$R$5:$W$9,MATCH(ROUNDUP((AA$1)/10,0)*10,[1]Hugst!$R$4:$W$4,0))))</f>
        <v>0</v>
      </c>
      <c r="AB110" s="169">
        <f>IF($C110-AB$1&lt;År1,0,AA109*(1-VLOOKUP($A110,[1]Hugst!$R$5:$W$9,MATCH(ROUNDUP((AB$1)/10,0)*10,[1]Hugst!$R$4:$W$4,0))))</f>
        <v>0</v>
      </c>
      <c r="AC110" s="169">
        <f>IF($C110-AC$1&lt;År1,0,AB109*(1-VLOOKUP($A110,[1]Hugst!$R$5:$W$9,MATCH(ROUNDUP((AC$1)/10,0)*10,[1]Hugst!$R$4:$W$4,0))))</f>
        <v>0</v>
      </c>
      <c r="AD110" s="169">
        <f>IF($C110-AD$1&lt;År1,0,AC109*(1-VLOOKUP($A110,[1]Hugst!$R$5:$W$9,MATCH(ROUNDUP((AD$1)/10,0)*10,[1]Hugst!$R$4:$W$4,0))))</f>
        <v>0</v>
      </c>
      <c r="AE110" s="169">
        <f>IF($C110-AE$1&lt;År1,0,AD109*(1-VLOOKUP($A110,[1]Hugst!$R$5:$W$9,MATCH(ROUNDUP((AE$1)/10,0)*10,[1]Hugst!$R$4:$W$4,0))))</f>
        <v>0</v>
      </c>
      <c r="AF110" s="169">
        <f>IF($C110-AF$1&lt;År1,0,AE109*(1-VLOOKUP($A110,[1]Hugst!$R$5:$W$9,MATCH(ROUNDUP((AF$1)/10,0)*10,[1]Hugst!$R$4:$W$4,0))))</f>
        <v>0</v>
      </c>
      <c r="AG110" s="169">
        <f>IF($C110-AG$1&lt;År1,0,AF109*(1-VLOOKUP($A110,[1]Hugst!$R$5:$W$9,MATCH(ROUNDUP((AG$1)/10,0)*10,[1]Hugst!$R$4:$W$4,0))))</f>
        <v>0</v>
      </c>
      <c r="AH110" s="169">
        <f>IF($C110-AH$1&lt;År1,0,AG109*(1-VLOOKUP($A110,[1]Hugst!$R$5:$W$9,MATCH(ROUNDUP((AH$1)/10,0)*10,[1]Hugst!$R$4:$W$4,0))))</f>
        <v>0</v>
      </c>
      <c r="AI110" s="169">
        <f>IF($C110-AI$1&lt;År1,0,AH109*(1-VLOOKUP($A110,[1]Hugst!$R$5:$W$9,MATCH(ROUNDUP((AI$1)/10,0)*10,[1]Hugst!$R$4:$W$4,0))))</f>
        <v>0</v>
      </c>
      <c r="AJ110" s="169">
        <f>IF($C110-AJ$1&lt;År1,0,AI109*(1-VLOOKUP($A110,[1]Hugst!$R$5:$W$9,MATCH(ROUNDUP((AJ$1)/10,0)*10,[1]Hugst!$R$4:$W$4,0))))</f>
        <v>0</v>
      </c>
    </row>
    <row r="111" spans="1:36" s="169" customFormat="1" x14ac:dyDescent="0.25">
      <c r="A111" s="169" t="s">
        <v>177</v>
      </c>
      <c r="B111" s="169" t="s">
        <v>24</v>
      </c>
      <c r="C111" s="169">
        <v>2036</v>
      </c>
      <c r="D111" s="169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0</v>
      </c>
      <c r="E111" s="169">
        <f t="shared" ca="1" si="2"/>
        <v>0</v>
      </c>
      <c r="F111" s="169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9">
        <f ca="1">IF($C111-G$1&lt;År1,0,F110*(1-VLOOKUP($A111,[1]Hugst!$R$5:$W$9,MATCH(ROUNDUP((G$1)/10,0)*10,[1]Hugst!$R$4:$W$4,0))))</f>
        <v>0</v>
      </c>
      <c r="H111" s="169">
        <f ca="1">IF($C111-H$1&lt;År1,0,G110*(1-VLOOKUP($A111,[1]Hugst!$R$5:$W$9,MATCH(ROUNDUP((H$1)/10,0)*10,[1]Hugst!$R$4:$W$4,0))))</f>
        <v>0</v>
      </c>
      <c r="I111" s="169">
        <f ca="1">IF($C111-I$1&lt;År1,0,H110*(1-VLOOKUP($A111,[1]Hugst!$R$5:$W$9,MATCH(ROUNDUP((I$1)/10,0)*10,[1]Hugst!$R$4:$W$4,0))))</f>
        <v>0</v>
      </c>
      <c r="J111" s="169">
        <f ca="1">IF($C111-J$1&lt;År1,0,I110*(1-VLOOKUP($A111,[1]Hugst!$R$5:$W$9,MATCH(ROUNDUP((J$1)/10,0)*10,[1]Hugst!$R$4:$W$4,0))))</f>
        <v>0</v>
      </c>
      <c r="K111" s="169">
        <f ca="1">IF($C111-K$1&lt;År1,0,J110*(1-VLOOKUP($A111,[1]Hugst!$R$5:$W$9,MATCH(ROUNDUP((K$1)/10,0)*10,[1]Hugst!$R$4:$W$4,0))))</f>
        <v>0</v>
      </c>
      <c r="L111" s="169">
        <f ca="1">IF($C111-L$1&lt;År1,0,K110*(1-VLOOKUP($A111,[1]Hugst!$R$5:$W$9,MATCH(ROUNDUP((L$1)/10,0)*10,[1]Hugst!$R$4:$W$4,0))))</f>
        <v>0</v>
      </c>
      <c r="M111" s="169">
        <f ca="1">IF($C111-M$1&lt;År1,0,L110*(1-VLOOKUP($A111,[1]Hugst!$R$5:$W$9,MATCH(ROUNDUP((M$1)/10,0)*10,[1]Hugst!$R$4:$W$4,0))))</f>
        <v>0</v>
      </c>
      <c r="N111" s="169">
        <f ca="1">IF($C111-N$1&lt;År1,0,M110*(1-VLOOKUP($A111,[1]Hugst!$R$5:$W$9,MATCH(ROUNDUP((N$1)/10,0)*10,[1]Hugst!$R$4:$W$4,0))))</f>
        <v>0</v>
      </c>
      <c r="O111" s="169">
        <f ca="1">IF($C111-O$1&lt;År1,0,N110*(1-VLOOKUP($A111,[1]Hugst!$R$5:$W$9,MATCH(ROUNDUP((O$1)/10,0)*10,[1]Hugst!$R$4:$W$4,0))))</f>
        <v>0</v>
      </c>
      <c r="P111" s="169">
        <f ca="1">IF($C111-P$1&lt;År1,0,O110*(1-VLOOKUP($A111,[1]Hugst!$R$5:$W$9,MATCH(ROUNDUP((P$1)/10,0)*10,[1]Hugst!$R$4:$W$4,0))))</f>
        <v>0</v>
      </c>
      <c r="Q111" s="169">
        <f ca="1">IF($C111-Q$1&lt;År1,0,P110*(1-VLOOKUP($A111,[1]Hugst!$R$5:$W$9,MATCH(ROUNDUP((Q$1)/10,0)*10,[1]Hugst!$R$4:$W$4,0))))</f>
        <v>0</v>
      </c>
      <c r="R111" s="169">
        <f ca="1">IF($C111-R$1&lt;År1,0,Q110*(1-VLOOKUP($A111,[1]Hugst!$R$5:$W$9,MATCH(ROUNDUP((R$1)/10,0)*10,[1]Hugst!$R$4:$W$4,0))))</f>
        <v>0</v>
      </c>
      <c r="S111" s="169">
        <f ca="1">IF($C111-S$1&lt;År1,0,R110*(1-VLOOKUP($A111,[1]Hugst!$R$5:$W$9,MATCH(ROUNDUP((S$1)/10,0)*10,[1]Hugst!$R$4:$W$4,0))))</f>
        <v>0</v>
      </c>
      <c r="T111" s="169">
        <f ca="1">IF($C111-T$1&lt;År1,0,S110*(1-VLOOKUP($A111,[1]Hugst!$R$5:$W$9,MATCH(ROUNDUP((T$1)/10,0)*10,[1]Hugst!$R$4:$W$4,0))))</f>
        <v>0</v>
      </c>
      <c r="U111" s="169">
        <f ca="1">IF($C111-U$1&lt;År1,0,T110*(1-VLOOKUP($A111,[1]Hugst!$R$5:$W$9,MATCH(ROUNDUP((U$1)/10,0)*10,[1]Hugst!$R$4:$W$4,0))))</f>
        <v>0</v>
      </c>
      <c r="V111" s="169">
        <f ca="1">IF($C111-V$1&lt;År1,0,U110*(1-VLOOKUP($A111,[1]Hugst!$R$5:$W$9,MATCH(ROUNDUP((V$1)/10,0)*10,[1]Hugst!$R$4:$W$4,0))))</f>
        <v>0</v>
      </c>
      <c r="W111" s="169">
        <f>IF($C111-W$1&lt;År1,0,V110*(1-VLOOKUP($A111,[1]Hugst!$R$5:$W$9,MATCH(ROUNDUP((W$1)/10,0)*10,[1]Hugst!$R$4:$W$4,0))))</f>
        <v>0</v>
      </c>
      <c r="X111" s="169">
        <f>IF($C111-X$1&lt;År1,0,W110*(1-VLOOKUP($A111,[1]Hugst!$R$5:$W$9,MATCH(ROUNDUP((X$1)/10,0)*10,[1]Hugst!$R$4:$W$4,0))))</f>
        <v>0</v>
      </c>
      <c r="Y111" s="169">
        <f>IF($C111-Y$1&lt;År1,0,X110*(1-VLOOKUP($A111,[1]Hugst!$R$5:$W$9,MATCH(ROUNDUP((Y$1)/10,0)*10,[1]Hugst!$R$4:$W$4,0))))</f>
        <v>0</v>
      </c>
      <c r="Z111" s="169">
        <f>IF($C111-Z$1&lt;År1,0,Y110*(1-VLOOKUP($A111,[1]Hugst!$R$5:$W$9,MATCH(ROUNDUP((Z$1)/10,0)*10,[1]Hugst!$R$4:$W$4,0))))</f>
        <v>0</v>
      </c>
      <c r="AA111" s="169">
        <f>IF($C111-AA$1&lt;År1,0,Z110*(1-VLOOKUP($A111,[1]Hugst!$R$5:$W$9,MATCH(ROUNDUP((AA$1)/10,0)*10,[1]Hugst!$R$4:$W$4,0))))</f>
        <v>0</v>
      </c>
      <c r="AB111" s="169">
        <f>IF($C111-AB$1&lt;År1,0,AA110*(1-VLOOKUP($A111,[1]Hugst!$R$5:$W$9,MATCH(ROUNDUP((AB$1)/10,0)*10,[1]Hugst!$R$4:$W$4,0))))</f>
        <v>0</v>
      </c>
      <c r="AC111" s="169">
        <f>IF($C111-AC$1&lt;År1,0,AB110*(1-VLOOKUP($A111,[1]Hugst!$R$5:$W$9,MATCH(ROUNDUP((AC$1)/10,0)*10,[1]Hugst!$R$4:$W$4,0))))</f>
        <v>0</v>
      </c>
      <c r="AD111" s="169">
        <f>IF($C111-AD$1&lt;År1,0,AC110*(1-VLOOKUP($A111,[1]Hugst!$R$5:$W$9,MATCH(ROUNDUP((AD$1)/10,0)*10,[1]Hugst!$R$4:$W$4,0))))</f>
        <v>0</v>
      </c>
      <c r="AE111" s="169">
        <f>IF($C111-AE$1&lt;År1,0,AD110*(1-VLOOKUP($A111,[1]Hugst!$R$5:$W$9,MATCH(ROUNDUP((AE$1)/10,0)*10,[1]Hugst!$R$4:$W$4,0))))</f>
        <v>0</v>
      </c>
      <c r="AF111" s="169">
        <f>IF($C111-AF$1&lt;År1,0,AE110*(1-VLOOKUP($A111,[1]Hugst!$R$5:$W$9,MATCH(ROUNDUP((AF$1)/10,0)*10,[1]Hugst!$R$4:$W$4,0))))</f>
        <v>0</v>
      </c>
      <c r="AG111" s="169">
        <f>IF($C111-AG$1&lt;År1,0,AF110*(1-VLOOKUP($A111,[1]Hugst!$R$5:$W$9,MATCH(ROUNDUP((AG$1)/10,0)*10,[1]Hugst!$R$4:$W$4,0))))</f>
        <v>0</v>
      </c>
      <c r="AH111" s="169">
        <f>IF($C111-AH$1&lt;År1,0,AG110*(1-VLOOKUP($A111,[1]Hugst!$R$5:$W$9,MATCH(ROUNDUP((AH$1)/10,0)*10,[1]Hugst!$R$4:$W$4,0))))</f>
        <v>0</v>
      </c>
      <c r="AI111" s="169">
        <f>IF($C111-AI$1&lt;År1,0,AH110*(1-VLOOKUP($A111,[1]Hugst!$R$5:$W$9,MATCH(ROUNDUP((AI$1)/10,0)*10,[1]Hugst!$R$4:$W$4,0))))</f>
        <v>0</v>
      </c>
      <c r="AJ111" s="169">
        <f>IF($C111-AJ$1&lt;År1,0,AI110*(1-VLOOKUP($A111,[1]Hugst!$R$5:$W$9,MATCH(ROUNDUP((AJ$1)/10,0)*10,[1]Hugst!$R$4:$W$4,0))))</f>
        <v>0</v>
      </c>
    </row>
    <row r="112" spans="1:36" s="169" customFormat="1" x14ac:dyDescent="0.25">
      <c r="A112" s="169" t="s">
        <v>177</v>
      </c>
      <c r="B112" s="169" t="s">
        <v>24</v>
      </c>
      <c r="C112" s="169">
        <v>2037</v>
      </c>
      <c r="D112" s="169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0</v>
      </c>
      <c r="E112" s="169">
        <f t="shared" ca="1" si="2"/>
        <v>0</v>
      </c>
      <c r="F112" s="169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9">
        <f ca="1">IF($C112-G$1&lt;År1,0,F111*(1-VLOOKUP($A112,[1]Hugst!$R$5:$W$9,MATCH(ROUNDUP((G$1)/10,0)*10,[1]Hugst!$R$4:$W$4,0))))</f>
        <v>0</v>
      </c>
      <c r="H112" s="169">
        <f ca="1">IF($C112-H$1&lt;År1,0,G111*(1-VLOOKUP($A112,[1]Hugst!$R$5:$W$9,MATCH(ROUNDUP((H$1)/10,0)*10,[1]Hugst!$R$4:$W$4,0))))</f>
        <v>0</v>
      </c>
      <c r="I112" s="169">
        <f ca="1">IF($C112-I$1&lt;År1,0,H111*(1-VLOOKUP($A112,[1]Hugst!$R$5:$W$9,MATCH(ROUNDUP((I$1)/10,0)*10,[1]Hugst!$R$4:$W$4,0))))</f>
        <v>0</v>
      </c>
      <c r="J112" s="169">
        <f ca="1">IF($C112-J$1&lt;År1,0,I111*(1-VLOOKUP($A112,[1]Hugst!$R$5:$W$9,MATCH(ROUNDUP((J$1)/10,0)*10,[1]Hugst!$R$4:$W$4,0))))</f>
        <v>0</v>
      </c>
      <c r="K112" s="169">
        <f ca="1">IF($C112-K$1&lt;År1,0,J111*(1-VLOOKUP($A112,[1]Hugst!$R$5:$W$9,MATCH(ROUNDUP((K$1)/10,0)*10,[1]Hugst!$R$4:$W$4,0))))</f>
        <v>0</v>
      </c>
      <c r="L112" s="169">
        <f ca="1">IF($C112-L$1&lt;År1,0,K111*(1-VLOOKUP($A112,[1]Hugst!$R$5:$W$9,MATCH(ROUNDUP((L$1)/10,0)*10,[1]Hugst!$R$4:$W$4,0))))</f>
        <v>0</v>
      </c>
      <c r="M112" s="169">
        <f ca="1">IF($C112-M$1&lt;År1,0,L111*(1-VLOOKUP($A112,[1]Hugst!$R$5:$W$9,MATCH(ROUNDUP((M$1)/10,0)*10,[1]Hugst!$R$4:$W$4,0))))</f>
        <v>0</v>
      </c>
      <c r="N112" s="169">
        <f ca="1">IF($C112-N$1&lt;År1,0,M111*(1-VLOOKUP($A112,[1]Hugst!$R$5:$W$9,MATCH(ROUNDUP((N$1)/10,0)*10,[1]Hugst!$R$4:$W$4,0))))</f>
        <v>0</v>
      </c>
      <c r="O112" s="169">
        <f ca="1">IF($C112-O$1&lt;År1,0,N111*(1-VLOOKUP($A112,[1]Hugst!$R$5:$W$9,MATCH(ROUNDUP((O$1)/10,0)*10,[1]Hugst!$R$4:$W$4,0))))</f>
        <v>0</v>
      </c>
      <c r="P112" s="169">
        <f ca="1">IF($C112-P$1&lt;År1,0,O111*(1-VLOOKUP($A112,[1]Hugst!$R$5:$W$9,MATCH(ROUNDUP((P$1)/10,0)*10,[1]Hugst!$R$4:$W$4,0))))</f>
        <v>0</v>
      </c>
      <c r="Q112" s="169">
        <f ca="1">IF($C112-Q$1&lt;År1,0,P111*(1-VLOOKUP($A112,[1]Hugst!$R$5:$W$9,MATCH(ROUNDUP((Q$1)/10,0)*10,[1]Hugst!$R$4:$W$4,0))))</f>
        <v>0</v>
      </c>
      <c r="R112" s="169">
        <f ca="1">IF($C112-R$1&lt;År1,0,Q111*(1-VLOOKUP($A112,[1]Hugst!$R$5:$W$9,MATCH(ROUNDUP((R$1)/10,0)*10,[1]Hugst!$R$4:$W$4,0))))</f>
        <v>0</v>
      </c>
      <c r="S112" s="169">
        <f ca="1">IF($C112-S$1&lt;År1,0,R111*(1-VLOOKUP($A112,[1]Hugst!$R$5:$W$9,MATCH(ROUNDUP((S$1)/10,0)*10,[1]Hugst!$R$4:$W$4,0))))</f>
        <v>0</v>
      </c>
      <c r="T112" s="169">
        <f ca="1">IF($C112-T$1&lt;År1,0,S111*(1-VLOOKUP($A112,[1]Hugst!$R$5:$W$9,MATCH(ROUNDUP((T$1)/10,0)*10,[1]Hugst!$R$4:$W$4,0))))</f>
        <v>0</v>
      </c>
      <c r="U112" s="169">
        <f ca="1">IF($C112-U$1&lt;År1,0,T111*(1-VLOOKUP($A112,[1]Hugst!$R$5:$W$9,MATCH(ROUNDUP((U$1)/10,0)*10,[1]Hugst!$R$4:$W$4,0))))</f>
        <v>0</v>
      </c>
      <c r="V112" s="169">
        <f ca="1">IF($C112-V$1&lt;År1,0,U111*(1-VLOOKUP($A112,[1]Hugst!$R$5:$W$9,MATCH(ROUNDUP((V$1)/10,0)*10,[1]Hugst!$R$4:$W$4,0))))</f>
        <v>0</v>
      </c>
      <c r="W112" s="169">
        <f ca="1">IF($C112-W$1&lt;År1,0,V111*(1-VLOOKUP($A112,[1]Hugst!$R$5:$W$9,MATCH(ROUNDUP((W$1)/10,0)*10,[1]Hugst!$R$4:$W$4,0))))</f>
        <v>0</v>
      </c>
      <c r="X112" s="169">
        <f>IF($C112-X$1&lt;År1,0,W111*(1-VLOOKUP($A112,[1]Hugst!$R$5:$W$9,MATCH(ROUNDUP((X$1)/10,0)*10,[1]Hugst!$R$4:$W$4,0))))</f>
        <v>0</v>
      </c>
      <c r="Y112" s="169">
        <f>IF($C112-Y$1&lt;År1,0,X111*(1-VLOOKUP($A112,[1]Hugst!$R$5:$W$9,MATCH(ROUNDUP((Y$1)/10,0)*10,[1]Hugst!$R$4:$W$4,0))))</f>
        <v>0</v>
      </c>
      <c r="Z112" s="169">
        <f>IF($C112-Z$1&lt;År1,0,Y111*(1-VLOOKUP($A112,[1]Hugst!$R$5:$W$9,MATCH(ROUNDUP((Z$1)/10,0)*10,[1]Hugst!$R$4:$W$4,0))))</f>
        <v>0</v>
      </c>
      <c r="AA112" s="169">
        <f>IF($C112-AA$1&lt;År1,0,Z111*(1-VLOOKUP($A112,[1]Hugst!$R$5:$W$9,MATCH(ROUNDUP((AA$1)/10,0)*10,[1]Hugst!$R$4:$W$4,0))))</f>
        <v>0</v>
      </c>
      <c r="AB112" s="169">
        <f>IF($C112-AB$1&lt;År1,0,AA111*(1-VLOOKUP($A112,[1]Hugst!$R$5:$W$9,MATCH(ROUNDUP((AB$1)/10,0)*10,[1]Hugst!$R$4:$W$4,0))))</f>
        <v>0</v>
      </c>
      <c r="AC112" s="169">
        <f>IF($C112-AC$1&lt;År1,0,AB111*(1-VLOOKUP($A112,[1]Hugst!$R$5:$W$9,MATCH(ROUNDUP((AC$1)/10,0)*10,[1]Hugst!$R$4:$W$4,0))))</f>
        <v>0</v>
      </c>
      <c r="AD112" s="169">
        <f>IF($C112-AD$1&lt;År1,0,AC111*(1-VLOOKUP($A112,[1]Hugst!$R$5:$W$9,MATCH(ROUNDUP((AD$1)/10,0)*10,[1]Hugst!$R$4:$W$4,0))))</f>
        <v>0</v>
      </c>
      <c r="AE112" s="169">
        <f>IF($C112-AE$1&lt;År1,0,AD111*(1-VLOOKUP($A112,[1]Hugst!$R$5:$W$9,MATCH(ROUNDUP((AE$1)/10,0)*10,[1]Hugst!$R$4:$W$4,0))))</f>
        <v>0</v>
      </c>
      <c r="AF112" s="169">
        <f>IF($C112-AF$1&lt;År1,0,AE111*(1-VLOOKUP($A112,[1]Hugst!$R$5:$W$9,MATCH(ROUNDUP((AF$1)/10,0)*10,[1]Hugst!$R$4:$W$4,0))))</f>
        <v>0</v>
      </c>
      <c r="AG112" s="169">
        <f>IF($C112-AG$1&lt;År1,0,AF111*(1-VLOOKUP($A112,[1]Hugst!$R$5:$W$9,MATCH(ROUNDUP((AG$1)/10,0)*10,[1]Hugst!$R$4:$W$4,0))))</f>
        <v>0</v>
      </c>
      <c r="AH112" s="169">
        <f>IF($C112-AH$1&lt;År1,0,AG111*(1-VLOOKUP($A112,[1]Hugst!$R$5:$W$9,MATCH(ROUNDUP((AH$1)/10,0)*10,[1]Hugst!$R$4:$W$4,0))))</f>
        <v>0</v>
      </c>
      <c r="AI112" s="169">
        <f>IF($C112-AI$1&lt;År1,0,AH111*(1-VLOOKUP($A112,[1]Hugst!$R$5:$W$9,MATCH(ROUNDUP((AI$1)/10,0)*10,[1]Hugst!$R$4:$W$4,0))))</f>
        <v>0</v>
      </c>
      <c r="AJ112" s="169">
        <f>IF($C112-AJ$1&lt;År1,0,AI111*(1-VLOOKUP($A112,[1]Hugst!$R$5:$W$9,MATCH(ROUNDUP((AJ$1)/10,0)*10,[1]Hugst!$R$4:$W$4,0))))</f>
        <v>0</v>
      </c>
    </row>
    <row r="113" spans="1:38" s="169" customFormat="1" x14ac:dyDescent="0.25">
      <c r="A113" s="169" t="s">
        <v>177</v>
      </c>
      <c r="B113" s="169" t="s">
        <v>24</v>
      </c>
      <c r="C113" s="169">
        <v>2038</v>
      </c>
      <c r="D113" s="169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0</v>
      </c>
      <c r="E113" s="169">
        <f t="shared" ca="1" si="2"/>
        <v>0</v>
      </c>
      <c r="F113" s="169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9">
        <f ca="1">IF($C113-G$1&lt;År1,0,F112*(1-VLOOKUP($A113,[1]Hugst!$R$5:$W$9,MATCH(ROUNDUP((G$1)/10,0)*10,[1]Hugst!$R$4:$W$4,0))))</f>
        <v>0</v>
      </c>
      <c r="H113" s="169">
        <f ca="1">IF($C113-H$1&lt;År1,0,G112*(1-VLOOKUP($A113,[1]Hugst!$R$5:$W$9,MATCH(ROUNDUP((H$1)/10,0)*10,[1]Hugst!$R$4:$W$4,0))))</f>
        <v>0</v>
      </c>
      <c r="I113" s="169">
        <f ca="1">IF($C113-I$1&lt;År1,0,H112*(1-VLOOKUP($A113,[1]Hugst!$R$5:$W$9,MATCH(ROUNDUP((I$1)/10,0)*10,[1]Hugst!$R$4:$W$4,0))))</f>
        <v>0</v>
      </c>
      <c r="J113" s="169">
        <f ca="1">IF($C113-J$1&lt;År1,0,I112*(1-VLOOKUP($A113,[1]Hugst!$R$5:$W$9,MATCH(ROUNDUP((J$1)/10,0)*10,[1]Hugst!$R$4:$W$4,0))))</f>
        <v>0</v>
      </c>
      <c r="K113" s="169">
        <f ca="1">IF($C113-K$1&lt;År1,0,J112*(1-VLOOKUP($A113,[1]Hugst!$R$5:$W$9,MATCH(ROUNDUP((K$1)/10,0)*10,[1]Hugst!$R$4:$W$4,0))))</f>
        <v>0</v>
      </c>
      <c r="L113" s="169">
        <f ca="1">IF($C113-L$1&lt;År1,0,K112*(1-VLOOKUP($A113,[1]Hugst!$R$5:$W$9,MATCH(ROUNDUP((L$1)/10,0)*10,[1]Hugst!$R$4:$W$4,0))))</f>
        <v>0</v>
      </c>
      <c r="M113" s="169">
        <f ca="1">IF($C113-M$1&lt;År1,0,L112*(1-VLOOKUP($A113,[1]Hugst!$R$5:$W$9,MATCH(ROUNDUP((M$1)/10,0)*10,[1]Hugst!$R$4:$W$4,0))))</f>
        <v>0</v>
      </c>
      <c r="N113" s="169">
        <f ca="1">IF($C113-N$1&lt;År1,0,M112*(1-VLOOKUP($A113,[1]Hugst!$R$5:$W$9,MATCH(ROUNDUP((N$1)/10,0)*10,[1]Hugst!$R$4:$W$4,0))))</f>
        <v>0</v>
      </c>
      <c r="O113" s="169">
        <f ca="1">IF($C113-O$1&lt;År1,0,N112*(1-VLOOKUP($A113,[1]Hugst!$R$5:$W$9,MATCH(ROUNDUP((O$1)/10,0)*10,[1]Hugst!$R$4:$W$4,0))))</f>
        <v>0</v>
      </c>
      <c r="P113" s="169">
        <f ca="1">IF($C113-P$1&lt;År1,0,O112*(1-VLOOKUP($A113,[1]Hugst!$R$5:$W$9,MATCH(ROUNDUP((P$1)/10,0)*10,[1]Hugst!$R$4:$W$4,0))))</f>
        <v>0</v>
      </c>
      <c r="Q113" s="169">
        <f ca="1">IF($C113-Q$1&lt;År1,0,P112*(1-VLOOKUP($A113,[1]Hugst!$R$5:$W$9,MATCH(ROUNDUP((Q$1)/10,0)*10,[1]Hugst!$R$4:$W$4,0))))</f>
        <v>0</v>
      </c>
      <c r="R113" s="169">
        <f ca="1">IF($C113-R$1&lt;År1,0,Q112*(1-VLOOKUP($A113,[1]Hugst!$R$5:$W$9,MATCH(ROUNDUP((R$1)/10,0)*10,[1]Hugst!$R$4:$W$4,0))))</f>
        <v>0</v>
      </c>
      <c r="S113" s="169">
        <f ca="1">IF($C113-S$1&lt;År1,0,R112*(1-VLOOKUP($A113,[1]Hugst!$R$5:$W$9,MATCH(ROUNDUP((S$1)/10,0)*10,[1]Hugst!$R$4:$W$4,0))))</f>
        <v>0</v>
      </c>
      <c r="T113" s="169">
        <f ca="1">IF($C113-T$1&lt;År1,0,S112*(1-VLOOKUP($A113,[1]Hugst!$R$5:$W$9,MATCH(ROUNDUP((T$1)/10,0)*10,[1]Hugst!$R$4:$W$4,0))))</f>
        <v>0</v>
      </c>
      <c r="U113" s="169">
        <f ca="1">IF($C113-U$1&lt;År1,0,T112*(1-VLOOKUP($A113,[1]Hugst!$R$5:$W$9,MATCH(ROUNDUP((U$1)/10,0)*10,[1]Hugst!$R$4:$W$4,0))))</f>
        <v>0</v>
      </c>
      <c r="V113" s="169">
        <f ca="1">IF($C113-V$1&lt;År1,0,U112*(1-VLOOKUP($A113,[1]Hugst!$R$5:$W$9,MATCH(ROUNDUP((V$1)/10,0)*10,[1]Hugst!$R$4:$W$4,0))))</f>
        <v>0</v>
      </c>
      <c r="W113" s="169">
        <f ca="1">IF($C113-W$1&lt;År1,0,V112*(1-VLOOKUP($A113,[1]Hugst!$R$5:$W$9,MATCH(ROUNDUP((W$1)/10,0)*10,[1]Hugst!$R$4:$W$4,0))))</f>
        <v>0</v>
      </c>
      <c r="X113" s="169">
        <f ca="1">IF($C113-X$1&lt;År1,0,W112*(1-VLOOKUP($A113,[1]Hugst!$R$5:$W$9,MATCH(ROUNDUP((X$1)/10,0)*10,[1]Hugst!$R$4:$W$4,0))))</f>
        <v>0</v>
      </c>
      <c r="Y113" s="169">
        <f>IF($C113-Y$1&lt;År1,0,X112*(1-VLOOKUP($A113,[1]Hugst!$R$5:$W$9,MATCH(ROUNDUP((Y$1)/10,0)*10,[1]Hugst!$R$4:$W$4,0))))</f>
        <v>0</v>
      </c>
      <c r="Z113" s="169">
        <f>IF($C113-Z$1&lt;År1,0,Y112*(1-VLOOKUP($A113,[1]Hugst!$R$5:$W$9,MATCH(ROUNDUP((Z$1)/10,0)*10,[1]Hugst!$R$4:$W$4,0))))</f>
        <v>0</v>
      </c>
      <c r="AA113" s="169">
        <f>IF($C113-AA$1&lt;År1,0,Z112*(1-VLOOKUP($A113,[1]Hugst!$R$5:$W$9,MATCH(ROUNDUP((AA$1)/10,0)*10,[1]Hugst!$R$4:$W$4,0))))</f>
        <v>0</v>
      </c>
      <c r="AB113" s="169">
        <f>IF($C113-AB$1&lt;År1,0,AA112*(1-VLOOKUP($A113,[1]Hugst!$R$5:$W$9,MATCH(ROUNDUP((AB$1)/10,0)*10,[1]Hugst!$R$4:$W$4,0))))</f>
        <v>0</v>
      </c>
      <c r="AC113" s="169">
        <f>IF($C113-AC$1&lt;År1,0,AB112*(1-VLOOKUP($A113,[1]Hugst!$R$5:$W$9,MATCH(ROUNDUP((AC$1)/10,0)*10,[1]Hugst!$R$4:$W$4,0))))</f>
        <v>0</v>
      </c>
      <c r="AD113" s="169">
        <f>IF($C113-AD$1&lt;År1,0,AC112*(1-VLOOKUP($A113,[1]Hugst!$R$5:$W$9,MATCH(ROUNDUP((AD$1)/10,0)*10,[1]Hugst!$R$4:$W$4,0))))</f>
        <v>0</v>
      </c>
      <c r="AE113" s="169">
        <f>IF($C113-AE$1&lt;År1,0,AD112*(1-VLOOKUP($A113,[1]Hugst!$R$5:$W$9,MATCH(ROUNDUP((AE$1)/10,0)*10,[1]Hugst!$R$4:$W$4,0))))</f>
        <v>0</v>
      </c>
      <c r="AF113" s="169">
        <f>IF($C113-AF$1&lt;År1,0,AE112*(1-VLOOKUP($A113,[1]Hugst!$R$5:$W$9,MATCH(ROUNDUP((AF$1)/10,0)*10,[1]Hugst!$R$4:$W$4,0))))</f>
        <v>0</v>
      </c>
      <c r="AG113" s="169">
        <f>IF($C113-AG$1&lt;År1,0,AF112*(1-VLOOKUP($A113,[1]Hugst!$R$5:$W$9,MATCH(ROUNDUP((AG$1)/10,0)*10,[1]Hugst!$R$4:$W$4,0))))</f>
        <v>0</v>
      </c>
      <c r="AH113" s="169">
        <f>IF($C113-AH$1&lt;År1,0,AG112*(1-VLOOKUP($A113,[1]Hugst!$R$5:$W$9,MATCH(ROUNDUP((AH$1)/10,0)*10,[1]Hugst!$R$4:$W$4,0))))</f>
        <v>0</v>
      </c>
      <c r="AI113" s="169">
        <f>IF($C113-AI$1&lt;År1,0,AH112*(1-VLOOKUP($A113,[1]Hugst!$R$5:$W$9,MATCH(ROUNDUP((AI$1)/10,0)*10,[1]Hugst!$R$4:$W$4,0))))</f>
        <v>0</v>
      </c>
      <c r="AJ113" s="169">
        <f>IF($C113-AJ$1&lt;År1,0,AI112*(1-VLOOKUP($A113,[1]Hugst!$R$5:$W$9,MATCH(ROUNDUP((AJ$1)/10,0)*10,[1]Hugst!$R$4:$W$4,0))))</f>
        <v>0</v>
      </c>
    </row>
    <row r="114" spans="1:38" s="169" customFormat="1" x14ac:dyDescent="0.25">
      <c r="A114" s="169" t="s">
        <v>177</v>
      </c>
      <c r="B114" s="169" t="s">
        <v>24</v>
      </c>
      <c r="C114" s="169">
        <v>2039</v>
      </c>
      <c r="D114" s="169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0</v>
      </c>
      <c r="E114" s="169">
        <f t="shared" ca="1" si="2"/>
        <v>0</v>
      </c>
      <c r="F114" s="169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9">
        <f ca="1">IF($C114-G$1&lt;År1,0,F113*(1-VLOOKUP($A114,[1]Hugst!$R$5:$W$9,MATCH(ROUNDUP((G$1)/10,0)*10,[1]Hugst!$R$4:$W$4,0))))</f>
        <v>0</v>
      </c>
      <c r="H114" s="169">
        <f ca="1">IF($C114-H$1&lt;År1,0,G113*(1-VLOOKUP($A114,[1]Hugst!$R$5:$W$9,MATCH(ROUNDUP((H$1)/10,0)*10,[1]Hugst!$R$4:$W$4,0))))</f>
        <v>0</v>
      </c>
      <c r="I114" s="169">
        <f ca="1">IF($C114-I$1&lt;År1,0,H113*(1-VLOOKUP($A114,[1]Hugst!$R$5:$W$9,MATCH(ROUNDUP((I$1)/10,0)*10,[1]Hugst!$R$4:$W$4,0))))</f>
        <v>0</v>
      </c>
      <c r="J114" s="169">
        <f ca="1">IF($C114-J$1&lt;År1,0,I113*(1-VLOOKUP($A114,[1]Hugst!$R$5:$W$9,MATCH(ROUNDUP((J$1)/10,0)*10,[1]Hugst!$R$4:$W$4,0))))</f>
        <v>0</v>
      </c>
      <c r="K114" s="169">
        <f ca="1">IF($C114-K$1&lt;År1,0,J113*(1-VLOOKUP($A114,[1]Hugst!$R$5:$W$9,MATCH(ROUNDUP((K$1)/10,0)*10,[1]Hugst!$R$4:$W$4,0))))</f>
        <v>0</v>
      </c>
      <c r="L114" s="169">
        <f ca="1">IF($C114-L$1&lt;År1,0,K113*(1-VLOOKUP($A114,[1]Hugst!$R$5:$W$9,MATCH(ROUNDUP((L$1)/10,0)*10,[1]Hugst!$R$4:$W$4,0))))</f>
        <v>0</v>
      </c>
      <c r="M114" s="169">
        <f ca="1">IF($C114-M$1&lt;År1,0,L113*(1-VLOOKUP($A114,[1]Hugst!$R$5:$W$9,MATCH(ROUNDUP((M$1)/10,0)*10,[1]Hugst!$R$4:$W$4,0))))</f>
        <v>0</v>
      </c>
      <c r="N114" s="169">
        <f ca="1">IF($C114-N$1&lt;År1,0,M113*(1-VLOOKUP($A114,[1]Hugst!$R$5:$W$9,MATCH(ROUNDUP((N$1)/10,0)*10,[1]Hugst!$R$4:$W$4,0))))</f>
        <v>0</v>
      </c>
      <c r="O114" s="169">
        <f ca="1">IF($C114-O$1&lt;År1,0,N113*(1-VLOOKUP($A114,[1]Hugst!$R$5:$W$9,MATCH(ROUNDUP((O$1)/10,0)*10,[1]Hugst!$R$4:$W$4,0))))</f>
        <v>0</v>
      </c>
      <c r="P114" s="169">
        <f ca="1">IF($C114-P$1&lt;År1,0,O113*(1-VLOOKUP($A114,[1]Hugst!$R$5:$W$9,MATCH(ROUNDUP((P$1)/10,0)*10,[1]Hugst!$R$4:$W$4,0))))</f>
        <v>0</v>
      </c>
      <c r="Q114" s="169">
        <f ca="1">IF($C114-Q$1&lt;År1,0,P113*(1-VLOOKUP($A114,[1]Hugst!$R$5:$W$9,MATCH(ROUNDUP((Q$1)/10,0)*10,[1]Hugst!$R$4:$W$4,0))))</f>
        <v>0</v>
      </c>
      <c r="R114" s="169">
        <f ca="1">IF($C114-R$1&lt;År1,0,Q113*(1-VLOOKUP($A114,[1]Hugst!$R$5:$W$9,MATCH(ROUNDUP((R$1)/10,0)*10,[1]Hugst!$R$4:$W$4,0))))</f>
        <v>0</v>
      </c>
      <c r="S114" s="169">
        <f ca="1">IF($C114-S$1&lt;År1,0,R113*(1-VLOOKUP($A114,[1]Hugst!$R$5:$W$9,MATCH(ROUNDUP((S$1)/10,0)*10,[1]Hugst!$R$4:$W$4,0))))</f>
        <v>0</v>
      </c>
      <c r="T114" s="169">
        <f ca="1">IF($C114-T$1&lt;År1,0,S113*(1-VLOOKUP($A114,[1]Hugst!$R$5:$W$9,MATCH(ROUNDUP((T$1)/10,0)*10,[1]Hugst!$R$4:$W$4,0))))</f>
        <v>0</v>
      </c>
      <c r="U114" s="169">
        <f ca="1">IF($C114-U$1&lt;År1,0,T113*(1-VLOOKUP($A114,[1]Hugst!$R$5:$W$9,MATCH(ROUNDUP((U$1)/10,0)*10,[1]Hugst!$R$4:$W$4,0))))</f>
        <v>0</v>
      </c>
      <c r="V114" s="169">
        <f ca="1">IF($C114-V$1&lt;År1,0,U113*(1-VLOOKUP($A114,[1]Hugst!$R$5:$W$9,MATCH(ROUNDUP((V$1)/10,0)*10,[1]Hugst!$R$4:$W$4,0))))</f>
        <v>0</v>
      </c>
      <c r="W114" s="169">
        <f ca="1">IF($C114-W$1&lt;År1,0,V113*(1-VLOOKUP($A114,[1]Hugst!$R$5:$W$9,MATCH(ROUNDUP((W$1)/10,0)*10,[1]Hugst!$R$4:$W$4,0))))</f>
        <v>0</v>
      </c>
      <c r="X114" s="169">
        <f ca="1">IF($C114-X$1&lt;År1,0,W113*(1-VLOOKUP($A114,[1]Hugst!$R$5:$W$9,MATCH(ROUNDUP((X$1)/10,0)*10,[1]Hugst!$R$4:$W$4,0))))</f>
        <v>0</v>
      </c>
      <c r="Y114" s="169">
        <f ca="1">IF($C114-Y$1&lt;År1,0,X113*(1-VLOOKUP($A114,[1]Hugst!$R$5:$W$9,MATCH(ROUNDUP((Y$1)/10,0)*10,[1]Hugst!$R$4:$W$4,0))))</f>
        <v>0</v>
      </c>
      <c r="Z114" s="169">
        <f>IF($C114-Z$1&lt;År1,0,Y113*(1-VLOOKUP($A114,[1]Hugst!$R$5:$W$9,MATCH(ROUNDUP((Z$1)/10,0)*10,[1]Hugst!$R$4:$W$4,0))))</f>
        <v>0</v>
      </c>
      <c r="AA114" s="169">
        <f>IF($C114-AA$1&lt;År1,0,Z113*(1-VLOOKUP($A114,[1]Hugst!$R$5:$W$9,MATCH(ROUNDUP((AA$1)/10,0)*10,[1]Hugst!$R$4:$W$4,0))))</f>
        <v>0</v>
      </c>
      <c r="AB114" s="169">
        <f>IF($C114-AB$1&lt;År1,0,AA113*(1-VLOOKUP($A114,[1]Hugst!$R$5:$W$9,MATCH(ROUNDUP((AB$1)/10,0)*10,[1]Hugst!$R$4:$W$4,0))))</f>
        <v>0</v>
      </c>
      <c r="AC114" s="169">
        <f>IF($C114-AC$1&lt;År1,0,AB113*(1-VLOOKUP($A114,[1]Hugst!$R$5:$W$9,MATCH(ROUNDUP((AC$1)/10,0)*10,[1]Hugst!$R$4:$W$4,0))))</f>
        <v>0</v>
      </c>
      <c r="AD114" s="169">
        <f>IF($C114-AD$1&lt;År1,0,AC113*(1-VLOOKUP($A114,[1]Hugst!$R$5:$W$9,MATCH(ROUNDUP((AD$1)/10,0)*10,[1]Hugst!$R$4:$W$4,0))))</f>
        <v>0</v>
      </c>
      <c r="AE114" s="169">
        <f>IF($C114-AE$1&lt;År1,0,AD113*(1-VLOOKUP($A114,[1]Hugst!$R$5:$W$9,MATCH(ROUNDUP((AE$1)/10,0)*10,[1]Hugst!$R$4:$W$4,0))))</f>
        <v>0</v>
      </c>
      <c r="AF114" s="169">
        <f>IF($C114-AF$1&lt;År1,0,AE113*(1-VLOOKUP($A114,[1]Hugst!$R$5:$W$9,MATCH(ROUNDUP((AF$1)/10,0)*10,[1]Hugst!$R$4:$W$4,0))))</f>
        <v>0</v>
      </c>
      <c r="AG114" s="169">
        <f>IF($C114-AG$1&lt;År1,0,AF113*(1-VLOOKUP($A114,[1]Hugst!$R$5:$W$9,MATCH(ROUNDUP((AG$1)/10,0)*10,[1]Hugst!$R$4:$W$4,0))))</f>
        <v>0</v>
      </c>
      <c r="AH114" s="169">
        <f>IF($C114-AH$1&lt;År1,0,AG113*(1-VLOOKUP($A114,[1]Hugst!$R$5:$W$9,MATCH(ROUNDUP((AH$1)/10,0)*10,[1]Hugst!$R$4:$W$4,0))))</f>
        <v>0</v>
      </c>
      <c r="AI114" s="169">
        <f>IF($C114-AI$1&lt;År1,0,AH113*(1-VLOOKUP($A114,[1]Hugst!$R$5:$W$9,MATCH(ROUNDUP((AI$1)/10,0)*10,[1]Hugst!$R$4:$W$4,0))))</f>
        <v>0</v>
      </c>
      <c r="AJ114" s="169">
        <f>IF($C114-AJ$1&lt;År1,0,AI113*(1-VLOOKUP($A114,[1]Hugst!$R$5:$W$9,MATCH(ROUNDUP((AJ$1)/10,0)*10,[1]Hugst!$R$4:$W$4,0))))</f>
        <v>0</v>
      </c>
    </row>
    <row r="115" spans="1:38" s="169" customFormat="1" x14ac:dyDescent="0.25">
      <c r="A115" s="169" t="s">
        <v>177</v>
      </c>
      <c r="B115" s="169" t="s">
        <v>24</v>
      </c>
      <c r="C115" s="169">
        <v>2040</v>
      </c>
      <c r="D115" s="169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0</v>
      </c>
      <c r="E115" s="169">
        <f t="shared" ca="1" si="2"/>
        <v>0</v>
      </c>
      <c r="F115" s="169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9">
        <f ca="1">IF($C115-G$1&lt;År1,0,F114*(1-VLOOKUP($A115,[1]Hugst!$R$5:$W$9,MATCH(ROUNDUP((G$1)/10,0)*10,[1]Hugst!$R$4:$W$4,0))))</f>
        <v>0</v>
      </c>
      <c r="H115" s="169">
        <f ca="1">IF($C115-H$1&lt;År1,0,G114*(1-VLOOKUP($A115,[1]Hugst!$R$5:$W$9,MATCH(ROUNDUP((H$1)/10,0)*10,[1]Hugst!$R$4:$W$4,0))))</f>
        <v>0</v>
      </c>
      <c r="I115" s="169">
        <f ca="1">IF($C115-I$1&lt;År1,0,H114*(1-VLOOKUP($A115,[1]Hugst!$R$5:$W$9,MATCH(ROUNDUP((I$1)/10,0)*10,[1]Hugst!$R$4:$W$4,0))))</f>
        <v>0</v>
      </c>
      <c r="J115" s="169">
        <f ca="1">IF($C115-J$1&lt;År1,0,I114*(1-VLOOKUP($A115,[1]Hugst!$R$5:$W$9,MATCH(ROUNDUP((J$1)/10,0)*10,[1]Hugst!$R$4:$W$4,0))))</f>
        <v>0</v>
      </c>
      <c r="K115" s="169">
        <f ca="1">IF($C115-K$1&lt;År1,0,J114*(1-VLOOKUP($A115,[1]Hugst!$R$5:$W$9,MATCH(ROUNDUP((K$1)/10,0)*10,[1]Hugst!$R$4:$W$4,0))))</f>
        <v>0</v>
      </c>
      <c r="L115" s="169">
        <f ca="1">IF($C115-L$1&lt;År1,0,K114*(1-VLOOKUP($A115,[1]Hugst!$R$5:$W$9,MATCH(ROUNDUP((L$1)/10,0)*10,[1]Hugst!$R$4:$W$4,0))))</f>
        <v>0</v>
      </c>
      <c r="M115" s="169">
        <f ca="1">IF($C115-M$1&lt;År1,0,L114*(1-VLOOKUP($A115,[1]Hugst!$R$5:$W$9,MATCH(ROUNDUP((M$1)/10,0)*10,[1]Hugst!$R$4:$W$4,0))))</f>
        <v>0</v>
      </c>
      <c r="N115" s="169">
        <f ca="1">IF($C115-N$1&lt;År1,0,M114*(1-VLOOKUP($A115,[1]Hugst!$R$5:$W$9,MATCH(ROUNDUP((N$1)/10,0)*10,[1]Hugst!$R$4:$W$4,0))))</f>
        <v>0</v>
      </c>
      <c r="O115" s="169">
        <f ca="1">IF($C115-O$1&lt;År1,0,N114*(1-VLOOKUP($A115,[1]Hugst!$R$5:$W$9,MATCH(ROUNDUP((O$1)/10,0)*10,[1]Hugst!$R$4:$W$4,0))))</f>
        <v>0</v>
      </c>
      <c r="P115" s="169">
        <f ca="1">IF($C115-P$1&lt;År1,0,O114*(1-VLOOKUP($A115,[1]Hugst!$R$5:$W$9,MATCH(ROUNDUP((P$1)/10,0)*10,[1]Hugst!$R$4:$W$4,0))))</f>
        <v>0</v>
      </c>
      <c r="Q115" s="169">
        <f ca="1">IF($C115-Q$1&lt;År1,0,P114*(1-VLOOKUP($A115,[1]Hugst!$R$5:$W$9,MATCH(ROUNDUP((Q$1)/10,0)*10,[1]Hugst!$R$4:$W$4,0))))</f>
        <v>0</v>
      </c>
      <c r="R115" s="169">
        <f ca="1">IF($C115-R$1&lt;År1,0,Q114*(1-VLOOKUP($A115,[1]Hugst!$R$5:$W$9,MATCH(ROUNDUP((R$1)/10,0)*10,[1]Hugst!$R$4:$W$4,0))))</f>
        <v>0</v>
      </c>
      <c r="S115" s="169">
        <f ca="1">IF($C115-S$1&lt;År1,0,R114*(1-VLOOKUP($A115,[1]Hugst!$R$5:$W$9,MATCH(ROUNDUP((S$1)/10,0)*10,[1]Hugst!$R$4:$W$4,0))))</f>
        <v>0</v>
      </c>
      <c r="T115" s="169">
        <f ca="1">IF($C115-T$1&lt;År1,0,S114*(1-VLOOKUP($A115,[1]Hugst!$R$5:$W$9,MATCH(ROUNDUP((T$1)/10,0)*10,[1]Hugst!$R$4:$W$4,0))))</f>
        <v>0</v>
      </c>
      <c r="U115" s="169">
        <f ca="1">IF($C115-U$1&lt;År1,0,T114*(1-VLOOKUP($A115,[1]Hugst!$R$5:$W$9,MATCH(ROUNDUP((U$1)/10,0)*10,[1]Hugst!$R$4:$W$4,0))))</f>
        <v>0</v>
      </c>
      <c r="V115" s="169">
        <f ca="1">IF($C115-V$1&lt;År1,0,U114*(1-VLOOKUP($A115,[1]Hugst!$R$5:$W$9,MATCH(ROUNDUP((V$1)/10,0)*10,[1]Hugst!$R$4:$W$4,0))))</f>
        <v>0</v>
      </c>
      <c r="W115" s="169">
        <f ca="1">IF($C115-W$1&lt;År1,0,V114*(1-VLOOKUP($A115,[1]Hugst!$R$5:$W$9,MATCH(ROUNDUP((W$1)/10,0)*10,[1]Hugst!$R$4:$W$4,0))))</f>
        <v>0</v>
      </c>
      <c r="X115" s="169">
        <f ca="1">IF($C115-X$1&lt;År1,0,W114*(1-VLOOKUP($A115,[1]Hugst!$R$5:$W$9,MATCH(ROUNDUP((X$1)/10,0)*10,[1]Hugst!$R$4:$W$4,0))))</f>
        <v>0</v>
      </c>
      <c r="Y115" s="169">
        <f ca="1">IF($C115-Y$1&lt;År1,0,X114*(1-VLOOKUP($A115,[1]Hugst!$R$5:$W$9,MATCH(ROUNDUP((Y$1)/10,0)*10,[1]Hugst!$R$4:$W$4,0))))</f>
        <v>0</v>
      </c>
      <c r="Z115" s="169">
        <f ca="1">IF($C115-Z$1&lt;År1,0,Y114*(1-VLOOKUP($A115,[1]Hugst!$R$5:$W$9,MATCH(ROUNDUP((Z$1)/10,0)*10,[1]Hugst!$R$4:$W$4,0))))</f>
        <v>0</v>
      </c>
      <c r="AA115" s="169">
        <f>IF($C115-AA$1&lt;År1,0,Z114*(1-VLOOKUP($A115,[1]Hugst!$R$5:$W$9,MATCH(ROUNDUP((AA$1)/10,0)*10,[1]Hugst!$R$4:$W$4,0))))</f>
        <v>0</v>
      </c>
      <c r="AB115" s="169">
        <f>IF($C115-AB$1&lt;År1,0,AA114*(1-VLOOKUP($A115,[1]Hugst!$R$5:$W$9,MATCH(ROUNDUP((AB$1)/10,0)*10,[1]Hugst!$R$4:$W$4,0))))</f>
        <v>0</v>
      </c>
      <c r="AC115" s="169">
        <f>IF($C115-AC$1&lt;År1,0,AB114*(1-VLOOKUP($A115,[1]Hugst!$R$5:$W$9,MATCH(ROUNDUP((AC$1)/10,0)*10,[1]Hugst!$R$4:$W$4,0))))</f>
        <v>0</v>
      </c>
      <c r="AD115" s="169">
        <f>IF($C115-AD$1&lt;År1,0,AC114*(1-VLOOKUP($A115,[1]Hugst!$R$5:$W$9,MATCH(ROUNDUP((AD$1)/10,0)*10,[1]Hugst!$R$4:$W$4,0))))</f>
        <v>0</v>
      </c>
      <c r="AE115" s="169">
        <f>IF($C115-AE$1&lt;År1,0,AD114*(1-VLOOKUP($A115,[1]Hugst!$R$5:$W$9,MATCH(ROUNDUP((AE$1)/10,0)*10,[1]Hugst!$R$4:$W$4,0))))</f>
        <v>0</v>
      </c>
      <c r="AF115" s="169">
        <f>IF($C115-AF$1&lt;År1,0,AE114*(1-VLOOKUP($A115,[1]Hugst!$R$5:$W$9,MATCH(ROUNDUP((AF$1)/10,0)*10,[1]Hugst!$R$4:$W$4,0))))</f>
        <v>0</v>
      </c>
      <c r="AG115" s="169">
        <f>IF($C115-AG$1&lt;År1,0,AF114*(1-VLOOKUP($A115,[1]Hugst!$R$5:$W$9,MATCH(ROUNDUP((AG$1)/10,0)*10,[1]Hugst!$R$4:$W$4,0))))</f>
        <v>0</v>
      </c>
      <c r="AH115" s="169">
        <f>IF($C115-AH$1&lt;År1,0,AG114*(1-VLOOKUP($A115,[1]Hugst!$R$5:$W$9,MATCH(ROUNDUP((AH$1)/10,0)*10,[1]Hugst!$R$4:$W$4,0))))</f>
        <v>0</v>
      </c>
      <c r="AI115" s="169">
        <f>IF($C115-AI$1&lt;År1,0,AH114*(1-VLOOKUP($A115,[1]Hugst!$R$5:$W$9,MATCH(ROUNDUP((AI$1)/10,0)*10,[1]Hugst!$R$4:$W$4,0))))</f>
        <v>0</v>
      </c>
      <c r="AJ115" s="169">
        <f>IF($C115-AJ$1&lt;År1,0,AI114*(1-VLOOKUP($A115,[1]Hugst!$R$5:$W$9,MATCH(ROUNDUP((AJ$1)/10,0)*10,[1]Hugst!$R$4:$W$4,0))))</f>
        <v>0</v>
      </c>
    </row>
    <row r="116" spans="1:38" s="169" customFormat="1" x14ac:dyDescent="0.25">
      <c r="A116" s="169" t="s">
        <v>177</v>
      </c>
      <c r="B116" s="169" t="s">
        <v>24</v>
      </c>
      <c r="C116" s="169">
        <v>2041</v>
      </c>
      <c r="D116" s="169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0</v>
      </c>
      <c r="E116" s="169">
        <f t="shared" ca="1" si="2"/>
        <v>0</v>
      </c>
      <c r="F116" s="169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9">
        <f ca="1">IF($C116-G$1&lt;År1,0,F115*(1-VLOOKUP($A116,[1]Hugst!$R$5:$W$9,MATCH(ROUNDUP((G$1)/10,0)*10,[1]Hugst!$R$4:$W$4,0))))</f>
        <v>0</v>
      </c>
      <c r="H116" s="169">
        <f ca="1">IF($C116-H$1&lt;År1,0,G115*(1-VLOOKUP($A116,[1]Hugst!$R$5:$W$9,MATCH(ROUNDUP((H$1)/10,0)*10,[1]Hugst!$R$4:$W$4,0))))</f>
        <v>0</v>
      </c>
      <c r="I116" s="169">
        <f ca="1">IF($C116-I$1&lt;År1,0,H115*(1-VLOOKUP($A116,[1]Hugst!$R$5:$W$9,MATCH(ROUNDUP((I$1)/10,0)*10,[1]Hugst!$R$4:$W$4,0))))</f>
        <v>0</v>
      </c>
      <c r="J116" s="169">
        <f ca="1">IF($C116-J$1&lt;År1,0,I115*(1-VLOOKUP($A116,[1]Hugst!$R$5:$W$9,MATCH(ROUNDUP((J$1)/10,0)*10,[1]Hugst!$R$4:$W$4,0))))</f>
        <v>0</v>
      </c>
      <c r="K116" s="169">
        <f ca="1">IF($C116-K$1&lt;År1,0,J115*(1-VLOOKUP($A116,[1]Hugst!$R$5:$W$9,MATCH(ROUNDUP((K$1)/10,0)*10,[1]Hugst!$R$4:$W$4,0))))</f>
        <v>0</v>
      </c>
      <c r="L116" s="169">
        <f ca="1">IF($C116-L$1&lt;År1,0,K115*(1-VLOOKUP($A116,[1]Hugst!$R$5:$W$9,MATCH(ROUNDUP((L$1)/10,0)*10,[1]Hugst!$R$4:$W$4,0))))</f>
        <v>0</v>
      </c>
      <c r="M116" s="169">
        <f ca="1">IF($C116-M$1&lt;År1,0,L115*(1-VLOOKUP($A116,[1]Hugst!$R$5:$W$9,MATCH(ROUNDUP((M$1)/10,0)*10,[1]Hugst!$R$4:$W$4,0))))</f>
        <v>0</v>
      </c>
      <c r="N116" s="169">
        <f ca="1">IF($C116-N$1&lt;År1,0,M115*(1-VLOOKUP($A116,[1]Hugst!$R$5:$W$9,MATCH(ROUNDUP((N$1)/10,0)*10,[1]Hugst!$R$4:$W$4,0))))</f>
        <v>0</v>
      </c>
      <c r="O116" s="169">
        <f ca="1">IF($C116-O$1&lt;År1,0,N115*(1-VLOOKUP($A116,[1]Hugst!$R$5:$W$9,MATCH(ROUNDUP((O$1)/10,0)*10,[1]Hugst!$R$4:$W$4,0))))</f>
        <v>0</v>
      </c>
      <c r="P116" s="169">
        <f ca="1">IF($C116-P$1&lt;År1,0,O115*(1-VLOOKUP($A116,[1]Hugst!$R$5:$W$9,MATCH(ROUNDUP((P$1)/10,0)*10,[1]Hugst!$R$4:$W$4,0))))</f>
        <v>0</v>
      </c>
      <c r="Q116" s="169">
        <f ca="1">IF($C116-Q$1&lt;År1,0,P115*(1-VLOOKUP($A116,[1]Hugst!$R$5:$W$9,MATCH(ROUNDUP((Q$1)/10,0)*10,[1]Hugst!$R$4:$W$4,0))))</f>
        <v>0</v>
      </c>
      <c r="R116" s="169">
        <f ca="1">IF($C116-R$1&lt;År1,0,Q115*(1-VLOOKUP($A116,[1]Hugst!$R$5:$W$9,MATCH(ROUNDUP((R$1)/10,0)*10,[1]Hugst!$R$4:$W$4,0))))</f>
        <v>0</v>
      </c>
      <c r="S116" s="169">
        <f ca="1">IF($C116-S$1&lt;År1,0,R115*(1-VLOOKUP($A116,[1]Hugst!$R$5:$W$9,MATCH(ROUNDUP((S$1)/10,0)*10,[1]Hugst!$R$4:$W$4,0))))</f>
        <v>0</v>
      </c>
      <c r="T116" s="169">
        <f ca="1">IF($C116-T$1&lt;År1,0,S115*(1-VLOOKUP($A116,[1]Hugst!$R$5:$W$9,MATCH(ROUNDUP((T$1)/10,0)*10,[1]Hugst!$R$4:$W$4,0))))</f>
        <v>0</v>
      </c>
      <c r="U116" s="169">
        <f ca="1">IF($C116-U$1&lt;År1,0,T115*(1-VLOOKUP($A116,[1]Hugst!$R$5:$W$9,MATCH(ROUNDUP((U$1)/10,0)*10,[1]Hugst!$R$4:$W$4,0))))</f>
        <v>0</v>
      </c>
      <c r="V116" s="169">
        <f ca="1">IF($C116-V$1&lt;År1,0,U115*(1-VLOOKUP($A116,[1]Hugst!$R$5:$W$9,MATCH(ROUNDUP((V$1)/10,0)*10,[1]Hugst!$R$4:$W$4,0))))</f>
        <v>0</v>
      </c>
      <c r="W116" s="169">
        <f ca="1">IF($C116-W$1&lt;År1,0,V115*(1-VLOOKUP($A116,[1]Hugst!$R$5:$W$9,MATCH(ROUNDUP((W$1)/10,0)*10,[1]Hugst!$R$4:$W$4,0))))</f>
        <v>0</v>
      </c>
      <c r="X116" s="169">
        <f ca="1">IF($C116-X$1&lt;År1,0,W115*(1-VLOOKUP($A116,[1]Hugst!$R$5:$W$9,MATCH(ROUNDUP((X$1)/10,0)*10,[1]Hugst!$R$4:$W$4,0))))</f>
        <v>0</v>
      </c>
      <c r="Y116" s="169">
        <f ca="1">IF($C116-Y$1&lt;År1,0,X115*(1-VLOOKUP($A116,[1]Hugst!$R$5:$W$9,MATCH(ROUNDUP((Y$1)/10,0)*10,[1]Hugst!$R$4:$W$4,0))))</f>
        <v>0</v>
      </c>
      <c r="Z116" s="169">
        <f ca="1">IF($C116-Z$1&lt;År1,0,Y115*(1-VLOOKUP($A116,[1]Hugst!$R$5:$W$9,MATCH(ROUNDUP((Z$1)/10,0)*10,[1]Hugst!$R$4:$W$4,0))))</f>
        <v>0</v>
      </c>
      <c r="AA116" s="169">
        <f ca="1">IF($C116-AA$1&lt;År1,0,Z115*(1-VLOOKUP($A116,[1]Hugst!$R$5:$W$9,MATCH(ROUNDUP((AA$1)/10,0)*10,[1]Hugst!$R$4:$W$4,0))))</f>
        <v>0</v>
      </c>
      <c r="AB116" s="169">
        <f>IF($C116-AB$1&lt;År1,0,AA115*(1-VLOOKUP($A116,[1]Hugst!$R$5:$W$9,MATCH(ROUNDUP((AB$1)/10,0)*10,[1]Hugst!$R$4:$W$4,0))))</f>
        <v>0</v>
      </c>
      <c r="AC116" s="169">
        <f>IF($C116-AC$1&lt;År1,0,AB115*(1-VLOOKUP($A116,[1]Hugst!$R$5:$W$9,MATCH(ROUNDUP((AC$1)/10,0)*10,[1]Hugst!$R$4:$W$4,0))))</f>
        <v>0</v>
      </c>
      <c r="AD116" s="169">
        <f>IF($C116-AD$1&lt;År1,0,AC115*(1-VLOOKUP($A116,[1]Hugst!$R$5:$W$9,MATCH(ROUNDUP((AD$1)/10,0)*10,[1]Hugst!$R$4:$W$4,0))))</f>
        <v>0</v>
      </c>
      <c r="AE116" s="169">
        <f>IF($C116-AE$1&lt;År1,0,AD115*(1-VLOOKUP($A116,[1]Hugst!$R$5:$W$9,MATCH(ROUNDUP((AE$1)/10,0)*10,[1]Hugst!$R$4:$W$4,0))))</f>
        <v>0</v>
      </c>
      <c r="AF116" s="169">
        <f>IF($C116-AF$1&lt;År1,0,AE115*(1-VLOOKUP($A116,[1]Hugst!$R$5:$W$9,MATCH(ROUNDUP((AF$1)/10,0)*10,[1]Hugst!$R$4:$W$4,0))))</f>
        <v>0</v>
      </c>
      <c r="AG116" s="169">
        <f>IF($C116-AG$1&lt;År1,0,AF115*(1-VLOOKUP($A116,[1]Hugst!$R$5:$W$9,MATCH(ROUNDUP((AG$1)/10,0)*10,[1]Hugst!$R$4:$W$4,0))))</f>
        <v>0</v>
      </c>
      <c r="AH116" s="169">
        <f>IF($C116-AH$1&lt;År1,0,AG115*(1-VLOOKUP($A116,[1]Hugst!$R$5:$W$9,MATCH(ROUNDUP((AH$1)/10,0)*10,[1]Hugst!$R$4:$W$4,0))))</f>
        <v>0</v>
      </c>
      <c r="AI116" s="169">
        <f>IF($C116-AI$1&lt;År1,0,AH115*(1-VLOOKUP($A116,[1]Hugst!$R$5:$W$9,MATCH(ROUNDUP((AI$1)/10,0)*10,[1]Hugst!$R$4:$W$4,0))))</f>
        <v>0</v>
      </c>
      <c r="AJ116" s="169">
        <f>IF($C116-AJ$1&lt;År1,0,AI115*(1-VLOOKUP($A116,[1]Hugst!$R$5:$W$9,MATCH(ROUNDUP((AJ$1)/10,0)*10,[1]Hugst!$R$4:$W$4,0))))</f>
        <v>0</v>
      </c>
    </row>
    <row r="117" spans="1:38" s="169" customFormat="1" x14ac:dyDescent="0.25">
      <c r="A117" s="169" t="s">
        <v>177</v>
      </c>
      <c r="B117" s="169" t="s">
        <v>24</v>
      </c>
      <c r="C117" s="169">
        <v>2042</v>
      </c>
      <c r="D117" s="169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0</v>
      </c>
      <c r="E117" s="169">
        <f t="shared" ca="1" si="2"/>
        <v>0</v>
      </c>
      <c r="F117" s="169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9">
        <f ca="1">IF($C117-G$1&lt;År1,0,F116*(1-VLOOKUP($A117,[1]Hugst!$R$5:$W$9,MATCH(ROUNDUP((G$1)/10,0)*10,[1]Hugst!$R$4:$W$4,0))))</f>
        <v>0</v>
      </c>
      <c r="H117" s="169">
        <f ca="1">IF($C117-H$1&lt;År1,0,G116*(1-VLOOKUP($A117,[1]Hugst!$R$5:$W$9,MATCH(ROUNDUP((H$1)/10,0)*10,[1]Hugst!$R$4:$W$4,0))))</f>
        <v>0</v>
      </c>
      <c r="I117" s="169">
        <f ca="1">IF($C117-I$1&lt;År1,0,H116*(1-VLOOKUP($A117,[1]Hugst!$R$5:$W$9,MATCH(ROUNDUP((I$1)/10,0)*10,[1]Hugst!$R$4:$W$4,0))))</f>
        <v>0</v>
      </c>
      <c r="J117" s="169">
        <f ca="1">IF($C117-J$1&lt;År1,0,I116*(1-VLOOKUP($A117,[1]Hugst!$R$5:$W$9,MATCH(ROUNDUP((J$1)/10,0)*10,[1]Hugst!$R$4:$W$4,0))))</f>
        <v>0</v>
      </c>
      <c r="K117" s="169">
        <f ca="1">IF($C117-K$1&lt;År1,0,J116*(1-VLOOKUP($A117,[1]Hugst!$R$5:$W$9,MATCH(ROUNDUP((K$1)/10,0)*10,[1]Hugst!$R$4:$W$4,0))))</f>
        <v>0</v>
      </c>
      <c r="L117" s="169">
        <f ca="1">IF($C117-L$1&lt;År1,0,K116*(1-VLOOKUP($A117,[1]Hugst!$R$5:$W$9,MATCH(ROUNDUP((L$1)/10,0)*10,[1]Hugst!$R$4:$W$4,0))))</f>
        <v>0</v>
      </c>
      <c r="M117" s="169">
        <f ca="1">IF($C117-M$1&lt;År1,0,L116*(1-VLOOKUP($A117,[1]Hugst!$R$5:$W$9,MATCH(ROUNDUP((M$1)/10,0)*10,[1]Hugst!$R$4:$W$4,0))))</f>
        <v>0</v>
      </c>
      <c r="N117" s="169">
        <f ca="1">IF($C117-N$1&lt;År1,0,M116*(1-VLOOKUP($A117,[1]Hugst!$R$5:$W$9,MATCH(ROUNDUP((N$1)/10,0)*10,[1]Hugst!$R$4:$W$4,0))))</f>
        <v>0</v>
      </c>
      <c r="O117" s="169">
        <f ca="1">IF($C117-O$1&lt;År1,0,N116*(1-VLOOKUP($A117,[1]Hugst!$R$5:$W$9,MATCH(ROUNDUP((O$1)/10,0)*10,[1]Hugst!$R$4:$W$4,0))))</f>
        <v>0</v>
      </c>
      <c r="P117" s="169">
        <f ca="1">IF($C117-P$1&lt;År1,0,O116*(1-VLOOKUP($A117,[1]Hugst!$R$5:$W$9,MATCH(ROUNDUP((P$1)/10,0)*10,[1]Hugst!$R$4:$W$4,0))))</f>
        <v>0</v>
      </c>
      <c r="Q117" s="169">
        <f ca="1">IF($C117-Q$1&lt;År1,0,P116*(1-VLOOKUP($A117,[1]Hugst!$R$5:$W$9,MATCH(ROUNDUP((Q$1)/10,0)*10,[1]Hugst!$R$4:$W$4,0))))</f>
        <v>0</v>
      </c>
      <c r="R117" s="169">
        <f ca="1">IF($C117-R$1&lt;År1,0,Q116*(1-VLOOKUP($A117,[1]Hugst!$R$5:$W$9,MATCH(ROUNDUP((R$1)/10,0)*10,[1]Hugst!$R$4:$W$4,0))))</f>
        <v>0</v>
      </c>
      <c r="S117" s="169">
        <f ca="1">IF($C117-S$1&lt;År1,0,R116*(1-VLOOKUP($A117,[1]Hugst!$R$5:$W$9,MATCH(ROUNDUP((S$1)/10,0)*10,[1]Hugst!$R$4:$W$4,0))))</f>
        <v>0</v>
      </c>
      <c r="T117" s="169">
        <f ca="1">IF($C117-T$1&lt;År1,0,S116*(1-VLOOKUP($A117,[1]Hugst!$R$5:$W$9,MATCH(ROUNDUP((T$1)/10,0)*10,[1]Hugst!$R$4:$W$4,0))))</f>
        <v>0</v>
      </c>
      <c r="U117" s="169">
        <f ca="1">IF($C117-U$1&lt;År1,0,T116*(1-VLOOKUP($A117,[1]Hugst!$R$5:$W$9,MATCH(ROUNDUP((U$1)/10,0)*10,[1]Hugst!$R$4:$W$4,0))))</f>
        <v>0</v>
      </c>
      <c r="V117" s="169">
        <f ca="1">IF($C117-V$1&lt;År1,0,U116*(1-VLOOKUP($A117,[1]Hugst!$R$5:$W$9,MATCH(ROUNDUP((V$1)/10,0)*10,[1]Hugst!$R$4:$W$4,0))))</f>
        <v>0</v>
      </c>
      <c r="W117" s="169">
        <f ca="1">IF($C117-W$1&lt;År1,0,V116*(1-VLOOKUP($A117,[1]Hugst!$R$5:$W$9,MATCH(ROUNDUP((W$1)/10,0)*10,[1]Hugst!$R$4:$W$4,0))))</f>
        <v>0</v>
      </c>
      <c r="X117" s="169">
        <f ca="1">IF($C117-X$1&lt;År1,0,W116*(1-VLOOKUP($A117,[1]Hugst!$R$5:$W$9,MATCH(ROUNDUP((X$1)/10,0)*10,[1]Hugst!$R$4:$W$4,0))))</f>
        <v>0</v>
      </c>
      <c r="Y117" s="169">
        <f ca="1">IF($C117-Y$1&lt;År1,0,X116*(1-VLOOKUP($A117,[1]Hugst!$R$5:$W$9,MATCH(ROUNDUP((Y$1)/10,0)*10,[1]Hugst!$R$4:$W$4,0))))</f>
        <v>0</v>
      </c>
      <c r="Z117" s="169">
        <f ca="1">IF($C117-Z$1&lt;År1,0,Y116*(1-VLOOKUP($A117,[1]Hugst!$R$5:$W$9,MATCH(ROUNDUP((Z$1)/10,0)*10,[1]Hugst!$R$4:$W$4,0))))</f>
        <v>0</v>
      </c>
      <c r="AA117" s="169">
        <f ca="1">IF($C117-AA$1&lt;År1,0,Z116*(1-VLOOKUP($A117,[1]Hugst!$R$5:$W$9,MATCH(ROUNDUP((AA$1)/10,0)*10,[1]Hugst!$R$4:$W$4,0))))</f>
        <v>0</v>
      </c>
      <c r="AB117" s="169">
        <f ca="1">IF($C117-AB$1&lt;År1,0,AA116*(1-VLOOKUP($A117,[1]Hugst!$R$5:$W$9,MATCH(ROUNDUP((AB$1)/10,0)*10,[1]Hugst!$R$4:$W$4,0))))</f>
        <v>0</v>
      </c>
      <c r="AC117" s="169">
        <f>IF($C117-AC$1&lt;År1,0,AB116*(1-VLOOKUP($A117,[1]Hugst!$R$5:$W$9,MATCH(ROUNDUP((AC$1)/10,0)*10,[1]Hugst!$R$4:$W$4,0))))</f>
        <v>0</v>
      </c>
      <c r="AD117" s="169">
        <f>IF($C117-AD$1&lt;År1,0,AC116*(1-VLOOKUP($A117,[1]Hugst!$R$5:$W$9,MATCH(ROUNDUP((AD$1)/10,0)*10,[1]Hugst!$R$4:$W$4,0))))</f>
        <v>0</v>
      </c>
      <c r="AE117" s="169">
        <f>IF($C117-AE$1&lt;År1,0,AD116*(1-VLOOKUP($A117,[1]Hugst!$R$5:$W$9,MATCH(ROUNDUP((AE$1)/10,0)*10,[1]Hugst!$R$4:$W$4,0))))</f>
        <v>0</v>
      </c>
      <c r="AF117" s="169">
        <f>IF($C117-AF$1&lt;År1,0,AE116*(1-VLOOKUP($A117,[1]Hugst!$R$5:$W$9,MATCH(ROUNDUP((AF$1)/10,0)*10,[1]Hugst!$R$4:$W$4,0))))</f>
        <v>0</v>
      </c>
      <c r="AG117" s="169">
        <f>IF($C117-AG$1&lt;År1,0,AF116*(1-VLOOKUP($A117,[1]Hugst!$R$5:$W$9,MATCH(ROUNDUP((AG$1)/10,0)*10,[1]Hugst!$R$4:$W$4,0))))</f>
        <v>0</v>
      </c>
      <c r="AH117" s="169">
        <f>IF($C117-AH$1&lt;År1,0,AG116*(1-VLOOKUP($A117,[1]Hugst!$R$5:$W$9,MATCH(ROUNDUP((AH$1)/10,0)*10,[1]Hugst!$R$4:$W$4,0))))</f>
        <v>0</v>
      </c>
      <c r="AI117" s="169">
        <f>IF($C117-AI$1&lt;År1,0,AH116*(1-VLOOKUP($A117,[1]Hugst!$R$5:$W$9,MATCH(ROUNDUP((AI$1)/10,0)*10,[1]Hugst!$R$4:$W$4,0))))</f>
        <v>0</v>
      </c>
      <c r="AJ117" s="169">
        <f>IF($C117-AJ$1&lt;År1,0,AI116*(1-VLOOKUP($A117,[1]Hugst!$R$5:$W$9,MATCH(ROUNDUP((AJ$1)/10,0)*10,[1]Hugst!$R$4:$W$4,0))))</f>
        <v>0</v>
      </c>
    </row>
    <row r="118" spans="1:38" s="169" customFormat="1" x14ac:dyDescent="0.25">
      <c r="A118" s="169" t="s">
        <v>177</v>
      </c>
      <c r="B118" s="169" t="s">
        <v>24</v>
      </c>
      <c r="C118" s="169">
        <v>2043</v>
      </c>
      <c r="D118" s="169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0</v>
      </c>
      <c r="E118" s="169">
        <f t="shared" ca="1" si="2"/>
        <v>0</v>
      </c>
      <c r="F118" s="169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9">
        <f ca="1">IF($C118-G$1&lt;År1,0,F117*(1-VLOOKUP($A118,[1]Hugst!$R$5:$W$9,MATCH(ROUNDUP((G$1)/10,0)*10,[1]Hugst!$R$4:$W$4,0))))</f>
        <v>0</v>
      </c>
      <c r="H118" s="169">
        <f ca="1">IF($C118-H$1&lt;År1,0,G117*(1-VLOOKUP($A118,[1]Hugst!$R$5:$W$9,MATCH(ROUNDUP((H$1)/10,0)*10,[1]Hugst!$R$4:$W$4,0))))</f>
        <v>0</v>
      </c>
      <c r="I118" s="169">
        <f ca="1">IF($C118-I$1&lt;År1,0,H117*(1-VLOOKUP($A118,[1]Hugst!$R$5:$W$9,MATCH(ROUNDUP((I$1)/10,0)*10,[1]Hugst!$R$4:$W$4,0))))</f>
        <v>0</v>
      </c>
      <c r="J118" s="169">
        <f ca="1">IF($C118-J$1&lt;År1,0,I117*(1-VLOOKUP($A118,[1]Hugst!$R$5:$W$9,MATCH(ROUNDUP((J$1)/10,0)*10,[1]Hugst!$R$4:$W$4,0))))</f>
        <v>0</v>
      </c>
      <c r="K118" s="169">
        <f ca="1">IF($C118-K$1&lt;År1,0,J117*(1-VLOOKUP($A118,[1]Hugst!$R$5:$W$9,MATCH(ROUNDUP((K$1)/10,0)*10,[1]Hugst!$R$4:$W$4,0))))</f>
        <v>0</v>
      </c>
      <c r="L118" s="169">
        <f ca="1">IF($C118-L$1&lt;År1,0,K117*(1-VLOOKUP($A118,[1]Hugst!$R$5:$W$9,MATCH(ROUNDUP((L$1)/10,0)*10,[1]Hugst!$R$4:$W$4,0))))</f>
        <v>0</v>
      </c>
      <c r="M118" s="169">
        <f ca="1">IF($C118-M$1&lt;År1,0,L117*(1-VLOOKUP($A118,[1]Hugst!$R$5:$W$9,MATCH(ROUNDUP((M$1)/10,0)*10,[1]Hugst!$R$4:$W$4,0))))</f>
        <v>0</v>
      </c>
      <c r="N118" s="169">
        <f ca="1">IF($C118-N$1&lt;År1,0,M117*(1-VLOOKUP($A118,[1]Hugst!$R$5:$W$9,MATCH(ROUNDUP((N$1)/10,0)*10,[1]Hugst!$R$4:$W$4,0))))</f>
        <v>0</v>
      </c>
      <c r="O118" s="169">
        <f ca="1">IF($C118-O$1&lt;År1,0,N117*(1-VLOOKUP($A118,[1]Hugst!$R$5:$W$9,MATCH(ROUNDUP((O$1)/10,0)*10,[1]Hugst!$R$4:$W$4,0))))</f>
        <v>0</v>
      </c>
      <c r="P118" s="169">
        <f ca="1">IF($C118-P$1&lt;År1,0,O117*(1-VLOOKUP($A118,[1]Hugst!$R$5:$W$9,MATCH(ROUNDUP((P$1)/10,0)*10,[1]Hugst!$R$4:$W$4,0))))</f>
        <v>0</v>
      </c>
      <c r="Q118" s="169">
        <f ca="1">IF($C118-Q$1&lt;År1,0,P117*(1-VLOOKUP($A118,[1]Hugst!$R$5:$W$9,MATCH(ROUNDUP((Q$1)/10,0)*10,[1]Hugst!$R$4:$W$4,0))))</f>
        <v>0</v>
      </c>
      <c r="R118" s="169">
        <f ca="1">IF($C118-R$1&lt;År1,0,Q117*(1-VLOOKUP($A118,[1]Hugst!$R$5:$W$9,MATCH(ROUNDUP((R$1)/10,0)*10,[1]Hugst!$R$4:$W$4,0))))</f>
        <v>0</v>
      </c>
      <c r="S118" s="169">
        <f ca="1">IF($C118-S$1&lt;År1,0,R117*(1-VLOOKUP($A118,[1]Hugst!$R$5:$W$9,MATCH(ROUNDUP((S$1)/10,0)*10,[1]Hugst!$R$4:$W$4,0))))</f>
        <v>0</v>
      </c>
      <c r="T118" s="169">
        <f ca="1">IF($C118-T$1&lt;År1,0,S117*(1-VLOOKUP($A118,[1]Hugst!$R$5:$W$9,MATCH(ROUNDUP((T$1)/10,0)*10,[1]Hugst!$R$4:$W$4,0))))</f>
        <v>0</v>
      </c>
      <c r="U118" s="169">
        <f ca="1">IF($C118-U$1&lt;År1,0,T117*(1-VLOOKUP($A118,[1]Hugst!$R$5:$W$9,MATCH(ROUNDUP((U$1)/10,0)*10,[1]Hugst!$R$4:$W$4,0))))</f>
        <v>0</v>
      </c>
      <c r="V118" s="169">
        <f ca="1">IF($C118-V$1&lt;År1,0,U117*(1-VLOOKUP($A118,[1]Hugst!$R$5:$W$9,MATCH(ROUNDUP((V$1)/10,0)*10,[1]Hugst!$R$4:$W$4,0))))</f>
        <v>0</v>
      </c>
      <c r="W118" s="169">
        <f ca="1">IF($C118-W$1&lt;År1,0,V117*(1-VLOOKUP($A118,[1]Hugst!$R$5:$W$9,MATCH(ROUNDUP((W$1)/10,0)*10,[1]Hugst!$R$4:$W$4,0))))</f>
        <v>0</v>
      </c>
      <c r="X118" s="169">
        <f ca="1">IF($C118-X$1&lt;År1,0,W117*(1-VLOOKUP($A118,[1]Hugst!$R$5:$W$9,MATCH(ROUNDUP((X$1)/10,0)*10,[1]Hugst!$R$4:$W$4,0))))</f>
        <v>0</v>
      </c>
      <c r="Y118" s="169">
        <f ca="1">IF($C118-Y$1&lt;År1,0,X117*(1-VLOOKUP($A118,[1]Hugst!$R$5:$W$9,MATCH(ROUNDUP((Y$1)/10,0)*10,[1]Hugst!$R$4:$W$4,0))))</f>
        <v>0</v>
      </c>
      <c r="Z118" s="169">
        <f ca="1">IF($C118-Z$1&lt;År1,0,Y117*(1-VLOOKUP($A118,[1]Hugst!$R$5:$W$9,MATCH(ROUNDUP((Z$1)/10,0)*10,[1]Hugst!$R$4:$W$4,0))))</f>
        <v>0</v>
      </c>
      <c r="AA118" s="169">
        <f ca="1">IF($C118-AA$1&lt;År1,0,Z117*(1-VLOOKUP($A118,[1]Hugst!$R$5:$W$9,MATCH(ROUNDUP((AA$1)/10,0)*10,[1]Hugst!$R$4:$W$4,0))))</f>
        <v>0</v>
      </c>
      <c r="AB118" s="169">
        <f ca="1">IF($C118-AB$1&lt;År1,0,AA117*(1-VLOOKUP($A118,[1]Hugst!$R$5:$W$9,MATCH(ROUNDUP((AB$1)/10,0)*10,[1]Hugst!$R$4:$W$4,0))))</f>
        <v>0</v>
      </c>
      <c r="AC118" s="169">
        <f ca="1">IF($C118-AC$1&lt;År1,0,AB117*(1-VLOOKUP($A118,[1]Hugst!$R$5:$W$9,MATCH(ROUNDUP((AC$1)/10,0)*10,[1]Hugst!$R$4:$W$4,0))))</f>
        <v>0</v>
      </c>
      <c r="AD118" s="169">
        <f>IF($C118-AD$1&lt;År1,0,AC117*(1-VLOOKUP($A118,[1]Hugst!$R$5:$W$9,MATCH(ROUNDUP((AD$1)/10,0)*10,[1]Hugst!$R$4:$W$4,0))))</f>
        <v>0</v>
      </c>
      <c r="AE118" s="169">
        <f>IF($C118-AE$1&lt;År1,0,AD117*(1-VLOOKUP($A118,[1]Hugst!$R$5:$W$9,MATCH(ROUNDUP((AE$1)/10,0)*10,[1]Hugst!$R$4:$W$4,0))))</f>
        <v>0</v>
      </c>
      <c r="AF118" s="169">
        <f>IF($C118-AF$1&lt;År1,0,AE117*(1-VLOOKUP($A118,[1]Hugst!$R$5:$W$9,MATCH(ROUNDUP((AF$1)/10,0)*10,[1]Hugst!$R$4:$W$4,0))))</f>
        <v>0</v>
      </c>
      <c r="AG118" s="169">
        <f>IF($C118-AG$1&lt;År1,0,AF117*(1-VLOOKUP($A118,[1]Hugst!$R$5:$W$9,MATCH(ROUNDUP((AG$1)/10,0)*10,[1]Hugst!$R$4:$W$4,0))))</f>
        <v>0</v>
      </c>
      <c r="AH118" s="169">
        <f>IF($C118-AH$1&lt;År1,0,AG117*(1-VLOOKUP($A118,[1]Hugst!$R$5:$W$9,MATCH(ROUNDUP((AH$1)/10,0)*10,[1]Hugst!$R$4:$W$4,0))))</f>
        <v>0</v>
      </c>
      <c r="AI118" s="169">
        <f>IF($C118-AI$1&lt;År1,0,AH117*(1-VLOOKUP($A118,[1]Hugst!$R$5:$W$9,MATCH(ROUNDUP((AI$1)/10,0)*10,[1]Hugst!$R$4:$W$4,0))))</f>
        <v>0</v>
      </c>
      <c r="AJ118" s="169">
        <f>IF($C118-AJ$1&lt;År1,0,AI117*(1-VLOOKUP($A118,[1]Hugst!$R$5:$W$9,MATCH(ROUNDUP((AJ$1)/10,0)*10,[1]Hugst!$R$4:$W$4,0))))</f>
        <v>0</v>
      </c>
    </row>
    <row r="119" spans="1:38" s="169" customFormat="1" x14ac:dyDescent="0.25">
      <c r="A119" s="169" t="s">
        <v>177</v>
      </c>
      <c r="B119" s="169" t="s">
        <v>24</v>
      </c>
      <c r="C119" s="169">
        <v>2044</v>
      </c>
      <c r="D119" s="169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0</v>
      </c>
      <c r="E119" s="169">
        <f t="shared" ca="1" si="2"/>
        <v>0</v>
      </c>
      <c r="F119" s="169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9">
        <f ca="1">IF($C119-G$1&lt;År1,0,F118*(1-VLOOKUP($A119,[1]Hugst!$R$5:$W$9,MATCH(ROUNDUP((G$1)/10,0)*10,[1]Hugst!$R$4:$W$4,0))))</f>
        <v>0</v>
      </c>
      <c r="H119" s="169">
        <f ca="1">IF($C119-H$1&lt;År1,0,G118*(1-VLOOKUP($A119,[1]Hugst!$R$5:$W$9,MATCH(ROUNDUP((H$1)/10,0)*10,[1]Hugst!$R$4:$W$4,0))))</f>
        <v>0</v>
      </c>
      <c r="I119" s="169">
        <f ca="1">IF($C119-I$1&lt;År1,0,H118*(1-VLOOKUP($A119,[1]Hugst!$R$5:$W$9,MATCH(ROUNDUP((I$1)/10,0)*10,[1]Hugst!$R$4:$W$4,0))))</f>
        <v>0</v>
      </c>
      <c r="J119" s="169">
        <f ca="1">IF($C119-J$1&lt;År1,0,I118*(1-VLOOKUP($A119,[1]Hugst!$R$5:$W$9,MATCH(ROUNDUP((J$1)/10,0)*10,[1]Hugst!$R$4:$W$4,0))))</f>
        <v>0</v>
      </c>
      <c r="K119" s="169">
        <f ca="1">IF($C119-K$1&lt;År1,0,J118*(1-VLOOKUP($A119,[1]Hugst!$R$5:$W$9,MATCH(ROUNDUP((K$1)/10,0)*10,[1]Hugst!$R$4:$W$4,0))))</f>
        <v>0</v>
      </c>
      <c r="L119" s="169">
        <f ca="1">IF($C119-L$1&lt;År1,0,K118*(1-VLOOKUP($A119,[1]Hugst!$R$5:$W$9,MATCH(ROUNDUP((L$1)/10,0)*10,[1]Hugst!$R$4:$W$4,0))))</f>
        <v>0</v>
      </c>
      <c r="M119" s="169">
        <f ca="1">IF($C119-M$1&lt;År1,0,L118*(1-VLOOKUP($A119,[1]Hugst!$R$5:$W$9,MATCH(ROUNDUP((M$1)/10,0)*10,[1]Hugst!$R$4:$W$4,0))))</f>
        <v>0</v>
      </c>
      <c r="N119" s="169">
        <f ca="1">IF($C119-N$1&lt;År1,0,M118*(1-VLOOKUP($A119,[1]Hugst!$R$5:$W$9,MATCH(ROUNDUP((N$1)/10,0)*10,[1]Hugst!$R$4:$W$4,0))))</f>
        <v>0</v>
      </c>
      <c r="O119" s="169">
        <f ca="1">IF($C119-O$1&lt;År1,0,N118*(1-VLOOKUP($A119,[1]Hugst!$R$5:$W$9,MATCH(ROUNDUP((O$1)/10,0)*10,[1]Hugst!$R$4:$W$4,0))))</f>
        <v>0</v>
      </c>
      <c r="P119" s="169">
        <f ca="1">IF($C119-P$1&lt;År1,0,O118*(1-VLOOKUP($A119,[1]Hugst!$R$5:$W$9,MATCH(ROUNDUP((P$1)/10,0)*10,[1]Hugst!$R$4:$W$4,0))))</f>
        <v>0</v>
      </c>
      <c r="Q119" s="169">
        <f ca="1">IF($C119-Q$1&lt;År1,0,P118*(1-VLOOKUP($A119,[1]Hugst!$R$5:$W$9,MATCH(ROUNDUP((Q$1)/10,0)*10,[1]Hugst!$R$4:$W$4,0))))</f>
        <v>0</v>
      </c>
      <c r="R119" s="169">
        <f ca="1">IF($C119-R$1&lt;År1,0,Q118*(1-VLOOKUP($A119,[1]Hugst!$R$5:$W$9,MATCH(ROUNDUP((R$1)/10,0)*10,[1]Hugst!$R$4:$W$4,0))))</f>
        <v>0</v>
      </c>
      <c r="S119" s="169">
        <f ca="1">IF($C119-S$1&lt;År1,0,R118*(1-VLOOKUP($A119,[1]Hugst!$R$5:$W$9,MATCH(ROUNDUP((S$1)/10,0)*10,[1]Hugst!$R$4:$W$4,0))))</f>
        <v>0</v>
      </c>
      <c r="T119" s="169">
        <f ca="1">IF($C119-T$1&lt;År1,0,S118*(1-VLOOKUP($A119,[1]Hugst!$R$5:$W$9,MATCH(ROUNDUP((T$1)/10,0)*10,[1]Hugst!$R$4:$W$4,0))))</f>
        <v>0</v>
      </c>
      <c r="U119" s="169">
        <f ca="1">IF($C119-U$1&lt;År1,0,T118*(1-VLOOKUP($A119,[1]Hugst!$R$5:$W$9,MATCH(ROUNDUP((U$1)/10,0)*10,[1]Hugst!$R$4:$W$4,0))))</f>
        <v>0</v>
      </c>
      <c r="V119" s="169">
        <f ca="1">IF($C119-V$1&lt;År1,0,U118*(1-VLOOKUP($A119,[1]Hugst!$R$5:$W$9,MATCH(ROUNDUP((V$1)/10,0)*10,[1]Hugst!$R$4:$W$4,0))))</f>
        <v>0</v>
      </c>
      <c r="W119" s="169">
        <f ca="1">IF($C119-W$1&lt;År1,0,V118*(1-VLOOKUP($A119,[1]Hugst!$R$5:$W$9,MATCH(ROUNDUP((W$1)/10,0)*10,[1]Hugst!$R$4:$W$4,0))))</f>
        <v>0</v>
      </c>
      <c r="X119" s="169">
        <f ca="1">IF($C119-X$1&lt;År1,0,W118*(1-VLOOKUP($A119,[1]Hugst!$R$5:$W$9,MATCH(ROUNDUP((X$1)/10,0)*10,[1]Hugst!$R$4:$W$4,0))))</f>
        <v>0</v>
      </c>
      <c r="Y119" s="169">
        <f ca="1">IF($C119-Y$1&lt;År1,0,X118*(1-VLOOKUP($A119,[1]Hugst!$R$5:$W$9,MATCH(ROUNDUP((Y$1)/10,0)*10,[1]Hugst!$R$4:$W$4,0))))</f>
        <v>0</v>
      </c>
      <c r="Z119" s="169">
        <f ca="1">IF($C119-Z$1&lt;År1,0,Y118*(1-VLOOKUP($A119,[1]Hugst!$R$5:$W$9,MATCH(ROUNDUP((Z$1)/10,0)*10,[1]Hugst!$R$4:$W$4,0))))</f>
        <v>0</v>
      </c>
      <c r="AA119" s="169">
        <f ca="1">IF($C119-AA$1&lt;År1,0,Z118*(1-VLOOKUP($A119,[1]Hugst!$R$5:$W$9,MATCH(ROUNDUP((AA$1)/10,0)*10,[1]Hugst!$R$4:$W$4,0))))</f>
        <v>0</v>
      </c>
      <c r="AB119" s="169">
        <f ca="1">IF($C119-AB$1&lt;År1,0,AA118*(1-VLOOKUP($A119,[1]Hugst!$R$5:$W$9,MATCH(ROUNDUP((AB$1)/10,0)*10,[1]Hugst!$R$4:$W$4,0))))</f>
        <v>0</v>
      </c>
      <c r="AC119" s="169">
        <f ca="1">IF($C119-AC$1&lt;År1,0,AB118*(1-VLOOKUP($A119,[1]Hugst!$R$5:$W$9,MATCH(ROUNDUP((AC$1)/10,0)*10,[1]Hugst!$R$4:$W$4,0))))</f>
        <v>0</v>
      </c>
      <c r="AD119" s="169">
        <f ca="1">IF($C119-AD$1&lt;År1,0,AC118*(1-VLOOKUP($A119,[1]Hugst!$R$5:$W$9,MATCH(ROUNDUP((AD$1)/10,0)*10,[1]Hugst!$R$4:$W$4,0))))</f>
        <v>0</v>
      </c>
      <c r="AE119" s="169">
        <f>IF($C119-AE$1&lt;År1,0,AD118*(1-VLOOKUP($A119,[1]Hugst!$R$5:$W$9,MATCH(ROUNDUP((AE$1)/10,0)*10,[1]Hugst!$R$4:$W$4,0))))</f>
        <v>0</v>
      </c>
      <c r="AF119" s="169">
        <f>IF($C119-AF$1&lt;År1,0,AE118*(1-VLOOKUP($A119,[1]Hugst!$R$5:$W$9,MATCH(ROUNDUP((AF$1)/10,0)*10,[1]Hugst!$R$4:$W$4,0))))</f>
        <v>0</v>
      </c>
      <c r="AG119" s="169">
        <f>IF($C119-AG$1&lt;År1,0,AF118*(1-VLOOKUP($A119,[1]Hugst!$R$5:$W$9,MATCH(ROUNDUP((AG$1)/10,0)*10,[1]Hugst!$R$4:$W$4,0))))</f>
        <v>0</v>
      </c>
      <c r="AH119" s="169">
        <f>IF($C119-AH$1&lt;År1,0,AG118*(1-VLOOKUP($A119,[1]Hugst!$R$5:$W$9,MATCH(ROUNDUP((AH$1)/10,0)*10,[1]Hugst!$R$4:$W$4,0))))</f>
        <v>0</v>
      </c>
      <c r="AI119" s="169">
        <f>IF($C119-AI$1&lt;År1,0,AH118*(1-VLOOKUP($A119,[1]Hugst!$R$5:$W$9,MATCH(ROUNDUP((AI$1)/10,0)*10,[1]Hugst!$R$4:$W$4,0))))</f>
        <v>0</v>
      </c>
      <c r="AJ119" s="169">
        <f>IF($C119-AJ$1&lt;År1,0,AI118*(1-VLOOKUP($A119,[1]Hugst!$R$5:$W$9,MATCH(ROUNDUP((AJ$1)/10,0)*10,[1]Hugst!$R$4:$W$4,0))))</f>
        <v>0</v>
      </c>
    </row>
    <row r="120" spans="1:38" s="169" customFormat="1" x14ac:dyDescent="0.25">
      <c r="A120" s="169" t="s">
        <v>177</v>
      </c>
      <c r="B120" s="169" t="s">
        <v>24</v>
      </c>
      <c r="C120" s="169">
        <v>2045</v>
      </c>
      <c r="D120" s="169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0</v>
      </c>
      <c r="E120" s="169">
        <f t="shared" ca="1" si="2"/>
        <v>0</v>
      </c>
      <c r="F120" s="169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9">
        <f ca="1">IF($C120-G$1&lt;År1,0,F119*(1-VLOOKUP($A120,[1]Hugst!$R$5:$W$9,MATCH(ROUNDUP((G$1)/10,0)*10,[1]Hugst!$R$4:$W$4,0))))</f>
        <v>0</v>
      </c>
      <c r="H120" s="169">
        <f ca="1">IF($C120-H$1&lt;År1,0,G119*(1-VLOOKUP($A120,[1]Hugst!$R$5:$W$9,MATCH(ROUNDUP((H$1)/10,0)*10,[1]Hugst!$R$4:$W$4,0))))</f>
        <v>0</v>
      </c>
      <c r="I120" s="169">
        <f ca="1">IF($C120-I$1&lt;År1,0,H119*(1-VLOOKUP($A120,[1]Hugst!$R$5:$W$9,MATCH(ROUNDUP((I$1)/10,0)*10,[1]Hugst!$R$4:$W$4,0))))</f>
        <v>0</v>
      </c>
      <c r="J120" s="169">
        <f ca="1">IF($C120-J$1&lt;År1,0,I119*(1-VLOOKUP($A120,[1]Hugst!$R$5:$W$9,MATCH(ROUNDUP((J$1)/10,0)*10,[1]Hugst!$R$4:$W$4,0))))</f>
        <v>0</v>
      </c>
      <c r="K120" s="169">
        <f ca="1">IF($C120-K$1&lt;År1,0,J119*(1-VLOOKUP($A120,[1]Hugst!$R$5:$W$9,MATCH(ROUNDUP((K$1)/10,0)*10,[1]Hugst!$R$4:$W$4,0))))</f>
        <v>0</v>
      </c>
      <c r="L120" s="169">
        <f ca="1">IF($C120-L$1&lt;År1,0,K119*(1-VLOOKUP($A120,[1]Hugst!$R$5:$W$9,MATCH(ROUNDUP((L$1)/10,0)*10,[1]Hugst!$R$4:$W$4,0))))</f>
        <v>0</v>
      </c>
      <c r="M120" s="169">
        <f ca="1">IF($C120-M$1&lt;År1,0,L119*(1-VLOOKUP($A120,[1]Hugst!$R$5:$W$9,MATCH(ROUNDUP((M$1)/10,0)*10,[1]Hugst!$R$4:$W$4,0))))</f>
        <v>0</v>
      </c>
      <c r="N120" s="169">
        <f ca="1">IF($C120-N$1&lt;År1,0,M119*(1-VLOOKUP($A120,[1]Hugst!$R$5:$W$9,MATCH(ROUNDUP((N$1)/10,0)*10,[1]Hugst!$R$4:$W$4,0))))</f>
        <v>0</v>
      </c>
      <c r="O120" s="169">
        <f ca="1">IF($C120-O$1&lt;År1,0,N119*(1-VLOOKUP($A120,[1]Hugst!$R$5:$W$9,MATCH(ROUNDUP((O$1)/10,0)*10,[1]Hugst!$R$4:$W$4,0))))</f>
        <v>0</v>
      </c>
      <c r="P120" s="169">
        <f ca="1">IF($C120-P$1&lt;År1,0,O119*(1-VLOOKUP($A120,[1]Hugst!$R$5:$W$9,MATCH(ROUNDUP((P$1)/10,0)*10,[1]Hugst!$R$4:$W$4,0))))</f>
        <v>0</v>
      </c>
      <c r="Q120" s="169">
        <f ca="1">IF($C120-Q$1&lt;År1,0,P119*(1-VLOOKUP($A120,[1]Hugst!$R$5:$W$9,MATCH(ROUNDUP((Q$1)/10,0)*10,[1]Hugst!$R$4:$W$4,0))))</f>
        <v>0</v>
      </c>
      <c r="R120" s="169">
        <f ca="1">IF($C120-R$1&lt;År1,0,Q119*(1-VLOOKUP($A120,[1]Hugst!$R$5:$W$9,MATCH(ROUNDUP((R$1)/10,0)*10,[1]Hugst!$R$4:$W$4,0))))</f>
        <v>0</v>
      </c>
      <c r="S120" s="169">
        <f ca="1">IF($C120-S$1&lt;År1,0,R119*(1-VLOOKUP($A120,[1]Hugst!$R$5:$W$9,MATCH(ROUNDUP((S$1)/10,0)*10,[1]Hugst!$R$4:$W$4,0))))</f>
        <v>0</v>
      </c>
      <c r="T120" s="169">
        <f ca="1">IF($C120-T$1&lt;År1,0,S119*(1-VLOOKUP($A120,[1]Hugst!$R$5:$W$9,MATCH(ROUNDUP((T$1)/10,0)*10,[1]Hugst!$R$4:$W$4,0))))</f>
        <v>0</v>
      </c>
      <c r="U120" s="169">
        <f ca="1">IF($C120-U$1&lt;År1,0,T119*(1-VLOOKUP($A120,[1]Hugst!$R$5:$W$9,MATCH(ROUNDUP((U$1)/10,0)*10,[1]Hugst!$R$4:$W$4,0))))</f>
        <v>0</v>
      </c>
      <c r="V120" s="169">
        <f ca="1">IF($C120-V$1&lt;År1,0,U119*(1-VLOOKUP($A120,[1]Hugst!$R$5:$W$9,MATCH(ROUNDUP((V$1)/10,0)*10,[1]Hugst!$R$4:$W$4,0))))</f>
        <v>0</v>
      </c>
      <c r="W120" s="169">
        <f ca="1">IF($C120-W$1&lt;År1,0,V119*(1-VLOOKUP($A120,[1]Hugst!$R$5:$W$9,MATCH(ROUNDUP((W$1)/10,0)*10,[1]Hugst!$R$4:$W$4,0))))</f>
        <v>0</v>
      </c>
      <c r="X120" s="169">
        <f ca="1">IF($C120-X$1&lt;År1,0,W119*(1-VLOOKUP($A120,[1]Hugst!$R$5:$W$9,MATCH(ROUNDUP((X$1)/10,0)*10,[1]Hugst!$R$4:$W$4,0))))</f>
        <v>0</v>
      </c>
      <c r="Y120" s="169">
        <f ca="1">IF($C120-Y$1&lt;År1,0,X119*(1-VLOOKUP($A120,[1]Hugst!$R$5:$W$9,MATCH(ROUNDUP((Y$1)/10,0)*10,[1]Hugst!$R$4:$W$4,0))))</f>
        <v>0</v>
      </c>
      <c r="Z120" s="169">
        <f ca="1">IF($C120-Z$1&lt;År1,0,Y119*(1-VLOOKUP($A120,[1]Hugst!$R$5:$W$9,MATCH(ROUNDUP((Z$1)/10,0)*10,[1]Hugst!$R$4:$W$4,0))))</f>
        <v>0</v>
      </c>
      <c r="AA120" s="169">
        <f ca="1">IF($C120-AA$1&lt;År1,0,Z119*(1-VLOOKUP($A120,[1]Hugst!$R$5:$W$9,MATCH(ROUNDUP((AA$1)/10,0)*10,[1]Hugst!$R$4:$W$4,0))))</f>
        <v>0</v>
      </c>
      <c r="AB120" s="169">
        <f ca="1">IF($C120-AB$1&lt;År1,0,AA119*(1-VLOOKUP($A120,[1]Hugst!$R$5:$W$9,MATCH(ROUNDUP((AB$1)/10,0)*10,[1]Hugst!$R$4:$W$4,0))))</f>
        <v>0</v>
      </c>
      <c r="AC120" s="169">
        <f ca="1">IF($C120-AC$1&lt;År1,0,AB119*(1-VLOOKUP($A120,[1]Hugst!$R$5:$W$9,MATCH(ROUNDUP((AC$1)/10,0)*10,[1]Hugst!$R$4:$W$4,0))))</f>
        <v>0</v>
      </c>
      <c r="AD120" s="169">
        <f ca="1">IF($C120-AD$1&lt;År1,0,AC119*(1-VLOOKUP($A120,[1]Hugst!$R$5:$W$9,MATCH(ROUNDUP((AD$1)/10,0)*10,[1]Hugst!$R$4:$W$4,0))))</f>
        <v>0</v>
      </c>
      <c r="AE120" s="169">
        <f ca="1">IF($C120-AE$1&lt;År1,0,AD119*(1-VLOOKUP($A120,[1]Hugst!$R$5:$W$9,MATCH(ROUNDUP((AE$1)/10,0)*10,[1]Hugst!$R$4:$W$4,0))))</f>
        <v>0</v>
      </c>
      <c r="AF120" s="169">
        <f>IF($C120-AF$1&lt;År1,0,AE119*(1-VLOOKUP($A120,[1]Hugst!$R$5:$W$9,MATCH(ROUNDUP((AF$1)/10,0)*10,[1]Hugst!$R$4:$W$4,0))))</f>
        <v>0</v>
      </c>
      <c r="AG120" s="169">
        <f>IF($C120-AG$1&lt;År1,0,AF119*(1-VLOOKUP($A120,[1]Hugst!$R$5:$W$9,MATCH(ROUNDUP((AG$1)/10,0)*10,[1]Hugst!$R$4:$W$4,0))))</f>
        <v>0</v>
      </c>
      <c r="AH120" s="169">
        <f>IF($C120-AH$1&lt;År1,0,AG119*(1-VLOOKUP($A120,[1]Hugst!$R$5:$W$9,MATCH(ROUNDUP((AH$1)/10,0)*10,[1]Hugst!$R$4:$W$4,0))))</f>
        <v>0</v>
      </c>
      <c r="AI120" s="169">
        <f>IF($C120-AI$1&lt;År1,0,AH119*(1-VLOOKUP($A120,[1]Hugst!$R$5:$W$9,MATCH(ROUNDUP((AI$1)/10,0)*10,[1]Hugst!$R$4:$W$4,0))))</f>
        <v>0</v>
      </c>
      <c r="AJ120" s="169">
        <f>IF($C120-AJ$1&lt;År1,0,AI119*(1-VLOOKUP($A120,[1]Hugst!$R$5:$W$9,MATCH(ROUNDUP((AJ$1)/10,0)*10,[1]Hugst!$R$4:$W$4,0))))</f>
        <v>0</v>
      </c>
    </row>
    <row r="121" spans="1:38" s="169" customFormat="1" x14ac:dyDescent="0.25">
      <c r="A121" s="169" t="s">
        <v>177</v>
      </c>
      <c r="B121" s="169" t="s">
        <v>24</v>
      </c>
      <c r="C121" s="169">
        <v>2046</v>
      </c>
      <c r="D121" s="169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0</v>
      </c>
      <c r="E121" s="169">
        <f t="shared" ca="1" si="2"/>
        <v>0</v>
      </c>
      <c r="F121" s="169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9">
        <f ca="1">IF($C121-G$1&lt;År1,0,F120*(1-VLOOKUP($A121,[1]Hugst!$R$5:$W$9,MATCH(ROUNDUP((G$1)/10,0)*10,[1]Hugst!$R$4:$W$4,0))))</f>
        <v>0</v>
      </c>
      <c r="H121" s="169">
        <f ca="1">IF($C121-H$1&lt;År1,0,G120*(1-VLOOKUP($A121,[1]Hugst!$R$5:$W$9,MATCH(ROUNDUP((H$1)/10,0)*10,[1]Hugst!$R$4:$W$4,0))))</f>
        <v>0</v>
      </c>
      <c r="I121" s="169">
        <f ca="1">IF($C121-I$1&lt;År1,0,H120*(1-VLOOKUP($A121,[1]Hugst!$R$5:$W$9,MATCH(ROUNDUP((I$1)/10,0)*10,[1]Hugst!$R$4:$W$4,0))))</f>
        <v>0</v>
      </c>
      <c r="J121" s="169">
        <f ca="1">IF($C121-J$1&lt;År1,0,I120*(1-VLOOKUP($A121,[1]Hugst!$R$5:$W$9,MATCH(ROUNDUP((J$1)/10,0)*10,[1]Hugst!$R$4:$W$4,0))))</f>
        <v>0</v>
      </c>
      <c r="K121" s="169">
        <f ca="1">IF($C121-K$1&lt;År1,0,J120*(1-VLOOKUP($A121,[1]Hugst!$R$5:$W$9,MATCH(ROUNDUP((K$1)/10,0)*10,[1]Hugst!$R$4:$W$4,0))))</f>
        <v>0</v>
      </c>
      <c r="L121" s="169">
        <f ca="1">IF($C121-L$1&lt;År1,0,K120*(1-VLOOKUP($A121,[1]Hugst!$R$5:$W$9,MATCH(ROUNDUP((L$1)/10,0)*10,[1]Hugst!$R$4:$W$4,0))))</f>
        <v>0</v>
      </c>
      <c r="M121" s="169">
        <f ca="1">IF($C121-M$1&lt;År1,0,L120*(1-VLOOKUP($A121,[1]Hugst!$R$5:$W$9,MATCH(ROUNDUP((M$1)/10,0)*10,[1]Hugst!$R$4:$W$4,0))))</f>
        <v>0</v>
      </c>
      <c r="N121" s="169">
        <f ca="1">IF($C121-N$1&lt;År1,0,M120*(1-VLOOKUP($A121,[1]Hugst!$R$5:$W$9,MATCH(ROUNDUP((N$1)/10,0)*10,[1]Hugst!$R$4:$W$4,0))))</f>
        <v>0</v>
      </c>
      <c r="O121" s="169">
        <f ca="1">IF($C121-O$1&lt;År1,0,N120*(1-VLOOKUP($A121,[1]Hugst!$R$5:$W$9,MATCH(ROUNDUP((O$1)/10,0)*10,[1]Hugst!$R$4:$W$4,0))))</f>
        <v>0</v>
      </c>
      <c r="P121" s="169">
        <f ca="1">IF($C121-P$1&lt;År1,0,O120*(1-VLOOKUP($A121,[1]Hugst!$R$5:$W$9,MATCH(ROUNDUP((P$1)/10,0)*10,[1]Hugst!$R$4:$W$4,0))))</f>
        <v>0</v>
      </c>
      <c r="Q121" s="169">
        <f ca="1">IF($C121-Q$1&lt;År1,0,P120*(1-VLOOKUP($A121,[1]Hugst!$R$5:$W$9,MATCH(ROUNDUP((Q$1)/10,0)*10,[1]Hugst!$R$4:$W$4,0))))</f>
        <v>0</v>
      </c>
      <c r="R121" s="169">
        <f ca="1">IF($C121-R$1&lt;År1,0,Q120*(1-VLOOKUP($A121,[1]Hugst!$R$5:$W$9,MATCH(ROUNDUP((R$1)/10,0)*10,[1]Hugst!$R$4:$W$4,0))))</f>
        <v>0</v>
      </c>
      <c r="S121" s="169">
        <f ca="1">IF($C121-S$1&lt;År1,0,R120*(1-VLOOKUP($A121,[1]Hugst!$R$5:$W$9,MATCH(ROUNDUP((S$1)/10,0)*10,[1]Hugst!$R$4:$W$4,0))))</f>
        <v>0</v>
      </c>
      <c r="T121" s="169">
        <f ca="1">IF($C121-T$1&lt;År1,0,S120*(1-VLOOKUP($A121,[1]Hugst!$R$5:$W$9,MATCH(ROUNDUP((T$1)/10,0)*10,[1]Hugst!$R$4:$W$4,0))))</f>
        <v>0</v>
      </c>
      <c r="U121" s="169">
        <f ca="1">IF($C121-U$1&lt;År1,0,T120*(1-VLOOKUP($A121,[1]Hugst!$R$5:$W$9,MATCH(ROUNDUP((U$1)/10,0)*10,[1]Hugst!$R$4:$W$4,0))))</f>
        <v>0</v>
      </c>
      <c r="V121" s="169">
        <f ca="1">IF($C121-V$1&lt;År1,0,U120*(1-VLOOKUP($A121,[1]Hugst!$R$5:$W$9,MATCH(ROUNDUP((V$1)/10,0)*10,[1]Hugst!$R$4:$W$4,0))))</f>
        <v>0</v>
      </c>
      <c r="W121" s="169">
        <f ca="1">IF($C121-W$1&lt;År1,0,V120*(1-VLOOKUP($A121,[1]Hugst!$R$5:$W$9,MATCH(ROUNDUP((W$1)/10,0)*10,[1]Hugst!$R$4:$W$4,0))))</f>
        <v>0</v>
      </c>
      <c r="X121" s="169">
        <f ca="1">IF($C121-X$1&lt;År1,0,W120*(1-VLOOKUP($A121,[1]Hugst!$R$5:$W$9,MATCH(ROUNDUP((X$1)/10,0)*10,[1]Hugst!$R$4:$W$4,0))))</f>
        <v>0</v>
      </c>
      <c r="Y121" s="169">
        <f ca="1">IF($C121-Y$1&lt;År1,0,X120*(1-VLOOKUP($A121,[1]Hugst!$R$5:$W$9,MATCH(ROUNDUP((Y$1)/10,0)*10,[1]Hugst!$R$4:$W$4,0))))</f>
        <v>0</v>
      </c>
      <c r="Z121" s="169">
        <f ca="1">IF($C121-Z$1&lt;År1,0,Y120*(1-VLOOKUP($A121,[1]Hugst!$R$5:$W$9,MATCH(ROUNDUP((Z$1)/10,0)*10,[1]Hugst!$R$4:$W$4,0))))</f>
        <v>0</v>
      </c>
      <c r="AA121" s="169">
        <f ca="1">IF($C121-AA$1&lt;År1,0,Z120*(1-VLOOKUP($A121,[1]Hugst!$R$5:$W$9,MATCH(ROUNDUP((AA$1)/10,0)*10,[1]Hugst!$R$4:$W$4,0))))</f>
        <v>0</v>
      </c>
      <c r="AB121" s="169">
        <f ca="1">IF($C121-AB$1&lt;År1,0,AA120*(1-VLOOKUP($A121,[1]Hugst!$R$5:$W$9,MATCH(ROUNDUP((AB$1)/10,0)*10,[1]Hugst!$R$4:$W$4,0))))</f>
        <v>0</v>
      </c>
      <c r="AC121" s="169">
        <f ca="1">IF($C121-AC$1&lt;År1,0,AB120*(1-VLOOKUP($A121,[1]Hugst!$R$5:$W$9,MATCH(ROUNDUP((AC$1)/10,0)*10,[1]Hugst!$R$4:$W$4,0))))</f>
        <v>0</v>
      </c>
      <c r="AD121" s="169">
        <f ca="1">IF($C121-AD$1&lt;År1,0,AC120*(1-VLOOKUP($A121,[1]Hugst!$R$5:$W$9,MATCH(ROUNDUP((AD$1)/10,0)*10,[1]Hugst!$R$4:$W$4,0))))</f>
        <v>0</v>
      </c>
      <c r="AE121" s="169">
        <f ca="1">IF($C121-AE$1&lt;År1,0,AD120*(1-VLOOKUP($A121,[1]Hugst!$R$5:$W$9,MATCH(ROUNDUP((AE$1)/10,0)*10,[1]Hugst!$R$4:$W$4,0))))</f>
        <v>0</v>
      </c>
      <c r="AF121" s="169">
        <f ca="1">IF($C121-AF$1&lt;År1,0,AE120*(1-VLOOKUP($A121,[1]Hugst!$R$5:$W$9,MATCH(ROUNDUP((AF$1)/10,0)*10,[1]Hugst!$R$4:$W$4,0))))</f>
        <v>0</v>
      </c>
      <c r="AG121" s="169">
        <f>IF($C121-AG$1&lt;År1,0,AF120*(1-VLOOKUP($A121,[1]Hugst!$R$5:$W$9,MATCH(ROUNDUP((AG$1)/10,0)*10,[1]Hugst!$R$4:$W$4,0))))</f>
        <v>0</v>
      </c>
      <c r="AH121" s="169">
        <f>IF($C121-AH$1&lt;År1,0,AG120*(1-VLOOKUP($A121,[1]Hugst!$R$5:$W$9,MATCH(ROUNDUP((AH$1)/10,0)*10,[1]Hugst!$R$4:$W$4,0))))</f>
        <v>0</v>
      </c>
      <c r="AI121" s="169">
        <f>IF($C121-AI$1&lt;År1,0,AH120*(1-VLOOKUP($A121,[1]Hugst!$R$5:$W$9,MATCH(ROUNDUP((AI$1)/10,0)*10,[1]Hugst!$R$4:$W$4,0))))</f>
        <v>0</v>
      </c>
      <c r="AJ121" s="169">
        <f>IF($C121-AJ$1&lt;År1,0,AI120*(1-VLOOKUP($A121,[1]Hugst!$R$5:$W$9,MATCH(ROUNDUP((AJ$1)/10,0)*10,[1]Hugst!$R$4:$W$4,0))))</f>
        <v>0</v>
      </c>
    </row>
    <row r="122" spans="1:38" s="169" customFormat="1" x14ac:dyDescent="0.25">
      <c r="A122" s="169" t="s">
        <v>177</v>
      </c>
      <c r="B122" s="169" t="s">
        <v>24</v>
      </c>
      <c r="C122" s="169">
        <v>2047</v>
      </c>
      <c r="D122" s="169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0</v>
      </c>
      <c r="E122" s="169">
        <f t="shared" ca="1" si="2"/>
        <v>0</v>
      </c>
      <c r="F122" s="169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9">
        <f ca="1">IF($C122-G$1&lt;År1,0,F121*(1-VLOOKUP($A122,[1]Hugst!$R$5:$W$9,MATCH(ROUNDUP((G$1)/10,0)*10,[1]Hugst!$R$4:$W$4,0))))</f>
        <v>0</v>
      </c>
      <c r="H122" s="169">
        <f ca="1">IF($C122-H$1&lt;År1,0,G121*(1-VLOOKUP($A122,[1]Hugst!$R$5:$W$9,MATCH(ROUNDUP((H$1)/10,0)*10,[1]Hugst!$R$4:$W$4,0))))</f>
        <v>0</v>
      </c>
      <c r="I122" s="169">
        <f ca="1">IF($C122-I$1&lt;År1,0,H121*(1-VLOOKUP($A122,[1]Hugst!$R$5:$W$9,MATCH(ROUNDUP((I$1)/10,0)*10,[1]Hugst!$R$4:$W$4,0))))</f>
        <v>0</v>
      </c>
      <c r="J122" s="169">
        <f ca="1">IF($C122-J$1&lt;År1,0,I121*(1-VLOOKUP($A122,[1]Hugst!$R$5:$W$9,MATCH(ROUNDUP((J$1)/10,0)*10,[1]Hugst!$R$4:$W$4,0))))</f>
        <v>0</v>
      </c>
      <c r="K122" s="169">
        <f ca="1">IF($C122-K$1&lt;År1,0,J121*(1-VLOOKUP($A122,[1]Hugst!$R$5:$W$9,MATCH(ROUNDUP((K$1)/10,0)*10,[1]Hugst!$R$4:$W$4,0))))</f>
        <v>0</v>
      </c>
      <c r="L122" s="169">
        <f ca="1">IF($C122-L$1&lt;År1,0,K121*(1-VLOOKUP($A122,[1]Hugst!$R$5:$W$9,MATCH(ROUNDUP((L$1)/10,0)*10,[1]Hugst!$R$4:$W$4,0))))</f>
        <v>0</v>
      </c>
      <c r="M122" s="169">
        <f ca="1">IF($C122-M$1&lt;År1,0,L121*(1-VLOOKUP($A122,[1]Hugst!$R$5:$W$9,MATCH(ROUNDUP((M$1)/10,0)*10,[1]Hugst!$R$4:$W$4,0))))</f>
        <v>0</v>
      </c>
      <c r="N122" s="169">
        <f ca="1">IF($C122-N$1&lt;År1,0,M121*(1-VLOOKUP($A122,[1]Hugst!$R$5:$W$9,MATCH(ROUNDUP((N$1)/10,0)*10,[1]Hugst!$R$4:$W$4,0))))</f>
        <v>0</v>
      </c>
      <c r="O122" s="169">
        <f ca="1">IF($C122-O$1&lt;År1,0,N121*(1-VLOOKUP($A122,[1]Hugst!$R$5:$W$9,MATCH(ROUNDUP((O$1)/10,0)*10,[1]Hugst!$R$4:$W$4,0))))</f>
        <v>0</v>
      </c>
      <c r="P122" s="169">
        <f ca="1">IF($C122-P$1&lt;År1,0,O121*(1-VLOOKUP($A122,[1]Hugst!$R$5:$W$9,MATCH(ROUNDUP((P$1)/10,0)*10,[1]Hugst!$R$4:$W$4,0))))</f>
        <v>0</v>
      </c>
      <c r="Q122" s="169">
        <f ca="1">IF($C122-Q$1&lt;År1,0,P121*(1-VLOOKUP($A122,[1]Hugst!$R$5:$W$9,MATCH(ROUNDUP((Q$1)/10,0)*10,[1]Hugst!$R$4:$W$4,0))))</f>
        <v>0</v>
      </c>
      <c r="R122" s="169">
        <f ca="1">IF($C122-R$1&lt;År1,0,Q121*(1-VLOOKUP($A122,[1]Hugst!$R$5:$W$9,MATCH(ROUNDUP((R$1)/10,0)*10,[1]Hugst!$R$4:$W$4,0))))</f>
        <v>0</v>
      </c>
      <c r="S122" s="169">
        <f ca="1">IF($C122-S$1&lt;År1,0,R121*(1-VLOOKUP($A122,[1]Hugst!$R$5:$W$9,MATCH(ROUNDUP((S$1)/10,0)*10,[1]Hugst!$R$4:$W$4,0))))</f>
        <v>0</v>
      </c>
      <c r="T122" s="169">
        <f ca="1">IF($C122-T$1&lt;År1,0,S121*(1-VLOOKUP($A122,[1]Hugst!$R$5:$W$9,MATCH(ROUNDUP((T$1)/10,0)*10,[1]Hugst!$R$4:$W$4,0))))</f>
        <v>0</v>
      </c>
      <c r="U122" s="169">
        <f ca="1">IF($C122-U$1&lt;År1,0,T121*(1-VLOOKUP($A122,[1]Hugst!$R$5:$W$9,MATCH(ROUNDUP((U$1)/10,0)*10,[1]Hugst!$R$4:$W$4,0))))</f>
        <v>0</v>
      </c>
      <c r="V122" s="169">
        <f ca="1">IF($C122-V$1&lt;År1,0,U121*(1-VLOOKUP($A122,[1]Hugst!$R$5:$W$9,MATCH(ROUNDUP((V$1)/10,0)*10,[1]Hugst!$R$4:$W$4,0))))</f>
        <v>0</v>
      </c>
      <c r="W122" s="169">
        <f ca="1">IF($C122-W$1&lt;År1,0,V121*(1-VLOOKUP($A122,[1]Hugst!$R$5:$W$9,MATCH(ROUNDUP((W$1)/10,0)*10,[1]Hugst!$R$4:$W$4,0))))</f>
        <v>0</v>
      </c>
      <c r="X122" s="169">
        <f ca="1">IF($C122-X$1&lt;År1,0,W121*(1-VLOOKUP($A122,[1]Hugst!$R$5:$W$9,MATCH(ROUNDUP((X$1)/10,0)*10,[1]Hugst!$R$4:$W$4,0))))</f>
        <v>0</v>
      </c>
      <c r="Y122" s="169">
        <f ca="1">IF($C122-Y$1&lt;År1,0,X121*(1-VLOOKUP($A122,[1]Hugst!$R$5:$W$9,MATCH(ROUNDUP((Y$1)/10,0)*10,[1]Hugst!$R$4:$W$4,0))))</f>
        <v>0</v>
      </c>
      <c r="Z122" s="169">
        <f ca="1">IF($C122-Z$1&lt;År1,0,Y121*(1-VLOOKUP($A122,[1]Hugst!$R$5:$W$9,MATCH(ROUNDUP((Z$1)/10,0)*10,[1]Hugst!$R$4:$W$4,0))))</f>
        <v>0</v>
      </c>
      <c r="AA122" s="169">
        <f ca="1">IF($C122-AA$1&lt;År1,0,Z121*(1-VLOOKUP($A122,[1]Hugst!$R$5:$W$9,MATCH(ROUNDUP((AA$1)/10,0)*10,[1]Hugst!$R$4:$W$4,0))))</f>
        <v>0</v>
      </c>
      <c r="AB122" s="169">
        <f ca="1">IF($C122-AB$1&lt;År1,0,AA121*(1-VLOOKUP($A122,[1]Hugst!$R$5:$W$9,MATCH(ROUNDUP((AB$1)/10,0)*10,[1]Hugst!$R$4:$W$4,0))))</f>
        <v>0</v>
      </c>
      <c r="AC122" s="169">
        <f ca="1">IF($C122-AC$1&lt;År1,0,AB121*(1-VLOOKUP($A122,[1]Hugst!$R$5:$W$9,MATCH(ROUNDUP((AC$1)/10,0)*10,[1]Hugst!$R$4:$W$4,0))))</f>
        <v>0</v>
      </c>
      <c r="AD122" s="169">
        <f ca="1">IF($C122-AD$1&lt;År1,0,AC121*(1-VLOOKUP($A122,[1]Hugst!$R$5:$W$9,MATCH(ROUNDUP((AD$1)/10,0)*10,[1]Hugst!$R$4:$W$4,0))))</f>
        <v>0</v>
      </c>
      <c r="AE122" s="169">
        <f ca="1">IF($C122-AE$1&lt;År1,0,AD121*(1-VLOOKUP($A122,[1]Hugst!$R$5:$W$9,MATCH(ROUNDUP((AE$1)/10,0)*10,[1]Hugst!$R$4:$W$4,0))))</f>
        <v>0</v>
      </c>
      <c r="AF122" s="169">
        <f ca="1">IF($C122-AF$1&lt;År1,0,AE121*(1-VLOOKUP($A122,[1]Hugst!$R$5:$W$9,MATCH(ROUNDUP((AF$1)/10,0)*10,[1]Hugst!$R$4:$W$4,0))))</f>
        <v>0</v>
      </c>
      <c r="AG122" s="169">
        <f ca="1">IF($C122-AG$1&lt;År1,0,AF121*(1-VLOOKUP($A122,[1]Hugst!$R$5:$W$9,MATCH(ROUNDUP((AG$1)/10,0)*10,[1]Hugst!$R$4:$W$4,0))))</f>
        <v>0</v>
      </c>
      <c r="AH122" s="169">
        <f>IF($C122-AH$1&lt;År1,0,AG121*(1-VLOOKUP($A122,[1]Hugst!$R$5:$W$9,MATCH(ROUNDUP((AH$1)/10,0)*10,[1]Hugst!$R$4:$W$4,0))))</f>
        <v>0</v>
      </c>
      <c r="AI122" s="169">
        <f>IF($C122-AI$1&lt;År1,0,AH121*(1-VLOOKUP($A122,[1]Hugst!$R$5:$W$9,MATCH(ROUNDUP((AI$1)/10,0)*10,[1]Hugst!$R$4:$W$4,0))))</f>
        <v>0</v>
      </c>
      <c r="AJ122" s="169">
        <f>IF($C122-AJ$1&lt;År1,0,AI121*(1-VLOOKUP($A122,[1]Hugst!$R$5:$W$9,MATCH(ROUNDUP((AJ$1)/10,0)*10,[1]Hugst!$R$4:$W$4,0))))</f>
        <v>0</v>
      </c>
    </row>
    <row r="123" spans="1:38" s="169" customFormat="1" x14ac:dyDescent="0.25">
      <c r="A123" s="169" t="s">
        <v>177</v>
      </c>
      <c r="B123" s="169" t="s">
        <v>24</v>
      </c>
      <c r="C123" s="169">
        <v>2048</v>
      </c>
      <c r="D123" s="169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0</v>
      </c>
      <c r="E123" s="169">
        <f t="shared" ca="1" si="2"/>
        <v>0</v>
      </c>
      <c r="F123" s="169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9">
        <f ca="1">IF($C123-G$1&lt;År1,0,F122*(1-VLOOKUP($A123,[1]Hugst!$R$5:$W$9,MATCH(ROUNDUP((G$1)/10,0)*10,[1]Hugst!$R$4:$W$4,0))))</f>
        <v>0</v>
      </c>
      <c r="H123" s="169">
        <f ca="1">IF($C123-H$1&lt;År1,0,G122*(1-VLOOKUP($A123,[1]Hugst!$R$5:$W$9,MATCH(ROUNDUP((H$1)/10,0)*10,[1]Hugst!$R$4:$W$4,0))))</f>
        <v>0</v>
      </c>
      <c r="I123" s="169">
        <f ca="1">IF($C123-I$1&lt;År1,0,H122*(1-VLOOKUP($A123,[1]Hugst!$R$5:$W$9,MATCH(ROUNDUP((I$1)/10,0)*10,[1]Hugst!$R$4:$W$4,0))))</f>
        <v>0</v>
      </c>
      <c r="J123" s="169">
        <f ca="1">IF($C123-J$1&lt;År1,0,I122*(1-VLOOKUP($A123,[1]Hugst!$R$5:$W$9,MATCH(ROUNDUP((J$1)/10,0)*10,[1]Hugst!$R$4:$W$4,0))))</f>
        <v>0</v>
      </c>
      <c r="K123" s="169">
        <f ca="1">IF($C123-K$1&lt;År1,0,J122*(1-VLOOKUP($A123,[1]Hugst!$R$5:$W$9,MATCH(ROUNDUP((K$1)/10,0)*10,[1]Hugst!$R$4:$W$4,0))))</f>
        <v>0</v>
      </c>
      <c r="L123" s="169">
        <f ca="1">IF($C123-L$1&lt;År1,0,K122*(1-VLOOKUP($A123,[1]Hugst!$R$5:$W$9,MATCH(ROUNDUP((L$1)/10,0)*10,[1]Hugst!$R$4:$W$4,0))))</f>
        <v>0</v>
      </c>
      <c r="M123" s="169">
        <f ca="1">IF($C123-M$1&lt;År1,0,L122*(1-VLOOKUP($A123,[1]Hugst!$R$5:$W$9,MATCH(ROUNDUP((M$1)/10,0)*10,[1]Hugst!$R$4:$W$4,0))))</f>
        <v>0</v>
      </c>
      <c r="N123" s="169">
        <f ca="1">IF($C123-N$1&lt;År1,0,M122*(1-VLOOKUP($A123,[1]Hugst!$R$5:$W$9,MATCH(ROUNDUP((N$1)/10,0)*10,[1]Hugst!$R$4:$W$4,0))))</f>
        <v>0</v>
      </c>
      <c r="O123" s="169">
        <f ca="1">IF($C123-O$1&lt;År1,0,N122*(1-VLOOKUP($A123,[1]Hugst!$R$5:$W$9,MATCH(ROUNDUP((O$1)/10,0)*10,[1]Hugst!$R$4:$W$4,0))))</f>
        <v>0</v>
      </c>
      <c r="P123" s="169">
        <f ca="1">IF($C123-P$1&lt;År1,0,O122*(1-VLOOKUP($A123,[1]Hugst!$R$5:$W$9,MATCH(ROUNDUP((P$1)/10,0)*10,[1]Hugst!$R$4:$W$4,0))))</f>
        <v>0</v>
      </c>
      <c r="Q123" s="169">
        <f ca="1">IF($C123-Q$1&lt;År1,0,P122*(1-VLOOKUP($A123,[1]Hugst!$R$5:$W$9,MATCH(ROUNDUP((Q$1)/10,0)*10,[1]Hugst!$R$4:$W$4,0))))</f>
        <v>0</v>
      </c>
      <c r="R123" s="169">
        <f ca="1">IF($C123-R$1&lt;År1,0,Q122*(1-VLOOKUP($A123,[1]Hugst!$R$5:$W$9,MATCH(ROUNDUP((R$1)/10,0)*10,[1]Hugst!$R$4:$W$4,0))))</f>
        <v>0</v>
      </c>
      <c r="S123" s="169">
        <f ca="1">IF($C123-S$1&lt;År1,0,R122*(1-VLOOKUP($A123,[1]Hugst!$R$5:$W$9,MATCH(ROUNDUP((S$1)/10,0)*10,[1]Hugst!$R$4:$W$4,0))))</f>
        <v>0</v>
      </c>
      <c r="T123" s="169">
        <f ca="1">IF($C123-T$1&lt;År1,0,S122*(1-VLOOKUP($A123,[1]Hugst!$R$5:$W$9,MATCH(ROUNDUP((T$1)/10,0)*10,[1]Hugst!$R$4:$W$4,0))))</f>
        <v>0</v>
      </c>
      <c r="U123" s="169">
        <f ca="1">IF($C123-U$1&lt;År1,0,T122*(1-VLOOKUP($A123,[1]Hugst!$R$5:$W$9,MATCH(ROUNDUP((U$1)/10,0)*10,[1]Hugst!$R$4:$W$4,0))))</f>
        <v>0</v>
      </c>
      <c r="V123" s="169">
        <f ca="1">IF($C123-V$1&lt;År1,0,U122*(1-VLOOKUP($A123,[1]Hugst!$R$5:$W$9,MATCH(ROUNDUP((V$1)/10,0)*10,[1]Hugst!$R$4:$W$4,0))))</f>
        <v>0</v>
      </c>
      <c r="W123" s="169">
        <f ca="1">IF($C123-W$1&lt;År1,0,V122*(1-VLOOKUP($A123,[1]Hugst!$R$5:$W$9,MATCH(ROUNDUP((W$1)/10,0)*10,[1]Hugst!$R$4:$W$4,0))))</f>
        <v>0</v>
      </c>
      <c r="X123" s="169">
        <f ca="1">IF($C123-X$1&lt;År1,0,W122*(1-VLOOKUP($A123,[1]Hugst!$R$5:$W$9,MATCH(ROUNDUP((X$1)/10,0)*10,[1]Hugst!$R$4:$W$4,0))))</f>
        <v>0</v>
      </c>
      <c r="Y123" s="169">
        <f ca="1">IF($C123-Y$1&lt;År1,0,X122*(1-VLOOKUP($A123,[1]Hugst!$R$5:$W$9,MATCH(ROUNDUP((Y$1)/10,0)*10,[1]Hugst!$R$4:$W$4,0))))</f>
        <v>0</v>
      </c>
      <c r="Z123" s="169">
        <f ca="1">IF($C123-Z$1&lt;År1,0,Y122*(1-VLOOKUP($A123,[1]Hugst!$R$5:$W$9,MATCH(ROUNDUP((Z$1)/10,0)*10,[1]Hugst!$R$4:$W$4,0))))</f>
        <v>0</v>
      </c>
      <c r="AA123" s="169">
        <f ca="1">IF($C123-AA$1&lt;År1,0,Z122*(1-VLOOKUP($A123,[1]Hugst!$R$5:$W$9,MATCH(ROUNDUP((AA$1)/10,0)*10,[1]Hugst!$R$4:$W$4,0))))</f>
        <v>0</v>
      </c>
      <c r="AB123" s="169">
        <f ca="1">IF($C123-AB$1&lt;År1,0,AA122*(1-VLOOKUP($A123,[1]Hugst!$R$5:$W$9,MATCH(ROUNDUP((AB$1)/10,0)*10,[1]Hugst!$R$4:$W$4,0))))</f>
        <v>0</v>
      </c>
      <c r="AC123" s="169">
        <f ca="1">IF($C123-AC$1&lt;År1,0,AB122*(1-VLOOKUP($A123,[1]Hugst!$R$5:$W$9,MATCH(ROUNDUP((AC$1)/10,0)*10,[1]Hugst!$R$4:$W$4,0))))</f>
        <v>0</v>
      </c>
      <c r="AD123" s="169">
        <f ca="1">IF($C123-AD$1&lt;År1,0,AC122*(1-VLOOKUP($A123,[1]Hugst!$R$5:$W$9,MATCH(ROUNDUP((AD$1)/10,0)*10,[1]Hugst!$R$4:$W$4,0))))</f>
        <v>0</v>
      </c>
      <c r="AE123" s="169">
        <f ca="1">IF($C123-AE$1&lt;År1,0,AD122*(1-VLOOKUP($A123,[1]Hugst!$R$5:$W$9,MATCH(ROUNDUP((AE$1)/10,0)*10,[1]Hugst!$R$4:$W$4,0))))</f>
        <v>0</v>
      </c>
      <c r="AF123" s="169">
        <f ca="1">IF($C123-AF$1&lt;År1,0,AE122*(1-VLOOKUP($A123,[1]Hugst!$R$5:$W$9,MATCH(ROUNDUP((AF$1)/10,0)*10,[1]Hugst!$R$4:$W$4,0))))</f>
        <v>0</v>
      </c>
      <c r="AG123" s="169">
        <f ca="1">IF($C123-AG$1&lt;År1,0,AF122*(1-VLOOKUP($A123,[1]Hugst!$R$5:$W$9,MATCH(ROUNDUP((AG$1)/10,0)*10,[1]Hugst!$R$4:$W$4,0))))</f>
        <v>0</v>
      </c>
      <c r="AH123" s="169">
        <f ca="1">IF($C123-AH$1&lt;År1,0,AG122*(1-VLOOKUP($A123,[1]Hugst!$R$5:$W$9,MATCH(ROUNDUP((AH$1)/10,0)*10,[1]Hugst!$R$4:$W$4,0))))</f>
        <v>0</v>
      </c>
      <c r="AI123" s="169">
        <f>IF($C123-AI$1&lt;År1,0,AH122*(1-VLOOKUP($A123,[1]Hugst!$R$5:$W$9,MATCH(ROUNDUP((AI$1)/10,0)*10,[1]Hugst!$R$4:$W$4,0))))</f>
        <v>0</v>
      </c>
      <c r="AJ123" s="169">
        <f>IF($C123-AJ$1&lt;År1,0,AI122*(1-VLOOKUP($A123,[1]Hugst!$R$5:$W$9,MATCH(ROUNDUP((AJ$1)/10,0)*10,[1]Hugst!$R$4:$W$4,0))))</f>
        <v>0</v>
      </c>
    </row>
    <row r="124" spans="1:38" s="169" customFormat="1" x14ac:dyDescent="0.25">
      <c r="A124" s="169" t="s">
        <v>177</v>
      </c>
      <c r="B124" s="169" t="s">
        <v>24</v>
      </c>
      <c r="C124" s="169">
        <v>2049</v>
      </c>
      <c r="D124" s="169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0</v>
      </c>
      <c r="E124" s="169">
        <f t="shared" ca="1" si="2"/>
        <v>0</v>
      </c>
      <c r="F124" s="169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9">
        <f ca="1">IF($C124-G$1&lt;År1,0,F123*(1-VLOOKUP($A124,[1]Hugst!$R$5:$W$9,MATCH(ROUNDUP((G$1)/10,0)*10,[1]Hugst!$R$4:$W$4,0))))</f>
        <v>0</v>
      </c>
      <c r="H124" s="169">
        <f ca="1">IF($C124-H$1&lt;År1,0,G123*(1-VLOOKUP($A124,[1]Hugst!$R$5:$W$9,MATCH(ROUNDUP((H$1)/10,0)*10,[1]Hugst!$R$4:$W$4,0))))</f>
        <v>0</v>
      </c>
      <c r="I124" s="169">
        <f ca="1">IF($C124-I$1&lt;År1,0,H123*(1-VLOOKUP($A124,[1]Hugst!$R$5:$W$9,MATCH(ROUNDUP((I$1)/10,0)*10,[1]Hugst!$R$4:$W$4,0))))</f>
        <v>0</v>
      </c>
      <c r="J124" s="169">
        <f ca="1">IF($C124-J$1&lt;År1,0,I123*(1-VLOOKUP($A124,[1]Hugst!$R$5:$W$9,MATCH(ROUNDUP((J$1)/10,0)*10,[1]Hugst!$R$4:$W$4,0))))</f>
        <v>0</v>
      </c>
      <c r="K124" s="169">
        <f ca="1">IF($C124-K$1&lt;År1,0,J123*(1-VLOOKUP($A124,[1]Hugst!$R$5:$W$9,MATCH(ROUNDUP((K$1)/10,0)*10,[1]Hugst!$R$4:$W$4,0))))</f>
        <v>0</v>
      </c>
      <c r="L124" s="169">
        <f ca="1">IF($C124-L$1&lt;År1,0,K123*(1-VLOOKUP($A124,[1]Hugst!$R$5:$W$9,MATCH(ROUNDUP((L$1)/10,0)*10,[1]Hugst!$R$4:$W$4,0))))</f>
        <v>0</v>
      </c>
      <c r="M124" s="169">
        <f ca="1">IF($C124-M$1&lt;År1,0,L123*(1-VLOOKUP($A124,[1]Hugst!$R$5:$W$9,MATCH(ROUNDUP((M$1)/10,0)*10,[1]Hugst!$R$4:$W$4,0))))</f>
        <v>0</v>
      </c>
      <c r="N124" s="169">
        <f ca="1">IF($C124-N$1&lt;År1,0,M123*(1-VLOOKUP($A124,[1]Hugst!$R$5:$W$9,MATCH(ROUNDUP((N$1)/10,0)*10,[1]Hugst!$R$4:$W$4,0))))</f>
        <v>0</v>
      </c>
      <c r="O124" s="169">
        <f ca="1">IF($C124-O$1&lt;År1,0,N123*(1-VLOOKUP($A124,[1]Hugst!$R$5:$W$9,MATCH(ROUNDUP((O$1)/10,0)*10,[1]Hugst!$R$4:$W$4,0))))</f>
        <v>0</v>
      </c>
      <c r="P124" s="169">
        <f ca="1">IF($C124-P$1&lt;År1,0,O123*(1-VLOOKUP($A124,[1]Hugst!$R$5:$W$9,MATCH(ROUNDUP((P$1)/10,0)*10,[1]Hugst!$R$4:$W$4,0))))</f>
        <v>0</v>
      </c>
      <c r="Q124" s="169">
        <f ca="1">IF($C124-Q$1&lt;År1,0,P123*(1-VLOOKUP($A124,[1]Hugst!$R$5:$W$9,MATCH(ROUNDUP((Q$1)/10,0)*10,[1]Hugst!$R$4:$W$4,0))))</f>
        <v>0</v>
      </c>
      <c r="R124" s="169">
        <f ca="1">IF($C124-R$1&lt;År1,0,Q123*(1-VLOOKUP($A124,[1]Hugst!$R$5:$W$9,MATCH(ROUNDUP((R$1)/10,0)*10,[1]Hugst!$R$4:$W$4,0))))</f>
        <v>0</v>
      </c>
      <c r="S124" s="169">
        <f ca="1">IF($C124-S$1&lt;År1,0,R123*(1-VLOOKUP($A124,[1]Hugst!$R$5:$W$9,MATCH(ROUNDUP((S$1)/10,0)*10,[1]Hugst!$R$4:$W$4,0))))</f>
        <v>0</v>
      </c>
      <c r="T124" s="169">
        <f ca="1">IF($C124-T$1&lt;År1,0,S123*(1-VLOOKUP($A124,[1]Hugst!$R$5:$W$9,MATCH(ROUNDUP((T$1)/10,0)*10,[1]Hugst!$R$4:$W$4,0))))</f>
        <v>0</v>
      </c>
      <c r="U124" s="169">
        <f ca="1">IF($C124-U$1&lt;År1,0,T123*(1-VLOOKUP($A124,[1]Hugst!$R$5:$W$9,MATCH(ROUNDUP((U$1)/10,0)*10,[1]Hugst!$R$4:$W$4,0))))</f>
        <v>0</v>
      </c>
      <c r="V124" s="169">
        <f ca="1">IF($C124-V$1&lt;År1,0,U123*(1-VLOOKUP($A124,[1]Hugst!$R$5:$W$9,MATCH(ROUNDUP((V$1)/10,0)*10,[1]Hugst!$R$4:$W$4,0))))</f>
        <v>0</v>
      </c>
      <c r="W124" s="169">
        <f ca="1">IF($C124-W$1&lt;År1,0,V123*(1-VLOOKUP($A124,[1]Hugst!$R$5:$W$9,MATCH(ROUNDUP((W$1)/10,0)*10,[1]Hugst!$R$4:$W$4,0))))</f>
        <v>0</v>
      </c>
      <c r="X124" s="169">
        <f ca="1">IF($C124-X$1&lt;År1,0,W123*(1-VLOOKUP($A124,[1]Hugst!$R$5:$W$9,MATCH(ROUNDUP((X$1)/10,0)*10,[1]Hugst!$R$4:$W$4,0))))</f>
        <v>0</v>
      </c>
      <c r="Y124" s="169">
        <f ca="1">IF($C124-Y$1&lt;År1,0,X123*(1-VLOOKUP($A124,[1]Hugst!$R$5:$W$9,MATCH(ROUNDUP((Y$1)/10,0)*10,[1]Hugst!$R$4:$W$4,0))))</f>
        <v>0</v>
      </c>
      <c r="Z124" s="169">
        <f ca="1">IF($C124-Z$1&lt;År1,0,Y123*(1-VLOOKUP($A124,[1]Hugst!$R$5:$W$9,MATCH(ROUNDUP((Z$1)/10,0)*10,[1]Hugst!$R$4:$W$4,0))))</f>
        <v>0</v>
      </c>
      <c r="AA124" s="169">
        <f ca="1">IF($C124-AA$1&lt;År1,0,Z123*(1-VLOOKUP($A124,[1]Hugst!$R$5:$W$9,MATCH(ROUNDUP((AA$1)/10,0)*10,[1]Hugst!$R$4:$W$4,0))))</f>
        <v>0</v>
      </c>
      <c r="AB124" s="169">
        <f ca="1">IF($C124-AB$1&lt;År1,0,AA123*(1-VLOOKUP($A124,[1]Hugst!$R$5:$W$9,MATCH(ROUNDUP((AB$1)/10,0)*10,[1]Hugst!$R$4:$W$4,0))))</f>
        <v>0</v>
      </c>
      <c r="AC124" s="169">
        <f ca="1">IF($C124-AC$1&lt;År1,0,AB123*(1-VLOOKUP($A124,[1]Hugst!$R$5:$W$9,MATCH(ROUNDUP((AC$1)/10,0)*10,[1]Hugst!$R$4:$W$4,0))))</f>
        <v>0</v>
      </c>
      <c r="AD124" s="169">
        <f ca="1">IF($C124-AD$1&lt;År1,0,AC123*(1-VLOOKUP($A124,[1]Hugst!$R$5:$W$9,MATCH(ROUNDUP((AD$1)/10,0)*10,[1]Hugst!$R$4:$W$4,0))))</f>
        <v>0</v>
      </c>
      <c r="AE124" s="169">
        <f ca="1">IF($C124-AE$1&lt;År1,0,AD123*(1-VLOOKUP($A124,[1]Hugst!$R$5:$W$9,MATCH(ROUNDUP((AE$1)/10,0)*10,[1]Hugst!$R$4:$W$4,0))))</f>
        <v>0</v>
      </c>
      <c r="AF124" s="169">
        <f ca="1">IF($C124-AF$1&lt;År1,0,AE123*(1-VLOOKUP($A124,[1]Hugst!$R$5:$W$9,MATCH(ROUNDUP((AF$1)/10,0)*10,[1]Hugst!$R$4:$W$4,0))))</f>
        <v>0</v>
      </c>
      <c r="AG124" s="169">
        <f ca="1">IF($C124-AG$1&lt;År1,0,AF123*(1-VLOOKUP($A124,[1]Hugst!$R$5:$W$9,MATCH(ROUNDUP((AG$1)/10,0)*10,[1]Hugst!$R$4:$W$4,0))))</f>
        <v>0</v>
      </c>
      <c r="AH124" s="169">
        <f ca="1">IF($C124-AH$1&lt;År1,0,AG123*(1-VLOOKUP($A124,[1]Hugst!$R$5:$W$9,MATCH(ROUNDUP((AH$1)/10,0)*10,[1]Hugst!$R$4:$W$4,0))))</f>
        <v>0</v>
      </c>
      <c r="AI124" s="169">
        <f ca="1">IF($C124-AI$1&lt;År1,0,AH123*(1-VLOOKUP($A124,[1]Hugst!$R$5:$W$9,MATCH(ROUNDUP((AI$1)/10,0)*10,[1]Hugst!$R$4:$W$4,0))))</f>
        <v>0</v>
      </c>
      <c r="AJ124" s="169">
        <f>IF($C124-AJ$1&lt;År1,0,AI123*(1-VLOOKUP($A124,[1]Hugst!$R$5:$W$9,MATCH(ROUNDUP((AJ$1)/10,0)*10,[1]Hugst!$R$4:$W$4,0))))</f>
        <v>0</v>
      </c>
    </row>
    <row r="125" spans="1:38" s="169" customFormat="1" x14ac:dyDescent="0.25">
      <c r="A125" s="169" t="s">
        <v>177</v>
      </c>
      <c r="B125" s="169" t="s">
        <v>24</v>
      </c>
      <c r="C125" s="169">
        <v>2050</v>
      </c>
      <c r="D125" s="169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0</v>
      </c>
      <c r="E125" s="169">
        <f ca="1">IF(C125=2020,SUM(G125:AJ125),SUM(F124:AJ124)-SUM(G125:AJ125))</f>
        <v>0</v>
      </c>
      <c r="F125" s="169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9">
        <f ca="1">IF($C125-G$1&lt;År1,0,F124*(1-VLOOKUP($A125,[1]Hugst!$R$5:$W$9,MATCH(ROUNDUP((G$1)/10,0)*10,[1]Hugst!$R$4:$W$4,0))))</f>
        <v>0</v>
      </c>
      <c r="H125" s="169">
        <f ca="1">IF($C125-H$1&lt;År1,0,G124*(1-VLOOKUP($A125,[1]Hugst!$R$5:$W$9,MATCH(ROUNDUP((H$1)/10,0)*10,[1]Hugst!$R$4:$W$4,0))))</f>
        <v>0</v>
      </c>
      <c r="I125" s="169">
        <f ca="1">IF($C125-I$1&lt;År1,0,H124*(1-VLOOKUP($A125,[1]Hugst!$R$5:$W$9,MATCH(ROUNDUP((I$1)/10,0)*10,[1]Hugst!$R$4:$W$4,0))))</f>
        <v>0</v>
      </c>
      <c r="J125" s="169">
        <f ca="1">IF($C125-J$1&lt;År1,0,I124*(1-VLOOKUP($A125,[1]Hugst!$R$5:$W$9,MATCH(ROUNDUP((J$1)/10,0)*10,[1]Hugst!$R$4:$W$4,0))))</f>
        <v>0</v>
      </c>
      <c r="K125" s="169">
        <f ca="1">IF($C125-K$1&lt;År1,0,J124*(1-VLOOKUP($A125,[1]Hugst!$R$5:$W$9,MATCH(ROUNDUP((K$1)/10,0)*10,[1]Hugst!$R$4:$W$4,0))))</f>
        <v>0</v>
      </c>
      <c r="L125" s="169">
        <f ca="1">IF($C125-L$1&lt;År1,0,K124*(1-VLOOKUP($A125,[1]Hugst!$R$5:$W$9,MATCH(ROUNDUP((L$1)/10,0)*10,[1]Hugst!$R$4:$W$4,0))))</f>
        <v>0</v>
      </c>
      <c r="M125" s="169">
        <f ca="1">IF($C125-M$1&lt;År1,0,L124*(1-VLOOKUP($A125,[1]Hugst!$R$5:$W$9,MATCH(ROUNDUP((M$1)/10,0)*10,[1]Hugst!$R$4:$W$4,0))))</f>
        <v>0</v>
      </c>
      <c r="N125" s="169">
        <f ca="1">IF($C125-N$1&lt;År1,0,M124*(1-VLOOKUP($A125,[1]Hugst!$R$5:$W$9,MATCH(ROUNDUP((N$1)/10,0)*10,[1]Hugst!$R$4:$W$4,0))))</f>
        <v>0</v>
      </c>
      <c r="O125" s="169">
        <f ca="1">IF($C125-O$1&lt;År1,0,N124*(1-VLOOKUP($A125,[1]Hugst!$R$5:$W$9,MATCH(ROUNDUP((O$1)/10,0)*10,[1]Hugst!$R$4:$W$4,0))))</f>
        <v>0</v>
      </c>
      <c r="P125" s="169">
        <f ca="1">IF($C125-P$1&lt;År1,0,O124*(1-VLOOKUP($A125,[1]Hugst!$R$5:$W$9,MATCH(ROUNDUP((P$1)/10,0)*10,[1]Hugst!$R$4:$W$4,0))))</f>
        <v>0</v>
      </c>
      <c r="Q125" s="169">
        <f ca="1">IF($C125-Q$1&lt;År1,0,P124*(1-VLOOKUP($A125,[1]Hugst!$R$5:$W$9,MATCH(ROUNDUP((Q$1)/10,0)*10,[1]Hugst!$R$4:$W$4,0))))</f>
        <v>0</v>
      </c>
      <c r="R125" s="169">
        <f ca="1">IF($C125-R$1&lt;År1,0,Q124*(1-VLOOKUP($A125,[1]Hugst!$R$5:$W$9,MATCH(ROUNDUP((R$1)/10,0)*10,[1]Hugst!$R$4:$W$4,0))))</f>
        <v>0</v>
      </c>
      <c r="S125" s="169">
        <f ca="1">IF($C125-S$1&lt;År1,0,R124*(1-VLOOKUP($A125,[1]Hugst!$R$5:$W$9,MATCH(ROUNDUP((S$1)/10,0)*10,[1]Hugst!$R$4:$W$4,0))))</f>
        <v>0</v>
      </c>
      <c r="T125" s="169">
        <f ca="1">IF($C125-T$1&lt;År1,0,S124*(1-VLOOKUP($A125,[1]Hugst!$R$5:$W$9,MATCH(ROUNDUP((T$1)/10,0)*10,[1]Hugst!$R$4:$W$4,0))))</f>
        <v>0</v>
      </c>
      <c r="U125" s="169">
        <f ca="1">IF($C125-U$1&lt;År1,0,T124*(1-VLOOKUP($A125,[1]Hugst!$R$5:$W$9,MATCH(ROUNDUP((U$1)/10,0)*10,[1]Hugst!$R$4:$W$4,0))))</f>
        <v>0</v>
      </c>
      <c r="V125" s="169">
        <f ca="1">IF($C125-V$1&lt;År1,0,U124*(1-VLOOKUP($A125,[1]Hugst!$R$5:$W$9,MATCH(ROUNDUP((V$1)/10,0)*10,[1]Hugst!$R$4:$W$4,0))))</f>
        <v>0</v>
      </c>
      <c r="W125" s="169">
        <f ca="1">IF($C125-W$1&lt;År1,0,V124*(1-VLOOKUP($A125,[1]Hugst!$R$5:$W$9,MATCH(ROUNDUP((W$1)/10,0)*10,[1]Hugst!$R$4:$W$4,0))))</f>
        <v>0</v>
      </c>
      <c r="X125" s="169">
        <f ca="1">IF($C125-X$1&lt;År1,0,W124*(1-VLOOKUP($A125,[1]Hugst!$R$5:$W$9,MATCH(ROUNDUP((X$1)/10,0)*10,[1]Hugst!$R$4:$W$4,0))))</f>
        <v>0</v>
      </c>
      <c r="Y125" s="169">
        <f ca="1">IF($C125-Y$1&lt;År1,0,X124*(1-VLOOKUP($A125,[1]Hugst!$R$5:$W$9,MATCH(ROUNDUP((Y$1)/10,0)*10,[1]Hugst!$R$4:$W$4,0))))</f>
        <v>0</v>
      </c>
      <c r="Z125" s="169">
        <f ca="1">IF($C125-Z$1&lt;År1,0,Y124*(1-VLOOKUP($A125,[1]Hugst!$R$5:$W$9,MATCH(ROUNDUP((Z$1)/10,0)*10,[1]Hugst!$R$4:$W$4,0))))</f>
        <v>0</v>
      </c>
      <c r="AA125" s="169">
        <f ca="1">IF($C125-AA$1&lt;År1,0,Z124*(1-VLOOKUP($A125,[1]Hugst!$R$5:$W$9,MATCH(ROUNDUP((AA$1)/10,0)*10,[1]Hugst!$R$4:$W$4,0))))</f>
        <v>0</v>
      </c>
      <c r="AB125" s="169">
        <f ca="1">IF($C125-AB$1&lt;År1,0,AA124*(1-VLOOKUP($A125,[1]Hugst!$R$5:$W$9,MATCH(ROUNDUP((AB$1)/10,0)*10,[1]Hugst!$R$4:$W$4,0))))</f>
        <v>0</v>
      </c>
      <c r="AC125" s="169">
        <f ca="1">IF($C125-AC$1&lt;År1,0,AB124*(1-VLOOKUP($A125,[1]Hugst!$R$5:$W$9,MATCH(ROUNDUP((AC$1)/10,0)*10,[1]Hugst!$R$4:$W$4,0))))</f>
        <v>0</v>
      </c>
      <c r="AD125" s="169">
        <f ca="1">IF($C125-AD$1&lt;År1,0,AC124*(1-VLOOKUP($A125,[1]Hugst!$R$5:$W$9,MATCH(ROUNDUP((AD$1)/10,0)*10,[1]Hugst!$R$4:$W$4,0))))</f>
        <v>0</v>
      </c>
      <c r="AE125" s="169">
        <f ca="1">IF($C125-AE$1&lt;År1,0,AD124*(1-VLOOKUP($A125,[1]Hugst!$R$5:$W$9,MATCH(ROUNDUP((AE$1)/10,0)*10,[1]Hugst!$R$4:$W$4,0))))</f>
        <v>0</v>
      </c>
      <c r="AF125" s="169">
        <f ca="1">IF($C125-AF$1&lt;År1,0,AE124*(1-VLOOKUP($A125,[1]Hugst!$R$5:$W$9,MATCH(ROUNDUP((AF$1)/10,0)*10,[1]Hugst!$R$4:$W$4,0))))</f>
        <v>0</v>
      </c>
      <c r="AG125" s="169">
        <f ca="1">IF($C125-AG$1&lt;År1,0,AF124*(1-VLOOKUP($A125,[1]Hugst!$R$5:$W$9,MATCH(ROUNDUP((AG$1)/10,0)*10,[1]Hugst!$R$4:$W$4,0))))</f>
        <v>0</v>
      </c>
      <c r="AH125" s="169">
        <f ca="1">IF($C125-AH$1&lt;År1,0,AG124*(1-VLOOKUP($A125,[1]Hugst!$R$5:$W$9,MATCH(ROUNDUP((AH$1)/10,0)*10,[1]Hugst!$R$4:$W$4,0))))</f>
        <v>0</v>
      </c>
      <c r="AI125" s="169">
        <f ca="1">IF($C125-AI$1&lt;År1,0,AH124*(1-VLOOKUP($A125,[1]Hugst!$R$5:$W$9,MATCH(ROUNDUP((AI$1)/10,0)*10,[1]Hugst!$R$4:$W$4,0))))</f>
        <v>0</v>
      </c>
      <c r="AJ125" s="169">
        <f ca="1">IF($C125-AJ$1&lt;År1,0,AI124*(1-VLOOKUP($A125,[1]Hugst!$R$5:$W$9,MATCH(ROUNDUP((AJ$1)/10,0)*10,[1]Hugst!$R$4:$W$4,0))))</f>
        <v>0</v>
      </c>
      <c r="AL125" s="169">
        <f ca="1">SUM(F125:AJ125)</f>
        <v>0</v>
      </c>
    </row>
    <row r="126" spans="1:38" x14ac:dyDescent="0.25">
      <c r="A126" s="169" t="s">
        <v>178</v>
      </c>
      <c r="B126" s="169" t="s">
        <v>23</v>
      </c>
      <c r="C126" s="169">
        <v>2020</v>
      </c>
      <c r="D126" s="169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1086.6749999999884</v>
      </c>
      <c r="E126" s="169">
        <f t="shared" ref="E126:E187" si="3">IF(C126=2020,SUM(G126:AJ126),SUM(F125:AJ125)-SUM(G126:AJ126))</f>
        <v>0</v>
      </c>
      <c r="F126" s="169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3614.2541179942436</v>
      </c>
      <c r="G126" s="169">
        <f>IF($C126-G$1&lt;År1,0,F125*(1-VLOOKUP($A126,[1]Hugst!$R$5:$W$9,MATCH(ROUNDUP((G$1)/10,0)*10,[1]Hugst!$R$4:$W$4,0))))</f>
        <v>0</v>
      </c>
      <c r="H126" s="169">
        <f>IF($C126-H$1&lt;År1,0,G125*(1-VLOOKUP($A126,[1]Hugst!$R$5:$W$9,MATCH(ROUNDUP((H$1)/10,0)*10,[1]Hugst!$R$4:$W$4,0))))</f>
        <v>0</v>
      </c>
      <c r="I126" s="169">
        <f>IF($C126-I$1&lt;År1,0,H125*(1-VLOOKUP($A126,[1]Hugst!$R$5:$W$9,MATCH(ROUNDUP((I$1)/10,0)*10,[1]Hugst!$R$4:$W$4,0))))</f>
        <v>0</v>
      </c>
      <c r="J126" s="169">
        <f>IF($C126-J$1&lt;År1,0,I125*(1-VLOOKUP($A126,[1]Hugst!$R$5:$W$9,MATCH(ROUNDUP((J$1)/10,0)*10,[1]Hugst!$R$4:$W$4,0))))</f>
        <v>0</v>
      </c>
      <c r="K126" s="169">
        <f>IF($C126-K$1&lt;År1,0,J125*(1-VLOOKUP($A126,[1]Hugst!$R$5:$W$9,MATCH(ROUNDUP((K$1)/10,0)*10,[1]Hugst!$R$4:$W$4,0))))</f>
        <v>0</v>
      </c>
      <c r="L126" s="169">
        <f>IF($C126-L$1&lt;År1,0,K125*(1-VLOOKUP($A126,[1]Hugst!$R$5:$W$9,MATCH(ROUNDUP((L$1)/10,0)*10,[1]Hugst!$R$4:$W$4,0))))</f>
        <v>0</v>
      </c>
      <c r="M126" s="169">
        <f>IF($C126-M$1&lt;År1,0,L125*(1-VLOOKUP($A126,[1]Hugst!$R$5:$W$9,MATCH(ROUNDUP((M$1)/10,0)*10,[1]Hugst!$R$4:$W$4,0))))</f>
        <v>0</v>
      </c>
      <c r="N126" s="169">
        <f>IF($C126-N$1&lt;År1,0,M125*(1-VLOOKUP($A126,[1]Hugst!$R$5:$W$9,MATCH(ROUNDUP((N$1)/10,0)*10,[1]Hugst!$R$4:$W$4,0))))</f>
        <v>0</v>
      </c>
      <c r="O126" s="169">
        <f>IF($C126-O$1&lt;År1,0,N125*(1-VLOOKUP($A126,[1]Hugst!$R$5:$W$9,MATCH(ROUNDUP((O$1)/10,0)*10,[1]Hugst!$R$4:$W$4,0))))</f>
        <v>0</v>
      </c>
      <c r="P126" s="169">
        <f>IF($C126-P$1&lt;År1,0,O125*(1-VLOOKUP($A126,[1]Hugst!$R$5:$W$9,MATCH(ROUNDUP((P$1)/10,0)*10,[1]Hugst!$R$4:$W$4,0))))</f>
        <v>0</v>
      </c>
      <c r="Q126" s="169">
        <f>IF($C126-Q$1&lt;År1,0,P125*(1-VLOOKUP($A126,[1]Hugst!$R$5:$W$9,MATCH(ROUNDUP((Q$1)/10,0)*10,[1]Hugst!$R$4:$W$4,0))))</f>
        <v>0</v>
      </c>
      <c r="R126" s="169">
        <f>IF($C126-R$1&lt;År1,0,Q125*(1-VLOOKUP($A126,[1]Hugst!$R$5:$W$9,MATCH(ROUNDUP((R$1)/10,0)*10,[1]Hugst!$R$4:$W$4,0))))</f>
        <v>0</v>
      </c>
      <c r="S126" s="169">
        <f>IF($C126-S$1&lt;År1,0,R125*(1-VLOOKUP($A126,[1]Hugst!$R$5:$W$9,MATCH(ROUNDUP((S$1)/10,0)*10,[1]Hugst!$R$4:$W$4,0))))</f>
        <v>0</v>
      </c>
      <c r="T126" s="169">
        <f>IF($C126-T$1&lt;År1,0,S125*(1-VLOOKUP($A126,[1]Hugst!$R$5:$W$9,MATCH(ROUNDUP((T$1)/10,0)*10,[1]Hugst!$R$4:$W$4,0))))</f>
        <v>0</v>
      </c>
      <c r="U126" s="169">
        <f>IF($C126-U$1&lt;År1,0,T125*(1-VLOOKUP($A126,[1]Hugst!$R$5:$W$9,MATCH(ROUNDUP((U$1)/10,0)*10,[1]Hugst!$R$4:$W$4,0))))</f>
        <v>0</v>
      </c>
      <c r="V126" s="169">
        <f>IF($C126-V$1&lt;År1,0,U125*(1-VLOOKUP($A126,[1]Hugst!$R$5:$W$9,MATCH(ROUNDUP((V$1)/10,0)*10,[1]Hugst!$R$4:$W$4,0))))</f>
        <v>0</v>
      </c>
      <c r="W126" s="169">
        <f>IF($C126-W$1&lt;År1,0,V125*(1-VLOOKUP($A126,[1]Hugst!$R$5:$W$9,MATCH(ROUNDUP((W$1)/10,0)*10,[1]Hugst!$R$4:$W$4,0))))</f>
        <v>0</v>
      </c>
      <c r="X126" s="169">
        <f>IF($C126-X$1&lt;År1,0,W125*(1-VLOOKUP($A126,[1]Hugst!$R$5:$W$9,MATCH(ROUNDUP((X$1)/10,0)*10,[1]Hugst!$R$4:$W$4,0))))</f>
        <v>0</v>
      </c>
      <c r="Y126" s="169">
        <f>IF($C126-Y$1&lt;År1,0,X125*(1-VLOOKUP($A126,[1]Hugst!$R$5:$W$9,MATCH(ROUNDUP((Y$1)/10,0)*10,[1]Hugst!$R$4:$W$4,0))))</f>
        <v>0</v>
      </c>
      <c r="Z126" s="169">
        <f>IF($C126-Z$1&lt;År1,0,Y125*(1-VLOOKUP($A126,[1]Hugst!$R$5:$W$9,MATCH(ROUNDUP((Z$1)/10,0)*10,[1]Hugst!$R$4:$W$4,0))))</f>
        <v>0</v>
      </c>
      <c r="AA126" s="169">
        <f>IF($C126-AA$1&lt;År1,0,Z125*(1-VLOOKUP($A126,[1]Hugst!$R$5:$W$9,MATCH(ROUNDUP((AA$1)/10,0)*10,[1]Hugst!$R$4:$W$4,0))))</f>
        <v>0</v>
      </c>
      <c r="AB126" s="169">
        <f>IF($C126-AB$1&lt;År1,0,AA125*(1-VLOOKUP($A126,[1]Hugst!$R$5:$W$9,MATCH(ROUNDUP((AB$1)/10,0)*10,[1]Hugst!$R$4:$W$4,0))))</f>
        <v>0</v>
      </c>
      <c r="AC126" s="169">
        <f>IF($C126-AC$1&lt;År1,0,AB125*(1-VLOOKUP($A126,[1]Hugst!$R$5:$W$9,MATCH(ROUNDUP((AC$1)/10,0)*10,[1]Hugst!$R$4:$W$4,0))))</f>
        <v>0</v>
      </c>
      <c r="AD126" s="169">
        <f>IF($C126-AD$1&lt;År1,0,AC125*(1-VLOOKUP($A126,[1]Hugst!$R$5:$W$9,MATCH(ROUNDUP((AD$1)/10,0)*10,[1]Hugst!$R$4:$W$4,0))))</f>
        <v>0</v>
      </c>
      <c r="AE126" s="169">
        <f>IF($C126-AE$1&lt;År1,0,AD125*(1-VLOOKUP($A126,[1]Hugst!$R$5:$W$9,MATCH(ROUNDUP((AE$1)/10,0)*10,[1]Hugst!$R$4:$W$4,0))))</f>
        <v>0</v>
      </c>
      <c r="AF126" s="169">
        <f>IF($C126-AF$1&lt;År1,0,AE125*(1-VLOOKUP($A126,[1]Hugst!$R$5:$W$9,MATCH(ROUNDUP((AF$1)/10,0)*10,[1]Hugst!$R$4:$W$4,0))))</f>
        <v>0</v>
      </c>
      <c r="AG126" s="169">
        <f>IF($C126-AG$1&lt;År1,0,AF125*(1-VLOOKUP($A126,[1]Hugst!$R$5:$W$9,MATCH(ROUNDUP((AG$1)/10,0)*10,[1]Hugst!$R$4:$W$4,0))))</f>
        <v>0</v>
      </c>
      <c r="AH126" s="169">
        <f>IF($C126-AH$1&lt;År1,0,AG125*(1-VLOOKUP($A126,[1]Hugst!$R$5:$W$9,MATCH(ROUNDUP((AH$1)/10,0)*10,[1]Hugst!$R$4:$W$4,0))))</f>
        <v>0</v>
      </c>
      <c r="AI126" s="169">
        <f>IF($C126-AI$1&lt;År1,0,AH125*(1-VLOOKUP($A126,[1]Hugst!$R$5:$W$9,MATCH(ROUNDUP((AI$1)/10,0)*10,[1]Hugst!$R$4:$W$4,0))))</f>
        <v>0</v>
      </c>
      <c r="AJ126" s="169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9" t="s">
        <v>178</v>
      </c>
      <c r="B127" s="169" t="s">
        <v>23</v>
      </c>
      <c r="C127" s="169">
        <v>2021</v>
      </c>
      <c r="D127" s="169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1624.5791249999893</v>
      </c>
      <c r="E127" s="169">
        <f t="shared" ca="1" si="3"/>
        <v>0</v>
      </c>
      <c r="F127" s="169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4152.1582429942446</v>
      </c>
      <c r="G127" s="169">
        <f ca="1">IF($C127-G$1&lt;År1,0,F126*(1-VLOOKUP($A127,[1]Hugst!$R$5:$W$9,MATCH(ROUNDUP((G$1)/10,0)*10,[1]Hugst!$R$4:$W$4,0))))</f>
        <v>3614.2541179942436</v>
      </c>
      <c r="H127" s="169">
        <f>IF($C127-H$1&lt;År1,0,G126*(1-VLOOKUP($A127,[1]Hugst!$R$5:$W$9,MATCH(ROUNDUP((H$1)/10,0)*10,[1]Hugst!$R$4:$W$4,0))))</f>
        <v>0</v>
      </c>
      <c r="I127" s="169">
        <f>IF($C127-I$1&lt;År1,0,H126*(1-VLOOKUP($A127,[1]Hugst!$R$5:$W$9,MATCH(ROUNDUP((I$1)/10,0)*10,[1]Hugst!$R$4:$W$4,0))))</f>
        <v>0</v>
      </c>
      <c r="J127" s="169">
        <f>IF($C127-J$1&lt;År1,0,I126*(1-VLOOKUP($A127,[1]Hugst!$R$5:$W$9,MATCH(ROUNDUP((J$1)/10,0)*10,[1]Hugst!$R$4:$W$4,0))))</f>
        <v>0</v>
      </c>
      <c r="K127" s="169">
        <f>IF($C127-K$1&lt;År1,0,J126*(1-VLOOKUP($A127,[1]Hugst!$R$5:$W$9,MATCH(ROUNDUP((K$1)/10,0)*10,[1]Hugst!$R$4:$W$4,0))))</f>
        <v>0</v>
      </c>
      <c r="L127" s="169">
        <f>IF($C127-L$1&lt;År1,0,K126*(1-VLOOKUP($A127,[1]Hugst!$R$5:$W$9,MATCH(ROUNDUP((L$1)/10,0)*10,[1]Hugst!$R$4:$W$4,0))))</f>
        <v>0</v>
      </c>
      <c r="M127" s="169">
        <f>IF($C127-M$1&lt;År1,0,L126*(1-VLOOKUP($A127,[1]Hugst!$R$5:$W$9,MATCH(ROUNDUP((M$1)/10,0)*10,[1]Hugst!$R$4:$W$4,0))))</f>
        <v>0</v>
      </c>
      <c r="N127" s="169">
        <f>IF($C127-N$1&lt;År1,0,M126*(1-VLOOKUP($A127,[1]Hugst!$R$5:$W$9,MATCH(ROUNDUP((N$1)/10,0)*10,[1]Hugst!$R$4:$W$4,0))))</f>
        <v>0</v>
      </c>
      <c r="O127" s="169">
        <f>IF($C127-O$1&lt;År1,0,N126*(1-VLOOKUP($A127,[1]Hugst!$R$5:$W$9,MATCH(ROUNDUP((O$1)/10,0)*10,[1]Hugst!$R$4:$W$4,0))))</f>
        <v>0</v>
      </c>
      <c r="P127" s="169">
        <f>IF($C127-P$1&lt;År1,0,O126*(1-VLOOKUP($A127,[1]Hugst!$R$5:$W$9,MATCH(ROUNDUP((P$1)/10,0)*10,[1]Hugst!$R$4:$W$4,0))))</f>
        <v>0</v>
      </c>
      <c r="Q127" s="169">
        <f>IF($C127-Q$1&lt;År1,0,P126*(1-VLOOKUP($A127,[1]Hugst!$R$5:$W$9,MATCH(ROUNDUP((Q$1)/10,0)*10,[1]Hugst!$R$4:$W$4,0))))</f>
        <v>0</v>
      </c>
      <c r="R127" s="169">
        <f>IF($C127-R$1&lt;År1,0,Q126*(1-VLOOKUP($A127,[1]Hugst!$R$5:$W$9,MATCH(ROUNDUP((R$1)/10,0)*10,[1]Hugst!$R$4:$W$4,0))))</f>
        <v>0</v>
      </c>
      <c r="S127" s="169">
        <f>IF($C127-S$1&lt;År1,0,R126*(1-VLOOKUP($A127,[1]Hugst!$R$5:$W$9,MATCH(ROUNDUP((S$1)/10,0)*10,[1]Hugst!$R$4:$W$4,0))))</f>
        <v>0</v>
      </c>
      <c r="T127" s="169">
        <f>IF($C127-T$1&lt;År1,0,S126*(1-VLOOKUP($A127,[1]Hugst!$R$5:$W$9,MATCH(ROUNDUP((T$1)/10,0)*10,[1]Hugst!$R$4:$W$4,0))))</f>
        <v>0</v>
      </c>
      <c r="U127" s="169">
        <f>IF($C127-U$1&lt;År1,0,T126*(1-VLOOKUP($A127,[1]Hugst!$R$5:$W$9,MATCH(ROUNDUP((U$1)/10,0)*10,[1]Hugst!$R$4:$W$4,0))))</f>
        <v>0</v>
      </c>
      <c r="V127" s="169">
        <f>IF($C127-V$1&lt;År1,0,U126*(1-VLOOKUP($A127,[1]Hugst!$R$5:$W$9,MATCH(ROUNDUP((V$1)/10,0)*10,[1]Hugst!$R$4:$W$4,0))))</f>
        <v>0</v>
      </c>
      <c r="W127" s="169">
        <f>IF($C127-W$1&lt;År1,0,V126*(1-VLOOKUP($A127,[1]Hugst!$R$5:$W$9,MATCH(ROUNDUP((W$1)/10,0)*10,[1]Hugst!$R$4:$W$4,0))))</f>
        <v>0</v>
      </c>
      <c r="X127" s="169">
        <f>IF($C127-X$1&lt;År1,0,W126*(1-VLOOKUP($A127,[1]Hugst!$R$5:$W$9,MATCH(ROUNDUP((X$1)/10,0)*10,[1]Hugst!$R$4:$W$4,0))))</f>
        <v>0</v>
      </c>
      <c r="Y127" s="169">
        <f>IF($C127-Y$1&lt;År1,0,X126*(1-VLOOKUP($A127,[1]Hugst!$R$5:$W$9,MATCH(ROUNDUP((Y$1)/10,0)*10,[1]Hugst!$R$4:$W$4,0))))</f>
        <v>0</v>
      </c>
      <c r="Z127" s="169">
        <f>IF($C127-Z$1&lt;År1,0,Y126*(1-VLOOKUP($A127,[1]Hugst!$R$5:$W$9,MATCH(ROUNDUP((Z$1)/10,0)*10,[1]Hugst!$R$4:$W$4,0))))</f>
        <v>0</v>
      </c>
      <c r="AA127" s="169">
        <f>IF($C127-AA$1&lt;År1,0,Z126*(1-VLOOKUP($A127,[1]Hugst!$R$5:$W$9,MATCH(ROUNDUP((AA$1)/10,0)*10,[1]Hugst!$R$4:$W$4,0))))</f>
        <v>0</v>
      </c>
      <c r="AB127" s="169">
        <f>IF($C127-AB$1&lt;År1,0,AA126*(1-VLOOKUP($A127,[1]Hugst!$R$5:$W$9,MATCH(ROUNDUP((AB$1)/10,0)*10,[1]Hugst!$R$4:$W$4,0))))</f>
        <v>0</v>
      </c>
      <c r="AC127" s="169">
        <f>IF($C127-AC$1&lt;År1,0,AB126*(1-VLOOKUP($A127,[1]Hugst!$R$5:$W$9,MATCH(ROUNDUP((AC$1)/10,0)*10,[1]Hugst!$R$4:$W$4,0))))</f>
        <v>0</v>
      </c>
      <c r="AD127" s="169">
        <f>IF($C127-AD$1&lt;År1,0,AC126*(1-VLOOKUP($A127,[1]Hugst!$R$5:$W$9,MATCH(ROUNDUP((AD$1)/10,0)*10,[1]Hugst!$R$4:$W$4,0))))</f>
        <v>0</v>
      </c>
      <c r="AE127" s="169">
        <f>IF($C127-AE$1&lt;År1,0,AD126*(1-VLOOKUP($A127,[1]Hugst!$R$5:$W$9,MATCH(ROUNDUP((AE$1)/10,0)*10,[1]Hugst!$R$4:$W$4,0))))</f>
        <v>0</v>
      </c>
      <c r="AF127" s="169">
        <f>IF($C127-AF$1&lt;År1,0,AE126*(1-VLOOKUP($A127,[1]Hugst!$R$5:$W$9,MATCH(ROUNDUP((AF$1)/10,0)*10,[1]Hugst!$R$4:$W$4,0))))</f>
        <v>0</v>
      </c>
      <c r="AG127" s="169">
        <f>IF($C127-AG$1&lt;År1,0,AF126*(1-VLOOKUP($A127,[1]Hugst!$R$5:$W$9,MATCH(ROUNDUP((AG$1)/10,0)*10,[1]Hugst!$R$4:$W$4,0))))</f>
        <v>0</v>
      </c>
      <c r="AH127" s="169">
        <f>IF($C127-AH$1&lt;År1,0,AG126*(1-VLOOKUP($A127,[1]Hugst!$R$5:$W$9,MATCH(ROUNDUP((AH$1)/10,0)*10,[1]Hugst!$R$4:$W$4,0))))</f>
        <v>0</v>
      </c>
      <c r="AI127" s="169">
        <f>IF($C127-AI$1&lt;År1,0,AH126*(1-VLOOKUP($A127,[1]Hugst!$R$5:$W$9,MATCH(ROUNDUP((AI$1)/10,0)*10,[1]Hugst!$R$4:$W$4,0))))</f>
        <v>0</v>
      </c>
      <c r="AJ127" s="169">
        <f>IF($C127-AJ$1&lt;År1,0,AI126*(1-VLOOKUP($A127,[1]Hugst!$R$5:$W$9,MATCH(ROUNDUP((AJ$1)/10,0)*10,[1]Hugst!$R$4:$W$4,0))))</f>
        <v>0</v>
      </c>
      <c r="AL127">
        <f ca="1">SUM(AL64:AL126)</f>
        <v>481032.62804968352</v>
      </c>
    </row>
    <row r="128" spans="1:38" x14ac:dyDescent="0.25">
      <c r="A128" s="169" t="s">
        <v>178</v>
      </c>
      <c r="B128" s="169" t="s">
        <v>23</v>
      </c>
      <c r="C128" s="169">
        <v>2022</v>
      </c>
      <c r="D128" s="169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1888.1249793750176</v>
      </c>
      <c r="E128" s="169">
        <f t="shared" ca="1" si="3"/>
        <v>0</v>
      </c>
      <c r="F128" s="169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4415.7040973692729</v>
      </c>
      <c r="G128" s="169">
        <f ca="1">IF($C128-G$1&lt;År1,0,F127*(1-VLOOKUP($A128,[1]Hugst!$R$5:$W$9,MATCH(ROUNDUP((G$1)/10,0)*10,[1]Hugst!$R$4:$W$4,0))))</f>
        <v>4152.1582429942446</v>
      </c>
      <c r="H128" s="169">
        <f ca="1">IF($C128-H$1&lt;År1,0,G127*(1-VLOOKUP($A128,[1]Hugst!$R$5:$W$9,MATCH(ROUNDUP((H$1)/10,0)*10,[1]Hugst!$R$4:$W$4,0))))</f>
        <v>3614.2541179942436</v>
      </c>
      <c r="I128" s="169">
        <f>IF($C128-I$1&lt;År1,0,H127*(1-VLOOKUP($A128,[1]Hugst!$R$5:$W$9,MATCH(ROUNDUP((I$1)/10,0)*10,[1]Hugst!$R$4:$W$4,0))))</f>
        <v>0</v>
      </c>
      <c r="J128" s="169">
        <f>IF($C128-J$1&lt;År1,0,I127*(1-VLOOKUP($A128,[1]Hugst!$R$5:$W$9,MATCH(ROUNDUP((J$1)/10,0)*10,[1]Hugst!$R$4:$W$4,0))))</f>
        <v>0</v>
      </c>
      <c r="K128" s="169">
        <f>IF($C128-K$1&lt;År1,0,J127*(1-VLOOKUP($A128,[1]Hugst!$R$5:$W$9,MATCH(ROUNDUP((K$1)/10,0)*10,[1]Hugst!$R$4:$W$4,0))))</f>
        <v>0</v>
      </c>
      <c r="L128" s="169">
        <f>IF($C128-L$1&lt;År1,0,K127*(1-VLOOKUP($A128,[1]Hugst!$R$5:$W$9,MATCH(ROUNDUP((L$1)/10,0)*10,[1]Hugst!$R$4:$W$4,0))))</f>
        <v>0</v>
      </c>
      <c r="M128" s="169">
        <f>IF($C128-M$1&lt;År1,0,L127*(1-VLOOKUP($A128,[1]Hugst!$R$5:$W$9,MATCH(ROUNDUP((M$1)/10,0)*10,[1]Hugst!$R$4:$W$4,0))))</f>
        <v>0</v>
      </c>
      <c r="N128" s="169">
        <f>IF($C128-N$1&lt;År1,0,M127*(1-VLOOKUP($A128,[1]Hugst!$R$5:$W$9,MATCH(ROUNDUP((N$1)/10,0)*10,[1]Hugst!$R$4:$W$4,0))))</f>
        <v>0</v>
      </c>
      <c r="O128" s="169">
        <f>IF($C128-O$1&lt;År1,0,N127*(1-VLOOKUP($A128,[1]Hugst!$R$5:$W$9,MATCH(ROUNDUP((O$1)/10,0)*10,[1]Hugst!$R$4:$W$4,0))))</f>
        <v>0</v>
      </c>
      <c r="P128" s="169">
        <f>IF($C128-P$1&lt;År1,0,O127*(1-VLOOKUP($A128,[1]Hugst!$R$5:$W$9,MATCH(ROUNDUP((P$1)/10,0)*10,[1]Hugst!$R$4:$W$4,0))))</f>
        <v>0</v>
      </c>
      <c r="Q128" s="169">
        <f>IF($C128-Q$1&lt;År1,0,P127*(1-VLOOKUP($A128,[1]Hugst!$R$5:$W$9,MATCH(ROUNDUP((Q$1)/10,0)*10,[1]Hugst!$R$4:$W$4,0))))</f>
        <v>0</v>
      </c>
      <c r="R128" s="169">
        <f>IF($C128-R$1&lt;År1,0,Q127*(1-VLOOKUP($A128,[1]Hugst!$R$5:$W$9,MATCH(ROUNDUP((R$1)/10,0)*10,[1]Hugst!$R$4:$W$4,0))))</f>
        <v>0</v>
      </c>
      <c r="S128" s="169">
        <f>IF($C128-S$1&lt;År1,0,R127*(1-VLOOKUP($A128,[1]Hugst!$R$5:$W$9,MATCH(ROUNDUP((S$1)/10,0)*10,[1]Hugst!$R$4:$W$4,0))))</f>
        <v>0</v>
      </c>
      <c r="T128" s="169">
        <f>IF($C128-T$1&lt;År1,0,S127*(1-VLOOKUP($A128,[1]Hugst!$R$5:$W$9,MATCH(ROUNDUP((T$1)/10,0)*10,[1]Hugst!$R$4:$W$4,0))))</f>
        <v>0</v>
      </c>
      <c r="U128" s="169">
        <f>IF($C128-U$1&lt;År1,0,T127*(1-VLOOKUP($A128,[1]Hugst!$R$5:$W$9,MATCH(ROUNDUP((U$1)/10,0)*10,[1]Hugst!$R$4:$W$4,0))))</f>
        <v>0</v>
      </c>
      <c r="V128" s="169">
        <f>IF($C128-V$1&lt;År1,0,U127*(1-VLOOKUP($A128,[1]Hugst!$R$5:$W$9,MATCH(ROUNDUP((V$1)/10,0)*10,[1]Hugst!$R$4:$W$4,0))))</f>
        <v>0</v>
      </c>
      <c r="W128" s="169">
        <f>IF($C128-W$1&lt;År1,0,V127*(1-VLOOKUP($A128,[1]Hugst!$R$5:$W$9,MATCH(ROUNDUP((W$1)/10,0)*10,[1]Hugst!$R$4:$W$4,0))))</f>
        <v>0</v>
      </c>
      <c r="X128" s="169">
        <f>IF($C128-X$1&lt;År1,0,W127*(1-VLOOKUP($A128,[1]Hugst!$R$5:$W$9,MATCH(ROUNDUP((X$1)/10,0)*10,[1]Hugst!$R$4:$W$4,0))))</f>
        <v>0</v>
      </c>
      <c r="Y128" s="169">
        <f>IF($C128-Y$1&lt;År1,0,X127*(1-VLOOKUP($A128,[1]Hugst!$R$5:$W$9,MATCH(ROUNDUP((Y$1)/10,0)*10,[1]Hugst!$R$4:$W$4,0))))</f>
        <v>0</v>
      </c>
      <c r="Z128" s="169">
        <f>IF($C128-Z$1&lt;År1,0,Y127*(1-VLOOKUP($A128,[1]Hugst!$R$5:$W$9,MATCH(ROUNDUP((Z$1)/10,0)*10,[1]Hugst!$R$4:$W$4,0))))</f>
        <v>0</v>
      </c>
      <c r="AA128" s="169">
        <f>IF($C128-AA$1&lt;År1,0,Z127*(1-VLOOKUP($A128,[1]Hugst!$R$5:$W$9,MATCH(ROUNDUP((AA$1)/10,0)*10,[1]Hugst!$R$4:$W$4,0))))</f>
        <v>0</v>
      </c>
      <c r="AB128" s="169">
        <f>IF($C128-AB$1&lt;År1,0,AA127*(1-VLOOKUP($A128,[1]Hugst!$R$5:$W$9,MATCH(ROUNDUP((AB$1)/10,0)*10,[1]Hugst!$R$4:$W$4,0))))</f>
        <v>0</v>
      </c>
      <c r="AC128" s="169">
        <f>IF($C128-AC$1&lt;År1,0,AB127*(1-VLOOKUP($A128,[1]Hugst!$R$5:$W$9,MATCH(ROUNDUP((AC$1)/10,0)*10,[1]Hugst!$R$4:$W$4,0))))</f>
        <v>0</v>
      </c>
      <c r="AD128" s="169">
        <f>IF($C128-AD$1&lt;År1,0,AC127*(1-VLOOKUP($A128,[1]Hugst!$R$5:$W$9,MATCH(ROUNDUP((AD$1)/10,0)*10,[1]Hugst!$R$4:$W$4,0))))</f>
        <v>0</v>
      </c>
      <c r="AE128" s="169">
        <f>IF($C128-AE$1&lt;År1,0,AD127*(1-VLOOKUP($A128,[1]Hugst!$R$5:$W$9,MATCH(ROUNDUP((AE$1)/10,0)*10,[1]Hugst!$R$4:$W$4,0))))</f>
        <v>0</v>
      </c>
      <c r="AF128" s="169">
        <f>IF($C128-AF$1&lt;År1,0,AE127*(1-VLOOKUP($A128,[1]Hugst!$R$5:$W$9,MATCH(ROUNDUP((AF$1)/10,0)*10,[1]Hugst!$R$4:$W$4,0))))</f>
        <v>0</v>
      </c>
      <c r="AG128" s="169">
        <f>IF($C128-AG$1&lt;År1,0,AF127*(1-VLOOKUP($A128,[1]Hugst!$R$5:$W$9,MATCH(ROUNDUP((AG$1)/10,0)*10,[1]Hugst!$R$4:$W$4,0))))</f>
        <v>0</v>
      </c>
      <c r="AH128" s="169">
        <f>IF($C128-AH$1&lt;År1,0,AG127*(1-VLOOKUP($A128,[1]Hugst!$R$5:$W$9,MATCH(ROUNDUP((AH$1)/10,0)*10,[1]Hugst!$R$4:$W$4,0))))</f>
        <v>0</v>
      </c>
      <c r="AI128" s="169">
        <f>IF($C128-AI$1&lt;År1,0,AH127*(1-VLOOKUP($A128,[1]Hugst!$R$5:$W$9,MATCH(ROUNDUP((AI$1)/10,0)*10,[1]Hugst!$R$4:$W$4,0))))</f>
        <v>0</v>
      </c>
      <c r="AJ128" s="169">
        <f>IF($C128-AJ$1&lt;År1,0,AI127*(1-VLOOKUP($A128,[1]Hugst!$R$5:$W$9,MATCH(ROUNDUP((AJ$1)/10,0)*10,[1]Hugst!$R$4:$W$4,0))))</f>
        <v>0</v>
      </c>
    </row>
    <row r="129" spans="1:36" x14ac:dyDescent="0.25">
      <c r="A129" s="169" t="s">
        <v>178</v>
      </c>
      <c r="B129" s="169" t="s">
        <v>23</v>
      </c>
      <c r="C129" s="169">
        <v>2023</v>
      </c>
      <c r="D129" s="169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2014.5187294781063</v>
      </c>
      <c r="E129" s="169">
        <f t="shared" ca="1" si="3"/>
        <v>0</v>
      </c>
      <c r="F129" s="169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4542.0978474723615</v>
      </c>
      <c r="G129" s="169">
        <f ca="1">IF($C129-G$1&lt;År1,0,F128*(1-VLOOKUP($A129,[1]Hugst!$R$5:$W$9,MATCH(ROUNDUP((G$1)/10,0)*10,[1]Hugst!$R$4:$W$4,0))))</f>
        <v>4415.7040973692729</v>
      </c>
      <c r="H129" s="169">
        <f ca="1">IF($C129-H$1&lt;År1,0,G128*(1-VLOOKUP($A129,[1]Hugst!$R$5:$W$9,MATCH(ROUNDUP((H$1)/10,0)*10,[1]Hugst!$R$4:$W$4,0))))</f>
        <v>4152.1582429942446</v>
      </c>
      <c r="I129" s="169">
        <f ca="1">IF($C129-I$1&lt;År1,0,H128*(1-VLOOKUP($A129,[1]Hugst!$R$5:$W$9,MATCH(ROUNDUP((I$1)/10,0)*10,[1]Hugst!$R$4:$W$4,0))))</f>
        <v>3614.2541179942436</v>
      </c>
      <c r="J129" s="169">
        <f>IF($C129-J$1&lt;År1,0,I128*(1-VLOOKUP($A129,[1]Hugst!$R$5:$W$9,MATCH(ROUNDUP((J$1)/10,0)*10,[1]Hugst!$R$4:$W$4,0))))</f>
        <v>0</v>
      </c>
      <c r="K129" s="169">
        <f>IF($C129-K$1&lt;År1,0,J128*(1-VLOOKUP($A129,[1]Hugst!$R$5:$W$9,MATCH(ROUNDUP((K$1)/10,0)*10,[1]Hugst!$R$4:$W$4,0))))</f>
        <v>0</v>
      </c>
      <c r="L129" s="169">
        <f>IF($C129-L$1&lt;År1,0,K128*(1-VLOOKUP($A129,[1]Hugst!$R$5:$W$9,MATCH(ROUNDUP((L$1)/10,0)*10,[1]Hugst!$R$4:$W$4,0))))</f>
        <v>0</v>
      </c>
      <c r="M129" s="169">
        <f>IF($C129-M$1&lt;År1,0,L128*(1-VLOOKUP($A129,[1]Hugst!$R$5:$W$9,MATCH(ROUNDUP((M$1)/10,0)*10,[1]Hugst!$R$4:$W$4,0))))</f>
        <v>0</v>
      </c>
      <c r="N129" s="169">
        <f>IF($C129-N$1&lt;År1,0,M128*(1-VLOOKUP($A129,[1]Hugst!$R$5:$W$9,MATCH(ROUNDUP((N$1)/10,0)*10,[1]Hugst!$R$4:$W$4,0))))</f>
        <v>0</v>
      </c>
      <c r="O129" s="169">
        <f>IF($C129-O$1&lt;År1,0,N128*(1-VLOOKUP($A129,[1]Hugst!$R$5:$W$9,MATCH(ROUNDUP((O$1)/10,0)*10,[1]Hugst!$R$4:$W$4,0))))</f>
        <v>0</v>
      </c>
      <c r="P129" s="169">
        <f>IF($C129-P$1&lt;År1,0,O128*(1-VLOOKUP($A129,[1]Hugst!$R$5:$W$9,MATCH(ROUNDUP((P$1)/10,0)*10,[1]Hugst!$R$4:$W$4,0))))</f>
        <v>0</v>
      </c>
      <c r="Q129" s="169">
        <f>IF($C129-Q$1&lt;År1,0,P128*(1-VLOOKUP($A129,[1]Hugst!$R$5:$W$9,MATCH(ROUNDUP((Q$1)/10,0)*10,[1]Hugst!$R$4:$W$4,0))))</f>
        <v>0</v>
      </c>
      <c r="R129" s="169">
        <f>IF($C129-R$1&lt;År1,0,Q128*(1-VLOOKUP($A129,[1]Hugst!$R$5:$W$9,MATCH(ROUNDUP((R$1)/10,0)*10,[1]Hugst!$R$4:$W$4,0))))</f>
        <v>0</v>
      </c>
      <c r="S129" s="169">
        <f>IF($C129-S$1&lt;År1,0,R128*(1-VLOOKUP($A129,[1]Hugst!$R$5:$W$9,MATCH(ROUNDUP((S$1)/10,0)*10,[1]Hugst!$R$4:$W$4,0))))</f>
        <v>0</v>
      </c>
      <c r="T129" s="169">
        <f>IF($C129-T$1&lt;År1,0,S128*(1-VLOOKUP($A129,[1]Hugst!$R$5:$W$9,MATCH(ROUNDUP((T$1)/10,0)*10,[1]Hugst!$R$4:$W$4,0))))</f>
        <v>0</v>
      </c>
      <c r="U129" s="169">
        <f>IF($C129-U$1&lt;År1,0,T128*(1-VLOOKUP($A129,[1]Hugst!$R$5:$W$9,MATCH(ROUNDUP((U$1)/10,0)*10,[1]Hugst!$R$4:$W$4,0))))</f>
        <v>0</v>
      </c>
      <c r="V129" s="169">
        <f>IF($C129-V$1&lt;År1,0,U128*(1-VLOOKUP($A129,[1]Hugst!$R$5:$W$9,MATCH(ROUNDUP((V$1)/10,0)*10,[1]Hugst!$R$4:$W$4,0))))</f>
        <v>0</v>
      </c>
      <c r="W129" s="169">
        <f>IF($C129-W$1&lt;År1,0,V128*(1-VLOOKUP($A129,[1]Hugst!$R$5:$W$9,MATCH(ROUNDUP((W$1)/10,0)*10,[1]Hugst!$R$4:$W$4,0))))</f>
        <v>0</v>
      </c>
      <c r="X129" s="169">
        <f>IF($C129-X$1&lt;År1,0,W128*(1-VLOOKUP($A129,[1]Hugst!$R$5:$W$9,MATCH(ROUNDUP((X$1)/10,0)*10,[1]Hugst!$R$4:$W$4,0))))</f>
        <v>0</v>
      </c>
      <c r="Y129" s="169">
        <f>IF($C129-Y$1&lt;År1,0,X128*(1-VLOOKUP($A129,[1]Hugst!$R$5:$W$9,MATCH(ROUNDUP((Y$1)/10,0)*10,[1]Hugst!$R$4:$W$4,0))))</f>
        <v>0</v>
      </c>
      <c r="Z129" s="169">
        <f>IF($C129-Z$1&lt;År1,0,Y128*(1-VLOOKUP($A129,[1]Hugst!$R$5:$W$9,MATCH(ROUNDUP((Z$1)/10,0)*10,[1]Hugst!$R$4:$W$4,0))))</f>
        <v>0</v>
      </c>
      <c r="AA129" s="169">
        <f>IF($C129-AA$1&lt;År1,0,Z128*(1-VLOOKUP($A129,[1]Hugst!$R$5:$W$9,MATCH(ROUNDUP((AA$1)/10,0)*10,[1]Hugst!$R$4:$W$4,0))))</f>
        <v>0</v>
      </c>
      <c r="AB129" s="169">
        <f>IF($C129-AB$1&lt;År1,0,AA128*(1-VLOOKUP($A129,[1]Hugst!$R$5:$W$9,MATCH(ROUNDUP((AB$1)/10,0)*10,[1]Hugst!$R$4:$W$4,0))))</f>
        <v>0</v>
      </c>
      <c r="AC129" s="169">
        <f>IF($C129-AC$1&lt;År1,0,AB128*(1-VLOOKUP($A129,[1]Hugst!$R$5:$W$9,MATCH(ROUNDUP((AC$1)/10,0)*10,[1]Hugst!$R$4:$W$4,0))))</f>
        <v>0</v>
      </c>
      <c r="AD129" s="169">
        <f>IF($C129-AD$1&lt;År1,0,AC128*(1-VLOOKUP($A129,[1]Hugst!$R$5:$W$9,MATCH(ROUNDUP((AD$1)/10,0)*10,[1]Hugst!$R$4:$W$4,0))))</f>
        <v>0</v>
      </c>
      <c r="AE129" s="169">
        <f>IF($C129-AE$1&lt;År1,0,AD128*(1-VLOOKUP($A129,[1]Hugst!$R$5:$W$9,MATCH(ROUNDUP((AE$1)/10,0)*10,[1]Hugst!$R$4:$W$4,0))))</f>
        <v>0</v>
      </c>
      <c r="AF129" s="169">
        <f>IF($C129-AF$1&lt;År1,0,AE128*(1-VLOOKUP($A129,[1]Hugst!$R$5:$W$9,MATCH(ROUNDUP((AF$1)/10,0)*10,[1]Hugst!$R$4:$W$4,0))))</f>
        <v>0</v>
      </c>
      <c r="AG129" s="169">
        <f>IF($C129-AG$1&lt;År1,0,AF128*(1-VLOOKUP($A129,[1]Hugst!$R$5:$W$9,MATCH(ROUNDUP((AG$1)/10,0)*10,[1]Hugst!$R$4:$W$4,0))))</f>
        <v>0</v>
      </c>
      <c r="AH129" s="169">
        <f>IF($C129-AH$1&lt;År1,0,AG128*(1-VLOOKUP($A129,[1]Hugst!$R$5:$W$9,MATCH(ROUNDUP((AH$1)/10,0)*10,[1]Hugst!$R$4:$W$4,0))))</f>
        <v>0</v>
      </c>
      <c r="AI129" s="169">
        <f>IF($C129-AI$1&lt;År1,0,AH128*(1-VLOOKUP($A129,[1]Hugst!$R$5:$W$9,MATCH(ROUNDUP((AI$1)/10,0)*10,[1]Hugst!$R$4:$W$4,0))))</f>
        <v>0</v>
      </c>
      <c r="AJ129" s="169">
        <f>IF($C129-AJ$1&lt;År1,0,AI128*(1-VLOOKUP($A129,[1]Hugst!$R$5:$W$9,MATCH(ROUNDUP((AJ$1)/10,0)*10,[1]Hugst!$R$4:$W$4,0))))</f>
        <v>0</v>
      </c>
    </row>
    <row r="130" spans="1:36" x14ac:dyDescent="0.25">
      <c r="A130" s="169" t="s">
        <v>178</v>
      </c>
      <c r="B130" s="169" t="s">
        <v>23</v>
      </c>
      <c r="C130" s="169">
        <v>2024</v>
      </c>
      <c r="D130" s="169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2072.3633233307264</v>
      </c>
      <c r="E130" s="169">
        <f t="shared" ca="1" si="3"/>
        <v>0</v>
      </c>
      <c r="F130" s="169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4599.9424413249817</v>
      </c>
      <c r="G130" s="169">
        <f ca="1">IF($C130-G$1&lt;År1,0,F129*(1-VLOOKUP($A130,[1]Hugst!$R$5:$W$9,MATCH(ROUNDUP((G$1)/10,0)*10,[1]Hugst!$R$4:$W$4,0))))</f>
        <v>4542.0978474723615</v>
      </c>
      <c r="H130" s="169">
        <f ca="1">IF($C130-H$1&lt;År1,0,G129*(1-VLOOKUP($A130,[1]Hugst!$R$5:$W$9,MATCH(ROUNDUP((H$1)/10,0)*10,[1]Hugst!$R$4:$W$4,0))))</f>
        <v>4415.7040973692729</v>
      </c>
      <c r="I130" s="169">
        <f ca="1">IF($C130-I$1&lt;År1,0,H129*(1-VLOOKUP($A130,[1]Hugst!$R$5:$W$9,MATCH(ROUNDUP((I$1)/10,0)*10,[1]Hugst!$R$4:$W$4,0))))</f>
        <v>4152.1582429942446</v>
      </c>
      <c r="J130" s="169">
        <f ca="1">IF($C130-J$1&lt;År1,0,I129*(1-VLOOKUP($A130,[1]Hugst!$R$5:$W$9,MATCH(ROUNDUP((J$1)/10,0)*10,[1]Hugst!$R$4:$W$4,0))))</f>
        <v>3614.2541179942436</v>
      </c>
      <c r="K130" s="169">
        <f>IF($C130-K$1&lt;År1,0,J129*(1-VLOOKUP($A130,[1]Hugst!$R$5:$W$9,MATCH(ROUNDUP((K$1)/10,0)*10,[1]Hugst!$R$4:$W$4,0))))</f>
        <v>0</v>
      </c>
      <c r="L130" s="169">
        <f>IF($C130-L$1&lt;År1,0,K129*(1-VLOOKUP($A130,[1]Hugst!$R$5:$W$9,MATCH(ROUNDUP((L$1)/10,0)*10,[1]Hugst!$R$4:$W$4,0))))</f>
        <v>0</v>
      </c>
      <c r="M130" s="169">
        <f>IF($C130-M$1&lt;År1,0,L129*(1-VLOOKUP($A130,[1]Hugst!$R$5:$W$9,MATCH(ROUNDUP((M$1)/10,0)*10,[1]Hugst!$R$4:$W$4,0))))</f>
        <v>0</v>
      </c>
      <c r="N130" s="169">
        <f>IF($C130-N$1&lt;År1,0,M129*(1-VLOOKUP($A130,[1]Hugst!$R$5:$W$9,MATCH(ROUNDUP((N$1)/10,0)*10,[1]Hugst!$R$4:$W$4,0))))</f>
        <v>0</v>
      </c>
      <c r="O130" s="169">
        <f>IF($C130-O$1&lt;År1,0,N129*(1-VLOOKUP($A130,[1]Hugst!$R$5:$W$9,MATCH(ROUNDUP((O$1)/10,0)*10,[1]Hugst!$R$4:$W$4,0))))</f>
        <v>0</v>
      </c>
      <c r="P130" s="169">
        <f>IF($C130-P$1&lt;År1,0,O129*(1-VLOOKUP($A130,[1]Hugst!$R$5:$W$9,MATCH(ROUNDUP((P$1)/10,0)*10,[1]Hugst!$R$4:$W$4,0))))</f>
        <v>0</v>
      </c>
      <c r="Q130" s="169">
        <f>IF($C130-Q$1&lt;År1,0,P129*(1-VLOOKUP($A130,[1]Hugst!$R$5:$W$9,MATCH(ROUNDUP((Q$1)/10,0)*10,[1]Hugst!$R$4:$W$4,0))))</f>
        <v>0</v>
      </c>
      <c r="R130" s="169">
        <f>IF($C130-R$1&lt;År1,0,Q129*(1-VLOOKUP($A130,[1]Hugst!$R$5:$W$9,MATCH(ROUNDUP((R$1)/10,0)*10,[1]Hugst!$R$4:$W$4,0))))</f>
        <v>0</v>
      </c>
      <c r="S130" s="169">
        <f>IF($C130-S$1&lt;År1,0,R129*(1-VLOOKUP($A130,[1]Hugst!$R$5:$W$9,MATCH(ROUNDUP((S$1)/10,0)*10,[1]Hugst!$R$4:$W$4,0))))</f>
        <v>0</v>
      </c>
      <c r="T130" s="169">
        <f>IF($C130-T$1&lt;År1,0,S129*(1-VLOOKUP($A130,[1]Hugst!$R$5:$W$9,MATCH(ROUNDUP((T$1)/10,0)*10,[1]Hugst!$R$4:$W$4,0))))</f>
        <v>0</v>
      </c>
      <c r="U130" s="169">
        <f>IF($C130-U$1&lt;År1,0,T129*(1-VLOOKUP($A130,[1]Hugst!$R$5:$W$9,MATCH(ROUNDUP((U$1)/10,0)*10,[1]Hugst!$R$4:$W$4,0))))</f>
        <v>0</v>
      </c>
      <c r="V130" s="169">
        <f>IF($C130-V$1&lt;År1,0,U129*(1-VLOOKUP($A130,[1]Hugst!$R$5:$W$9,MATCH(ROUNDUP((V$1)/10,0)*10,[1]Hugst!$R$4:$W$4,0))))</f>
        <v>0</v>
      </c>
      <c r="W130" s="169">
        <f>IF($C130-W$1&lt;År1,0,V129*(1-VLOOKUP($A130,[1]Hugst!$R$5:$W$9,MATCH(ROUNDUP((W$1)/10,0)*10,[1]Hugst!$R$4:$W$4,0))))</f>
        <v>0</v>
      </c>
      <c r="X130" s="169">
        <f>IF($C130-X$1&lt;År1,0,W129*(1-VLOOKUP($A130,[1]Hugst!$R$5:$W$9,MATCH(ROUNDUP((X$1)/10,0)*10,[1]Hugst!$R$4:$W$4,0))))</f>
        <v>0</v>
      </c>
      <c r="Y130" s="169">
        <f>IF($C130-Y$1&lt;År1,0,X129*(1-VLOOKUP($A130,[1]Hugst!$R$5:$W$9,MATCH(ROUNDUP((Y$1)/10,0)*10,[1]Hugst!$R$4:$W$4,0))))</f>
        <v>0</v>
      </c>
      <c r="Z130" s="169">
        <f>IF($C130-Z$1&lt;År1,0,Y129*(1-VLOOKUP($A130,[1]Hugst!$R$5:$W$9,MATCH(ROUNDUP((Z$1)/10,0)*10,[1]Hugst!$R$4:$W$4,0))))</f>
        <v>0</v>
      </c>
      <c r="AA130" s="169">
        <f>IF($C130-AA$1&lt;År1,0,Z129*(1-VLOOKUP($A130,[1]Hugst!$R$5:$W$9,MATCH(ROUNDUP((AA$1)/10,0)*10,[1]Hugst!$R$4:$W$4,0))))</f>
        <v>0</v>
      </c>
      <c r="AB130" s="169">
        <f>IF($C130-AB$1&lt;År1,0,AA129*(1-VLOOKUP($A130,[1]Hugst!$R$5:$W$9,MATCH(ROUNDUP((AB$1)/10,0)*10,[1]Hugst!$R$4:$W$4,0))))</f>
        <v>0</v>
      </c>
      <c r="AC130" s="169">
        <f>IF($C130-AC$1&lt;År1,0,AB129*(1-VLOOKUP($A130,[1]Hugst!$R$5:$W$9,MATCH(ROUNDUP((AC$1)/10,0)*10,[1]Hugst!$R$4:$W$4,0))))</f>
        <v>0</v>
      </c>
      <c r="AD130" s="169">
        <f>IF($C130-AD$1&lt;År1,0,AC129*(1-VLOOKUP($A130,[1]Hugst!$R$5:$W$9,MATCH(ROUNDUP((AD$1)/10,0)*10,[1]Hugst!$R$4:$W$4,0))))</f>
        <v>0</v>
      </c>
      <c r="AE130" s="169">
        <f>IF($C130-AE$1&lt;År1,0,AD129*(1-VLOOKUP($A130,[1]Hugst!$R$5:$W$9,MATCH(ROUNDUP((AE$1)/10,0)*10,[1]Hugst!$R$4:$W$4,0))))</f>
        <v>0</v>
      </c>
      <c r="AF130" s="169">
        <f>IF($C130-AF$1&lt;År1,0,AE129*(1-VLOOKUP($A130,[1]Hugst!$R$5:$W$9,MATCH(ROUNDUP((AF$1)/10,0)*10,[1]Hugst!$R$4:$W$4,0))))</f>
        <v>0</v>
      </c>
      <c r="AG130" s="169">
        <f>IF($C130-AG$1&lt;År1,0,AF129*(1-VLOOKUP($A130,[1]Hugst!$R$5:$W$9,MATCH(ROUNDUP((AG$1)/10,0)*10,[1]Hugst!$R$4:$W$4,0))))</f>
        <v>0</v>
      </c>
      <c r="AH130" s="169">
        <f>IF($C130-AH$1&lt;År1,0,AG129*(1-VLOOKUP($A130,[1]Hugst!$R$5:$W$9,MATCH(ROUNDUP((AH$1)/10,0)*10,[1]Hugst!$R$4:$W$4,0))))</f>
        <v>0</v>
      </c>
      <c r="AI130" s="169">
        <f>IF($C130-AI$1&lt;År1,0,AH129*(1-VLOOKUP($A130,[1]Hugst!$R$5:$W$9,MATCH(ROUNDUP((AI$1)/10,0)*10,[1]Hugst!$R$4:$W$4,0))))</f>
        <v>0</v>
      </c>
      <c r="AJ130" s="169">
        <f>IF($C130-AJ$1&lt;År1,0,AI129*(1-VLOOKUP($A130,[1]Hugst!$R$5:$W$9,MATCH(ROUNDUP((AJ$1)/10,0)*10,[1]Hugst!$R$4:$W$4,0))))</f>
        <v>0</v>
      </c>
    </row>
    <row r="131" spans="1:36" x14ac:dyDescent="0.25">
      <c r="A131" s="169" t="s">
        <v>178</v>
      </c>
      <c r="B131" s="169" t="s">
        <v>23</v>
      </c>
      <c r="C131" s="169">
        <v>2025</v>
      </c>
      <c r="D131" s="169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2095.9601004640681</v>
      </c>
      <c r="E131" s="169">
        <f t="shared" ca="1" si="3"/>
        <v>0</v>
      </c>
      <c r="F131" s="169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4623.5392184583234</v>
      </c>
      <c r="G131" s="169">
        <f ca="1">IF($C131-G$1&lt;År1,0,F130*(1-VLOOKUP($A131,[1]Hugst!$R$5:$W$9,MATCH(ROUNDUP((G$1)/10,0)*10,[1]Hugst!$R$4:$W$4,0))))</f>
        <v>4599.9424413249817</v>
      </c>
      <c r="H131" s="169">
        <f ca="1">IF($C131-H$1&lt;År1,0,G130*(1-VLOOKUP($A131,[1]Hugst!$R$5:$W$9,MATCH(ROUNDUP((H$1)/10,0)*10,[1]Hugst!$R$4:$W$4,0))))</f>
        <v>4542.0978474723615</v>
      </c>
      <c r="I131" s="169">
        <f ca="1">IF($C131-I$1&lt;År1,0,H130*(1-VLOOKUP($A131,[1]Hugst!$R$5:$W$9,MATCH(ROUNDUP((I$1)/10,0)*10,[1]Hugst!$R$4:$W$4,0))))</f>
        <v>4415.7040973692729</v>
      </c>
      <c r="J131" s="169">
        <f ca="1">IF($C131-J$1&lt;År1,0,I130*(1-VLOOKUP($A131,[1]Hugst!$R$5:$W$9,MATCH(ROUNDUP((J$1)/10,0)*10,[1]Hugst!$R$4:$W$4,0))))</f>
        <v>4152.1582429942446</v>
      </c>
      <c r="K131" s="169">
        <f ca="1">IF($C131-K$1&lt;År1,0,J130*(1-VLOOKUP($A131,[1]Hugst!$R$5:$W$9,MATCH(ROUNDUP((K$1)/10,0)*10,[1]Hugst!$R$4:$W$4,0))))</f>
        <v>3614.2541179942436</v>
      </c>
      <c r="L131" s="169">
        <f>IF($C131-L$1&lt;År1,0,K130*(1-VLOOKUP($A131,[1]Hugst!$R$5:$W$9,MATCH(ROUNDUP((L$1)/10,0)*10,[1]Hugst!$R$4:$W$4,0))))</f>
        <v>0</v>
      </c>
      <c r="M131" s="169">
        <f>IF($C131-M$1&lt;År1,0,L130*(1-VLOOKUP($A131,[1]Hugst!$R$5:$W$9,MATCH(ROUNDUP((M$1)/10,0)*10,[1]Hugst!$R$4:$W$4,0))))</f>
        <v>0</v>
      </c>
      <c r="N131" s="169">
        <f>IF($C131-N$1&lt;År1,0,M130*(1-VLOOKUP($A131,[1]Hugst!$R$5:$W$9,MATCH(ROUNDUP((N$1)/10,0)*10,[1]Hugst!$R$4:$W$4,0))))</f>
        <v>0</v>
      </c>
      <c r="O131" s="169">
        <f>IF($C131-O$1&lt;År1,0,N130*(1-VLOOKUP($A131,[1]Hugst!$R$5:$W$9,MATCH(ROUNDUP((O$1)/10,0)*10,[1]Hugst!$R$4:$W$4,0))))</f>
        <v>0</v>
      </c>
      <c r="P131" s="169">
        <f>IF($C131-P$1&lt;År1,0,O130*(1-VLOOKUP($A131,[1]Hugst!$R$5:$W$9,MATCH(ROUNDUP((P$1)/10,0)*10,[1]Hugst!$R$4:$W$4,0))))</f>
        <v>0</v>
      </c>
      <c r="Q131" s="169">
        <f>IF($C131-Q$1&lt;År1,0,P130*(1-VLOOKUP($A131,[1]Hugst!$R$5:$W$9,MATCH(ROUNDUP((Q$1)/10,0)*10,[1]Hugst!$R$4:$W$4,0))))</f>
        <v>0</v>
      </c>
      <c r="R131" s="169">
        <f>IF($C131-R$1&lt;År1,0,Q130*(1-VLOOKUP($A131,[1]Hugst!$R$5:$W$9,MATCH(ROUNDUP((R$1)/10,0)*10,[1]Hugst!$R$4:$W$4,0))))</f>
        <v>0</v>
      </c>
      <c r="S131" s="169">
        <f>IF($C131-S$1&lt;År1,0,R130*(1-VLOOKUP($A131,[1]Hugst!$R$5:$W$9,MATCH(ROUNDUP((S$1)/10,0)*10,[1]Hugst!$R$4:$W$4,0))))</f>
        <v>0</v>
      </c>
      <c r="T131" s="169">
        <f>IF($C131-T$1&lt;År1,0,S130*(1-VLOOKUP($A131,[1]Hugst!$R$5:$W$9,MATCH(ROUNDUP((T$1)/10,0)*10,[1]Hugst!$R$4:$W$4,0))))</f>
        <v>0</v>
      </c>
      <c r="U131" s="169">
        <f>IF($C131-U$1&lt;År1,0,T130*(1-VLOOKUP($A131,[1]Hugst!$R$5:$W$9,MATCH(ROUNDUP((U$1)/10,0)*10,[1]Hugst!$R$4:$W$4,0))))</f>
        <v>0</v>
      </c>
      <c r="V131" s="169">
        <f>IF($C131-V$1&lt;År1,0,U130*(1-VLOOKUP($A131,[1]Hugst!$R$5:$W$9,MATCH(ROUNDUP((V$1)/10,0)*10,[1]Hugst!$R$4:$W$4,0))))</f>
        <v>0</v>
      </c>
      <c r="W131" s="169">
        <f>IF($C131-W$1&lt;År1,0,V130*(1-VLOOKUP($A131,[1]Hugst!$R$5:$W$9,MATCH(ROUNDUP((W$1)/10,0)*10,[1]Hugst!$R$4:$W$4,0))))</f>
        <v>0</v>
      </c>
      <c r="X131" s="169">
        <f>IF($C131-X$1&lt;År1,0,W130*(1-VLOOKUP($A131,[1]Hugst!$R$5:$W$9,MATCH(ROUNDUP((X$1)/10,0)*10,[1]Hugst!$R$4:$W$4,0))))</f>
        <v>0</v>
      </c>
      <c r="Y131" s="169">
        <f>IF($C131-Y$1&lt;År1,0,X130*(1-VLOOKUP($A131,[1]Hugst!$R$5:$W$9,MATCH(ROUNDUP((Y$1)/10,0)*10,[1]Hugst!$R$4:$W$4,0))))</f>
        <v>0</v>
      </c>
      <c r="Z131" s="169">
        <f>IF($C131-Z$1&lt;År1,0,Y130*(1-VLOOKUP($A131,[1]Hugst!$R$5:$W$9,MATCH(ROUNDUP((Z$1)/10,0)*10,[1]Hugst!$R$4:$W$4,0))))</f>
        <v>0</v>
      </c>
      <c r="AA131" s="169">
        <f>IF($C131-AA$1&lt;År1,0,Z130*(1-VLOOKUP($A131,[1]Hugst!$R$5:$W$9,MATCH(ROUNDUP((AA$1)/10,0)*10,[1]Hugst!$R$4:$W$4,0))))</f>
        <v>0</v>
      </c>
      <c r="AB131" s="169">
        <f>IF($C131-AB$1&lt;År1,0,AA130*(1-VLOOKUP($A131,[1]Hugst!$R$5:$W$9,MATCH(ROUNDUP((AB$1)/10,0)*10,[1]Hugst!$R$4:$W$4,0))))</f>
        <v>0</v>
      </c>
      <c r="AC131" s="169">
        <f>IF($C131-AC$1&lt;År1,0,AB130*(1-VLOOKUP($A131,[1]Hugst!$R$5:$W$9,MATCH(ROUNDUP((AC$1)/10,0)*10,[1]Hugst!$R$4:$W$4,0))))</f>
        <v>0</v>
      </c>
      <c r="AD131" s="169">
        <f>IF($C131-AD$1&lt;År1,0,AC130*(1-VLOOKUP($A131,[1]Hugst!$R$5:$W$9,MATCH(ROUNDUP((AD$1)/10,0)*10,[1]Hugst!$R$4:$W$4,0))))</f>
        <v>0</v>
      </c>
      <c r="AE131" s="169">
        <f>IF($C131-AE$1&lt;År1,0,AD130*(1-VLOOKUP($A131,[1]Hugst!$R$5:$W$9,MATCH(ROUNDUP((AE$1)/10,0)*10,[1]Hugst!$R$4:$W$4,0))))</f>
        <v>0</v>
      </c>
      <c r="AF131" s="169">
        <f>IF($C131-AF$1&lt;År1,0,AE130*(1-VLOOKUP($A131,[1]Hugst!$R$5:$W$9,MATCH(ROUNDUP((AF$1)/10,0)*10,[1]Hugst!$R$4:$W$4,0))))</f>
        <v>0</v>
      </c>
      <c r="AG131" s="169">
        <f>IF($C131-AG$1&lt;År1,0,AF130*(1-VLOOKUP($A131,[1]Hugst!$R$5:$W$9,MATCH(ROUNDUP((AG$1)/10,0)*10,[1]Hugst!$R$4:$W$4,0))))</f>
        <v>0</v>
      </c>
      <c r="AH131" s="169">
        <f>IF($C131-AH$1&lt;År1,0,AG130*(1-VLOOKUP($A131,[1]Hugst!$R$5:$W$9,MATCH(ROUNDUP((AH$1)/10,0)*10,[1]Hugst!$R$4:$W$4,0))))</f>
        <v>0</v>
      </c>
      <c r="AI131" s="169">
        <f>IF($C131-AI$1&lt;År1,0,AH130*(1-VLOOKUP($A131,[1]Hugst!$R$5:$W$9,MATCH(ROUNDUP((AI$1)/10,0)*10,[1]Hugst!$R$4:$W$4,0))))</f>
        <v>0</v>
      </c>
      <c r="AJ131" s="169">
        <f>IF($C131-AJ$1&lt;År1,0,AI130*(1-VLOOKUP($A131,[1]Hugst!$R$5:$W$9,MATCH(ROUNDUP((AJ$1)/10,0)*10,[1]Hugst!$R$4:$W$4,0))))</f>
        <v>0</v>
      </c>
    </row>
    <row r="132" spans="1:36" x14ac:dyDescent="0.25">
      <c r="A132" s="169" t="s">
        <v>178</v>
      </c>
      <c r="B132" s="169" t="s">
        <v>23</v>
      </c>
      <c r="C132" s="169">
        <v>2026</v>
      </c>
      <c r="D132" s="169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2102.4595968367703</v>
      </c>
      <c r="E132" s="169">
        <f t="shared" ca="1" si="3"/>
        <v>0</v>
      </c>
      <c r="F132" s="169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4630.0387148310256</v>
      </c>
      <c r="G132" s="169">
        <f ca="1">IF($C132-G$1&lt;År1,0,F131*(1-VLOOKUP($A132,[1]Hugst!$R$5:$W$9,MATCH(ROUNDUP((G$1)/10,0)*10,[1]Hugst!$R$4:$W$4,0))))</f>
        <v>4623.5392184583234</v>
      </c>
      <c r="H132" s="169">
        <f ca="1">IF($C132-H$1&lt;År1,0,G131*(1-VLOOKUP($A132,[1]Hugst!$R$5:$W$9,MATCH(ROUNDUP((H$1)/10,0)*10,[1]Hugst!$R$4:$W$4,0))))</f>
        <v>4599.9424413249817</v>
      </c>
      <c r="I132" s="169">
        <f ca="1">IF($C132-I$1&lt;År1,0,H131*(1-VLOOKUP($A132,[1]Hugst!$R$5:$W$9,MATCH(ROUNDUP((I$1)/10,0)*10,[1]Hugst!$R$4:$W$4,0))))</f>
        <v>4542.0978474723615</v>
      </c>
      <c r="J132" s="169">
        <f ca="1">IF($C132-J$1&lt;År1,0,I131*(1-VLOOKUP($A132,[1]Hugst!$R$5:$W$9,MATCH(ROUNDUP((J$1)/10,0)*10,[1]Hugst!$R$4:$W$4,0))))</f>
        <v>4415.7040973692729</v>
      </c>
      <c r="K132" s="169">
        <f ca="1">IF($C132-K$1&lt;År1,0,J131*(1-VLOOKUP($A132,[1]Hugst!$R$5:$W$9,MATCH(ROUNDUP((K$1)/10,0)*10,[1]Hugst!$R$4:$W$4,0))))</f>
        <v>4152.1582429942446</v>
      </c>
      <c r="L132" s="169">
        <f ca="1">IF($C132-L$1&lt;År1,0,K131*(1-VLOOKUP($A132,[1]Hugst!$R$5:$W$9,MATCH(ROUNDUP((L$1)/10,0)*10,[1]Hugst!$R$4:$W$4,0))))</f>
        <v>3614.2541179942436</v>
      </c>
      <c r="M132" s="169">
        <f>IF($C132-M$1&lt;År1,0,L131*(1-VLOOKUP($A132,[1]Hugst!$R$5:$W$9,MATCH(ROUNDUP((M$1)/10,0)*10,[1]Hugst!$R$4:$W$4,0))))</f>
        <v>0</v>
      </c>
      <c r="N132" s="169">
        <f>IF($C132-N$1&lt;År1,0,M131*(1-VLOOKUP($A132,[1]Hugst!$R$5:$W$9,MATCH(ROUNDUP((N$1)/10,0)*10,[1]Hugst!$R$4:$W$4,0))))</f>
        <v>0</v>
      </c>
      <c r="O132" s="169">
        <f>IF($C132-O$1&lt;År1,0,N131*(1-VLOOKUP($A132,[1]Hugst!$R$5:$W$9,MATCH(ROUNDUP((O$1)/10,0)*10,[1]Hugst!$R$4:$W$4,0))))</f>
        <v>0</v>
      </c>
      <c r="P132" s="169">
        <f>IF($C132-P$1&lt;År1,0,O131*(1-VLOOKUP($A132,[1]Hugst!$R$5:$W$9,MATCH(ROUNDUP((P$1)/10,0)*10,[1]Hugst!$R$4:$W$4,0))))</f>
        <v>0</v>
      </c>
      <c r="Q132" s="169">
        <f>IF($C132-Q$1&lt;År1,0,P131*(1-VLOOKUP($A132,[1]Hugst!$R$5:$W$9,MATCH(ROUNDUP((Q$1)/10,0)*10,[1]Hugst!$R$4:$W$4,0))))</f>
        <v>0</v>
      </c>
      <c r="R132" s="169">
        <f>IF($C132-R$1&lt;År1,0,Q131*(1-VLOOKUP($A132,[1]Hugst!$R$5:$W$9,MATCH(ROUNDUP((R$1)/10,0)*10,[1]Hugst!$R$4:$W$4,0))))</f>
        <v>0</v>
      </c>
      <c r="S132" s="169">
        <f>IF($C132-S$1&lt;År1,0,R131*(1-VLOOKUP($A132,[1]Hugst!$R$5:$W$9,MATCH(ROUNDUP((S$1)/10,0)*10,[1]Hugst!$R$4:$W$4,0))))</f>
        <v>0</v>
      </c>
      <c r="T132" s="169">
        <f>IF($C132-T$1&lt;År1,0,S131*(1-VLOOKUP($A132,[1]Hugst!$R$5:$W$9,MATCH(ROUNDUP((T$1)/10,0)*10,[1]Hugst!$R$4:$W$4,0))))</f>
        <v>0</v>
      </c>
      <c r="U132" s="169">
        <f>IF($C132-U$1&lt;År1,0,T131*(1-VLOOKUP($A132,[1]Hugst!$R$5:$W$9,MATCH(ROUNDUP((U$1)/10,0)*10,[1]Hugst!$R$4:$W$4,0))))</f>
        <v>0</v>
      </c>
      <c r="V132" s="169">
        <f>IF($C132-V$1&lt;År1,0,U131*(1-VLOOKUP($A132,[1]Hugst!$R$5:$W$9,MATCH(ROUNDUP((V$1)/10,0)*10,[1]Hugst!$R$4:$W$4,0))))</f>
        <v>0</v>
      </c>
      <c r="W132" s="169">
        <f>IF($C132-W$1&lt;År1,0,V131*(1-VLOOKUP($A132,[1]Hugst!$R$5:$W$9,MATCH(ROUNDUP((W$1)/10,0)*10,[1]Hugst!$R$4:$W$4,0))))</f>
        <v>0</v>
      </c>
      <c r="X132" s="169">
        <f>IF($C132-X$1&lt;År1,0,W131*(1-VLOOKUP($A132,[1]Hugst!$R$5:$W$9,MATCH(ROUNDUP((X$1)/10,0)*10,[1]Hugst!$R$4:$W$4,0))))</f>
        <v>0</v>
      </c>
      <c r="Y132" s="169">
        <f>IF($C132-Y$1&lt;År1,0,X131*(1-VLOOKUP($A132,[1]Hugst!$R$5:$W$9,MATCH(ROUNDUP((Y$1)/10,0)*10,[1]Hugst!$R$4:$W$4,0))))</f>
        <v>0</v>
      </c>
      <c r="Z132" s="169">
        <f>IF($C132-Z$1&lt;År1,0,Y131*(1-VLOOKUP($A132,[1]Hugst!$R$5:$W$9,MATCH(ROUNDUP((Z$1)/10,0)*10,[1]Hugst!$R$4:$W$4,0))))</f>
        <v>0</v>
      </c>
      <c r="AA132" s="169">
        <f>IF($C132-AA$1&lt;År1,0,Z131*(1-VLOOKUP($A132,[1]Hugst!$R$5:$W$9,MATCH(ROUNDUP((AA$1)/10,0)*10,[1]Hugst!$R$4:$W$4,0))))</f>
        <v>0</v>
      </c>
      <c r="AB132" s="169">
        <f>IF($C132-AB$1&lt;År1,0,AA131*(1-VLOOKUP($A132,[1]Hugst!$R$5:$W$9,MATCH(ROUNDUP((AB$1)/10,0)*10,[1]Hugst!$R$4:$W$4,0))))</f>
        <v>0</v>
      </c>
      <c r="AC132" s="169">
        <f>IF($C132-AC$1&lt;År1,0,AB131*(1-VLOOKUP($A132,[1]Hugst!$R$5:$W$9,MATCH(ROUNDUP((AC$1)/10,0)*10,[1]Hugst!$R$4:$W$4,0))))</f>
        <v>0</v>
      </c>
      <c r="AD132" s="169">
        <f>IF($C132-AD$1&lt;År1,0,AC131*(1-VLOOKUP($A132,[1]Hugst!$R$5:$W$9,MATCH(ROUNDUP((AD$1)/10,0)*10,[1]Hugst!$R$4:$W$4,0))))</f>
        <v>0</v>
      </c>
      <c r="AE132" s="169">
        <f>IF($C132-AE$1&lt;År1,0,AD131*(1-VLOOKUP($A132,[1]Hugst!$R$5:$W$9,MATCH(ROUNDUP((AE$1)/10,0)*10,[1]Hugst!$R$4:$W$4,0))))</f>
        <v>0</v>
      </c>
      <c r="AF132" s="169">
        <f>IF($C132-AF$1&lt;År1,0,AE131*(1-VLOOKUP($A132,[1]Hugst!$R$5:$W$9,MATCH(ROUNDUP((AF$1)/10,0)*10,[1]Hugst!$R$4:$W$4,0))))</f>
        <v>0</v>
      </c>
      <c r="AG132" s="169">
        <f>IF($C132-AG$1&lt;År1,0,AF131*(1-VLOOKUP($A132,[1]Hugst!$R$5:$W$9,MATCH(ROUNDUP((AG$1)/10,0)*10,[1]Hugst!$R$4:$W$4,0))))</f>
        <v>0</v>
      </c>
      <c r="AH132" s="169">
        <f>IF($C132-AH$1&lt;År1,0,AG131*(1-VLOOKUP($A132,[1]Hugst!$R$5:$W$9,MATCH(ROUNDUP((AH$1)/10,0)*10,[1]Hugst!$R$4:$W$4,0))))</f>
        <v>0</v>
      </c>
      <c r="AI132" s="169">
        <f>IF($C132-AI$1&lt;År1,0,AH131*(1-VLOOKUP($A132,[1]Hugst!$R$5:$W$9,MATCH(ROUNDUP((AI$1)/10,0)*10,[1]Hugst!$R$4:$W$4,0))))</f>
        <v>0</v>
      </c>
      <c r="AJ132" s="169">
        <f>IF($C132-AJ$1&lt;År1,0,AI131*(1-VLOOKUP($A132,[1]Hugst!$R$5:$W$9,MATCH(ROUNDUP((AJ$1)/10,0)*10,[1]Hugst!$R$4:$W$4,0))))</f>
        <v>0</v>
      </c>
    </row>
    <row r="133" spans="1:36" x14ac:dyDescent="0.25">
      <c r="A133" s="169" t="s">
        <v>178</v>
      </c>
      <c r="B133" s="169" t="s">
        <v>23</v>
      </c>
      <c r="C133" s="169">
        <v>2027</v>
      </c>
      <c r="D133" s="169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2100.4369472900898</v>
      </c>
      <c r="E133" s="169">
        <f t="shared" ca="1" si="3"/>
        <v>0</v>
      </c>
      <c r="F133" s="169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4628.0160652843451</v>
      </c>
      <c r="G133" s="169">
        <f ca="1">IF($C133-G$1&lt;År1,0,F132*(1-VLOOKUP($A133,[1]Hugst!$R$5:$W$9,MATCH(ROUNDUP((G$1)/10,0)*10,[1]Hugst!$R$4:$W$4,0))))</f>
        <v>4630.0387148310256</v>
      </c>
      <c r="H133" s="169">
        <f ca="1">IF($C133-H$1&lt;År1,0,G132*(1-VLOOKUP($A133,[1]Hugst!$R$5:$W$9,MATCH(ROUNDUP((H$1)/10,0)*10,[1]Hugst!$R$4:$W$4,0))))</f>
        <v>4623.5392184583234</v>
      </c>
      <c r="I133" s="169">
        <f ca="1">IF($C133-I$1&lt;År1,0,H132*(1-VLOOKUP($A133,[1]Hugst!$R$5:$W$9,MATCH(ROUNDUP((I$1)/10,0)*10,[1]Hugst!$R$4:$W$4,0))))</f>
        <v>4599.9424413249817</v>
      </c>
      <c r="J133" s="169">
        <f ca="1">IF($C133-J$1&lt;År1,0,I132*(1-VLOOKUP($A133,[1]Hugst!$R$5:$W$9,MATCH(ROUNDUP((J$1)/10,0)*10,[1]Hugst!$R$4:$W$4,0))))</f>
        <v>4542.0978474723615</v>
      </c>
      <c r="K133" s="169">
        <f ca="1">IF($C133-K$1&lt;År1,0,J132*(1-VLOOKUP($A133,[1]Hugst!$R$5:$W$9,MATCH(ROUNDUP((K$1)/10,0)*10,[1]Hugst!$R$4:$W$4,0))))</f>
        <v>4415.7040973692729</v>
      </c>
      <c r="L133" s="169">
        <f ca="1">IF($C133-L$1&lt;År1,0,K132*(1-VLOOKUP($A133,[1]Hugst!$R$5:$W$9,MATCH(ROUNDUP((L$1)/10,0)*10,[1]Hugst!$R$4:$W$4,0))))</f>
        <v>4152.1582429942446</v>
      </c>
      <c r="M133" s="169">
        <f ca="1">IF($C133-M$1&lt;År1,0,L132*(1-VLOOKUP($A133,[1]Hugst!$R$5:$W$9,MATCH(ROUNDUP((M$1)/10,0)*10,[1]Hugst!$R$4:$W$4,0))))</f>
        <v>3614.2541179942436</v>
      </c>
      <c r="N133" s="169">
        <f>IF($C133-N$1&lt;År1,0,M132*(1-VLOOKUP($A133,[1]Hugst!$R$5:$W$9,MATCH(ROUNDUP((N$1)/10,0)*10,[1]Hugst!$R$4:$W$4,0))))</f>
        <v>0</v>
      </c>
      <c r="O133" s="169">
        <f>IF($C133-O$1&lt;År1,0,N132*(1-VLOOKUP($A133,[1]Hugst!$R$5:$W$9,MATCH(ROUNDUP((O$1)/10,0)*10,[1]Hugst!$R$4:$W$4,0))))</f>
        <v>0</v>
      </c>
      <c r="P133" s="169">
        <f>IF($C133-P$1&lt;År1,0,O132*(1-VLOOKUP($A133,[1]Hugst!$R$5:$W$9,MATCH(ROUNDUP((P$1)/10,0)*10,[1]Hugst!$R$4:$W$4,0))))</f>
        <v>0</v>
      </c>
      <c r="Q133" s="169">
        <f>IF($C133-Q$1&lt;År1,0,P132*(1-VLOOKUP($A133,[1]Hugst!$R$5:$W$9,MATCH(ROUNDUP((Q$1)/10,0)*10,[1]Hugst!$R$4:$W$4,0))))</f>
        <v>0</v>
      </c>
      <c r="R133" s="169">
        <f>IF($C133-R$1&lt;År1,0,Q132*(1-VLOOKUP($A133,[1]Hugst!$R$5:$W$9,MATCH(ROUNDUP((R$1)/10,0)*10,[1]Hugst!$R$4:$W$4,0))))</f>
        <v>0</v>
      </c>
      <c r="S133" s="169">
        <f>IF($C133-S$1&lt;År1,0,R132*(1-VLOOKUP($A133,[1]Hugst!$R$5:$W$9,MATCH(ROUNDUP((S$1)/10,0)*10,[1]Hugst!$R$4:$W$4,0))))</f>
        <v>0</v>
      </c>
      <c r="T133" s="169">
        <f>IF($C133-T$1&lt;År1,0,S132*(1-VLOOKUP($A133,[1]Hugst!$R$5:$W$9,MATCH(ROUNDUP((T$1)/10,0)*10,[1]Hugst!$R$4:$W$4,0))))</f>
        <v>0</v>
      </c>
      <c r="U133" s="169">
        <f>IF($C133-U$1&lt;År1,0,T132*(1-VLOOKUP($A133,[1]Hugst!$R$5:$W$9,MATCH(ROUNDUP((U$1)/10,0)*10,[1]Hugst!$R$4:$W$4,0))))</f>
        <v>0</v>
      </c>
      <c r="V133" s="169">
        <f>IF($C133-V$1&lt;År1,0,U132*(1-VLOOKUP($A133,[1]Hugst!$R$5:$W$9,MATCH(ROUNDUP((V$1)/10,0)*10,[1]Hugst!$R$4:$W$4,0))))</f>
        <v>0</v>
      </c>
      <c r="W133" s="169">
        <f>IF($C133-W$1&lt;År1,0,V132*(1-VLOOKUP($A133,[1]Hugst!$R$5:$W$9,MATCH(ROUNDUP((W$1)/10,0)*10,[1]Hugst!$R$4:$W$4,0))))</f>
        <v>0</v>
      </c>
      <c r="X133" s="169">
        <f>IF($C133-X$1&lt;År1,0,W132*(1-VLOOKUP($A133,[1]Hugst!$R$5:$W$9,MATCH(ROUNDUP((X$1)/10,0)*10,[1]Hugst!$R$4:$W$4,0))))</f>
        <v>0</v>
      </c>
      <c r="Y133" s="169">
        <f>IF($C133-Y$1&lt;År1,0,X132*(1-VLOOKUP($A133,[1]Hugst!$R$5:$W$9,MATCH(ROUNDUP((Y$1)/10,0)*10,[1]Hugst!$R$4:$W$4,0))))</f>
        <v>0</v>
      </c>
      <c r="Z133" s="169">
        <f>IF($C133-Z$1&lt;År1,0,Y132*(1-VLOOKUP($A133,[1]Hugst!$R$5:$W$9,MATCH(ROUNDUP((Z$1)/10,0)*10,[1]Hugst!$R$4:$W$4,0))))</f>
        <v>0</v>
      </c>
      <c r="AA133" s="169">
        <f>IF($C133-AA$1&lt;År1,0,Z132*(1-VLOOKUP($A133,[1]Hugst!$R$5:$W$9,MATCH(ROUNDUP((AA$1)/10,0)*10,[1]Hugst!$R$4:$W$4,0))))</f>
        <v>0</v>
      </c>
      <c r="AB133" s="169">
        <f>IF($C133-AB$1&lt;År1,0,AA132*(1-VLOOKUP($A133,[1]Hugst!$R$5:$W$9,MATCH(ROUNDUP((AB$1)/10,0)*10,[1]Hugst!$R$4:$W$4,0))))</f>
        <v>0</v>
      </c>
      <c r="AC133" s="169">
        <f>IF($C133-AC$1&lt;År1,0,AB132*(1-VLOOKUP($A133,[1]Hugst!$R$5:$W$9,MATCH(ROUNDUP((AC$1)/10,0)*10,[1]Hugst!$R$4:$W$4,0))))</f>
        <v>0</v>
      </c>
      <c r="AD133" s="169">
        <f>IF($C133-AD$1&lt;År1,0,AC132*(1-VLOOKUP($A133,[1]Hugst!$R$5:$W$9,MATCH(ROUNDUP((AD$1)/10,0)*10,[1]Hugst!$R$4:$W$4,0))))</f>
        <v>0</v>
      </c>
      <c r="AE133" s="169">
        <f>IF($C133-AE$1&lt;År1,0,AD132*(1-VLOOKUP($A133,[1]Hugst!$R$5:$W$9,MATCH(ROUNDUP((AE$1)/10,0)*10,[1]Hugst!$R$4:$W$4,0))))</f>
        <v>0</v>
      </c>
      <c r="AF133" s="169">
        <f>IF($C133-AF$1&lt;År1,0,AE132*(1-VLOOKUP($A133,[1]Hugst!$R$5:$W$9,MATCH(ROUNDUP((AF$1)/10,0)*10,[1]Hugst!$R$4:$W$4,0))))</f>
        <v>0</v>
      </c>
      <c r="AG133" s="169">
        <f>IF($C133-AG$1&lt;År1,0,AF132*(1-VLOOKUP($A133,[1]Hugst!$R$5:$W$9,MATCH(ROUNDUP((AG$1)/10,0)*10,[1]Hugst!$R$4:$W$4,0))))</f>
        <v>0</v>
      </c>
      <c r="AH133" s="169">
        <f>IF($C133-AH$1&lt;År1,0,AG132*(1-VLOOKUP($A133,[1]Hugst!$R$5:$W$9,MATCH(ROUNDUP((AH$1)/10,0)*10,[1]Hugst!$R$4:$W$4,0))))</f>
        <v>0</v>
      </c>
      <c r="AI133" s="169">
        <f>IF($C133-AI$1&lt;År1,0,AH132*(1-VLOOKUP($A133,[1]Hugst!$R$5:$W$9,MATCH(ROUNDUP((AI$1)/10,0)*10,[1]Hugst!$R$4:$W$4,0))))</f>
        <v>0</v>
      </c>
      <c r="AJ133" s="169">
        <f>IF($C133-AJ$1&lt;År1,0,AI132*(1-VLOOKUP($A133,[1]Hugst!$R$5:$W$9,MATCH(ROUNDUP((AJ$1)/10,0)*10,[1]Hugst!$R$4:$W$4,0))))</f>
        <v>0</v>
      </c>
    </row>
    <row r="134" spans="1:36" x14ac:dyDescent="0.25">
      <c r="A134" s="169" t="s">
        <v>178</v>
      </c>
      <c r="B134" s="169" t="s">
        <v>23</v>
      </c>
      <c r="C134" s="169">
        <v>2028</v>
      </c>
      <c r="D134" s="169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2094.1795867723722</v>
      </c>
      <c r="E134" s="169">
        <f t="shared" ca="1" si="3"/>
        <v>0</v>
      </c>
      <c r="F134" s="169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4621.7587047666275</v>
      </c>
      <c r="G134" s="169">
        <f ca="1">IF($C134-G$1&lt;År1,0,F133*(1-VLOOKUP($A134,[1]Hugst!$R$5:$W$9,MATCH(ROUNDUP((G$1)/10,0)*10,[1]Hugst!$R$4:$W$4,0))))</f>
        <v>4628.0160652843451</v>
      </c>
      <c r="H134" s="169">
        <f ca="1">IF($C134-H$1&lt;År1,0,G133*(1-VLOOKUP($A134,[1]Hugst!$R$5:$W$9,MATCH(ROUNDUP((H$1)/10,0)*10,[1]Hugst!$R$4:$W$4,0))))</f>
        <v>4630.0387148310256</v>
      </c>
      <c r="I134" s="169">
        <f ca="1">IF($C134-I$1&lt;År1,0,H133*(1-VLOOKUP($A134,[1]Hugst!$R$5:$W$9,MATCH(ROUNDUP((I$1)/10,0)*10,[1]Hugst!$R$4:$W$4,0))))</f>
        <v>4623.5392184583234</v>
      </c>
      <c r="J134" s="169">
        <f ca="1">IF($C134-J$1&lt;År1,0,I133*(1-VLOOKUP($A134,[1]Hugst!$R$5:$W$9,MATCH(ROUNDUP((J$1)/10,0)*10,[1]Hugst!$R$4:$W$4,0))))</f>
        <v>4599.9424413249817</v>
      </c>
      <c r="K134" s="169">
        <f ca="1">IF($C134-K$1&lt;År1,0,J133*(1-VLOOKUP($A134,[1]Hugst!$R$5:$W$9,MATCH(ROUNDUP((K$1)/10,0)*10,[1]Hugst!$R$4:$W$4,0))))</f>
        <v>4542.0978474723615</v>
      </c>
      <c r="L134" s="169">
        <f ca="1">IF($C134-L$1&lt;År1,0,K133*(1-VLOOKUP($A134,[1]Hugst!$R$5:$W$9,MATCH(ROUNDUP((L$1)/10,0)*10,[1]Hugst!$R$4:$W$4,0))))</f>
        <v>4415.7040973692729</v>
      </c>
      <c r="M134" s="169">
        <f ca="1">IF($C134-M$1&lt;År1,0,L133*(1-VLOOKUP($A134,[1]Hugst!$R$5:$W$9,MATCH(ROUNDUP((M$1)/10,0)*10,[1]Hugst!$R$4:$W$4,0))))</f>
        <v>4152.1582429942446</v>
      </c>
      <c r="N134" s="169">
        <f ca="1">IF($C134-N$1&lt;År1,0,M133*(1-VLOOKUP($A134,[1]Hugst!$R$5:$W$9,MATCH(ROUNDUP((N$1)/10,0)*10,[1]Hugst!$R$4:$W$4,0))))</f>
        <v>3614.2541179942436</v>
      </c>
      <c r="O134" s="169">
        <f>IF($C134-O$1&lt;År1,0,N133*(1-VLOOKUP($A134,[1]Hugst!$R$5:$W$9,MATCH(ROUNDUP((O$1)/10,0)*10,[1]Hugst!$R$4:$W$4,0))))</f>
        <v>0</v>
      </c>
      <c r="P134" s="169">
        <f>IF($C134-P$1&lt;År1,0,O133*(1-VLOOKUP($A134,[1]Hugst!$R$5:$W$9,MATCH(ROUNDUP((P$1)/10,0)*10,[1]Hugst!$R$4:$W$4,0))))</f>
        <v>0</v>
      </c>
      <c r="Q134" s="169">
        <f>IF($C134-Q$1&lt;År1,0,P133*(1-VLOOKUP($A134,[1]Hugst!$R$5:$W$9,MATCH(ROUNDUP((Q$1)/10,0)*10,[1]Hugst!$R$4:$W$4,0))))</f>
        <v>0</v>
      </c>
      <c r="R134" s="169">
        <f>IF($C134-R$1&lt;År1,0,Q133*(1-VLOOKUP($A134,[1]Hugst!$R$5:$W$9,MATCH(ROUNDUP((R$1)/10,0)*10,[1]Hugst!$R$4:$W$4,0))))</f>
        <v>0</v>
      </c>
      <c r="S134" s="169">
        <f>IF($C134-S$1&lt;År1,0,R133*(1-VLOOKUP($A134,[1]Hugst!$R$5:$W$9,MATCH(ROUNDUP((S$1)/10,0)*10,[1]Hugst!$R$4:$W$4,0))))</f>
        <v>0</v>
      </c>
      <c r="T134" s="169">
        <f>IF($C134-T$1&lt;År1,0,S133*(1-VLOOKUP($A134,[1]Hugst!$R$5:$W$9,MATCH(ROUNDUP((T$1)/10,0)*10,[1]Hugst!$R$4:$W$4,0))))</f>
        <v>0</v>
      </c>
      <c r="U134" s="169">
        <f>IF($C134-U$1&lt;År1,0,T133*(1-VLOOKUP($A134,[1]Hugst!$R$5:$W$9,MATCH(ROUNDUP((U$1)/10,0)*10,[1]Hugst!$R$4:$W$4,0))))</f>
        <v>0</v>
      </c>
      <c r="V134" s="169">
        <f>IF($C134-V$1&lt;År1,0,U133*(1-VLOOKUP($A134,[1]Hugst!$R$5:$W$9,MATCH(ROUNDUP((V$1)/10,0)*10,[1]Hugst!$R$4:$W$4,0))))</f>
        <v>0</v>
      </c>
      <c r="W134" s="169">
        <f>IF($C134-W$1&lt;År1,0,V133*(1-VLOOKUP($A134,[1]Hugst!$R$5:$W$9,MATCH(ROUNDUP((W$1)/10,0)*10,[1]Hugst!$R$4:$W$4,0))))</f>
        <v>0</v>
      </c>
      <c r="X134" s="169">
        <f>IF($C134-X$1&lt;År1,0,W133*(1-VLOOKUP($A134,[1]Hugst!$R$5:$W$9,MATCH(ROUNDUP((X$1)/10,0)*10,[1]Hugst!$R$4:$W$4,0))))</f>
        <v>0</v>
      </c>
      <c r="Y134" s="169">
        <f>IF($C134-Y$1&lt;År1,0,X133*(1-VLOOKUP($A134,[1]Hugst!$R$5:$W$9,MATCH(ROUNDUP((Y$1)/10,0)*10,[1]Hugst!$R$4:$W$4,0))))</f>
        <v>0</v>
      </c>
      <c r="Z134" s="169">
        <f>IF($C134-Z$1&lt;År1,0,Y133*(1-VLOOKUP($A134,[1]Hugst!$R$5:$W$9,MATCH(ROUNDUP((Z$1)/10,0)*10,[1]Hugst!$R$4:$W$4,0))))</f>
        <v>0</v>
      </c>
      <c r="AA134" s="169">
        <f>IF($C134-AA$1&lt;År1,0,Z133*(1-VLOOKUP($A134,[1]Hugst!$R$5:$W$9,MATCH(ROUNDUP((AA$1)/10,0)*10,[1]Hugst!$R$4:$W$4,0))))</f>
        <v>0</v>
      </c>
      <c r="AB134" s="169">
        <f>IF($C134-AB$1&lt;År1,0,AA133*(1-VLOOKUP($A134,[1]Hugst!$R$5:$W$9,MATCH(ROUNDUP((AB$1)/10,0)*10,[1]Hugst!$R$4:$W$4,0))))</f>
        <v>0</v>
      </c>
      <c r="AC134" s="169">
        <f>IF($C134-AC$1&lt;År1,0,AB133*(1-VLOOKUP($A134,[1]Hugst!$R$5:$W$9,MATCH(ROUNDUP((AC$1)/10,0)*10,[1]Hugst!$R$4:$W$4,0))))</f>
        <v>0</v>
      </c>
      <c r="AD134" s="169">
        <f>IF($C134-AD$1&lt;År1,0,AC133*(1-VLOOKUP($A134,[1]Hugst!$R$5:$W$9,MATCH(ROUNDUP((AD$1)/10,0)*10,[1]Hugst!$R$4:$W$4,0))))</f>
        <v>0</v>
      </c>
      <c r="AE134" s="169">
        <f>IF($C134-AE$1&lt;År1,0,AD133*(1-VLOOKUP($A134,[1]Hugst!$R$5:$W$9,MATCH(ROUNDUP((AE$1)/10,0)*10,[1]Hugst!$R$4:$W$4,0))))</f>
        <v>0</v>
      </c>
      <c r="AF134" s="169">
        <f>IF($C134-AF$1&lt;År1,0,AE133*(1-VLOOKUP($A134,[1]Hugst!$R$5:$W$9,MATCH(ROUNDUP((AF$1)/10,0)*10,[1]Hugst!$R$4:$W$4,0))))</f>
        <v>0</v>
      </c>
      <c r="AG134" s="169">
        <f>IF($C134-AG$1&lt;År1,0,AF133*(1-VLOOKUP($A134,[1]Hugst!$R$5:$W$9,MATCH(ROUNDUP((AG$1)/10,0)*10,[1]Hugst!$R$4:$W$4,0))))</f>
        <v>0</v>
      </c>
      <c r="AH134" s="169">
        <f>IF($C134-AH$1&lt;År1,0,AG133*(1-VLOOKUP($A134,[1]Hugst!$R$5:$W$9,MATCH(ROUNDUP((AH$1)/10,0)*10,[1]Hugst!$R$4:$W$4,0))))</f>
        <v>0</v>
      </c>
      <c r="AI134" s="169">
        <f>IF($C134-AI$1&lt;År1,0,AH133*(1-VLOOKUP($A134,[1]Hugst!$R$5:$W$9,MATCH(ROUNDUP((AI$1)/10,0)*10,[1]Hugst!$R$4:$W$4,0))))</f>
        <v>0</v>
      </c>
      <c r="AJ134" s="169">
        <f>IF($C134-AJ$1&lt;År1,0,AI133*(1-VLOOKUP($A134,[1]Hugst!$R$5:$W$9,MATCH(ROUNDUP((AJ$1)/10,0)*10,[1]Hugst!$R$4:$W$4,0))))</f>
        <v>0</v>
      </c>
    </row>
    <row r="135" spans="1:36" x14ac:dyDescent="0.25">
      <c r="A135" s="169" t="s">
        <v>178</v>
      </c>
      <c r="B135" s="169" t="s">
        <v>23</v>
      </c>
      <c r="C135" s="169">
        <v>2029</v>
      </c>
      <c r="D135" s="169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2085.8311009478784</v>
      </c>
      <c r="E135" s="169">
        <f t="shared" ca="1" si="3"/>
        <v>0</v>
      </c>
      <c r="F135" s="169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4613.4102189421337</v>
      </c>
      <c r="G135" s="169">
        <f ca="1">IF($C135-G$1&lt;År1,0,F134*(1-VLOOKUP($A135,[1]Hugst!$R$5:$W$9,MATCH(ROUNDUP((G$1)/10,0)*10,[1]Hugst!$R$4:$W$4,0))))</f>
        <v>4621.7587047666275</v>
      </c>
      <c r="H135" s="169">
        <f ca="1">IF($C135-H$1&lt;År1,0,G134*(1-VLOOKUP($A135,[1]Hugst!$R$5:$W$9,MATCH(ROUNDUP((H$1)/10,0)*10,[1]Hugst!$R$4:$W$4,0))))</f>
        <v>4628.0160652843451</v>
      </c>
      <c r="I135" s="169">
        <f ca="1">IF($C135-I$1&lt;År1,0,H134*(1-VLOOKUP($A135,[1]Hugst!$R$5:$W$9,MATCH(ROUNDUP((I$1)/10,0)*10,[1]Hugst!$R$4:$W$4,0))))</f>
        <v>4630.0387148310256</v>
      </c>
      <c r="J135" s="169">
        <f ca="1">IF($C135-J$1&lt;År1,0,I134*(1-VLOOKUP($A135,[1]Hugst!$R$5:$W$9,MATCH(ROUNDUP((J$1)/10,0)*10,[1]Hugst!$R$4:$W$4,0))))</f>
        <v>4623.5392184583234</v>
      </c>
      <c r="K135" s="169">
        <f ca="1">IF($C135-K$1&lt;År1,0,J134*(1-VLOOKUP($A135,[1]Hugst!$R$5:$W$9,MATCH(ROUNDUP((K$1)/10,0)*10,[1]Hugst!$R$4:$W$4,0))))</f>
        <v>4599.9424413249817</v>
      </c>
      <c r="L135" s="169">
        <f ca="1">IF($C135-L$1&lt;År1,0,K134*(1-VLOOKUP($A135,[1]Hugst!$R$5:$W$9,MATCH(ROUNDUP((L$1)/10,0)*10,[1]Hugst!$R$4:$W$4,0))))</f>
        <v>4542.0978474723615</v>
      </c>
      <c r="M135" s="169">
        <f ca="1">IF($C135-M$1&lt;År1,0,L134*(1-VLOOKUP($A135,[1]Hugst!$R$5:$W$9,MATCH(ROUNDUP((M$1)/10,0)*10,[1]Hugst!$R$4:$W$4,0))))</f>
        <v>4415.7040973692729</v>
      </c>
      <c r="N135" s="169">
        <f ca="1">IF($C135-N$1&lt;År1,0,M134*(1-VLOOKUP($A135,[1]Hugst!$R$5:$W$9,MATCH(ROUNDUP((N$1)/10,0)*10,[1]Hugst!$R$4:$W$4,0))))</f>
        <v>4152.1582429942446</v>
      </c>
      <c r="O135" s="169">
        <f ca="1">IF($C135-O$1&lt;År1,0,N134*(1-VLOOKUP($A135,[1]Hugst!$R$5:$W$9,MATCH(ROUNDUP((O$1)/10,0)*10,[1]Hugst!$R$4:$W$4,0))))</f>
        <v>3614.2541179942436</v>
      </c>
      <c r="P135" s="169">
        <f>IF($C135-P$1&lt;År1,0,O134*(1-VLOOKUP($A135,[1]Hugst!$R$5:$W$9,MATCH(ROUNDUP((P$1)/10,0)*10,[1]Hugst!$R$4:$W$4,0))))</f>
        <v>0</v>
      </c>
      <c r="Q135" s="169">
        <f>IF($C135-Q$1&lt;År1,0,P134*(1-VLOOKUP($A135,[1]Hugst!$R$5:$W$9,MATCH(ROUNDUP((Q$1)/10,0)*10,[1]Hugst!$R$4:$W$4,0))))</f>
        <v>0</v>
      </c>
      <c r="R135" s="169">
        <f>IF($C135-R$1&lt;År1,0,Q134*(1-VLOOKUP($A135,[1]Hugst!$R$5:$W$9,MATCH(ROUNDUP((R$1)/10,0)*10,[1]Hugst!$R$4:$W$4,0))))</f>
        <v>0</v>
      </c>
      <c r="S135" s="169">
        <f>IF($C135-S$1&lt;År1,0,R134*(1-VLOOKUP($A135,[1]Hugst!$R$5:$W$9,MATCH(ROUNDUP((S$1)/10,0)*10,[1]Hugst!$R$4:$W$4,0))))</f>
        <v>0</v>
      </c>
      <c r="T135" s="169">
        <f>IF($C135-T$1&lt;År1,0,S134*(1-VLOOKUP($A135,[1]Hugst!$R$5:$W$9,MATCH(ROUNDUP((T$1)/10,0)*10,[1]Hugst!$R$4:$W$4,0))))</f>
        <v>0</v>
      </c>
      <c r="U135" s="169">
        <f>IF($C135-U$1&lt;År1,0,T134*(1-VLOOKUP($A135,[1]Hugst!$R$5:$W$9,MATCH(ROUNDUP((U$1)/10,0)*10,[1]Hugst!$R$4:$W$4,0))))</f>
        <v>0</v>
      </c>
      <c r="V135" s="169">
        <f>IF($C135-V$1&lt;År1,0,U134*(1-VLOOKUP($A135,[1]Hugst!$R$5:$W$9,MATCH(ROUNDUP((V$1)/10,0)*10,[1]Hugst!$R$4:$W$4,0))))</f>
        <v>0</v>
      </c>
      <c r="W135" s="169">
        <f>IF($C135-W$1&lt;År1,0,V134*(1-VLOOKUP($A135,[1]Hugst!$R$5:$W$9,MATCH(ROUNDUP((W$1)/10,0)*10,[1]Hugst!$R$4:$W$4,0))))</f>
        <v>0</v>
      </c>
      <c r="X135" s="169">
        <f>IF($C135-X$1&lt;År1,0,W134*(1-VLOOKUP($A135,[1]Hugst!$R$5:$W$9,MATCH(ROUNDUP((X$1)/10,0)*10,[1]Hugst!$R$4:$W$4,0))))</f>
        <v>0</v>
      </c>
      <c r="Y135" s="169">
        <f>IF($C135-Y$1&lt;År1,0,X134*(1-VLOOKUP($A135,[1]Hugst!$R$5:$W$9,MATCH(ROUNDUP((Y$1)/10,0)*10,[1]Hugst!$R$4:$W$4,0))))</f>
        <v>0</v>
      </c>
      <c r="Z135" s="169">
        <f>IF($C135-Z$1&lt;År1,0,Y134*(1-VLOOKUP($A135,[1]Hugst!$R$5:$W$9,MATCH(ROUNDUP((Z$1)/10,0)*10,[1]Hugst!$R$4:$W$4,0))))</f>
        <v>0</v>
      </c>
      <c r="AA135" s="169">
        <f>IF($C135-AA$1&lt;År1,0,Z134*(1-VLOOKUP($A135,[1]Hugst!$R$5:$W$9,MATCH(ROUNDUP((AA$1)/10,0)*10,[1]Hugst!$R$4:$W$4,0))))</f>
        <v>0</v>
      </c>
      <c r="AB135" s="169">
        <f>IF($C135-AB$1&lt;År1,0,AA134*(1-VLOOKUP($A135,[1]Hugst!$R$5:$W$9,MATCH(ROUNDUP((AB$1)/10,0)*10,[1]Hugst!$R$4:$W$4,0))))</f>
        <v>0</v>
      </c>
      <c r="AC135" s="169">
        <f>IF($C135-AC$1&lt;År1,0,AB134*(1-VLOOKUP($A135,[1]Hugst!$R$5:$W$9,MATCH(ROUNDUP((AC$1)/10,0)*10,[1]Hugst!$R$4:$W$4,0))))</f>
        <v>0</v>
      </c>
      <c r="AD135" s="169">
        <f>IF($C135-AD$1&lt;År1,0,AC134*(1-VLOOKUP($A135,[1]Hugst!$R$5:$W$9,MATCH(ROUNDUP((AD$1)/10,0)*10,[1]Hugst!$R$4:$W$4,0))))</f>
        <v>0</v>
      </c>
      <c r="AE135" s="169">
        <f>IF($C135-AE$1&lt;År1,0,AD134*(1-VLOOKUP($A135,[1]Hugst!$R$5:$W$9,MATCH(ROUNDUP((AE$1)/10,0)*10,[1]Hugst!$R$4:$W$4,0))))</f>
        <v>0</v>
      </c>
      <c r="AF135" s="169">
        <f>IF($C135-AF$1&lt;År1,0,AE134*(1-VLOOKUP($A135,[1]Hugst!$R$5:$W$9,MATCH(ROUNDUP((AF$1)/10,0)*10,[1]Hugst!$R$4:$W$4,0))))</f>
        <v>0</v>
      </c>
      <c r="AG135" s="169">
        <f>IF($C135-AG$1&lt;År1,0,AF134*(1-VLOOKUP($A135,[1]Hugst!$R$5:$W$9,MATCH(ROUNDUP((AG$1)/10,0)*10,[1]Hugst!$R$4:$W$4,0))))</f>
        <v>0</v>
      </c>
      <c r="AH135" s="169">
        <f>IF($C135-AH$1&lt;År1,0,AG134*(1-VLOOKUP($A135,[1]Hugst!$R$5:$W$9,MATCH(ROUNDUP((AH$1)/10,0)*10,[1]Hugst!$R$4:$W$4,0))))</f>
        <v>0</v>
      </c>
      <c r="AI135" s="169">
        <f>IF($C135-AI$1&lt;År1,0,AH134*(1-VLOOKUP($A135,[1]Hugst!$R$5:$W$9,MATCH(ROUNDUP((AI$1)/10,0)*10,[1]Hugst!$R$4:$W$4,0))))</f>
        <v>0</v>
      </c>
      <c r="AJ135" s="169">
        <f>IF($C135-AJ$1&lt;År1,0,AI134*(1-VLOOKUP($A135,[1]Hugst!$R$5:$W$9,MATCH(ROUNDUP((AJ$1)/10,0)*10,[1]Hugst!$R$4:$W$4,0))))</f>
        <v>0</v>
      </c>
    </row>
    <row r="136" spans="1:36" x14ac:dyDescent="0.25">
      <c r="A136" s="169" t="s">
        <v>178</v>
      </c>
      <c r="B136" s="169" t="s">
        <v>23</v>
      </c>
      <c r="C136" s="169">
        <v>2030</v>
      </c>
      <c r="D136" s="169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2076.463151497861</v>
      </c>
      <c r="E136" s="169">
        <f t="shared" ca="1" si="3"/>
        <v>0</v>
      </c>
      <c r="F136" s="169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4604.0422694921162</v>
      </c>
      <c r="G136" s="169">
        <f ca="1">IF($C136-G$1&lt;År1,0,F135*(1-VLOOKUP($A136,[1]Hugst!$R$5:$W$9,MATCH(ROUNDUP((G$1)/10,0)*10,[1]Hugst!$R$4:$W$4,0))))</f>
        <v>4613.4102189421337</v>
      </c>
      <c r="H136" s="169">
        <f ca="1">IF($C136-H$1&lt;År1,0,G135*(1-VLOOKUP($A136,[1]Hugst!$R$5:$W$9,MATCH(ROUNDUP((H$1)/10,0)*10,[1]Hugst!$R$4:$W$4,0))))</f>
        <v>4621.7587047666275</v>
      </c>
      <c r="I136" s="169">
        <f ca="1">IF($C136-I$1&lt;År1,0,H135*(1-VLOOKUP($A136,[1]Hugst!$R$5:$W$9,MATCH(ROUNDUP((I$1)/10,0)*10,[1]Hugst!$R$4:$W$4,0))))</f>
        <v>4628.0160652843451</v>
      </c>
      <c r="J136" s="169">
        <f ca="1">IF($C136-J$1&lt;År1,0,I135*(1-VLOOKUP($A136,[1]Hugst!$R$5:$W$9,MATCH(ROUNDUP((J$1)/10,0)*10,[1]Hugst!$R$4:$W$4,0))))</f>
        <v>4630.0387148310256</v>
      </c>
      <c r="K136" s="169">
        <f ca="1">IF($C136-K$1&lt;År1,0,J135*(1-VLOOKUP($A136,[1]Hugst!$R$5:$W$9,MATCH(ROUNDUP((K$1)/10,0)*10,[1]Hugst!$R$4:$W$4,0))))</f>
        <v>4623.5392184583234</v>
      </c>
      <c r="L136" s="169">
        <f ca="1">IF($C136-L$1&lt;År1,0,K135*(1-VLOOKUP($A136,[1]Hugst!$R$5:$W$9,MATCH(ROUNDUP((L$1)/10,0)*10,[1]Hugst!$R$4:$W$4,0))))</f>
        <v>4599.9424413249817</v>
      </c>
      <c r="M136" s="169">
        <f ca="1">IF($C136-M$1&lt;År1,0,L135*(1-VLOOKUP($A136,[1]Hugst!$R$5:$W$9,MATCH(ROUNDUP((M$1)/10,0)*10,[1]Hugst!$R$4:$W$4,0))))</f>
        <v>4542.0978474723615</v>
      </c>
      <c r="N136" s="169">
        <f ca="1">IF($C136-N$1&lt;År1,0,M135*(1-VLOOKUP($A136,[1]Hugst!$R$5:$W$9,MATCH(ROUNDUP((N$1)/10,0)*10,[1]Hugst!$R$4:$W$4,0))))</f>
        <v>4415.7040973692729</v>
      </c>
      <c r="O136" s="169">
        <f ca="1">IF($C136-O$1&lt;År1,0,N135*(1-VLOOKUP($A136,[1]Hugst!$R$5:$W$9,MATCH(ROUNDUP((O$1)/10,0)*10,[1]Hugst!$R$4:$W$4,0))))</f>
        <v>4152.1582429942446</v>
      </c>
      <c r="P136" s="169">
        <f ca="1">IF($C136-P$1&lt;År1,0,O135*(1-VLOOKUP($A136,[1]Hugst!$R$5:$W$9,MATCH(ROUNDUP((P$1)/10,0)*10,[1]Hugst!$R$4:$W$4,0))))</f>
        <v>3614.2541179942436</v>
      </c>
      <c r="Q136" s="169">
        <f>IF($C136-Q$1&lt;År1,0,P135*(1-VLOOKUP($A136,[1]Hugst!$R$5:$W$9,MATCH(ROUNDUP((Q$1)/10,0)*10,[1]Hugst!$R$4:$W$4,0))))</f>
        <v>0</v>
      </c>
      <c r="R136" s="169">
        <f>IF($C136-R$1&lt;År1,0,Q135*(1-VLOOKUP($A136,[1]Hugst!$R$5:$W$9,MATCH(ROUNDUP((R$1)/10,0)*10,[1]Hugst!$R$4:$W$4,0))))</f>
        <v>0</v>
      </c>
      <c r="S136" s="169">
        <f>IF($C136-S$1&lt;År1,0,R135*(1-VLOOKUP($A136,[1]Hugst!$R$5:$W$9,MATCH(ROUNDUP((S$1)/10,0)*10,[1]Hugst!$R$4:$W$4,0))))</f>
        <v>0</v>
      </c>
      <c r="T136" s="169">
        <f>IF($C136-T$1&lt;År1,0,S135*(1-VLOOKUP($A136,[1]Hugst!$R$5:$W$9,MATCH(ROUNDUP((T$1)/10,0)*10,[1]Hugst!$R$4:$W$4,0))))</f>
        <v>0</v>
      </c>
      <c r="U136" s="169">
        <f>IF($C136-U$1&lt;År1,0,T135*(1-VLOOKUP($A136,[1]Hugst!$R$5:$W$9,MATCH(ROUNDUP((U$1)/10,0)*10,[1]Hugst!$R$4:$W$4,0))))</f>
        <v>0</v>
      </c>
      <c r="V136" s="169">
        <f>IF($C136-V$1&lt;År1,0,U135*(1-VLOOKUP($A136,[1]Hugst!$R$5:$W$9,MATCH(ROUNDUP((V$1)/10,0)*10,[1]Hugst!$R$4:$W$4,0))))</f>
        <v>0</v>
      </c>
      <c r="W136" s="169">
        <f>IF($C136-W$1&lt;År1,0,V135*(1-VLOOKUP($A136,[1]Hugst!$R$5:$W$9,MATCH(ROUNDUP((W$1)/10,0)*10,[1]Hugst!$R$4:$W$4,0))))</f>
        <v>0</v>
      </c>
      <c r="X136" s="169">
        <f>IF($C136-X$1&lt;År1,0,W135*(1-VLOOKUP($A136,[1]Hugst!$R$5:$W$9,MATCH(ROUNDUP((X$1)/10,0)*10,[1]Hugst!$R$4:$W$4,0))))</f>
        <v>0</v>
      </c>
      <c r="Y136" s="169">
        <f>IF($C136-Y$1&lt;År1,0,X135*(1-VLOOKUP($A136,[1]Hugst!$R$5:$W$9,MATCH(ROUNDUP((Y$1)/10,0)*10,[1]Hugst!$R$4:$W$4,0))))</f>
        <v>0</v>
      </c>
      <c r="Z136" s="169">
        <f>IF($C136-Z$1&lt;År1,0,Y135*(1-VLOOKUP($A136,[1]Hugst!$R$5:$W$9,MATCH(ROUNDUP((Z$1)/10,0)*10,[1]Hugst!$R$4:$W$4,0))))</f>
        <v>0</v>
      </c>
      <c r="AA136" s="169">
        <f>IF($C136-AA$1&lt;År1,0,Z135*(1-VLOOKUP($A136,[1]Hugst!$R$5:$W$9,MATCH(ROUNDUP((AA$1)/10,0)*10,[1]Hugst!$R$4:$W$4,0))))</f>
        <v>0</v>
      </c>
      <c r="AB136" s="169">
        <f>IF($C136-AB$1&lt;År1,0,AA135*(1-VLOOKUP($A136,[1]Hugst!$R$5:$W$9,MATCH(ROUNDUP((AB$1)/10,0)*10,[1]Hugst!$R$4:$W$4,0))))</f>
        <v>0</v>
      </c>
      <c r="AC136" s="169">
        <f>IF($C136-AC$1&lt;År1,0,AB135*(1-VLOOKUP($A136,[1]Hugst!$R$5:$W$9,MATCH(ROUNDUP((AC$1)/10,0)*10,[1]Hugst!$R$4:$W$4,0))))</f>
        <v>0</v>
      </c>
      <c r="AD136" s="169">
        <f>IF($C136-AD$1&lt;År1,0,AC135*(1-VLOOKUP($A136,[1]Hugst!$R$5:$W$9,MATCH(ROUNDUP((AD$1)/10,0)*10,[1]Hugst!$R$4:$W$4,0))))</f>
        <v>0</v>
      </c>
      <c r="AE136" s="169">
        <f>IF($C136-AE$1&lt;År1,0,AD135*(1-VLOOKUP($A136,[1]Hugst!$R$5:$W$9,MATCH(ROUNDUP((AE$1)/10,0)*10,[1]Hugst!$R$4:$W$4,0))))</f>
        <v>0</v>
      </c>
      <c r="AF136" s="169">
        <f>IF($C136-AF$1&lt;År1,0,AE135*(1-VLOOKUP($A136,[1]Hugst!$R$5:$W$9,MATCH(ROUNDUP((AF$1)/10,0)*10,[1]Hugst!$R$4:$W$4,0))))</f>
        <v>0</v>
      </c>
      <c r="AG136" s="169">
        <f>IF($C136-AG$1&lt;År1,0,AF135*(1-VLOOKUP($A136,[1]Hugst!$R$5:$W$9,MATCH(ROUNDUP((AG$1)/10,0)*10,[1]Hugst!$R$4:$W$4,0))))</f>
        <v>0</v>
      </c>
      <c r="AH136" s="169">
        <f>IF($C136-AH$1&lt;År1,0,AG135*(1-VLOOKUP($A136,[1]Hugst!$R$5:$W$9,MATCH(ROUNDUP((AH$1)/10,0)*10,[1]Hugst!$R$4:$W$4,0))))</f>
        <v>0</v>
      </c>
      <c r="AI136" s="169">
        <f>IF($C136-AI$1&lt;År1,0,AH135*(1-VLOOKUP($A136,[1]Hugst!$R$5:$W$9,MATCH(ROUNDUP((AI$1)/10,0)*10,[1]Hugst!$R$4:$W$4,0))))</f>
        <v>0</v>
      </c>
      <c r="AJ136" s="169">
        <f>IF($C136-AJ$1&lt;År1,0,AI135*(1-VLOOKUP($A136,[1]Hugst!$R$5:$W$9,MATCH(ROUNDUP((AJ$1)/10,0)*10,[1]Hugst!$R$4:$W$4,0))))</f>
        <v>0</v>
      </c>
    </row>
    <row r="137" spans="1:36" x14ac:dyDescent="0.25">
      <c r="A137" s="169" t="s">
        <v>178</v>
      </c>
      <c r="B137" s="169" t="s">
        <v>23</v>
      </c>
      <c r="C137" s="169">
        <v>2031</v>
      </c>
      <c r="D137" s="169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2066.6114387676826</v>
      </c>
      <c r="E137" s="169">
        <f t="shared" ca="1" si="3"/>
        <v>0</v>
      </c>
      <c r="F137" s="169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4594.1905567619388</v>
      </c>
      <c r="G137" s="169">
        <f ca="1">IF($C137-G$1&lt;År1,0,F136*(1-VLOOKUP($A137,[1]Hugst!$R$5:$W$9,MATCH(ROUNDUP((G$1)/10,0)*10,[1]Hugst!$R$4:$W$4,0))))</f>
        <v>4604.0422694921162</v>
      </c>
      <c r="H137" s="169">
        <f ca="1">IF($C137-H$1&lt;År1,0,G136*(1-VLOOKUP($A137,[1]Hugst!$R$5:$W$9,MATCH(ROUNDUP((H$1)/10,0)*10,[1]Hugst!$R$4:$W$4,0))))</f>
        <v>4613.4102189421337</v>
      </c>
      <c r="I137" s="169">
        <f ca="1">IF($C137-I$1&lt;År1,0,H136*(1-VLOOKUP($A137,[1]Hugst!$R$5:$W$9,MATCH(ROUNDUP((I$1)/10,0)*10,[1]Hugst!$R$4:$W$4,0))))</f>
        <v>4621.7587047666275</v>
      </c>
      <c r="J137" s="169">
        <f ca="1">IF($C137-J$1&lt;År1,0,I136*(1-VLOOKUP($A137,[1]Hugst!$R$5:$W$9,MATCH(ROUNDUP((J$1)/10,0)*10,[1]Hugst!$R$4:$W$4,0))))</f>
        <v>4628.0160652843451</v>
      </c>
      <c r="K137" s="169">
        <f ca="1">IF($C137-K$1&lt;År1,0,J136*(1-VLOOKUP($A137,[1]Hugst!$R$5:$W$9,MATCH(ROUNDUP((K$1)/10,0)*10,[1]Hugst!$R$4:$W$4,0))))</f>
        <v>4630.0387148310256</v>
      </c>
      <c r="L137" s="169">
        <f ca="1">IF($C137-L$1&lt;År1,0,K136*(1-VLOOKUP($A137,[1]Hugst!$R$5:$W$9,MATCH(ROUNDUP((L$1)/10,0)*10,[1]Hugst!$R$4:$W$4,0))))</f>
        <v>4623.5392184583234</v>
      </c>
      <c r="M137" s="169">
        <f ca="1">IF($C137-M$1&lt;År1,0,L136*(1-VLOOKUP($A137,[1]Hugst!$R$5:$W$9,MATCH(ROUNDUP((M$1)/10,0)*10,[1]Hugst!$R$4:$W$4,0))))</f>
        <v>4599.9424413249817</v>
      </c>
      <c r="N137" s="169">
        <f ca="1">IF($C137-N$1&lt;År1,0,M136*(1-VLOOKUP($A137,[1]Hugst!$R$5:$W$9,MATCH(ROUNDUP((N$1)/10,0)*10,[1]Hugst!$R$4:$W$4,0))))</f>
        <v>4542.0978474723615</v>
      </c>
      <c r="O137" s="169">
        <f ca="1">IF($C137-O$1&lt;År1,0,N136*(1-VLOOKUP($A137,[1]Hugst!$R$5:$W$9,MATCH(ROUNDUP((O$1)/10,0)*10,[1]Hugst!$R$4:$W$4,0))))</f>
        <v>4415.7040973692729</v>
      </c>
      <c r="P137" s="169">
        <f ca="1">IF($C137-P$1&lt;År1,0,O136*(1-VLOOKUP($A137,[1]Hugst!$R$5:$W$9,MATCH(ROUNDUP((P$1)/10,0)*10,[1]Hugst!$R$4:$W$4,0))))</f>
        <v>4152.1582429942446</v>
      </c>
      <c r="Q137" s="169">
        <f ca="1">IF($C137-Q$1&lt;År1,0,P136*(1-VLOOKUP($A137,[1]Hugst!$R$5:$W$9,MATCH(ROUNDUP((Q$1)/10,0)*10,[1]Hugst!$R$4:$W$4,0))))</f>
        <v>3614.2541179942436</v>
      </c>
      <c r="R137" s="169">
        <f>IF($C137-R$1&lt;År1,0,Q136*(1-VLOOKUP($A137,[1]Hugst!$R$5:$W$9,MATCH(ROUNDUP((R$1)/10,0)*10,[1]Hugst!$R$4:$W$4,0))))</f>
        <v>0</v>
      </c>
      <c r="S137" s="169">
        <f>IF($C137-S$1&lt;År1,0,R136*(1-VLOOKUP($A137,[1]Hugst!$R$5:$W$9,MATCH(ROUNDUP((S$1)/10,0)*10,[1]Hugst!$R$4:$W$4,0))))</f>
        <v>0</v>
      </c>
      <c r="T137" s="169">
        <f>IF($C137-T$1&lt;År1,0,S136*(1-VLOOKUP($A137,[1]Hugst!$R$5:$W$9,MATCH(ROUNDUP((T$1)/10,0)*10,[1]Hugst!$R$4:$W$4,0))))</f>
        <v>0</v>
      </c>
      <c r="U137" s="169">
        <f>IF($C137-U$1&lt;År1,0,T136*(1-VLOOKUP($A137,[1]Hugst!$R$5:$W$9,MATCH(ROUNDUP((U$1)/10,0)*10,[1]Hugst!$R$4:$W$4,0))))</f>
        <v>0</v>
      </c>
      <c r="V137" s="169">
        <f>IF($C137-V$1&lt;År1,0,U136*(1-VLOOKUP($A137,[1]Hugst!$R$5:$W$9,MATCH(ROUNDUP((V$1)/10,0)*10,[1]Hugst!$R$4:$W$4,0))))</f>
        <v>0</v>
      </c>
      <c r="W137" s="169">
        <f>IF($C137-W$1&lt;År1,0,V136*(1-VLOOKUP($A137,[1]Hugst!$R$5:$W$9,MATCH(ROUNDUP((W$1)/10,0)*10,[1]Hugst!$R$4:$W$4,0))))</f>
        <v>0</v>
      </c>
      <c r="X137" s="169">
        <f>IF($C137-X$1&lt;År1,0,W136*(1-VLOOKUP($A137,[1]Hugst!$R$5:$W$9,MATCH(ROUNDUP((X$1)/10,0)*10,[1]Hugst!$R$4:$W$4,0))))</f>
        <v>0</v>
      </c>
      <c r="Y137" s="169">
        <f>IF($C137-Y$1&lt;År1,0,X136*(1-VLOOKUP($A137,[1]Hugst!$R$5:$W$9,MATCH(ROUNDUP((Y$1)/10,0)*10,[1]Hugst!$R$4:$W$4,0))))</f>
        <v>0</v>
      </c>
      <c r="Z137" s="169">
        <f>IF($C137-Z$1&lt;År1,0,Y136*(1-VLOOKUP($A137,[1]Hugst!$R$5:$W$9,MATCH(ROUNDUP((Z$1)/10,0)*10,[1]Hugst!$R$4:$W$4,0))))</f>
        <v>0</v>
      </c>
      <c r="AA137" s="169">
        <f>IF($C137-AA$1&lt;År1,0,Z136*(1-VLOOKUP($A137,[1]Hugst!$R$5:$W$9,MATCH(ROUNDUP((AA$1)/10,0)*10,[1]Hugst!$R$4:$W$4,0))))</f>
        <v>0</v>
      </c>
      <c r="AB137" s="169">
        <f>IF($C137-AB$1&lt;År1,0,AA136*(1-VLOOKUP($A137,[1]Hugst!$R$5:$W$9,MATCH(ROUNDUP((AB$1)/10,0)*10,[1]Hugst!$R$4:$W$4,0))))</f>
        <v>0</v>
      </c>
      <c r="AC137" s="169">
        <f>IF($C137-AC$1&lt;År1,0,AB136*(1-VLOOKUP($A137,[1]Hugst!$R$5:$W$9,MATCH(ROUNDUP((AC$1)/10,0)*10,[1]Hugst!$R$4:$W$4,0))))</f>
        <v>0</v>
      </c>
      <c r="AD137" s="169">
        <f>IF($C137-AD$1&lt;År1,0,AC136*(1-VLOOKUP($A137,[1]Hugst!$R$5:$W$9,MATCH(ROUNDUP((AD$1)/10,0)*10,[1]Hugst!$R$4:$W$4,0))))</f>
        <v>0</v>
      </c>
      <c r="AE137" s="169">
        <f>IF($C137-AE$1&lt;År1,0,AD136*(1-VLOOKUP($A137,[1]Hugst!$R$5:$W$9,MATCH(ROUNDUP((AE$1)/10,0)*10,[1]Hugst!$R$4:$W$4,0))))</f>
        <v>0</v>
      </c>
      <c r="AF137" s="169">
        <f>IF($C137-AF$1&lt;År1,0,AE136*(1-VLOOKUP($A137,[1]Hugst!$R$5:$W$9,MATCH(ROUNDUP((AF$1)/10,0)*10,[1]Hugst!$R$4:$W$4,0))))</f>
        <v>0</v>
      </c>
      <c r="AG137" s="169">
        <f>IF($C137-AG$1&lt;År1,0,AF136*(1-VLOOKUP($A137,[1]Hugst!$R$5:$W$9,MATCH(ROUNDUP((AG$1)/10,0)*10,[1]Hugst!$R$4:$W$4,0))))</f>
        <v>0</v>
      </c>
      <c r="AH137" s="169">
        <f>IF($C137-AH$1&lt;År1,0,AG136*(1-VLOOKUP($A137,[1]Hugst!$R$5:$W$9,MATCH(ROUNDUP((AH$1)/10,0)*10,[1]Hugst!$R$4:$W$4,0))))</f>
        <v>0</v>
      </c>
      <c r="AI137" s="169">
        <f>IF($C137-AI$1&lt;År1,0,AH136*(1-VLOOKUP($A137,[1]Hugst!$R$5:$W$9,MATCH(ROUNDUP((AI$1)/10,0)*10,[1]Hugst!$R$4:$W$4,0))))</f>
        <v>0</v>
      </c>
      <c r="AJ137" s="169">
        <f>IF($C137-AJ$1&lt;År1,0,AI136*(1-VLOOKUP($A137,[1]Hugst!$R$5:$W$9,MATCH(ROUNDUP((AJ$1)/10,0)*10,[1]Hugst!$R$4:$W$4,0))))</f>
        <v>0</v>
      </c>
    </row>
    <row r="138" spans="1:36" x14ac:dyDescent="0.25">
      <c r="A138" s="169" t="s">
        <v>178</v>
      </c>
      <c r="B138" s="169" t="s">
        <v>23</v>
      </c>
      <c r="C138" s="169">
        <v>2032</v>
      </c>
      <c r="D138" s="169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2056.543683087506</v>
      </c>
      <c r="E138" s="169">
        <f t="shared" ca="1" si="3"/>
        <v>0</v>
      </c>
      <c r="F138" s="169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4584.1228010817622</v>
      </c>
      <c r="G138" s="169">
        <f ca="1">IF($C138-G$1&lt;År1,0,F137*(1-VLOOKUP($A138,[1]Hugst!$R$5:$W$9,MATCH(ROUNDUP((G$1)/10,0)*10,[1]Hugst!$R$4:$W$4,0))))</f>
        <v>4594.1905567619388</v>
      </c>
      <c r="H138" s="169">
        <f ca="1">IF($C138-H$1&lt;År1,0,G137*(1-VLOOKUP($A138,[1]Hugst!$R$5:$W$9,MATCH(ROUNDUP((H$1)/10,0)*10,[1]Hugst!$R$4:$W$4,0))))</f>
        <v>4604.0422694921162</v>
      </c>
      <c r="I138" s="169">
        <f ca="1">IF($C138-I$1&lt;År1,0,H137*(1-VLOOKUP($A138,[1]Hugst!$R$5:$W$9,MATCH(ROUNDUP((I$1)/10,0)*10,[1]Hugst!$R$4:$W$4,0))))</f>
        <v>4613.4102189421337</v>
      </c>
      <c r="J138" s="169">
        <f ca="1">IF($C138-J$1&lt;År1,0,I137*(1-VLOOKUP($A138,[1]Hugst!$R$5:$W$9,MATCH(ROUNDUP((J$1)/10,0)*10,[1]Hugst!$R$4:$W$4,0))))</f>
        <v>4621.7587047666275</v>
      </c>
      <c r="K138" s="169">
        <f ca="1">IF($C138-K$1&lt;År1,0,J137*(1-VLOOKUP($A138,[1]Hugst!$R$5:$W$9,MATCH(ROUNDUP((K$1)/10,0)*10,[1]Hugst!$R$4:$W$4,0))))</f>
        <v>4628.0160652843451</v>
      </c>
      <c r="L138" s="169">
        <f ca="1">IF($C138-L$1&lt;År1,0,K137*(1-VLOOKUP($A138,[1]Hugst!$R$5:$W$9,MATCH(ROUNDUP((L$1)/10,0)*10,[1]Hugst!$R$4:$W$4,0))))</f>
        <v>4630.0387148310256</v>
      </c>
      <c r="M138" s="169">
        <f ca="1">IF($C138-M$1&lt;År1,0,L137*(1-VLOOKUP($A138,[1]Hugst!$R$5:$W$9,MATCH(ROUNDUP((M$1)/10,0)*10,[1]Hugst!$R$4:$W$4,0))))</f>
        <v>4623.5392184583234</v>
      </c>
      <c r="N138" s="169">
        <f ca="1">IF($C138-N$1&lt;År1,0,M137*(1-VLOOKUP($A138,[1]Hugst!$R$5:$W$9,MATCH(ROUNDUP((N$1)/10,0)*10,[1]Hugst!$R$4:$W$4,0))))</f>
        <v>4599.9424413249817</v>
      </c>
      <c r="O138" s="169">
        <f ca="1">IF($C138-O$1&lt;År1,0,N137*(1-VLOOKUP($A138,[1]Hugst!$R$5:$W$9,MATCH(ROUNDUP((O$1)/10,0)*10,[1]Hugst!$R$4:$W$4,0))))</f>
        <v>4542.0978474723615</v>
      </c>
      <c r="P138" s="169">
        <f ca="1">IF($C138-P$1&lt;År1,0,O137*(1-VLOOKUP($A138,[1]Hugst!$R$5:$W$9,MATCH(ROUNDUP((P$1)/10,0)*10,[1]Hugst!$R$4:$W$4,0))))</f>
        <v>4415.7040973692729</v>
      </c>
      <c r="Q138" s="169">
        <f ca="1">IF($C138-Q$1&lt;År1,0,P137*(1-VLOOKUP($A138,[1]Hugst!$R$5:$W$9,MATCH(ROUNDUP((Q$1)/10,0)*10,[1]Hugst!$R$4:$W$4,0))))</f>
        <v>4152.1582429942446</v>
      </c>
      <c r="R138" s="169">
        <f ca="1">IF($C138-R$1&lt;År1,0,Q137*(1-VLOOKUP($A138,[1]Hugst!$R$5:$W$9,MATCH(ROUNDUP((R$1)/10,0)*10,[1]Hugst!$R$4:$W$4,0))))</f>
        <v>3614.2541179942436</v>
      </c>
      <c r="S138" s="169">
        <f>IF($C138-S$1&lt;År1,0,R137*(1-VLOOKUP($A138,[1]Hugst!$R$5:$W$9,MATCH(ROUNDUP((S$1)/10,0)*10,[1]Hugst!$R$4:$W$4,0))))</f>
        <v>0</v>
      </c>
      <c r="T138" s="169">
        <f>IF($C138-T$1&lt;År1,0,S137*(1-VLOOKUP($A138,[1]Hugst!$R$5:$W$9,MATCH(ROUNDUP((T$1)/10,0)*10,[1]Hugst!$R$4:$W$4,0))))</f>
        <v>0</v>
      </c>
      <c r="U138" s="169">
        <f>IF($C138-U$1&lt;År1,0,T137*(1-VLOOKUP($A138,[1]Hugst!$R$5:$W$9,MATCH(ROUNDUP((U$1)/10,0)*10,[1]Hugst!$R$4:$W$4,0))))</f>
        <v>0</v>
      </c>
      <c r="V138" s="169">
        <f>IF($C138-V$1&lt;År1,0,U137*(1-VLOOKUP($A138,[1]Hugst!$R$5:$W$9,MATCH(ROUNDUP((V$1)/10,0)*10,[1]Hugst!$R$4:$W$4,0))))</f>
        <v>0</v>
      </c>
      <c r="W138" s="169">
        <f>IF($C138-W$1&lt;År1,0,V137*(1-VLOOKUP($A138,[1]Hugst!$R$5:$W$9,MATCH(ROUNDUP((W$1)/10,0)*10,[1]Hugst!$R$4:$W$4,0))))</f>
        <v>0</v>
      </c>
      <c r="X138" s="169">
        <f>IF($C138-X$1&lt;År1,0,W137*(1-VLOOKUP($A138,[1]Hugst!$R$5:$W$9,MATCH(ROUNDUP((X$1)/10,0)*10,[1]Hugst!$R$4:$W$4,0))))</f>
        <v>0</v>
      </c>
      <c r="Y138" s="169">
        <f>IF($C138-Y$1&lt;År1,0,X137*(1-VLOOKUP($A138,[1]Hugst!$R$5:$W$9,MATCH(ROUNDUP((Y$1)/10,0)*10,[1]Hugst!$R$4:$W$4,0))))</f>
        <v>0</v>
      </c>
      <c r="Z138" s="169">
        <f>IF($C138-Z$1&lt;År1,0,Y137*(1-VLOOKUP($A138,[1]Hugst!$R$5:$W$9,MATCH(ROUNDUP((Z$1)/10,0)*10,[1]Hugst!$R$4:$W$4,0))))</f>
        <v>0</v>
      </c>
      <c r="AA138" s="169">
        <f>IF($C138-AA$1&lt;År1,0,Z137*(1-VLOOKUP($A138,[1]Hugst!$R$5:$W$9,MATCH(ROUNDUP((AA$1)/10,0)*10,[1]Hugst!$R$4:$W$4,0))))</f>
        <v>0</v>
      </c>
      <c r="AB138" s="169">
        <f>IF($C138-AB$1&lt;År1,0,AA137*(1-VLOOKUP($A138,[1]Hugst!$R$5:$W$9,MATCH(ROUNDUP((AB$1)/10,0)*10,[1]Hugst!$R$4:$W$4,0))))</f>
        <v>0</v>
      </c>
      <c r="AC138" s="169">
        <f>IF($C138-AC$1&lt;År1,0,AB137*(1-VLOOKUP($A138,[1]Hugst!$R$5:$W$9,MATCH(ROUNDUP((AC$1)/10,0)*10,[1]Hugst!$R$4:$W$4,0))))</f>
        <v>0</v>
      </c>
      <c r="AD138" s="169">
        <f>IF($C138-AD$1&lt;År1,0,AC137*(1-VLOOKUP($A138,[1]Hugst!$R$5:$W$9,MATCH(ROUNDUP((AD$1)/10,0)*10,[1]Hugst!$R$4:$W$4,0))))</f>
        <v>0</v>
      </c>
      <c r="AE138" s="169">
        <f>IF($C138-AE$1&lt;År1,0,AD137*(1-VLOOKUP($A138,[1]Hugst!$R$5:$W$9,MATCH(ROUNDUP((AE$1)/10,0)*10,[1]Hugst!$R$4:$W$4,0))))</f>
        <v>0</v>
      </c>
      <c r="AF138" s="169">
        <f>IF($C138-AF$1&lt;År1,0,AE137*(1-VLOOKUP($A138,[1]Hugst!$R$5:$W$9,MATCH(ROUNDUP((AF$1)/10,0)*10,[1]Hugst!$R$4:$W$4,0))))</f>
        <v>0</v>
      </c>
      <c r="AG138" s="169">
        <f>IF($C138-AG$1&lt;År1,0,AF137*(1-VLOOKUP($A138,[1]Hugst!$R$5:$W$9,MATCH(ROUNDUP((AG$1)/10,0)*10,[1]Hugst!$R$4:$W$4,0))))</f>
        <v>0</v>
      </c>
      <c r="AH138" s="169">
        <f>IF($C138-AH$1&lt;År1,0,AG137*(1-VLOOKUP($A138,[1]Hugst!$R$5:$W$9,MATCH(ROUNDUP((AH$1)/10,0)*10,[1]Hugst!$R$4:$W$4,0))))</f>
        <v>0</v>
      </c>
      <c r="AI138" s="169">
        <f>IF($C138-AI$1&lt;År1,0,AH137*(1-VLOOKUP($A138,[1]Hugst!$R$5:$W$9,MATCH(ROUNDUP((AI$1)/10,0)*10,[1]Hugst!$R$4:$W$4,0))))</f>
        <v>0</v>
      </c>
      <c r="AJ138" s="169">
        <f>IF($C138-AJ$1&lt;År1,0,AI137*(1-VLOOKUP($A138,[1]Hugst!$R$5:$W$9,MATCH(ROUNDUP((AJ$1)/10,0)*10,[1]Hugst!$R$4:$W$4,0))))</f>
        <v>0</v>
      </c>
    </row>
    <row r="139" spans="1:36" x14ac:dyDescent="0.25">
      <c r="A139" s="169" t="s">
        <v>178</v>
      </c>
      <c r="B139" s="169" t="s">
        <v>23</v>
      </c>
      <c r="C139" s="169">
        <v>2033</v>
      </c>
      <c r="D139" s="169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2046.3936154289077</v>
      </c>
      <c r="E139" s="169">
        <f t="shared" ca="1" si="3"/>
        <v>0</v>
      </c>
      <c r="F139" s="169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4573.9727334231638</v>
      </c>
      <c r="G139" s="169">
        <f ca="1">IF($C139-G$1&lt;År1,0,F138*(1-VLOOKUP($A139,[1]Hugst!$R$5:$W$9,MATCH(ROUNDUP((G$1)/10,0)*10,[1]Hugst!$R$4:$W$4,0))))</f>
        <v>4584.1228010817622</v>
      </c>
      <c r="H139" s="169">
        <f ca="1">IF($C139-H$1&lt;År1,0,G138*(1-VLOOKUP($A139,[1]Hugst!$R$5:$W$9,MATCH(ROUNDUP((H$1)/10,0)*10,[1]Hugst!$R$4:$W$4,0))))</f>
        <v>4594.1905567619388</v>
      </c>
      <c r="I139" s="169">
        <f ca="1">IF($C139-I$1&lt;År1,0,H138*(1-VLOOKUP($A139,[1]Hugst!$R$5:$W$9,MATCH(ROUNDUP((I$1)/10,0)*10,[1]Hugst!$R$4:$W$4,0))))</f>
        <v>4604.0422694921162</v>
      </c>
      <c r="J139" s="169">
        <f ca="1">IF($C139-J$1&lt;År1,0,I138*(1-VLOOKUP($A139,[1]Hugst!$R$5:$W$9,MATCH(ROUNDUP((J$1)/10,0)*10,[1]Hugst!$R$4:$W$4,0))))</f>
        <v>4613.4102189421337</v>
      </c>
      <c r="K139" s="169">
        <f ca="1">IF($C139-K$1&lt;År1,0,J138*(1-VLOOKUP($A139,[1]Hugst!$R$5:$W$9,MATCH(ROUNDUP((K$1)/10,0)*10,[1]Hugst!$R$4:$W$4,0))))</f>
        <v>4621.7587047666275</v>
      </c>
      <c r="L139" s="169">
        <f ca="1">IF($C139-L$1&lt;År1,0,K138*(1-VLOOKUP($A139,[1]Hugst!$R$5:$W$9,MATCH(ROUNDUP((L$1)/10,0)*10,[1]Hugst!$R$4:$W$4,0))))</f>
        <v>4628.0160652843451</v>
      </c>
      <c r="M139" s="169">
        <f ca="1">IF($C139-M$1&lt;År1,0,L138*(1-VLOOKUP($A139,[1]Hugst!$R$5:$W$9,MATCH(ROUNDUP((M$1)/10,0)*10,[1]Hugst!$R$4:$W$4,0))))</f>
        <v>4630.0387148310256</v>
      </c>
      <c r="N139" s="169">
        <f ca="1">IF($C139-N$1&lt;År1,0,M138*(1-VLOOKUP($A139,[1]Hugst!$R$5:$W$9,MATCH(ROUNDUP((N$1)/10,0)*10,[1]Hugst!$R$4:$W$4,0))))</f>
        <v>4623.5392184583234</v>
      </c>
      <c r="O139" s="169">
        <f ca="1">IF($C139-O$1&lt;År1,0,N138*(1-VLOOKUP($A139,[1]Hugst!$R$5:$W$9,MATCH(ROUNDUP((O$1)/10,0)*10,[1]Hugst!$R$4:$W$4,0))))</f>
        <v>4599.9424413249817</v>
      </c>
      <c r="P139" s="169">
        <f ca="1">IF($C139-P$1&lt;År1,0,O138*(1-VLOOKUP($A139,[1]Hugst!$R$5:$W$9,MATCH(ROUNDUP((P$1)/10,0)*10,[1]Hugst!$R$4:$W$4,0))))</f>
        <v>4542.0978474723615</v>
      </c>
      <c r="Q139" s="169">
        <f ca="1">IF($C139-Q$1&lt;År1,0,P138*(1-VLOOKUP($A139,[1]Hugst!$R$5:$W$9,MATCH(ROUNDUP((Q$1)/10,0)*10,[1]Hugst!$R$4:$W$4,0))))</f>
        <v>4415.7040973692729</v>
      </c>
      <c r="R139" s="169">
        <f ca="1">IF($C139-R$1&lt;År1,0,Q138*(1-VLOOKUP($A139,[1]Hugst!$R$5:$W$9,MATCH(ROUNDUP((R$1)/10,0)*10,[1]Hugst!$R$4:$W$4,0))))</f>
        <v>4152.1582429942446</v>
      </c>
      <c r="S139" s="169">
        <f ca="1">IF($C139-S$1&lt;År1,0,R138*(1-VLOOKUP($A139,[1]Hugst!$R$5:$W$9,MATCH(ROUNDUP((S$1)/10,0)*10,[1]Hugst!$R$4:$W$4,0))))</f>
        <v>3614.2541179942436</v>
      </c>
      <c r="T139" s="169">
        <f>IF($C139-T$1&lt;År1,0,S138*(1-VLOOKUP($A139,[1]Hugst!$R$5:$W$9,MATCH(ROUNDUP((T$1)/10,0)*10,[1]Hugst!$R$4:$W$4,0))))</f>
        <v>0</v>
      </c>
      <c r="U139" s="169">
        <f>IF($C139-U$1&lt;År1,0,T138*(1-VLOOKUP($A139,[1]Hugst!$R$5:$W$9,MATCH(ROUNDUP((U$1)/10,0)*10,[1]Hugst!$R$4:$W$4,0))))</f>
        <v>0</v>
      </c>
      <c r="V139" s="169">
        <f>IF($C139-V$1&lt;År1,0,U138*(1-VLOOKUP($A139,[1]Hugst!$R$5:$W$9,MATCH(ROUNDUP((V$1)/10,0)*10,[1]Hugst!$R$4:$W$4,0))))</f>
        <v>0</v>
      </c>
      <c r="W139" s="169">
        <f>IF($C139-W$1&lt;År1,0,V138*(1-VLOOKUP($A139,[1]Hugst!$R$5:$W$9,MATCH(ROUNDUP((W$1)/10,0)*10,[1]Hugst!$R$4:$W$4,0))))</f>
        <v>0</v>
      </c>
      <c r="X139" s="169">
        <f>IF($C139-X$1&lt;År1,0,W138*(1-VLOOKUP($A139,[1]Hugst!$R$5:$W$9,MATCH(ROUNDUP((X$1)/10,0)*10,[1]Hugst!$R$4:$W$4,0))))</f>
        <v>0</v>
      </c>
      <c r="Y139" s="169">
        <f>IF($C139-Y$1&lt;År1,0,X138*(1-VLOOKUP($A139,[1]Hugst!$R$5:$W$9,MATCH(ROUNDUP((Y$1)/10,0)*10,[1]Hugst!$R$4:$W$4,0))))</f>
        <v>0</v>
      </c>
      <c r="Z139" s="169">
        <f>IF($C139-Z$1&lt;År1,0,Y138*(1-VLOOKUP($A139,[1]Hugst!$R$5:$W$9,MATCH(ROUNDUP((Z$1)/10,0)*10,[1]Hugst!$R$4:$W$4,0))))</f>
        <v>0</v>
      </c>
      <c r="AA139" s="169">
        <f>IF($C139-AA$1&lt;År1,0,Z138*(1-VLOOKUP($A139,[1]Hugst!$R$5:$W$9,MATCH(ROUNDUP((AA$1)/10,0)*10,[1]Hugst!$R$4:$W$4,0))))</f>
        <v>0</v>
      </c>
      <c r="AB139" s="169">
        <f>IF($C139-AB$1&lt;År1,0,AA138*(1-VLOOKUP($A139,[1]Hugst!$R$5:$W$9,MATCH(ROUNDUP((AB$1)/10,0)*10,[1]Hugst!$R$4:$W$4,0))))</f>
        <v>0</v>
      </c>
      <c r="AC139" s="169">
        <f>IF($C139-AC$1&lt;År1,0,AB138*(1-VLOOKUP($A139,[1]Hugst!$R$5:$W$9,MATCH(ROUNDUP((AC$1)/10,0)*10,[1]Hugst!$R$4:$W$4,0))))</f>
        <v>0</v>
      </c>
      <c r="AD139" s="169">
        <f>IF($C139-AD$1&lt;År1,0,AC138*(1-VLOOKUP($A139,[1]Hugst!$R$5:$W$9,MATCH(ROUNDUP((AD$1)/10,0)*10,[1]Hugst!$R$4:$W$4,0))))</f>
        <v>0</v>
      </c>
      <c r="AE139" s="169">
        <f>IF($C139-AE$1&lt;År1,0,AD138*(1-VLOOKUP($A139,[1]Hugst!$R$5:$W$9,MATCH(ROUNDUP((AE$1)/10,0)*10,[1]Hugst!$R$4:$W$4,0))))</f>
        <v>0</v>
      </c>
      <c r="AF139" s="169">
        <f>IF($C139-AF$1&lt;År1,0,AE138*(1-VLOOKUP($A139,[1]Hugst!$R$5:$W$9,MATCH(ROUNDUP((AF$1)/10,0)*10,[1]Hugst!$R$4:$W$4,0))))</f>
        <v>0</v>
      </c>
      <c r="AG139" s="169">
        <f>IF($C139-AG$1&lt;År1,0,AF138*(1-VLOOKUP($A139,[1]Hugst!$R$5:$W$9,MATCH(ROUNDUP((AG$1)/10,0)*10,[1]Hugst!$R$4:$W$4,0))))</f>
        <v>0</v>
      </c>
      <c r="AH139" s="169">
        <f>IF($C139-AH$1&lt;År1,0,AG138*(1-VLOOKUP($A139,[1]Hugst!$R$5:$W$9,MATCH(ROUNDUP((AH$1)/10,0)*10,[1]Hugst!$R$4:$W$4,0))))</f>
        <v>0</v>
      </c>
      <c r="AI139" s="169">
        <f>IF($C139-AI$1&lt;År1,0,AH138*(1-VLOOKUP($A139,[1]Hugst!$R$5:$W$9,MATCH(ROUNDUP((AI$1)/10,0)*10,[1]Hugst!$R$4:$W$4,0))))</f>
        <v>0</v>
      </c>
      <c r="AJ139" s="169">
        <f>IF($C139-AJ$1&lt;År1,0,AI138*(1-VLOOKUP($A139,[1]Hugst!$R$5:$W$9,MATCH(ROUNDUP((AJ$1)/10,0)*10,[1]Hugst!$R$4:$W$4,0))))</f>
        <v>0</v>
      </c>
    </row>
    <row r="140" spans="1:36" x14ac:dyDescent="0.25">
      <c r="A140" s="169" t="s">
        <v>178</v>
      </c>
      <c r="B140" s="169" t="s">
        <v>23</v>
      </c>
      <c r="C140" s="169">
        <v>2034</v>
      </c>
      <c r="D140" s="169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2036.2279727301921</v>
      </c>
      <c r="E140" s="169">
        <f t="shared" ca="1" si="3"/>
        <v>0</v>
      </c>
      <c r="F140" s="169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4563.8070907244482</v>
      </c>
      <c r="G140" s="169">
        <f ca="1">IF($C140-G$1&lt;År1,0,F139*(1-VLOOKUP($A140,[1]Hugst!$R$5:$W$9,MATCH(ROUNDUP((G$1)/10,0)*10,[1]Hugst!$R$4:$W$4,0))))</f>
        <v>4573.9727334231638</v>
      </c>
      <c r="H140" s="169">
        <f ca="1">IF($C140-H$1&lt;År1,0,G139*(1-VLOOKUP($A140,[1]Hugst!$R$5:$W$9,MATCH(ROUNDUP((H$1)/10,0)*10,[1]Hugst!$R$4:$W$4,0))))</f>
        <v>4584.1228010817622</v>
      </c>
      <c r="I140" s="169">
        <f ca="1">IF($C140-I$1&lt;År1,0,H139*(1-VLOOKUP($A140,[1]Hugst!$R$5:$W$9,MATCH(ROUNDUP((I$1)/10,0)*10,[1]Hugst!$R$4:$W$4,0))))</f>
        <v>4594.1905567619388</v>
      </c>
      <c r="J140" s="169">
        <f ca="1">IF($C140-J$1&lt;År1,0,I139*(1-VLOOKUP($A140,[1]Hugst!$R$5:$W$9,MATCH(ROUNDUP((J$1)/10,0)*10,[1]Hugst!$R$4:$W$4,0))))</f>
        <v>4604.0422694921162</v>
      </c>
      <c r="K140" s="169">
        <f ca="1">IF($C140-K$1&lt;År1,0,J139*(1-VLOOKUP($A140,[1]Hugst!$R$5:$W$9,MATCH(ROUNDUP((K$1)/10,0)*10,[1]Hugst!$R$4:$W$4,0))))</f>
        <v>4613.4102189421337</v>
      </c>
      <c r="L140" s="169">
        <f ca="1">IF($C140-L$1&lt;År1,0,K139*(1-VLOOKUP($A140,[1]Hugst!$R$5:$W$9,MATCH(ROUNDUP((L$1)/10,0)*10,[1]Hugst!$R$4:$W$4,0))))</f>
        <v>4621.7587047666275</v>
      </c>
      <c r="M140" s="169">
        <f ca="1">IF($C140-M$1&lt;År1,0,L139*(1-VLOOKUP($A140,[1]Hugst!$R$5:$W$9,MATCH(ROUNDUP((M$1)/10,0)*10,[1]Hugst!$R$4:$W$4,0))))</f>
        <v>4628.0160652843451</v>
      </c>
      <c r="N140" s="169">
        <f ca="1">IF($C140-N$1&lt;År1,0,M139*(1-VLOOKUP($A140,[1]Hugst!$R$5:$W$9,MATCH(ROUNDUP((N$1)/10,0)*10,[1]Hugst!$R$4:$W$4,0))))</f>
        <v>4630.0387148310256</v>
      </c>
      <c r="O140" s="169">
        <f ca="1">IF($C140-O$1&lt;År1,0,N139*(1-VLOOKUP($A140,[1]Hugst!$R$5:$W$9,MATCH(ROUNDUP((O$1)/10,0)*10,[1]Hugst!$R$4:$W$4,0))))</f>
        <v>4623.5392184583234</v>
      </c>
      <c r="P140" s="169">
        <f ca="1">IF($C140-P$1&lt;År1,0,O139*(1-VLOOKUP($A140,[1]Hugst!$R$5:$W$9,MATCH(ROUNDUP((P$1)/10,0)*10,[1]Hugst!$R$4:$W$4,0))))</f>
        <v>4599.9424413249817</v>
      </c>
      <c r="Q140" s="169">
        <f ca="1">IF($C140-Q$1&lt;År1,0,P139*(1-VLOOKUP($A140,[1]Hugst!$R$5:$W$9,MATCH(ROUNDUP((Q$1)/10,0)*10,[1]Hugst!$R$4:$W$4,0))))</f>
        <v>4542.0978474723615</v>
      </c>
      <c r="R140" s="169">
        <f ca="1">IF($C140-R$1&lt;År1,0,Q139*(1-VLOOKUP($A140,[1]Hugst!$R$5:$W$9,MATCH(ROUNDUP((R$1)/10,0)*10,[1]Hugst!$R$4:$W$4,0))))</f>
        <v>4415.7040973692729</v>
      </c>
      <c r="S140" s="169">
        <f ca="1">IF($C140-S$1&lt;År1,0,R139*(1-VLOOKUP($A140,[1]Hugst!$R$5:$W$9,MATCH(ROUNDUP((S$1)/10,0)*10,[1]Hugst!$R$4:$W$4,0))))</f>
        <v>4152.1582429942446</v>
      </c>
      <c r="T140" s="169">
        <f ca="1">IF($C140-T$1&lt;År1,0,S139*(1-VLOOKUP($A140,[1]Hugst!$R$5:$W$9,MATCH(ROUNDUP((T$1)/10,0)*10,[1]Hugst!$R$4:$W$4,0))))</f>
        <v>3614.2541179942436</v>
      </c>
      <c r="U140" s="169">
        <f>IF($C140-U$1&lt;År1,0,T139*(1-VLOOKUP($A140,[1]Hugst!$R$5:$W$9,MATCH(ROUNDUP((U$1)/10,0)*10,[1]Hugst!$R$4:$W$4,0))))</f>
        <v>0</v>
      </c>
      <c r="V140" s="169">
        <f>IF($C140-V$1&lt;År1,0,U139*(1-VLOOKUP($A140,[1]Hugst!$R$5:$W$9,MATCH(ROUNDUP((V$1)/10,0)*10,[1]Hugst!$R$4:$W$4,0))))</f>
        <v>0</v>
      </c>
      <c r="W140" s="169">
        <f>IF($C140-W$1&lt;År1,0,V139*(1-VLOOKUP($A140,[1]Hugst!$R$5:$W$9,MATCH(ROUNDUP((W$1)/10,0)*10,[1]Hugst!$R$4:$W$4,0))))</f>
        <v>0</v>
      </c>
      <c r="X140" s="169">
        <f>IF($C140-X$1&lt;År1,0,W139*(1-VLOOKUP($A140,[1]Hugst!$R$5:$W$9,MATCH(ROUNDUP((X$1)/10,0)*10,[1]Hugst!$R$4:$W$4,0))))</f>
        <v>0</v>
      </c>
      <c r="Y140" s="169">
        <f>IF($C140-Y$1&lt;År1,0,X139*(1-VLOOKUP($A140,[1]Hugst!$R$5:$W$9,MATCH(ROUNDUP((Y$1)/10,0)*10,[1]Hugst!$R$4:$W$4,0))))</f>
        <v>0</v>
      </c>
      <c r="Z140" s="169">
        <f>IF($C140-Z$1&lt;År1,0,Y139*(1-VLOOKUP($A140,[1]Hugst!$R$5:$W$9,MATCH(ROUNDUP((Z$1)/10,0)*10,[1]Hugst!$R$4:$W$4,0))))</f>
        <v>0</v>
      </c>
      <c r="AA140" s="169">
        <f>IF($C140-AA$1&lt;År1,0,Z139*(1-VLOOKUP($A140,[1]Hugst!$R$5:$W$9,MATCH(ROUNDUP((AA$1)/10,0)*10,[1]Hugst!$R$4:$W$4,0))))</f>
        <v>0</v>
      </c>
      <c r="AB140" s="169">
        <f>IF($C140-AB$1&lt;År1,0,AA139*(1-VLOOKUP($A140,[1]Hugst!$R$5:$W$9,MATCH(ROUNDUP((AB$1)/10,0)*10,[1]Hugst!$R$4:$W$4,0))))</f>
        <v>0</v>
      </c>
      <c r="AC140" s="169">
        <f>IF($C140-AC$1&lt;År1,0,AB139*(1-VLOOKUP($A140,[1]Hugst!$R$5:$W$9,MATCH(ROUNDUP((AC$1)/10,0)*10,[1]Hugst!$R$4:$W$4,0))))</f>
        <v>0</v>
      </c>
      <c r="AD140" s="169">
        <f>IF($C140-AD$1&lt;År1,0,AC139*(1-VLOOKUP($A140,[1]Hugst!$R$5:$W$9,MATCH(ROUNDUP((AD$1)/10,0)*10,[1]Hugst!$R$4:$W$4,0))))</f>
        <v>0</v>
      </c>
      <c r="AE140" s="169">
        <f>IF($C140-AE$1&lt;År1,0,AD139*(1-VLOOKUP($A140,[1]Hugst!$R$5:$W$9,MATCH(ROUNDUP((AE$1)/10,0)*10,[1]Hugst!$R$4:$W$4,0))))</f>
        <v>0</v>
      </c>
      <c r="AF140" s="169">
        <f>IF($C140-AF$1&lt;År1,0,AE139*(1-VLOOKUP($A140,[1]Hugst!$R$5:$W$9,MATCH(ROUNDUP((AF$1)/10,0)*10,[1]Hugst!$R$4:$W$4,0))))</f>
        <v>0</v>
      </c>
      <c r="AG140" s="169">
        <f>IF($C140-AG$1&lt;År1,0,AF139*(1-VLOOKUP($A140,[1]Hugst!$R$5:$W$9,MATCH(ROUNDUP((AG$1)/10,0)*10,[1]Hugst!$R$4:$W$4,0))))</f>
        <v>0</v>
      </c>
      <c r="AH140" s="169">
        <f>IF($C140-AH$1&lt;År1,0,AG139*(1-VLOOKUP($A140,[1]Hugst!$R$5:$W$9,MATCH(ROUNDUP((AH$1)/10,0)*10,[1]Hugst!$R$4:$W$4,0))))</f>
        <v>0</v>
      </c>
      <c r="AI140" s="169">
        <f>IF($C140-AI$1&lt;År1,0,AH139*(1-VLOOKUP($A140,[1]Hugst!$R$5:$W$9,MATCH(ROUNDUP((AI$1)/10,0)*10,[1]Hugst!$R$4:$W$4,0))))</f>
        <v>0</v>
      </c>
      <c r="AJ140" s="169">
        <f>IF($C140-AJ$1&lt;År1,0,AI139*(1-VLOOKUP($A140,[1]Hugst!$R$5:$W$9,MATCH(ROUNDUP((AJ$1)/10,0)*10,[1]Hugst!$R$4:$W$4,0))))</f>
        <v>0</v>
      </c>
    </row>
    <row r="141" spans="1:36" x14ac:dyDescent="0.25">
      <c r="A141" s="169" t="s">
        <v>178</v>
      </c>
      <c r="B141" s="169" t="s">
        <v>23</v>
      </c>
      <c r="C141" s="169">
        <v>2035</v>
      </c>
      <c r="D141" s="169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2026.0799955557522</v>
      </c>
      <c r="E141" s="169">
        <f t="shared" ca="1" si="3"/>
        <v>0</v>
      </c>
      <c r="F141" s="169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4553.6591135500084</v>
      </c>
      <c r="G141" s="169">
        <f ca="1">IF($C141-G$1&lt;År1,0,F140*(1-VLOOKUP($A141,[1]Hugst!$R$5:$W$9,MATCH(ROUNDUP((G$1)/10,0)*10,[1]Hugst!$R$4:$W$4,0))))</f>
        <v>4563.8070907244482</v>
      </c>
      <c r="H141" s="169">
        <f ca="1">IF($C141-H$1&lt;År1,0,G140*(1-VLOOKUP($A141,[1]Hugst!$R$5:$W$9,MATCH(ROUNDUP((H$1)/10,0)*10,[1]Hugst!$R$4:$W$4,0))))</f>
        <v>4573.9727334231638</v>
      </c>
      <c r="I141" s="169">
        <f ca="1">IF($C141-I$1&lt;År1,0,H140*(1-VLOOKUP($A141,[1]Hugst!$R$5:$W$9,MATCH(ROUNDUP((I$1)/10,0)*10,[1]Hugst!$R$4:$W$4,0))))</f>
        <v>4584.1228010817622</v>
      </c>
      <c r="J141" s="169">
        <f ca="1">IF($C141-J$1&lt;År1,0,I140*(1-VLOOKUP($A141,[1]Hugst!$R$5:$W$9,MATCH(ROUNDUP((J$1)/10,0)*10,[1]Hugst!$R$4:$W$4,0))))</f>
        <v>4594.1905567619388</v>
      </c>
      <c r="K141" s="169">
        <f ca="1">IF($C141-K$1&lt;År1,0,J140*(1-VLOOKUP($A141,[1]Hugst!$R$5:$W$9,MATCH(ROUNDUP((K$1)/10,0)*10,[1]Hugst!$R$4:$W$4,0))))</f>
        <v>4604.0422694921162</v>
      </c>
      <c r="L141" s="169">
        <f ca="1">IF($C141-L$1&lt;År1,0,K140*(1-VLOOKUP($A141,[1]Hugst!$R$5:$W$9,MATCH(ROUNDUP((L$1)/10,0)*10,[1]Hugst!$R$4:$W$4,0))))</f>
        <v>4613.4102189421337</v>
      </c>
      <c r="M141" s="169">
        <f ca="1">IF($C141-M$1&lt;År1,0,L140*(1-VLOOKUP($A141,[1]Hugst!$R$5:$W$9,MATCH(ROUNDUP((M$1)/10,0)*10,[1]Hugst!$R$4:$W$4,0))))</f>
        <v>4621.7587047666275</v>
      </c>
      <c r="N141" s="169">
        <f ca="1">IF($C141-N$1&lt;År1,0,M140*(1-VLOOKUP($A141,[1]Hugst!$R$5:$W$9,MATCH(ROUNDUP((N$1)/10,0)*10,[1]Hugst!$R$4:$W$4,0))))</f>
        <v>4628.0160652843451</v>
      </c>
      <c r="O141" s="169">
        <f ca="1">IF($C141-O$1&lt;År1,0,N140*(1-VLOOKUP($A141,[1]Hugst!$R$5:$W$9,MATCH(ROUNDUP((O$1)/10,0)*10,[1]Hugst!$R$4:$W$4,0))))</f>
        <v>4630.0387148310256</v>
      </c>
      <c r="P141" s="169">
        <f ca="1">IF($C141-P$1&lt;År1,0,O140*(1-VLOOKUP($A141,[1]Hugst!$R$5:$W$9,MATCH(ROUNDUP((P$1)/10,0)*10,[1]Hugst!$R$4:$W$4,0))))</f>
        <v>4623.5392184583234</v>
      </c>
      <c r="Q141" s="169">
        <f ca="1">IF($C141-Q$1&lt;År1,0,P140*(1-VLOOKUP($A141,[1]Hugst!$R$5:$W$9,MATCH(ROUNDUP((Q$1)/10,0)*10,[1]Hugst!$R$4:$W$4,0))))</f>
        <v>4599.9424413249817</v>
      </c>
      <c r="R141" s="169">
        <f ca="1">IF($C141-R$1&lt;År1,0,Q140*(1-VLOOKUP($A141,[1]Hugst!$R$5:$W$9,MATCH(ROUNDUP((R$1)/10,0)*10,[1]Hugst!$R$4:$W$4,0))))</f>
        <v>4542.0978474723615</v>
      </c>
      <c r="S141" s="169">
        <f ca="1">IF($C141-S$1&lt;År1,0,R140*(1-VLOOKUP($A141,[1]Hugst!$R$5:$W$9,MATCH(ROUNDUP((S$1)/10,0)*10,[1]Hugst!$R$4:$W$4,0))))</f>
        <v>4415.7040973692729</v>
      </c>
      <c r="T141" s="169">
        <f ca="1">IF($C141-T$1&lt;År1,0,S140*(1-VLOOKUP($A141,[1]Hugst!$R$5:$W$9,MATCH(ROUNDUP((T$1)/10,0)*10,[1]Hugst!$R$4:$W$4,0))))</f>
        <v>4152.1582429942446</v>
      </c>
      <c r="U141" s="169">
        <f ca="1">IF($C141-U$1&lt;År1,0,T140*(1-VLOOKUP($A141,[1]Hugst!$R$5:$W$9,MATCH(ROUNDUP((U$1)/10,0)*10,[1]Hugst!$R$4:$W$4,0))))</f>
        <v>3614.2541179942436</v>
      </c>
      <c r="V141" s="169">
        <f>IF($C141-V$1&lt;År1,0,U140*(1-VLOOKUP($A141,[1]Hugst!$R$5:$W$9,MATCH(ROUNDUP((V$1)/10,0)*10,[1]Hugst!$R$4:$W$4,0))))</f>
        <v>0</v>
      </c>
      <c r="W141" s="169">
        <f>IF($C141-W$1&lt;År1,0,V140*(1-VLOOKUP($A141,[1]Hugst!$R$5:$W$9,MATCH(ROUNDUP((W$1)/10,0)*10,[1]Hugst!$R$4:$W$4,0))))</f>
        <v>0</v>
      </c>
      <c r="X141" s="169">
        <f>IF($C141-X$1&lt;År1,0,W140*(1-VLOOKUP($A141,[1]Hugst!$R$5:$W$9,MATCH(ROUNDUP((X$1)/10,0)*10,[1]Hugst!$R$4:$W$4,0))))</f>
        <v>0</v>
      </c>
      <c r="Y141" s="169">
        <f>IF($C141-Y$1&lt;År1,0,X140*(1-VLOOKUP($A141,[1]Hugst!$R$5:$W$9,MATCH(ROUNDUP((Y$1)/10,0)*10,[1]Hugst!$R$4:$W$4,0))))</f>
        <v>0</v>
      </c>
      <c r="Z141" s="169">
        <f>IF($C141-Z$1&lt;År1,0,Y140*(1-VLOOKUP($A141,[1]Hugst!$R$5:$W$9,MATCH(ROUNDUP((Z$1)/10,0)*10,[1]Hugst!$R$4:$W$4,0))))</f>
        <v>0</v>
      </c>
      <c r="AA141" s="169">
        <f>IF($C141-AA$1&lt;År1,0,Z140*(1-VLOOKUP($A141,[1]Hugst!$R$5:$W$9,MATCH(ROUNDUP((AA$1)/10,0)*10,[1]Hugst!$R$4:$W$4,0))))</f>
        <v>0</v>
      </c>
      <c r="AB141" s="169">
        <f>IF($C141-AB$1&lt;År1,0,AA140*(1-VLOOKUP($A141,[1]Hugst!$R$5:$W$9,MATCH(ROUNDUP((AB$1)/10,0)*10,[1]Hugst!$R$4:$W$4,0))))</f>
        <v>0</v>
      </c>
      <c r="AC141" s="169">
        <f>IF($C141-AC$1&lt;År1,0,AB140*(1-VLOOKUP($A141,[1]Hugst!$R$5:$W$9,MATCH(ROUNDUP((AC$1)/10,0)*10,[1]Hugst!$R$4:$W$4,0))))</f>
        <v>0</v>
      </c>
      <c r="AD141" s="169">
        <f>IF($C141-AD$1&lt;År1,0,AC140*(1-VLOOKUP($A141,[1]Hugst!$R$5:$W$9,MATCH(ROUNDUP((AD$1)/10,0)*10,[1]Hugst!$R$4:$W$4,0))))</f>
        <v>0</v>
      </c>
      <c r="AE141" s="169">
        <f>IF($C141-AE$1&lt;År1,0,AD140*(1-VLOOKUP($A141,[1]Hugst!$R$5:$W$9,MATCH(ROUNDUP((AE$1)/10,0)*10,[1]Hugst!$R$4:$W$4,0))))</f>
        <v>0</v>
      </c>
      <c r="AF141" s="169">
        <f>IF($C141-AF$1&lt;År1,0,AE140*(1-VLOOKUP($A141,[1]Hugst!$R$5:$W$9,MATCH(ROUNDUP((AF$1)/10,0)*10,[1]Hugst!$R$4:$W$4,0))))</f>
        <v>0</v>
      </c>
      <c r="AG141" s="169">
        <f>IF($C141-AG$1&lt;År1,0,AF140*(1-VLOOKUP($A141,[1]Hugst!$R$5:$W$9,MATCH(ROUNDUP((AG$1)/10,0)*10,[1]Hugst!$R$4:$W$4,0))))</f>
        <v>0</v>
      </c>
      <c r="AH141" s="169">
        <f>IF($C141-AH$1&lt;År1,0,AG140*(1-VLOOKUP($A141,[1]Hugst!$R$5:$W$9,MATCH(ROUNDUP((AH$1)/10,0)*10,[1]Hugst!$R$4:$W$4,0))))</f>
        <v>0</v>
      </c>
      <c r="AI141" s="169">
        <f>IF($C141-AI$1&lt;År1,0,AH140*(1-VLOOKUP($A141,[1]Hugst!$R$5:$W$9,MATCH(ROUNDUP((AI$1)/10,0)*10,[1]Hugst!$R$4:$W$4,0))))</f>
        <v>0</v>
      </c>
      <c r="AJ141" s="169">
        <f>IF($C141-AJ$1&lt;År1,0,AI140*(1-VLOOKUP($A141,[1]Hugst!$R$5:$W$9,MATCH(ROUNDUP((AJ$1)/10,0)*10,[1]Hugst!$R$4:$W$4,0))))</f>
        <v>0</v>
      </c>
    </row>
    <row r="142" spans="1:36" x14ac:dyDescent="0.25">
      <c r="A142" s="169" t="s">
        <v>178</v>
      </c>
      <c r="B142" s="169" t="s">
        <v>23</v>
      </c>
      <c r="C142" s="169">
        <v>2036</v>
      </c>
      <c r="D142" s="169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2015.9661769225822</v>
      </c>
      <c r="E142" s="169">
        <f t="shared" ca="1" si="3"/>
        <v>0</v>
      </c>
      <c r="F142" s="169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4543.5452949168384</v>
      </c>
      <c r="G142" s="169">
        <f ca="1">IF($C142-G$1&lt;År1,0,F141*(1-VLOOKUP($A142,[1]Hugst!$R$5:$W$9,MATCH(ROUNDUP((G$1)/10,0)*10,[1]Hugst!$R$4:$W$4,0))))</f>
        <v>4553.6591135500084</v>
      </c>
      <c r="H142" s="169">
        <f ca="1">IF($C142-H$1&lt;År1,0,G141*(1-VLOOKUP($A142,[1]Hugst!$R$5:$W$9,MATCH(ROUNDUP((H$1)/10,0)*10,[1]Hugst!$R$4:$W$4,0))))</f>
        <v>4563.8070907244482</v>
      </c>
      <c r="I142" s="169">
        <f ca="1">IF($C142-I$1&lt;År1,0,H141*(1-VLOOKUP($A142,[1]Hugst!$R$5:$W$9,MATCH(ROUNDUP((I$1)/10,0)*10,[1]Hugst!$R$4:$W$4,0))))</f>
        <v>4573.9727334231638</v>
      </c>
      <c r="J142" s="169">
        <f ca="1">IF($C142-J$1&lt;År1,0,I141*(1-VLOOKUP($A142,[1]Hugst!$R$5:$W$9,MATCH(ROUNDUP((J$1)/10,0)*10,[1]Hugst!$R$4:$W$4,0))))</f>
        <v>4584.1228010817622</v>
      </c>
      <c r="K142" s="169">
        <f ca="1">IF($C142-K$1&lt;År1,0,J141*(1-VLOOKUP($A142,[1]Hugst!$R$5:$W$9,MATCH(ROUNDUP((K$1)/10,0)*10,[1]Hugst!$R$4:$W$4,0))))</f>
        <v>4594.1905567619388</v>
      </c>
      <c r="L142" s="169">
        <f ca="1">IF($C142-L$1&lt;År1,0,K141*(1-VLOOKUP($A142,[1]Hugst!$R$5:$W$9,MATCH(ROUNDUP((L$1)/10,0)*10,[1]Hugst!$R$4:$W$4,0))))</f>
        <v>4604.0422694921162</v>
      </c>
      <c r="M142" s="169">
        <f ca="1">IF($C142-M$1&lt;År1,0,L141*(1-VLOOKUP($A142,[1]Hugst!$R$5:$W$9,MATCH(ROUNDUP((M$1)/10,0)*10,[1]Hugst!$R$4:$W$4,0))))</f>
        <v>4613.4102189421337</v>
      </c>
      <c r="N142" s="169">
        <f ca="1">IF($C142-N$1&lt;År1,0,M141*(1-VLOOKUP($A142,[1]Hugst!$R$5:$W$9,MATCH(ROUNDUP((N$1)/10,0)*10,[1]Hugst!$R$4:$W$4,0))))</f>
        <v>4621.7587047666275</v>
      </c>
      <c r="O142" s="169">
        <f ca="1">IF($C142-O$1&lt;År1,0,N141*(1-VLOOKUP($A142,[1]Hugst!$R$5:$W$9,MATCH(ROUNDUP((O$1)/10,0)*10,[1]Hugst!$R$4:$W$4,0))))</f>
        <v>4628.0160652843451</v>
      </c>
      <c r="P142" s="169">
        <f ca="1">IF($C142-P$1&lt;År1,0,O141*(1-VLOOKUP($A142,[1]Hugst!$R$5:$W$9,MATCH(ROUNDUP((P$1)/10,0)*10,[1]Hugst!$R$4:$W$4,0))))</f>
        <v>4630.0387148310256</v>
      </c>
      <c r="Q142" s="169">
        <f ca="1">IF($C142-Q$1&lt;År1,0,P141*(1-VLOOKUP($A142,[1]Hugst!$R$5:$W$9,MATCH(ROUNDUP((Q$1)/10,0)*10,[1]Hugst!$R$4:$W$4,0))))</f>
        <v>4623.5392184583234</v>
      </c>
      <c r="R142" s="169">
        <f ca="1">IF($C142-R$1&lt;År1,0,Q141*(1-VLOOKUP($A142,[1]Hugst!$R$5:$W$9,MATCH(ROUNDUP((R$1)/10,0)*10,[1]Hugst!$R$4:$W$4,0))))</f>
        <v>4599.9424413249817</v>
      </c>
      <c r="S142" s="169">
        <f ca="1">IF($C142-S$1&lt;År1,0,R141*(1-VLOOKUP($A142,[1]Hugst!$R$5:$W$9,MATCH(ROUNDUP((S$1)/10,0)*10,[1]Hugst!$R$4:$W$4,0))))</f>
        <v>4542.0978474723615</v>
      </c>
      <c r="T142" s="169">
        <f ca="1">IF($C142-T$1&lt;År1,0,S141*(1-VLOOKUP($A142,[1]Hugst!$R$5:$W$9,MATCH(ROUNDUP((T$1)/10,0)*10,[1]Hugst!$R$4:$W$4,0))))</f>
        <v>4415.7040973692729</v>
      </c>
      <c r="U142" s="169">
        <f ca="1">IF($C142-U$1&lt;År1,0,T141*(1-VLOOKUP($A142,[1]Hugst!$R$5:$W$9,MATCH(ROUNDUP((U$1)/10,0)*10,[1]Hugst!$R$4:$W$4,0))))</f>
        <v>4152.1582429942446</v>
      </c>
      <c r="V142" s="169">
        <f ca="1">IF($C142-V$1&lt;År1,0,U141*(1-VLOOKUP($A142,[1]Hugst!$R$5:$W$9,MATCH(ROUNDUP((V$1)/10,0)*10,[1]Hugst!$R$4:$W$4,0))))</f>
        <v>3614.2541179942436</v>
      </c>
      <c r="W142" s="169">
        <f>IF($C142-W$1&lt;År1,0,V141*(1-VLOOKUP($A142,[1]Hugst!$R$5:$W$9,MATCH(ROUNDUP((W$1)/10,0)*10,[1]Hugst!$R$4:$W$4,0))))</f>
        <v>0</v>
      </c>
      <c r="X142" s="169">
        <f>IF($C142-X$1&lt;År1,0,W141*(1-VLOOKUP($A142,[1]Hugst!$R$5:$W$9,MATCH(ROUNDUP((X$1)/10,0)*10,[1]Hugst!$R$4:$W$4,0))))</f>
        <v>0</v>
      </c>
      <c r="Y142" s="169">
        <f>IF($C142-Y$1&lt;År1,0,X141*(1-VLOOKUP($A142,[1]Hugst!$R$5:$W$9,MATCH(ROUNDUP((Y$1)/10,0)*10,[1]Hugst!$R$4:$W$4,0))))</f>
        <v>0</v>
      </c>
      <c r="Z142" s="169">
        <f>IF($C142-Z$1&lt;År1,0,Y141*(1-VLOOKUP($A142,[1]Hugst!$R$5:$W$9,MATCH(ROUNDUP((Z$1)/10,0)*10,[1]Hugst!$R$4:$W$4,0))))</f>
        <v>0</v>
      </c>
      <c r="AA142" s="169">
        <f>IF($C142-AA$1&lt;År1,0,Z141*(1-VLOOKUP($A142,[1]Hugst!$R$5:$W$9,MATCH(ROUNDUP((AA$1)/10,0)*10,[1]Hugst!$R$4:$W$4,0))))</f>
        <v>0</v>
      </c>
      <c r="AB142" s="169">
        <f>IF($C142-AB$1&lt;År1,0,AA141*(1-VLOOKUP($A142,[1]Hugst!$R$5:$W$9,MATCH(ROUNDUP((AB$1)/10,0)*10,[1]Hugst!$R$4:$W$4,0))))</f>
        <v>0</v>
      </c>
      <c r="AC142" s="169">
        <f>IF($C142-AC$1&lt;År1,0,AB141*(1-VLOOKUP($A142,[1]Hugst!$R$5:$W$9,MATCH(ROUNDUP((AC$1)/10,0)*10,[1]Hugst!$R$4:$W$4,0))))</f>
        <v>0</v>
      </c>
      <c r="AD142" s="169">
        <f>IF($C142-AD$1&lt;År1,0,AC141*(1-VLOOKUP($A142,[1]Hugst!$R$5:$W$9,MATCH(ROUNDUP((AD$1)/10,0)*10,[1]Hugst!$R$4:$W$4,0))))</f>
        <v>0</v>
      </c>
      <c r="AE142" s="169">
        <f>IF($C142-AE$1&lt;År1,0,AD141*(1-VLOOKUP($A142,[1]Hugst!$R$5:$W$9,MATCH(ROUNDUP((AE$1)/10,0)*10,[1]Hugst!$R$4:$W$4,0))))</f>
        <v>0</v>
      </c>
      <c r="AF142" s="169">
        <f>IF($C142-AF$1&lt;År1,0,AE141*(1-VLOOKUP($A142,[1]Hugst!$R$5:$W$9,MATCH(ROUNDUP((AF$1)/10,0)*10,[1]Hugst!$R$4:$W$4,0))))</f>
        <v>0</v>
      </c>
      <c r="AG142" s="169">
        <f>IF($C142-AG$1&lt;År1,0,AF141*(1-VLOOKUP($A142,[1]Hugst!$R$5:$W$9,MATCH(ROUNDUP((AG$1)/10,0)*10,[1]Hugst!$R$4:$W$4,0))))</f>
        <v>0</v>
      </c>
      <c r="AH142" s="169">
        <f>IF($C142-AH$1&lt;År1,0,AG141*(1-VLOOKUP($A142,[1]Hugst!$R$5:$W$9,MATCH(ROUNDUP((AH$1)/10,0)*10,[1]Hugst!$R$4:$W$4,0))))</f>
        <v>0</v>
      </c>
      <c r="AI142" s="169">
        <f>IF($C142-AI$1&lt;År1,0,AH141*(1-VLOOKUP($A142,[1]Hugst!$R$5:$W$9,MATCH(ROUNDUP((AI$1)/10,0)*10,[1]Hugst!$R$4:$W$4,0))))</f>
        <v>0</v>
      </c>
      <c r="AJ142" s="169">
        <f>IF($C142-AJ$1&lt;År1,0,AI141*(1-VLOOKUP($A142,[1]Hugst!$R$5:$W$9,MATCH(ROUNDUP((AJ$1)/10,0)*10,[1]Hugst!$R$4:$W$4,0))))</f>
        <v>0</v>
      </c>
    </row>
    <row r="143" spans="1:36" x14ac:dyDescent="0.25">
      <c r="A143" s="169" t="s">
        <v>178</v>
      </c>
      <c r="B143" s="169" t="s">
        <v>23</v>
      </c>
      <c r="C143" s="169">
        <v>2037</v>
      </c>
      <c r="D143" s="169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2005.8946367102762</v>
      </c>
      <c r="E143" s="169">
        <f t="shared" ca="1" si="3"/>
        <v>0</v>
      </c>
      <c r="F143" s="169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4533.4737547045324</v>
      </c>
      <c r="G143" s="169">
        <f ca="1">IF($C143-G$1&lt;År1,0,F142*(1-VLOOKUP($A143,[1]Hugst!$R$5:$W$9,MATCH(ROUNDUP((G$1)/10,0)*10,[1]Hugst!$R$4:$W$4,0))))</f>
        <v>4543.5452949168384</v>
      </c>
      <c r="H143" s="169">
        <f ca="1">IF($C143-H$1&lt;År1,0,G142*(1-VLOOKUP($A143,[1]Hugst!$R$5:$W$9,MATCH(ROUNDUP((H$1)/10,0)*10,[1]Hugst!$R$4:$W$4,0))))</f>
        <v>4553.6591135500084</v>
      </c>
      <c r="I143" s="169">
        <f ca="1">IF($C143-I$1&lt;År1,0,H142*(1-VLOOKUP($A143,[1]Hugst!$R$5:$W$9,MATCH(ROUNDUP((I$1)/10,0)*10,[1]Hugst!$R$4:$W$4,0))))</f>
        <v>4563.8070907244482</v>
      </c>
      <c r="J143" s="169">
        <f ca="1">IF($C143-J$1&lt;År1,0,I142*(1-VLOOKUP($A143,[1]Hugst!$R$5:$W$9,MATCH(ROUNDUP((J$1)/10,0)*10,[1]Hugst!$R$4:$W$4,0))))</f>
        <v>4573.9727334231638</v>
      </c>
      <c r="K143" s="169">
        <f ca="1">IF($C143-K$1&lt;År1,0,J142*(1-VLOOKUP($A143,[1]Hugst!$R$5:$W$9,MATCH(ROUNDUP((K$1)/10,0)*10,[1]Hugst!$R$4:$W$4,0))))</f>
        <v>4584.1228010817622</v>
      </c>
      <c r="L143" s="169">
        <f ca="1">IF($C143-L$1&lt;År1,0,K142*(1-VLOOKUP($A143,[1]Hugst!$R$5:$W$9,MATCH(ROUNDUP((L$1)/10,0)*10,[1]Hugst!$R$4:$W$4,0))))</f>
        <v>4594.1905567619388</v>
      </c>
      <c r="M143" s="169">
        <f ca="1">IF($C143-M$1&lt;År1,0,L142*(1-VLOOKUP($A143,[1]Hugst!$R$5:$W$9,MATCH(ROUNDUP((M$1)/10,0)*10,[1]Hugst!$R$4:$W$4,0))))</f>
        <v>4604.0422694921162</v>
      </c>
      <c r="N143" s="169">
        <f ca="1">IF($C143-N$1&lt;År1,0,M142*(1-VLOOKUP($A143,[1]Hugst!$R$5:$W$9,MATCH(ROUNDUP((N$1)/10,0)*10,[1]Hugst!$R$4:$W$4,0))))</f>
        <v>4613.4102189421337</v>
      </c>
      <c r="O143" s="169">
        <f ca="1">IF($C143-O$1&lt;År1,0,N142*(1-VLOOKUP($A143,[1]Hugst!$R$5:$W$9,MATCH(ROUNDUP((O$1)/10,0)*10,[1]Hugst!$R$4:$W$4,0))))</f>
        <v>4621.7587047666275</v>
      </c>
      <c r="P143" s="169">
        <f ca="1">IF($C143-P$1&lt;År1,0,O142*(1-VLOOKUP($A143,[1]Hugst!$R$5:$W$9,MATCH(ROUNDUP((P$1)/10,0)*10,[1]Hugst!$R$4:$W$4,0))))</f>
        <v>4628.0160652843451</v>
      </c>
      <c r="Q143" s="169">
        <f ca="1">IF($C143-Q$1&lt;År1,0,P142*(1-VLOOKUP($A143,[1]Hugst!$R$5:$W$9,MATCH(ROUNDUP((Q$1)/10,0)*10,[1]Hugst!$R$4:$W$4,0))))</f>
        <v>4630.0387148310256</v>
      </c>
      <c r="R143" s="169">
        <f ca="1">IF($C143-R$1&lt;År1,0,Q142*(1-VLOOKUP($A143,[1]Hugst!$R$5:$W$9,MATCH(ROUNDUP((R$1)/10,0)*10,[1]Hugst!$R$4:$W$4,0))))</f>
        <v>4623.5392184583234</v>
      </c>
      <c r="S143" s="169">
        <f ca="1">IF($C143-S$1&lt;År1,0,R142*(1-VLOOKUP($A143,[1]Hugst!$R$5:$W$9,MATCH(ROUNDUP((S$1)/10,0)*10,[1]Hugst!$R$4:$W$4,0))))</f>
        <v>4599.9424413249817</v>
      </c>
      <c r="T143" s="169">
        <f ca="1">IF($C143-T$1&lt;År1,0,S142*(1-VLOOKUP($A143,[1]Hugst!$R$5:$W$9,MATCH(ROUNDUP((T$1)/10,0)*10,[1]Hugst!$R$4:$W$4,0))))</f>
        <v>4542.0978474723615</v>
      </c>
      <c r="U143" s="169">
        <f ca="1">IF($C143-U$1&lt;År1,0,T142*(1-VLOOKUP($A143,[1]Hugst!$R$5:$W$9,MATCH(ROUNDUP((U$1)/10,0)*10,[1]Hugst!$R$4:$W$4,0))))</f>
        <v>4415.7040973692729</v>
      </c>
      <c r="V143" s="169">
        <f ca="1">IF($C143-V$1&lt;År1,0,U142*(1-VLOOKUP($A143,[1]Hugst!$R$5:$W$9,MATCH(ROUNDUP((V$1)/10,0)*10,[1]Hugst!$R$4:$W$4,0))))</f>
        <v>4152.1582429942446</v>
      </c>
      <c r="W143" s="169">
        <f ca="1">IF($C143-W$1&lt;År1,0,V142*(1-VLOOKUP($A143,[1]Hugst!$R$5:$W$9,MATCH(ROUNDUP((W$1)/10,0)*10,[1]Hugst!$R$4:$W$4,0))))</f>
        <v>3614.2541179942436</v>
      </c>
      <c r="X143" s="169">
        <f>IF($C143-X$1&lt;År1,0,W142*(1-VLOOKUP($A143,[1]Hugst!$R$5:$W$9,MATCH(ROUNDUP((X$1)/10,0)*10,[1]Hugst!$R$4:$W$4,0))))</f>
        <v>0</v>
      </c>
      <c r="Y143" s="169">
        <f>IF($C143-Y$1&lt;År1,0,X142*(1-VLOOKUP($A143,[1]Hugst!$R$5:$W$9,MATCH(ROUNDUP((Y$1)/10,0)*10,[1]Hugst!$R$4:$W$4,0))))</f>
        <v>0</v>
      </c>
      <c r="Z143" s="169">
        <f>IF($C143-Z$1&lt;År1,0,Y142*(1-VLOOKUP($A143,[1]Hugst!$R$5:$W$9,MATCH(ROUNDUP((Z$1)/10,0)*10,[1]Hugst!$R$4:$W$4,0))))</f>
        <v>0</v>
      </c>
      <c r="AA143" s="169">
        <f>IF($C143-AA$1&lt;År1,0,Z142*(1-VLOOKUP($A143,[1]Hugst!$R$5:$W$9,MATCH(ROUNDUP((AA$1)/10,0)*10,[1]Hugst!$R$4:$W$4,0))))</f>
        <v>0</v>
      </c>
      <c r="AB143" s="169">
        <f>IF($C143-AB$1&lt;År1,0,AA142*(1-VLOOKUP($A143,[1]Hugst!$R$5:$W$9,MATCH(ROUNDUP((AB$1)/10,0)*10,[1]Hugst!$R$4:$W$4,0))))</f>
        <v>0</v>
      </c>
      <c r="AC143" s="169">
        <f>IF($C143-AC$1&lt;År1,0,AB142*(1-VLOOKUP($A143,[1]Hugst!$R$5:$W$9,MATCH(ROUNDUP((AC$1)/10,0)*10,[1]Hugst!$R$4:$W$4,0))))</f>
        <v>0</v>
      </c>
      <c r="AD143" s="169">
        <f>IF($C143-AD$1&lt;År1,0,AC142*(1-VLOOKUP($A143,[1]Hugst!$R$5:$W$9,MATCH(ROUNDUP((AD$1)/10,0)*10,[1]Hugst!$R$4:$W$4,0))))</f>
        <v>0</v>
      </c>
      <c r="AE143" s="169">
        <f>IF($C143-AE$1&lt;År1,0,AD142*(1-VLOOKUP($A143,[1]Hugst!$R$5:$W$9,MATCH(ROUNDUP((AE$1)/10,0)*10,[1]Hugst!$R$4:$W$4,0))))</f>
        <v>0</v>
      </c>
      <c r="AF143" s="169">
        <f>IF($C143-AF$1&lt;År1,0,AE142*(1-VLOOKUP($A143,[1]Hugst!$R$5:$W$9,MATCH(ROUNDUP((AF$1)/10,0)*10,[1]Hugst!$R$4:$W$4,0))))</f>
        <v>0</v>
      </c>
      <c r="AG143" s="169">
        <f>IF($C143-AG$1&lt;År1,0,AF142*(1-VLOOKUP($A143,[1]Hugst!$R$5:$W$9,MATCH(ROUNDUP((AG$1)/10,0)*10,[1]Hugst!$R$4:$W$4,0))))</f>
        <v>0</v>
      </c>
      <c r="AH143" s="169">
        <f>IF($C143-AH$1&lt;År1,0,AG142*(1-VLOOKUP($A143,[1]Hugst!$R$5:$W$9,MATCH(ROUNDUP((AH$1)/10,0)*10,[1]Hugst!$R$4:$W$4,0))))</f>
        <v>0</v>
      </c>
      <c r="AI143" s="169">
        <f>IF($C143-AI$1&lt;År1,0,AH142*(1-VLOOKUP($A143,[1]Hugst!$R$5:$W$9,MATCH(ROUNDUP((AI$1)/10,0)*10,[1]Hugst!$R$4:$W$4,0))))</f>
        <v>0</v>
      </c>
      <c r="AJ143" s="169">
        <f>IF($C143-AJ$1&lt;År1,0,AI142*(1-VLOOKUP($A143,[1]Hugst!$R$5:$W$9,MATCH(ROUNDUP((AJ$1)/10,0)*10,[1]Hugst!$R$4:$W$4,0))))</f>
        <v>0</v>
      </c>
    </row>
    <row r="144" spans="1:36" x14ac:dyDescent="0.25">
      <c r="A144" s="169" t="s">
        <v>178</v>
      </c>
      <c r="B144" s="169" t="s">
        <v>23</v>
      </c>
      <c r="C144" s="169">
        <v>2038</v>
      </c>
      <c r="D144" s="169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1995.8693088628861</v>
      </c>
      <c r="E144" s="169">
        <f t="shared" ca="1" si="3"/>
        <v>0</v>
      </c>
      <c r="F144" s="169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4523.4484268571423</v>
      </c>
      <c r="G144" s="169">
        <f ca="1">IF($C144-G$1&lt;År1,0,F143*(1-VLOOKUP($A144,[1]Hugst!$R$5:$W$9,MATCH(ROUNDUP((G$1)/10,0)*10,[1]Hugst!$R$4:$W$4,0))))</f>
        <v>4533.4737547045324</v>
      </c>
      <c r="H144" s="169">
        <f ca="1">IF($C144-H$1&lt;År1,0,G143*(1-VLOOKUP($A144,[1]Hugst!$R$5:$W$9,MATCH(ROUNDUP((H$1)/10,0)*10,[1]Hugst!$R$4:$W$4,0))))</f>
        <v>4543.5452949168384</v>
      </c>
      <c r="I144" s="169">
        <f ca="1">IF($C144-I$1&lt;År1,0,H143*(1-VLOOKUP($A144,[1]Hugst!$R$5:$W$9,MATCH(ROUNDUP((I$1)/10,0)*10,[1]Hugst!$R$4:$W$4,0))))</f>
        <v>4553.6591135500084</v>
      </c>
      <c r="J144" s="169">
        <f ca="1">IF($C144-J$1&lt;År1,0,I143*(1-VLOOKUP($A144,[1]Hugst!$R$5:$W$9,MATCH(ROUNDUP((J$1)/10,0)*10,[1]Hugst!$R$4:$W$4,0))))</f>
        <v>4563.8070907244482</v>
      </c>
      <c r="K144" s="169">
        <f ca="1">IF($C144-K$1&lt;År1,0,J143*(1-VLOOKUP($A144,[1]Hugst!$R$5:$W$9,MATCH(ROUNDUP((K$1)/10,0)*10,[1]Hugst!$R$4:$W$4,0))))</f>
        <v>4573.9727334231638</v>
      </c>
      <c r="L144" s="169">
        <f ca="1">IF($C144-L$1&lt;År1,0,K143*(1-VLOOKUP($A144,[1]Hugst!$R$5:$W$9,MATCH(ROUNDUP((L$1)/10,0)*10,[1]Hugst!$R$4:$W$4,0))))</f>
        <v>4584.1228010817622</v>
      </c>
      <c r="M144" s="169">
        <f ca="1">IF($C144-M$1&lt;År1,0,L143*(1-VLOOKUP($A144,[1]Hugst!$R$5:$W$9,MATCH(ROUNDUP((M$1)/10,0)*10,[1]Hugst!$R$4:$W$4,0))))</f>
        <v>4594.1905567619388</v>
      </c>
      <c r="N144" s="169">
        <f ca="1">IF($C144-N$1&lt;År1,0,M143*(1-VLOOKUP($A144,[1]Hugst!$R$5:$W$9,MATCH(ROUNDUP((N$1)/10,0)*10,[1]Hugst!$R$4:$W$4,0))))</f>
        <v>4604.0422694921162</v>
      </c>
      <c r="O144" s="169">
        <f ca="1">IF($C144-O$1&lt;År1,0,N143*(1-VLOOKUP($A144,[1]Hugst!$R$5:$W$9,MATCH(ROUNDUP((O$1)/10,0)*10,[1]Hugst!$R$4:$W$4,0))))</f>
        <v>4613.4102189421337</v>
      </c>
      <c r="P144" s="169">
        <f ca="1">IF($C144-P$1&lt;År1,0,O143*(1-VLOOKUP($A144,[1]Hugst!$R$5:$W$9,MATCH(ROUNDUP((P$1)/10,0)*10,[1]Hugst!$R$4:$W$4,0))))</f>
        <v>4621.7587047666275</v>
      </c>
      <c r="Q144" s="169">
        <f ca="1">IF($C144-Q$1&lt;År1,0,P143*(1-VLOOKUP($A144,[1]Hugst!$R$5:$W$9,MATCH(ROUNDUP((Q$1)/10,0)*10,[1]Hugst!$R$4:$W$4,0))))</f>
        <v>4628.0160652843451</v>
      </c>
      <c r="R144" s="169">
        <f ca="1">IF($C144-R$1&lt;År1,0,Q143*(1-VLOOKUP($A144,[1]Hugst!$R$5:$W$9,MATCH(ROUNDUP((R$1)/10,0)*10,[1]Hugst!$R$4:$W$4,0))))</f>
        <v>4630.0387148310256</v>
      </c>
      <c r="S144" s="169">
        <f ca="1">IF($C144-S$1&lt;År1,0,R143*(1-VLOOKUP($A144,[1]Hugst!$R$5:$W$9,MATCH(ROUNDUP((S$1)/10,0)*10,[1]Hugst!$R$4:$W$4,0))))</f>
        <v>4623.5392184583234</v>
      </c>
      <c r="T144" s="169">
        <f ca="1">IF($C144-T$1&lt;År1,0,S143*(1-VLOOKUP($A144,[1]Hugst!$R$5:$W$9,MATCH(ROUNDUP((T$1)/10,0)*10,[1]Hugst!$R$4:$W$4,0))))</f>
        <v>4599.9424413249817</v>
      </c>
      <c r="U144" s="169">
        <f ca="1">IF($C144-U$1&lt;År1,0,T143*(1-VLOOKUP($A144,[1]Hugst!$R$5:$W$9,MATCH(ROUNDUP((U$1)/10,0)*10,[1]Hugst!$R$4:$W$4,0))))</f>
        <v>4542.0978474723615</v>
      </c>
      <c r="V144" s="169">
        <f ca="1">IF($C144-V$1&lt;År1,0,U143*(1-VLOOKUP($A144,[1]Hugst!$R$5:$W$9,MATCH(ROUNDUP((V$1)/10,0)*10,[1]Hugst!$R$4:$W$4,0))))</f>
        <v>4415.7040973692729</v>
      </c>
      <c r="W144" s="169">
        <f ca="1">IF($C144-W$1&lt;År1,0,V143*(1-VLOOKUP($A144,[1]Hugst!$R$5:$W$9,MATCH(ROUNDUP((W$1)/10,0)*10,[1]Hugst!$R$4:$W$4,0))))</f>
        <v>4152.1582429942446</v>
      </c>
      <c r="X144" s="169">
        <f ca="1">IF($C144-X$1&lt;År1,0,W143*(1-VLOOKUP($A144,[1]Hugst!$R$5:$W$9,MATCH(ROUNDUP((X$1)/10,0)*10,[1]Hugst!$R$4:$W$4,0))))</f>
        <v>3614.2541179942436</v>
      </c>
      <c r="Y144" s="169">
        <f>IF($C144-Y$1&lt;År1,0,X143*(1-VLOOKUP($A144,[1]Hugst!$R$5:$W$9,MATCH(ROUNDUP((Y$1)/10,0)*10,[1]Hugst!$R$4:$W$4,0))))</f>
        <v>0</v>
      </c>
      <c r="Z144" s="169">
        <f>IF($C144-Z$1&lt;År1,0,Y143*(1-VLOOKUP($A144,[1]Hugst!$R$5:$W$9,MATCH(ROUNDUP((Z$1)/10,0)*10,[1]Hugst!$R$4:$W$4,0))))</f>
        <v>0</v>
      </c>
      <c r="AA144" s="169">
        <f>IF($C144-AA$1&lt;År1,0,Z143*(1-VLOOKUP($A144,[1]Hugst!$R$5:$W$9,MATCH(ROUNDUP((AA$1)/10,0)*10,[1]Hugst!$R$4:$W$4,0))))</f>
        <v>0</v>
      </c>
      <c r="AB144" s="169">
        <f>IF($C144-AB$1&lt;År1,0,AA143*(1-VLOOKUP($A144,[1]Hugst!$R$5:$W$9,MATCH(ROUNDUP((AB$1)/10,0)*10,[1]Hugst!$R$4:$W$4,0))))</f>
        <v>0</v>
      </c>
      <c r="AC144" s="169">
        <f>IF($C144-AC$1&lt;År1,0,AB143*(1-VLOOKUP($A144,[1]Hugst!$R$5:$W$9,MATCH(ROUNDUP((AC$1)/10,0)*10,[1]Hugst!$R$4:$W$4,0))))</f>
        <v>0</v>
      </c>
      <c r="AD144" s="169">
        <f>IF($C144-AD$1&lt;År1,0,AC143*(1-VLOOKUP($A144,[1]Hugst!$R$5:$W$9,MATCH(ROUNDUP((AD$1)/10,0)*10,[1]Hugst!$R$4:$W$4,0))))</f>
        <v>0</v>
      </c>
      <c r="AE144" s="169">
        <f>IF($C144-AE$1&lt;År1,0,AD143*(1-VLOOKUP($A144,[1]Hugst!$R$5:$W$9,MATCH(ROUNDUP((AE$1)/10,0)*10,[1]Hugst!$R$4:$W$4,0))))</f>
        <v>0</v>
      </c>
      <c r="AF144" s="169">
        <f>IF($C144-AF$1&lt;År1,0,AE143*(1-VLOOKUP($A144,[1]Hugst!$R$5:$W$9,MATCH(ROUNDUP((AF$1)/10,0)*10,[1]Hugst!$R$4:$W$4,0))))</f>
        <v>0</v>
      </c>
      <c r="AG144" s="169">
        <f>IF($C144-AG$1&lt;År1,0,AF143*(1-VLOOKUP($A144,[1]Hugst!$R$5:$W$9,MATCH(ROUNDUP((AG$1)/10,0)*10,[1]Hugst!$R$4:$W$4,0))))</f>
        <v>0</v>
      </c>
      <c r="AH144" s="169">
        <f>IF($C144-AH$1&lt;År1,0,AG143*(1-VLOOKUP($A144,[1]Hugst!$R$5:$W$9,MATCH(ROUNDUP((AH$1)/10,0)*10,[1]Hugst!$R$4:$W$4,0))))</f>
        <v>0</v>
      </c>
      <c r="AI144" s="169">
        <f>IF($C144-AI$1&lt;År1,0,AH143*(1-VLOOKUP($A144,[1]Hugst!$R$5:$W$9,MATCH(ROUNDUP((AI$1)/10,0)*10,[1]Hugst!$R$4:$W$4,0))))</f>
        <v>0</v>
      </c>
      <c r="AJ144" s="169">
        <f>IF($C144-AJ$1&lt;År1,0,AI143*(1-VLOOKUP($A144,[1]Hugst!$R$5:$W$9,MATCH(ROUNDUP((AJ$1)/10,0)*10,[1]Hugst!$R$4:$W$4,0))))</f>
        <v>0</v>
      </c>
    </row>
    <row r="145" spans="1:36" x14ac:dyDescent="0.25">
      <c r="A145" s="169" t="s">
        <v>178</v>
      </c>
      <c r="B145" s="169" t="s">
        <v>23</v>
      </c>
      <c r="C145" s="169">
        <v>2039</v>
      </c>
      <c r="D145" s="169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1985.8920349866057</v>
      </c>
      <c r="E145" s="169">
        <f t="shared" ca="1" si="3"/>
        <v>0</v>
      </c>
      <c r="F145" s="169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4513.4711529808619</v>
      </c>
      <c r="G145" s="169">
        <f ca="1">IF($C145-G$1&lt;År1,0,F144*(1-VLOOKUP($A145,[1]Hugst!$R$5:$W$9,MATCH(ROUNDUP((G$1)/10,0)*10,[1]Hugst!$R$4:$W$4,0))))</f>
        <v>4523.4484268571423</v>
      </c>
      <c r="H145" s="169">
        <f ca="1">IF($C145-H$1&lt;År1,0,G144*(1-VLOOKUP($A145,[1]Hugst!$R$5:$W$9,MATCH(ROUNDUP((H$1)/10,0)*10,[1]Hugst!$R$4:$W$4,0))))</f>
        <v>4533.4737547045324</v>
      </c>
      <c r="I145" s="169">
        <f ca="1">IF($C145-I$1&lt;År1,0,H144*(1-VLOOKUP($A145,[1]Hugst!$R$5:$W$9,MATCH(ROUNDUP((I$1)/10,0)*10,[1]Hugst!$R$4:$W$4,0))))</f>
        <v>4543.5452949168384</v>
      </c>
      <c r="J145" s="169">
        <f ca="1">IF($C145-J$1&lt;År1,0,I144*(1-VLOOKUP($A145,[1]Hugst!$R$5:$W$9,MATCH(ROUNDUP((J$1)/10,0)*10,[1]Hugst!$R$4:$W$4,0))))</f>
        <v>4553.6591135500084</v>
      </c>
      <c r="K145" s="169">
        <f ca="1">IF($C145-K$1&lt;År1,0,J144*(1-VLOOKUP($A145,[1]Hugst!$R$5:$W$9,MATCH(ROUNDUP((K$1)/10,0)*10,[1]Hugst!$R$4:$W$4,0))))</f>
        <v>4563.8070907244482</v>
      </c>
      <c r="L145" s="169">
        <f ca="1">IF($C145-L$1&lt;År1,0,K144*(1-VLOOKUP($A145,[1]Hugst!$R$5:$W$9,MATCH(ROUNDUP((L$1)/10,0)*10,[1]Hugst!$R$4:$W$4,0))))</f>
        <v>4573.9727334231638</v>
      </c>
      <c r="M145" s="169">
        <f ca="1">IF($C145-M$1&lt;År1,0,L144*(1-VLOOKUP($A145,[1]Hugst!$R$5:$W$9,MATCH(ROUNDUP((M$1)/10,0)*10,[1]Hugst!$R$4:$W$4,0))))</f>
        <v>4584.1228010817622</v>
      </c>
      <c r="N145" s="169">
        <f ca="1">IF($C145-N$1&lt;År1,0,M144*(1-VLOOKUP($A145,[1]Hugst!$R$5:$W$9,MATCH(ROUNDUP((N$1)/10,0)*10,[1]Hugst!$R$4:$W$4,0))))</f>
        <v>4594.1905567619388</v>
      </c>
      <c r="O145" s="169">
        <f ca="1">IF($C145-O$1&lt;År1,0,N144*(1-VLOOKUP($A145,[1]Hugst!$R$5:$W$9,MATCH(ROUNDUP((O$1)/10,0)*10,[1]Hugst!$R$4:$W$4,0))))</f>
        <v>4604.0422694921162</v>
      </c>
      <c r="P145" s="169">
        <f ca="1">IF($C145-P$1&lt;År1,0,O144*(1-VLOOKUP($A145,[1]Hugst!$R$5:$W$9,MATCH(ROUNDUP((P$1)/10,0)*10,[1]Hugst!$R$4:$W$4,0))))</f>
        <v>4613.4102189421337</v>
      </c>
      <c r="Q145" s="169">
        <f ca="1">IF($C145-Q$1&lt;År1,0,P144*(1-VLOOKUP($A145,[1]Hugst!$R$5:$W$9,MATCH(ROUNDUP((Q$1)/10,0)*10,[1]Hugst!$R$4:$W$4,0))))</f>
        <v>4621.7587047666275</v>
      </c>
      <c r="R145" s="169">
        <f ca="1">IF($C145-R$1&lt;År1,0,Q144*(1-VLOOKUP($A145,[1]Hugst!$R$5:$W$9,MATCH(ROUNDUP((R$1)/10,0)*10,[1]Hugst!$R$4:$W$4,0))))</f>
        <v>4628.0160652843451</v>
      </c>
      <c r="S145" s="169">
        <f ca="1">IF($C145-S$1&lt;År1,0,R144*(1-VLOOKUP($A145,[1]Hugst!$R$5:$W$9,MATCH(ROUNDUP((S$1)/10,0)*10,[1]Hugst!$R$4:$W$4,0))))</f>
        <v>4630.0387148310256</v>
      </c>
      <c r="T145" s="169">
        <f ca="1">IF($C145-T$1&lt;År1,0,S144*(1-VLOOKUP($A145,[1]Hugst!$R$5:$W$9,MATCH(ROUNDUP((T$1)/10,0)*10,[1]Hugst!$R$4:$W$4,0))))</f>
        <v>4623.5392184583234</v>
      </c>
      <c r="U145" s="169">
        <f ca="1">IF($C145-U$1&lt;År1,0,T144*(1-VLOOKUP($A145,[1]Hugst!$R$5:$W$9,MATCH(ROUNDUP((U$1)/10,0)*10,[1]Hugst!$R$4:$W$4,0))))</f>
        <v>4599.9424413249817</v>
      </c>
      <c r="V145" s="169">
        <f ca="1">IF($C145-V$1&lt;År1,0,U144*(1-VLOOKUP($A145,[1]Hugst!$R$5:$W$9,MATCH(ROUNDUP((V$1)/10,0)*10,[1]Hugst!$R$4:$W$4,0))))</f>
        <v>4542.0978474723615</v>
      </c>
      <c r="W145" s="169">
        <f ca="1">IF($C145-W$1&lt;År1,0,V144*(1-VLOOKUP($A145,[1]Hugst!$R$5:$W$9,MATCH(ROUNDUP((W$1)/10,0)*10,[1]Hugst!$R$4:$W$4,0))))</f>
        <v>4415.7040973692729</v>
      </c>
      <c r="X145" s="169">
        <f ca="1">IF($C145-X$1&lt;År1,0,W144*(1-VLOOKUP($A145,[1]Hugst!$R$5:$W$9,MATCH(ROUNDUP((X$1)/10,0)*10,[1]Hugst!$R$4:$W$4,0))))</f>
        <v>4152.1582429942446</v>
      </c>
      <c r="Y145" s="169">
        <f ca="1">IF($C145-Y$1&lt;År1,0,X144*(1-VLOOKUP($A145,[1]Hugst!$R$5:$W$9,MATCH(ROUNDUP((Y$1)/10,0)*10,[1]Hugst!$R$4:$W$4,0))))</f>
        <v>3614.2541179942436</v>
      </c>
      <c r="Z145" s="169">
        <f>IF($C145-Z$1&lt;År1,0,Y144*(1-VLOOKUP($A145,[1]Hugst!$R$5:$W$9,MATCH(ROUNDUP((Z$1)/10,0)*10,[1]Hugst!$R$4:$W$4,0))))</f>
        <v>0</v>
      </c>
      <c r="AA145" s="169">
        <f>IF($C145-AA$1&lt;År1,0,Z144*(1-VLOOKUP($A145,[1]Hugst!$R$5:$W$9,MATCH(ROUNDUP((AA$1)/10,0)*10,[1]Hugst!$R$4:$W$4,0))))</f>
        <v>0</v>
      </c>
      <c r="AB145" s="169">
        <f>IF($C145-AB$1&lt;År1,0,AA144*(1-VLOOKUP($A145,[1]Hugst!$R$5:$W$9,MATCH(ROUNDUP((AB$1)/10,0)*10,[1]Hugst!$R$4:$W$4,0))))</f>
        <v>0</v>
      </c>
      <c r="AC145" s="169">
        <f>IF($C145-AC$1&lt;År1,0,AB144*(1-VLOOKUP($A145,[1]Hugst!$R$5:$W$9,MATCH(ROUNDUP((AC$1)/10,0)*10,[1]Hugst!$R$4:$W$4,0))))</f>
        <v>0</v>
      </c>
      <c r="AD145" s="169">
        <f>IF($C145-AD$1&lt;År1,0,AC144*(1-VLOOKUP($A145,[1]Hugst!$R$5:$W$9,MATCH(ROUNDUP((AD$1)/10,0)*10,[1]Hugst!$R$4:$W$4,0))))</f>
        <v>0</v>
      </c>
      <c r="AE145" s="169">
        <f>IF($C145-AE$1&lt;År1,0,AD144*(1-VLOOKUP($A145,[1]Hugst!$R$5:$W$9,MATCH(ROUNDUP((AE$1)/10,0)*10,[1]Hugst!$R$4:$W$4,0))))</f>
        <v>0</v>
      </c>
      <c r="AF145" s="169">
        <f>IF($C145-AF$1&lt;År1,0,AE144*(1-VLOOKUP($A145,[1]Hugst!$R$5:$W$9,MATCH(ROUNDUP((AF$1)/10,0)*10,[1]Hugst!$R$4:$W$4,0))))</f>
        <v>0</v>
      </c>
      <c r="AG145" s="169">
        <f>IF($C145-AG$1&lt;År1,0,AF144*(1-VLOOKUP($A145,[1]Hugst!$R$5:$W$9,MATCH(ROUNDUP((AG$1)/10,0)*10,[1]Hugst!$R$4:$W$4,0))))</f>
        <v>0</v>
      </c>
      <c r="AH145" s="169">
        <f>IF($C145-AH$1&lt;År1,0,AG144*(1-VLOOKUP($A145,[1]Hugst!$R$5:$W$9,MATCH(ROUNDUP((AH$1)/10,0)*10,[1]Hugst!$R$4:$W$4,0))))</f>
        <v>0</v>
      </c>
      <c r="AI145" s="169">
        <f>IF($C145-AI$1&lt;År1,0,AH144*(1-VLOOKUP($A145,[1]Hugst!$R$5:$W$9,MATCH(ROUNDUP((AI$1)/10,0)*10,[1]Hugst!$R$4:$W$4,0))))</f>
        <v>0</v>
      </c>
      <c r="AJ145" s="169">
        <f>IF($C145-AJ$1&lt;År1,0,AI144*(1-VLOOKUP($A145,[1]Hugst!$R$5:$W$9,MATCH(ROUNDUP((AJ$1)/10,0)*10,[1]Hugst!$R$4:$W$4,0))))</f>
        <v>0</v>
      </c>
    </row>
    <row r="146" spans="1:36" x14ac:dyDescent="0.25">
      <c r="A146" s="169" t="s">
        <v>178</v>
      </c>
      <c r="B146" s="169" t="s">
        <v>23</v>
      </c>
      <c r="C146" s="169">
        <v>2040</v>
      </c>
      <c r="D146" s="169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1975.9636111457221</v>
      </c>
      <c r="E146" s="169">
        <f t="shared" ca="1" si="3"/>
        <v>0</v>
      </c>
      <c r="F146" s="169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4503.5427291399783</v>
      </c>
      <c r="G146" s="169">
        <f ca="1">IF($C146-G$1&lt;År1,0,F145*(1-VLOOKUP($A146,[1]Hugst!$R$5:$W$9,MATCH(ROUNDUP((G$1)/10,0)*10,[1]Hugst!$R$4:$W$4,0))))</f>
        <v>4513.4711529808619</v>
      </c>
      <c r="H146" s="169">
        <f ca="1">IF($C146-H$1&lt;År1,0,G145*(1-VLOOKUP($A146,[1]Hugst!$R$5:$W$9,MATCH(ROUNDUP((H$1)/10,0)*10,[1]Hugst!$R$4:$W$4,0))))</f>
        <v>4523.4484268571423</v>
      </c>
      <c r="I146" s="169">
        <f ca="1">IF($C146-I$1&lt;År1,0,H145*(1-VLOOKUP($A146,[1]Hugst!$R$5:$W$9,MATCH(ROUNDUP((I$1)/10,0)*10,[1]Hugst!$R$4:$W$4,0))))</f>
        <v>4533.4737547045324</v>
      </c>
      <c r="J146" s="169">
        <f ca="1">IF($C146-J$1&lt;År1,0,I145*(1-VLOOKUP($A146,[1]Hugst!$R$5:$W$9,MATCH(ROUNDUP((J$1)/10,0)*10,[1]Hugst!$R$4:$W$4,0))))</f>
        <v>4543.5452949168384</v>
      </c>
      <c r="K146" s="169">
        <f ca="1">IF($C146-K$1&lt;År1,0,J145*(1-VLOOKUP($A146,[1]Hugst!$R$5:$W$9,MATCH(ROUNDUP((K$1)/10,0)*10,[1]Hugst!$R$4:$W$4,0))))</f>
        <v>4553.6591135500084</v>
      </c>
      <c r="L146" s="169">
        <f ca="1">IF($C146-L$1&lt;År1,0,K145*(1-VLOOKUP($A146,[1]Hugst!$R$5:$W$9,MATCH(ROUNDUP((L$1)/10,0)*10,[1]Hugst!$R$4:$W$4,0))))</f>
        <v>4563.8070907244482</v>
      </c>
      <c r="M146" s="169">
        <f ca="1">IF($C146-M$1&lt;År1,0,L145*(1-VLOOKUP($A146,[1]Hugst!$R$5:$W$9,MATCH(ROUNDUP((M$1)/10,0)*10,[1]Hugst!$R$4:$W$4,0))))</f>
        <v>4573.9727334231638</v>
      </c>
      <c r="N146" s="169">
        <f ca="1">IF($C146-N$1&lt;År1,0,M145*(1-VLOOKUP($A146,[1]Hugst!$R$5:$W$9,MATCH(ROUNDUP((N$1)/10,0)*10,[1]Hugst!$R$4:$W$4,0))))</f>
        <v>4584.1228010817622</v>
      </c>
      <c r="O146" s="169">
        <f ca="1">IF($C146-O$1&lt;År1,0,N145*(1-VLOOKUP($A146,[1]Hugst!$R$5:$W$9,MATCH(ROUNDUP((O$1)/10,0)*10,[1]Hugst!$R$4:$W$4,0))))</f>
        <v>4594.1905567619388</v>
      </c>
      <c r="P146" s="169">
        <f ca="1">IF($C146-P$1&lt;År1,0,O145*(1-VLOOKUP($A146,[1]Hugst!$R$5:$W$9,MATCH(ROUNDUP((P$1)/10,0)*10,[1]Hugst!$R$4:$W$4,0))))</f>
        <v>4604.0422694921162</v>
      </c>
      <c r="Q146" s="169">
        <f ca="1">IF($C146-Q$1&lt;År1,0,P145*(1-VLOOKUP($A146,[1]Hugst!$R$5:$W$9,MATCH(ROUNDUP((Q$1)/10,0)*10,[1]Hugst!$R$4:$W$4,0))))</f>
        <v>4613.4102189421337</v>
      </c>
      <c r="R146" s="169">
        <f ca="1">IF($C146-R$1&lt;År1,0,Q145*(1-VLOOKUP($A146,[1]Hugst!$R$5:$W$9,MATCH(ROUNDUP((R$1)/10,0)*10,[1]Hugst!$R$4:$W$4,0))))</f>
        <v>4621.7587047666275</v>
      </c>
      <c r="S146" s="169">
        <f ca="1">IF($C146-S$1&lt;År1,0,R145*(1-VLOOKUP($A146,[1]Hugst!$R$5:$W$9,MATCH(ROUNDUP((S$1)/10,0)*10,[1]Hugst!$R$4:$W$4,0))))</f>
        <v>4628.0160652843451</v>
      </c>
      <c r="T146" s="169">
        <f ca="1">IF($C146-T$1&lt;År1,0,S145*(1-VLOOKUP($A146,[1]Hugst!$R$5:$W$9,MATCH(ROUNDUP((T$1)/10,0)*10,[1]Hugst!$R$4:$W$4,0))))</f>
        <v>4630.0387148310256</v>
      </c>
      <c r="U146" s="169">
        <f ca="1">IF($C146-U$1&lt;År1,0,T145*(1-VLOOKUP($A146,[1]Hugst!$R$5:$W$9,MATCH(ROUNDUP((U$1)/10,0)*10,[1]Hugst!$R$4:$W$4,0))))</f>
        <v>4623.5392184583234</v>
      </c>
      <c r="V146" s="169">
        <f ca="1">IF($C146-V$1&lt;År1,0,U145*(1-VLOOKUP($A146,[1]Hugst!$R$5:$W$9,MATCH(ROUNDUP((V$1)/10,0)*10,[1]Hugst!$R$4:$W$4,0))))</f>
        <v>4599.9424413249817</v>
      </c>
      <c r="W146" s="169">
        <f ca="1">IF($C146-W$1&lt;År1,0,V145*(1-VLOOKUP($A146,[1]Hugst!$R$5:$W$9,MATCH(ROUNDUP((W$1)/10,0)*10,[1]Hugst!$R$4:$W$4,0))))</f>
        <v>4542.0978474723615</v>
      </c>
      <c r="X146" s="169">
        <f ca="1">IF($C146-X$1&lt;År1,0,W145*(1-VLOOKUP($A146,[1]Hugst!$R$5:$W$9,MATCH(ROUNDUP((X$1)/10,0)*10,[1]Hugst!$R$4:$W$4,0))))</f>
        <v>4415.7040973692729</v>
      </c>
      <c r="Y146" s="169">
        <f ca="1">IF($C146-Y$1&lt;År1,0,X145*(1-VLOOKUP($A146,[1]Hugst!$R$5:$W$9,MATCH(ROUNDUP((Y$1)/10,0)*10,[1]Hugst!$R$4:$W$4,0))))</f>
        <v>4152.1582429942446</v>
      </c>
      <c r="Z146" s="169">
        <f ca="1">IF($C146-Z$1&lt;År1,0,Y145*(1-VLOOKUP($A146,[1]Hugst!$R$5:$W$9,MATCH(ROUNDUP((Z$1)/10,0)*10,[1]Hugst!$R$4:$W$4,0))))</f>
        <v>3614.2541179942436</v>
      </c>
      <c r="AA146" s="169">
        <f>IF($C146-AA$1&lt;År1,0,Z145*(1-VLOOKUP($A146,[1]Hugst!$R$5:$W$9,MATCH(ROUNDUP((AA$1)/10,0)*10,[1]Hugst!$R$4:$W$4,0))))</f>
        <v>0</v>
      </c>
      <c r="AB146" s="169">
        <f>IF($C146-AB$1&lt;År1,0,AA145*(1-VLOOKUP($A146,[1]Hugst!$R$5:$W$9,MATCH(ROUNDUP((AB$1)/10,0)*10,[1]Hugst!$R$4:$W$4,0))))</f>
        <v>0</v>
      </c>
      <c r="AC146" s="169">
        <f>IF($C146-AC$1&lt;År1,0,AB145*(1-VLOOKUP($A146,[1]Hugst!$R$5:$W$9,MATCH(ROUNDUP((AC$1)/10,0)*10,[1]Hugst!$R$4:$W$4,0))))</f>
        <v>0</v>
      </c>
      <c r="AD146" s="169">
        <f>IF($C146-AD$1&lt;År1,0,AC145*(1-VLOOKUP($A146,[1]Hugst!$R$5:$W$9,MATCH(ROUNDUP((AD$1)/10,0)*10,[1]Hugst!$R$4:$W$4,0))))</f>
        <v>0</v>
      </c>
      <c r="AE146" s="169">
        <f>IF($C146-AE$1&lt;År1,0,AD145*(1-VLOOKUP($A146,[1]Hugst!$R$5:$W$9,MATCH(ROUNDUP((AE$1)/10,0)*10,[1]Hugst!$R$4:$W$4,0))))</f>
        <v>0</v>
      </c>
      <c r="AF146" s="169">
        <f>IF($C146-AF$1&lt;År1,0,AE145*(1-VLOOKUP($A146,[1]Hugst!$R$5:$W$9,MATCH(ROUNDUP((AF$1)/10,0)*10,[1]Hugst!$R$4:$W$4,0))))</f>
        <v>0</v>
      </c>
      <c r="AG146" s="169">
        <f>IF($C146-AG$1&lt;År1,0,AF145*(1-VLOOKUP($A146,[1]Hugst!$R$5:$W$9,MATCH(ROUNDUP((AG$1)/10,0)*10,[1]Hugst!$R$4:$W$4,0))))</f>
        <v>0</v>
      </c>
      <c r="AH146" s="169">
        <f>IF($C146-AH$1&lt;År1,0,AG145*(1-VLOOKUP($A146,[1]Hugst!$R$5:$W$9,MATCH(ROUNDUP((AH$1)/10,0)*10,[1]Hugst!$R$4:$W$4,0))))</f>
        <v>0</v>
      </c>
      <c r="AI146" s="169">
        <f>IF($C146-AI$1&lt;År1,0,AH145*(1-VLOOKUP($A146,[1]Hugst!$R$5:$W$9,MATCH(ROUNDUP((AI$1)/10,0)*10,[1]Hugst!$R$4:$W$4,0))))</f>
        <v>0</v>
      </c>
      <c r="AJ146" s="169">
        <f>IF($C146-AJ$1&lt;År1,0,AI145*(1-VLOOKUP($A146,[1]Hugst!$R$5:$W$9,MATCH(ROUNDUP((AJ$1)/10,0)*10,[1]Hugst!$R$4:$W$4,0))))</f>
        <v>0</v>
      </c>
    </row>
    <row r="147" spans="1:36" x14ac:dyDescent="0.25">
      <c r="A147" s="169" t="s">
        <v>178</v>
      </c>
      <c r="B147" s="169" t="s">
        <v>23</v>
      </c>
      <c r="C147" s="169">
        <v>2041</v>
      </c>
      <c r="D147" s="169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1966.0843112570219</v>
      </c>
      <c r="E147" s="169">
        <f t="shared" ca="1" si="3"/>
        <v>0</v>
      </c>
      <c r="F147" s="169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4493.6634292512781</v>
      </c>
      <c r="G147" s="169">
        <f ca="1">IF($C147-G$1&lt;År1,0,F146*(1-VLOOKUP($A147,[1]Hugst!$R$5:$W$9,MATCH(ROUNDUP((G$1)/10,0)*10,[1]Hugst!$R$4:$W$4,0))))</f>
        <v>4503.5427291399783</v>
      </c>
      <c r="H147" s="169">
        <f ca="1">IF($C147-H$1&lt;År1,0,G146*(1-VLOOKUP($A147,[1]Hugst!$R$5:$W$9,MATCH(ROUNDUP((H$1)/10,0)*10,[1]Hugst!$R$4:$W$4,0))))</f>
        <v>4513.4711529808619</v>
      </c>
      <c r="I147" s="169">
        <f ca="1">IF($C147-I$1&lt;År1,0,H146*(1-VLOOKUP($A147,[1]Hugst!$R$5:$W$9,MATCH(ROUNDUP((I$1)/10,0)*10,[1]Hugst!$R$4:$W$4,0))))</f>
        <v>4523.4484268571423</v>
      </c>
      <c r="J147" s="169">
        <f ca="1">IF($C147-J$1&lt;År1,0,I146*(1-VLOOKUP($A147,[1]Hugst!$R$5:$W$9,MATCH(ROUNDUP((J$1)/10,0)*10,[1]Hugst!$R$4:$W$4,0))))</f>
        <v>4533.4737547045324</v>
      </c>
      <c r="K147" s="169">
        <f ca="1">IF($C147-K$1&lt;År1,0,J146*(1-VLOOKUP($A147,[1]Hugst!$R$5:$W$9,MATCH(ROUNDUP((K$1)/10,0)*10,[1]Hugst!$R$4:$W$4,0))))</f>
        <v>4543.5452949168384</v>
      </c>
      <c r="L147" s="169">
        <f ca="1">IF($C147-L$1&lt;År1,0,K146*(1-VLOOKUP($A147,[1]Hugst!$R$5:$W$9,MATCH(ROUNDUP((L$1)/10,0)*10,[1]Hugst!$R$4:$W$4,0))))</f>
        <v>4553.6591135500084</v>
      </c>
      <c r="M147" s="169">
        <f ca="1">IF($C147-M$1&lt;År1,0,L146*(1-VLOOKUP($A147,[1]Hugst!$R$5:$W$9,MATCH(ROUNDUP((M$1)/10,0)*10,[1]Hugst!$R$4:$W$4,0))))</f>
        <v>4563.8070907244482</v>
      </c>
      <c r="N147" s="169">
        <f ca="1">IF($C147-N$1&lt;År1,0,M146*(1-VLOOKUP($A147,[1]Hugst!$R$5:$W$9,MATCH(ROUNDUP((N$1)/10,0)*10,[1]Hugst!$R$4:$W$4,0))))</f>
        <v>4573.9727334231638</v>
      </c>
      <c r="O147" s="169">
        <f ca="1">IF($C147-O$1&lt;År1,0,N146*(1-VLOOKUP($A147,[1]Hugst!$R$5:$W$9,MATCH(ROUNDUP((O$1)/10,0)*10,[1]Hugst!$R$4:$W$4,0))))</f>
        <v>4584.1228010817622</v>
      </c>
      <c r="P147" s="169">
        <f ca="1">IF($C147-P$1&lt;År1,0,O146*(1-VLOOKUP($A147,[1]Hugst!$R$5:$W$9,MATCH(ROUNDUP((P$1)/10,0)*10,[1]Hugst!$R$4:$W$4,0))))</f>
        <v>4594.1905567619388</v>
      </c>
      <c r="Q147" s="169">
        <f ca="1">IF($C147-Q$1&lt;År1,0,P146*(1-VLOOKUP($A147,[1]Hugst!$R$5:$W$9,MATCH(ROUNDUP((Q$1)/10,0)*10,[1]Hugst!$R$4:$W$4,0))))</f>
        <v>4604.0422694921162</v>
      </c>
      <c r="R147" s="169">
        <f ca="1">IF($C147-R$1&lt;År1,0,Q146*(1-VLOOKUP($A147,[1]Hugst!$R$5:$W$9,MATCH(ROUNDUP((R$1)/10,0)*10,[1]Hugst!$R$4:$W$4,0))))</f>
        <v>4613.4102189421337</v>
      </c>
      <c r="S147" s="169">
        <f ca="1">IF($C147-S$1&lt;År1,0,R146*(1-VLOOKUP($A147,[1]Hugst!$R$5:$W$9,MATCH(ROUNDUP((S$1)/10,0)*10,[1]Hugst!$R$4:$W$4,0))))</f>
        <v>4621.7587047666275</v>
      </c>
      <c r="T147" s="169">
        <f ca="1">IF($C147-T$1&lt;År1,0,S146*(1-VLOOKUP($A147,[1]Hugst!$R$5:$W$9,MATCH(ROUNDUP((T$1)/10,0)*10,[1]Hugst!$R$4:$W$4,0))))</f>
        <v>4628.0160652843451</v>
      </c>
      <c r="U147" s="169">
        <f ca="1">IF($C147-U$1&lt;År1,0,T146*(1-VLOOKUP($A147,[1]Hugst!$R$5:$W$9,MATCH(ROUNDUP((U$1)/10,0)*10,[1]Hugst!$R$4:$W$4,0))))</f>
        <v>4630.0387148310256</v>
      </c>
      <c r="V147" s="169">
        <f ca="1">IF($C147-V$1&lt;År1,0,U146*(1-VLOOKUP($A147,[1]Hugst!$R$5:$W$9,MATCH(ROUNDUP((V$1)/10,0)*10,[1]Hugst!$R$4:$W$4,0))))</f>
        <v>4623.5392184583234</v>
      </c>
      <c r="W147" s="169">
        <f ca="1">IF($C147-W$1&lt;År1,0,V146*(1-VLOOKUP($A147,[1]Hugst!$R$5:$W$9,MATCH(ROUNDUP((W$1)/10,0)*10,[1]Hugst!$R$4:$W$4,0))))</f>
        <v>4599.9424413249817</v>
      </c>
      <c r="X147" s="169">
        <f ca="1">IF($C147-X$1&lt;År1,0,W146*(1-VLOOKUP($A147,[1]Hugst!$R$5:$W$9,MATCH(ROUNDUP((X$1)/10,0)*10,[1]Hugst!$R$4:$W$4,0))))</f>
        <v>4542.0978474723615</v>
      </c>
      <c r="Y147" s="169">
        <f ca="1">IF($C147-Y$1&lt;År1,0,X146*(1-VLOOKUP($A147,[1]Hugst!$R$5:$W$9,MATCH(ROUNDUP((Y$1)/10,0)*10,[1]Hugst!$R$4:$W$4,0))))</f>
        <v>4415.7040973692729</v>
      </c>
      <c r="Z147" s="169">
        <f ca="1">IF($C147-Z$1&lt;År1,0,Y146*(1-VLOOKUP($A147,[1]Hugst!$R$5:$W$9,MATCH(ROUNDUP((Z$1)/10,0)*10,[1]Hugst!$R$4:$W$4,0))))</f>
        <v>4152.1582429942446</v>
      </c>
      <c r="AA147" s="169">
        <f ca="1">IF($C147-AA$1&lt;År1,0,Z146*(1-VLOOKUP($A147,[1]Hugst!$R$5:$W$9,MATCH(ROUNDUP((AA$1)/10,0)*10,[1]Hugst!$R$4:$W$4,0))))</f>
        <v>3614.2541179942436</v>
      </c>
      <c r="AB147" s="169">
        <f>IF($C147-AB$1&lt;År1,0,AA146*(1-VLOOKUP($A147,[1]Hugst!$R$5:$W$9,MATCH(ROUNDUP((AB$1)/10,0)*10,[1]Hugst!$R$4:$W$4,0))))</f>
        <v>0</v>
      </c>
      <c r="AC147" s="169">
        <f>IF($C147-AC$1&lt;År1,0,AB146*(1-VLOOKUP($A147,[1]Hugst!$R$5:$W$9,MATCH(ROUNDUP((AC$1)/10,0)*10,[1]Hugst!$R$4:$W$4,0))))</f>
        <v>0</v>
      </c>
      <c r="AD147" s="169">
        <f>IF($C147-AD$1&lt;År1,0,AC146*(1-VLOOKUP($A147,[1]Hugst!$R$5:$W$9,MATCH(ROUNDUP((AD$1)/10,0)*10,[1]Hugst!$R$4:$W$4,0))))</f>
        <v>0</v>
      </c>
      <c r="AE147" s="169">
        <f>IF($C147-AE$1&lt;År1,0,AD146*(1-VLOOKUP($A147,[1]Hugst!$R$5:$W$9,MATCH(ROUNDUP((AE$1)/10,0)*10,[1]Hugst!$R$4:$W$4,0))))</f>
        <v>0</v>
      </c>
      <c r="AF147" s="169">
        <f>IF($C147-AF$1&lt;År1,0,AE146*(1-VLOOKUP($A147,[1]Hugst!$R$5:$W$9,MATCH(ROUNDUP((AF$1)/10,0)*10,[1]Hugst!$R$4:$W$4,0))))</f>
        <v>0</v>
      </c>
      <c r="AG147" s="169">
        <f>IF($C147-AG$1&lt;År1,0,AF146*(1-VLOOKUP($A147,[1]Hugst!$R$5:$W$9,MATCH(ROUNDUP((AG$1)/10,0)*10,[1]Hugst!$R$4:$W$4,0))))</f>
        <v>0</v>
      </c>
      <c r="AH147" s="169">
        <f>IF($C147-AH$1&lt;År1,0,AG146*(1-VLOOKUP($A147,[1]Hugst!$R$5:$W$9,MATCH(ROUNDUP((AH$1)/10,0)*10,[1]Hugst!$R$4:$W$4,0))))</f>
        <v>0</v>
      </c>
      <c r="AI147" s="169">
        <f>IF($C147-AI$1&lt;År1,0,AH146*(1-VLOOKUP($A147,[1]Hugst!$R$5:$W$9,MATCH(ROUNDUP((AI$1)/10,0)*10,[1]Hugst!$R$4:$W$4,0))))</f>
        <v>0</v>
      </c>
      <c r="AJ147" s="169">
        <f>IF($C147-AJ$1&lt;År1,0,AI146*(1-VLOOKUP($A147,[1]Hugst!$R$5:$W$9,MATCH(ROUNDUP((AJ$1)/10,0)*10,[1]Hugst!$R$4:$W$4,0))))</f>
        <v>0</v>
      </c>
    </row>
    <row r="148" spans="1:36" x14ac:dyDescent="0.25">
      <c r="A148" s="169" t="s">
        <v>178</v>
      </c>
      <c r="B148" s="169" t="s">
        <v>23</v>
      </c>
      <c r="C148" s="169">
        <v>2042</v>
      </c>
      <c r="D148" s="169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1956.2541487842791</v>
      </c>
      <c r="E148" s="169">
        <f t="shared" ca="1" si="3"/>
        <v>0</v>
      </c>
      <c r="F148" s="169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4483.8332667785353</v>
      </c>
      <c r="G148" s="169">
        <f ca="1">IF($C148-G$1&lt;År1,0,F147*(1-VLOOKUP($A148,[1]Hugst!$R$5:$W$9,MATCH(ROUNDUP((G$1)/10,0)*10,[1]Hugst!$R$4:$W$4,0))))</f>
        <v>4493.6634292512781</v>
      </c>
      <c r="H148" s="169">
        <f ca="1">IF($C148-H$1&lt;År1,0,G147*(1-VLOOKUP($A148,[1]Hugst!$R$5:$W$9,MATCH(ROUNDUP((H$1)/10,0)*10,[1]Hugst!$R$4:$W$4,0))))</f>
        <v>4503.5427291399783</v>
      </c>
      <c r="I148" s="169">
        <f ca="1">IF($C148-I$1&lt;År1,0,H147*(1-VLOOKUP($A148,[1]Hugst!$R$5:$W$9,MATCH(ROUNDUP((I$1)/10,0)*10,[1]Hugst!$R$4:$W$4,0))))</f>
        <v>4513.4711529808619</v>
      </c>
      <c r="J148" s="169">
        <f ca="1">IF($C148-J$1&lt;År1,0,I147*(1-VLOOKUP($A148,[1]Hugst!$R$5:$W$9,MATCH(ROUNDUP((J$1)/10,0)*10,[1]Hugst!$R$4:$W$4,0))))</f>
        <v>4523.4484268571423</v>
      </c>
      <c r="K148" s="169">
        <f ca="1">IF($C148-K$1&lt;År1,0,J147*(1-VLOOKUP($A148,[1]Hugst!$R$5:$W$9,MATCH(ROUNDUP((K$1)/10,0)*10,[1]Hugst!$R$4:$W$4,0))))</f>
        <v>4533.4737547045324</v>
      </c>
      <c r="L148" s="169">
        <f ca="1">IF($C148-L$1&lt;År1,0,K147*(1-VLOOKUP($A148,[1]Hugst!$R$5:$W$9,MATCH(ROUNDUP((L$1)/10,0)*10,[1]Hugst!$R$4:$W$4,0))))</f>
        <v>4543.5452949168384</v>
      </c>
      <c r="M148" s="169">
        <f ca="1">IF($C148-M$1&lt;År1,0,L147*(1-VLOOKUP($A148,[1]Hugst!$R$5:$W$9,MATCH(ROUNDUP((M$1)/10,0)*10,[1]Hugst!$R$4:$W$4,0))))</f>
        <v>4553.6591135500084</v>
      </c>
      <c r="N148" s="169">
        <f ca="1">IF($C148-N$1&lt;År1,0,M147*(1-VLOOKUP($A148,[1]Hugst!$R$5:$W$9,MATCH(ROUNDUP((N$1)/10,0)*10,[1]Hugst!$R$4:$W$4,0))))</f>
        <v>4563.8070907244482</v>
      </c>
      <c r="O148" s="169">
        <f ca="1">IF($C148-O$1&lt;År1,0,N147*(1-VLOOKUP($A148,[1]Hugst!$R$5:$W$9,MATCH(ROUNDUP((O$1)/10,0)*10,[1]Hugst!$R$4:$W$4,0))))</f>
        <v>4573.9727334231638</v>
      </c>
      <c r="P148" s="169">
        <f ca="1">IF($C148-P$1&lt;År1,0,O147*(1-VLOOKUP($A148,[1]Hugst!$R$5:$W$9,MATCH(ROUNDUP((P$1)/10,0)*10,[1]Hugst!$R$4:$W$4,0))))</f>
        <v>4584.1228010817622</v>
      </c>
      <c r="Q148" s="169">
        <f ca="1">IF($C148-Q$1&lt;År1,0,P147*(1-VLOOKUP($A148,[1]Hugst!$R$5:$W$9,MATCH(ROUNDUP((Q$1)/10,0)*10,[1]Hugst!$R$4:$W$4,0))))</f>
        <v>4594.1905567619388</v>
      </c>
      <c r="R148" s="169">
        <f ca="1">IF($C148-R$1&lt;År1,0,Q147*(1-VLOOKUP($A148,[1]Hugst!$R$5:$W$9,MATCH(ROUNDUP((R$1)/10,0)*10,[1]Hugst!$R$4:$W$4,0))))</f>
        <v>4604.0422694921162</v>
      </c>
      <c r="S148" s="169">
        <f ca="1">IF($C148-S$1&lt;År1,0,R147*(1-VLOOKUP($A148,[1]Hugst!$R$5:$W$9,MATCH(ROUNDUP((S$1)/10,0)*10,[1]Hugst!$R$4:$W$4,0))))</f>
        <v>4613.4102189421337</v>
      </c>
      <c r="T148" s="169">
        <f ca="1">IF($C148-T$1&lt;År1,0,S147*(1-VLOOKUP($A148,[1]Hugst!$R$5:$W$9,MATCH(ROUNDUP((T$1)/10,0)*10,[1]Hugst!$R$4:$W$4,0))))</f>
        <v>4621.7587047666275</v>
      </c>
      <c r="U148" s="169">
        <f ca="1">IF($C148-U$1&lt;År1,0,T147*(1-VLOOKUP($A148,[1]Hugst!$R$5:$W$9,MATCH(ROUNDUP((U$1)/10,0)*10,[1]Hugst!$R$4:$W$4,0))))</f>
        <v>4628.0160652843451</v>
      </c>
      <c r="V148" s="169">
        <f ca="1">IF($C148-V$1&lt;År1,0,U147*(1-VLOOKUP($A148,[1]Hugst!$R$5:$W$9,MATCH(ROUNDUP((V$1)/10,0)*10,[1]Hugst!$R$4:$W$4,0))))</f>
        <v>4630.0387148310256</v>
      </c>
      <c r="W148" s="169">
        <f ca="1">IF($C148-W$1&lt;År1,0,V147*(1-VLOOKUP($A148,[1]Hugst!$R$5:$W$9,MATCH(ROUNDUP((W$1)/10,0)*10,[1]Hugst!$R$4:$W$4,0))))</f>
        <v>4623.5392184583234</v>
      </c>
      <c r="X148" s="169">
        <f ca="1">IF($C148-X$1&lt;År1,0,W147*(1-VLOOKUP($A148,[1]Hugst!$R$5:$W$9,MATCH(ROUNDUP((X$1)/10,0)*10,[1]Hugst!$R$4:$W$4,0))))</f>
        <v>4599.9424413249817</v>
      </c>
      <c r="Y148" s="169">
        <f ca="1">IF($C148-Y$1&lt;År1,0,X147*(1-VLOOKUP($A148,[1]Hugst!$R$5:$W$9,MATCH(ROUNDUP((Y$1)/10,0)*10,[1]Hugst!$R$4:$W$4,0))))</f>
        <v>4542.0978474723615</v>
      </c>
      <c r="Z148" s="169">
        <f ca="1">IF($C148-Z$1&lt;År1,0,Y147*(1-VLOOKUP($A148,[1]Hugst!$R$5:$W$9,MATCH(ROUNDUP((Z$1)/10,0)*10,[1]Hugst!$R$4:$W$4,0))))</f>
        <v>4415.7040973692729</v>
      </c>
      <c r="AA148" s="169">
        <f ca="1">IF($C148-AA$1&lt;År1,0,Z147*(1-VLOOKUP($A148,[1]Hugst!$R$5:$W$9,MATCH(ROUNDUP((AA$1)/10,0)*10,[1]Hugst!$R$4:$W$4,0))))</f>
        <v>4152.1582429942446</v>
      </c>
      <c r="AB148" s="169">
        <f ca="1">IF($C148-AB$1&lt;År1,0,AA147*(1-VLOOKUP($A148,[1]Hugst!$R$5:$W$9,MATCH(ROUNDUP((AB$1)/10,0)*10,[1]Hugst!$R$4:$W$4,0))))</f>
        <v>3614.2541179942436</v>
      </c>
      <c r="AC148" s="169">
        <f>IF($C148-AC$1&lt;År1,0,AB147*(1-VLOOKUP($A148,[1]Hugst!$R$5:$W$9,MATCH(ROUNDUP((AC$1)/10,0)*10,[1]Hugst!$R$4:$W$4,0))))</f>
        <v>0</v>
      </c>
      <c r="AD148" s="169">
        <f>IF($C148-AD$1&lt;År1,0,AC147*(1-VLOOKUP($A148,[1]Hugst!$R$5:$W$9,MATCH(ROUNDUP((AD$1)/10,0)*10,[1]Hugst!$R$4:$W$4,0))))</f>
        <v>0</v>
      </c>
      <c r="AE148" s="169">
        <f>IF($C148-AE$1&lt;År1,0,AD147*(1-VLOOKUP($A148,[1]Hugst!$R$5:$W$9,MATCH(ROUNDUP((AE$1)/10,0)*10,[1]Hugst!$R$4:$W$4,0))))</f>
        <v>0</v>
      </c>
      <c r="AF148" s="169">
        <f>IF($C148-AF$1&lt;År1,0,AE147*(1-VLOOKUP($A148,[1]Hugst!$R$5:$W$9,MATCH(ROUNDUP((AF$1)/10,0)*10,[1]Hugst!$R$4:$W$4,0))))</f>
        <v>0</v>
      </c>
      <c r="AG148" s="169">
        <f>IF($C148-AG$1&lt;År1,0,AF147*(1-VLOOKUP($A148,[1]Hugst!$R$5:$W$9,MATCH(ROUNDUP((AG$1)/10,0)*10,[1]Hugst!$R$4:$W$4,0))))</f>
        <v>0</v>
      </c>
      <c r="AH148" s="169">
        <f>IF($C148-AH$1&lt;År1,0,AG147*(1-VLOOKUP($A148,[1]Hugst!$R$5:$W$9,MATCH(ROUNDUP((AH$1)/10,0)*10,[1]Hugst!$R$4:$W$4,0))))</f>
        <v>0</v>
      </c>
      <c r="AI148" s="169">
        <f>IF($C148-AI$1&lt;År1,0,AH147*(1-VLOOKUP($A148,[1]Hugst!$R$5:$W$9,MATCH(ROUNDUP((AI$1)/10,0)*10,[1]Hugst!$R$4:$W$4,0))))</f>
        <v>0</v>
      </c>
      <c r="AJ148" s="169">
        <f>IF($C148-AJ$1&lt;År1,0,AI147*(1-VLOOKUP($A148,[1]Hugst!$R$5:$W$9,MATCH(ROUNDUP((AJ$1)/10,0)*10,[1]Hugst!$R$4:$W$4,0))))</f>
        <v>0</v>
      </c>
    </row>
    <row r="149" spans="1:36" x14ac:dyDescent="0.25">
      <c r="A149" s="169" t="s">
        <v>178</v>
      </c>
      <c r="B149" s="169" t="s">
        <v>23</v>
      </c>
      <c r="C149" s="169">
        <v>2043</v>
      </c>
      <c r="D149" s="169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1946.4730075820771</v>
      </c>
      <c r="E149" s="169">
        <f t="shared" ca="1" si="3"/>
        <v>0</v>
      </c>
      <c r="F149" s="169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4474.0521255763333</v>
      </c>
      <c r="G149" s="169">
        <f ca="1">IF($C149-G$1&lt;År1,0,F148*(1-VLOOKUP($A149,[1]Hugst!$R$5:$W$9,MATCH(ROUNDUP((G$1)/10,0)*10,[1]Hugst!$R$4:$W$4,0))))</f>
        <v>4483.8332667785353</v>
      </c>
      <c r="H149" s="169">
        <f ca="1">IF($C149-H$1&lt;År1,0,G148*(1-VLOOKUP($A149,[1]Hugst!$R$5:$W$9,MATCH(ROUNDUP((H$1)/10,0)*10,[1]Hugst!$R$4:$W$4,0))))</f>
        <v>4493.6634292512781</v>
      </c>
      <c r="I149" s="169">
        <f ca="1">IF($C149-I$1&lt;År1,0,H148*(1-VLOOKUP($A149,[1]Hugst!$R$5:$W$9,MATCH(ROUNDUP((I$1)/10,0)*10,[1]Hugst!$R$4:$W$4,0))))</f>
        <v>4503.5427291399783</v>
      </c>
      <c r="J149" s="169">
        <f ca="1">IF($C149-J$1&lt;År1,0,I148*(1-VLOOKUP($A149,[1]Hugst!$R$5:$W$9,MATCH(ROUNDUP((J$1)/10,0)*10,[1]Hugst!$R$4:$W$4,0))))</f>
        <v>4513.4711529808619</v>
      </c>
      <c r="K149" s="169">
        <f ca="1">IF($C149-K$1&lt;År1,0,J148*(1-VLOOKUP($A149,[1]Hugst!$R$5:$W$9,MATCH(ROUNDUP((K$1)/10,0)*10,[1]Hugst!$R$4:$W$4,0))))</f>
        <v>4523.4484268571423</v>
      </c>
      <c r="L149" s="169">
        <f ca="1">IF($C149-L$1&lt;År1,0,K148*(1-VLOOKUP($A149,[1]Hugst!$R$5:$W$9,MATCH(ROUNDUP((L$1)/10,0)*10,[1]Hugst!$R$4:$W$4,0))))</f>
        <v>4533.4737547045324</v>
      </c>
      <c r="M149" s="169">
        <f ca="1">IF($C149-M$1&lt;År1,0,L148*(1-VLOOKUP($A149,[1]Hugst!$R$5:$W$9,MATCH(ROUNDUP((M$1)/10,0)*10,[1]Hugst!$R$4:$W$4,0))))</f>
        <v>4543.5452949168384</v>
      </c>
      <c r="N149" s="169">
        <f ca="1">IF($C149-N$1&lt;År1,0,M148*(1-VLOOKUP($A149,[1]Hugst!$R$5:$W$9,MATCH(ROUNDUP((N$1)/10,0)*10,[1]Hugst!$R$4:$W$4,0))))</f>
        <v>4553.6591135500084</v>
      </c>
      <c r="O149" s="169">
        <f ca="1">IF($C149-O$1&lt;År1,0,N148*(1-VLOOKUP($A149,[1]Hugst!$R$5:$W$9,MATCH(ROUNDUP((O$1)/10,0)*10,[1]Hugst!$R$4:$W$4,0))))</f>
        <v>4563.8070907244482</v>
      </c>
      <c r="P149" s="169">
        <f ca="1">IF($C149-P$1&lt;År1,0,O148*(1-VLOOKUP($A149,[1]Hugst!$R$5:$W$9,MATCH(ROUNDUP((P$1)/10,0)*10,[1]Hugst!$R$4:$W$4,0))))</f>
        <v>4573.9727334231638</v>
      </c>
      <c r="Q149" s="169">
        <f ca="1">IF($C149-Q$1&lt;År1,0,P148*(1-VLOOKUP($A149,[1]Hugst!$R$5:$W$9,MATCH(ROUNDUP((Q$1)/10,0)*10,[1]Hugst!$R$4:$W$4,0))))</f>
        <v>4584.1228010817622</v>
      </c>
      <c r="R149" s="169">
        <f ca="1">IF($C149-R$1&lt;År1,0,Q148*(1-VLOOKUP($A149,[1]Hugst!$R$5:$W$9,MATCH(ROUNDUP((R$1)/10,0)*10,[1]Hugst!$R$4:$W$4,0))))</f>
        <v>4594.1905567619388</v>
      </c>
      <c r="S149" s="169">
        <f ca="1">IF($C149-S$1&lt;År1,0,R148*(1-VLOOKUP($A149,[1]Hugst!$R$5:$W$9,MATCH(ROUNDUP((S$1)/10,0)*10,[1]Hugst!$R$4:$W$4,0))))</f>
        <v>4604.0422694921162</v>
      </c>
      <c r="T149" s="169">
        <f ca="1">IF($C149-T$1&lt;År1,0,S148*(1-VLOOKUP($A149,[1]Hugst!$R$5:$W$9,MATCH(ROUNDUP((T$1)/10,0)*10,[1]Hugst!$R$4:$W$4,0))))</f>
        <v>4613.4102189421337</v>
      </c>
      <c r="U149" s="169">
        <f ca="1">IF($C149-U$1&lt;År1,0,T148*(1-VLOOKUP($A149,[1]Hugst!$R$5:$W$9,MATCH(ROUNDUP((U$1)/10,0)*10,[1]Hugst!$R$4:$W$4,0))))</f>
        <v>4621.7587047666275</v>
      </c>
      <c r="V149" s="169">
        <f ca="1">IF($C149-V$1&lt;År1,0,U148*(1-VLOOKUP($A149,[1]Hugst!$R$5:$W$9,MATCH(ROUNDUP((V$1)/10,0)*10,[1]Hugst!$R$4:$W$4,0))))</f>
        <v>4628.0160652843451</v>
      </c>
      <c r="W149" s="169">
        <f ca="1">IF($C149-W$1&lt;År1,0,V148*(1-VLOOKUP($A149,[1]Hugst!$R$5:$W$9,MATCH(ROUNDUP((W$1)/10,0)*10,[1]Hugst!$R$4:$W$4,0))))</f>
        <v>4630.0387148310256</v>
      </c>
      <c r="X149" s="169">
        <f ca="1">IF($C149-X$1&lt;År1,0,W148*(1-VLOOKUP($A149,[1]Hugst!$R$5:$W$9,MATCH(ROUNDUP((X$1)/10,0)*10,[1]Hugst!$R$4:$W$4,0))))</f>
        <v>4623.5392184583234</v>
      </c>
      <c r="Y149" s="169">
        <f ca="1">IF($C149-Y$1&lt;År1,0,X148*(1-VLOOKUP($A149,[1]Hugst!$R$5:$W$9,MATCH(ROUNDUP((Y$1)/10,0)*10,[1]Hugst!$R$4:$W$4,0))))</f>
        <v>4599.9424413249817</v>
      </c>
      <c r="Z149" s="169">
        <f ca="1">IF($C149-Z$1&lt;År1,0,Y148*(1-VLOOKUP($A149,[1]Hugst!$R$5:$W$9,MATCH(ROUNDUP((Z$1)/10,0)*10,[1]Hugst!$R$4:$W$4,0))))</f>
        <v>4542.0978474723615</v>
      </c>
      <c r="AA149" s="169">
        <f ca="1">IF($C149-AA$1&lt;År1,0,Z148*(1-VLOOKUP($A149,[1]Hugst!$R$5:$W$9,MATCH(ROUNDUP((AA$1)/10,0)*10,[1]Hugst!$R$4:$W$4,0))))</f>
        <v>4415.7040973692729</v>
      </c>
      <c r="AB149" s="169">
        <f ca="1">IF($C149-AB$1&lt;År1,0,AA148*(1-VLOOKUP($A149,[1]Hugst!$R$5:$W$9,MATCH(ROUNDUP((AB$1)/10,0)*10,[1]Hugst!$R$4:$W$4,0))))</f>
        <v>4152.1582429942446</v>
      </c>
      <c r="AC149" s="169">
        <f ca="1">IF($C149-AC$1&lt;År1,0,AB148*(1-VLOOKUP($A149,[1]Hugst!$R$5:$W$9,MATCH(ROUNDUP((AC$1)/10,0)*10,[1]Hugst!$R$4:$W$4,0))))</f>
        <v>3614.2541179942436</v>
      </c>
      <c r="AD149" s="169">
        <f>IF($C149-AD$1&lt;År1,0,AC148*(1-VLOOKUP($A149,[1]Hugst!$R$5:$W$9,MATCH(ROUNDUP((AD$1)/10,0)*10,[1]Hugst!$R$4:$W$4,0))))</f>
        <v>0</v>
      </c>
      <c r="AE149" s="169">
        <f>IF($C149-AE$1&lt;År1,0,AD148*(1-VLOOKUP($A149,[1]Hugst!$R$5:$W$9,MATCH(ROUNDUP((AE$1)/10,0)*10,[1]Hugst!$R$4:$W$4,0))))</f>
        <v>0</v>
      </c>
      <c r="AF149" s="169">
        <f>IF($C149-AF$1&lt;År1,0,AE148*(1-VLOOKUP($A149,[1]Hugst!$R$5:$W$9,MATCH(ROUNDUP((AF$1)/10,0)*10,[1]Hugst!$R$4:$W$4,0))))</f>
        <v>0</v>
      </c>
      <c r="AG149" s="169">
        <f>IF($C149-AG$1&lt;År1,0,AF148*(1-VLOOKUP($A149,[1]Hugst!$R$5:$W$9,MATCH(ROUNDUP((AG$1)/10,0)*10,[1]Hugst!$R$4:$W$4,0))))</f>
        <v>0</v>
      </c>
      <c r="AH149" s="169">
        <f>IF($C149-AH$1&lt;År1,0,AG148*(1-VLOOKUP($A149,[1]Hugst!$R$5:$W$9,MATCH(ROUNDUP((AH$1)/10,0)*10,[1]Hugst!$R$4:$W$4,0))))</f>
        <v>0</v>
      </c>
      <c r="AI149" s="169">
        <f>IF($C149-AI$1&lt;År1,0,AH148*(1-VLOOKUP($A149,[1]Hugst!$R$5:$W$9,MATCH(ROUNDUP((AI$1)/10,0)*10,[1]Hugst!$R$4:$W$4,0))))</f>
        <v>0</v>
      </c>
      <c r="AJ149" s="169">
        <f>IF($C149-AJ$1&lt;År1,0,AI148*(1-VLOOKUP($A149,[1]Hugst!$R$5:$W$9,MATCH(ROUNDUP((AJ$1)/10,0)*10,[1]Hugst!$R$4:$W$4,0))))</f>
        <v>0</v>
      </c>
    </row>
    <row r="150" spans="1:36" x14ac:dyDescent="0.25">
      <c r="A150" s="169" t="s">
        <v>178</v>
      </c>
      <c r="B150" s="169" t="s">
        <v>23</v>
      </c>
      <c r="C150" s="169">
        <v>2044</v>
      </c>
      <c r="D150" s="169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1936.7407073150425</v>
      </c>
      <c r="E150" s="169">
        <f t="shared" ca="1" si="3"/>
        <v>0</v>
      </c>
      <c r="F150" s="169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4464.3198253092987</v>
      </c>
      <c r="G150" s="169">
        <f ca="1">IF($C150-G$1&lt;År1,0,F149*(1-VLOOKUP($A150,[1]Hugst!$R$5:$W$9,MATCH(ROUNDUP((G$1)/10,0)*10,[1]Hugst!$R$4:$W$4,0))))</f>
        <v>4474.0521255763333</v>
      </c>
      <c r="H150" s="169">
        <f ca="1">IF($C150-H$1&lt;År1,0,G149*(1-VLOOKUP($A150,[1]Hugst!$R$5:$W$9,MATCH(ROUNDUP((H$1)/10,0)*10,[1]Hugst!$R$4:$W$4,0))))</f>
        <v>4483.8332667785353</v>
      </c>
      <c r="I150" s="169">
        <f ca="1">IF($C150-I$1&lt;År1,0,H149*(1-VLOOKUP($A150,[1]Hugst!$R$5:$W$9,MATCH(ROUNDUP((I$1)/10,0)*10,[1]Hugst!$R$4:$W$4,0))))</f>
        <v>4493.6634292512781</v>
      </c>
      <c r="J150" s="169">
        <f ca="1">IF($C150-J$1&lt;År1,0,I149*(1-VLOOKUP($A150,[1]Hugst!$R$5:$W$9,MATCH(ROUNDUP((J$1)/10,0)*10,[1]Hugst!$R$4:$W$4,0))))</f>
        <v>4503.5427291399783</v>
      </c>
      <c r="K150" s="169">
        <f ca="1">IF($C150-K$1&lt;År1,0,J149*(1-VLOOKUP($A150,[1]Hugst!$R$5:$W$9,MATCH(ROUNDUP((K$1)/10,0)*10,[1]Hugst!$R$4:$W$4,0))))</f>
        <v>4513.4711529808619</v>
      </c>
      <c r="L150" s="169">
        <f ca="1">IF($C150-L$1&lt;År1,0,K149*(1-VLOOKUP($A150,[1]Hugst!$R$5:$W$9,MATCH(ROUNDUP((L$1)/10,0)*10,[1]Hugst!$R$4:$W$4,0))))</f>
        <v>4523.4484268571423</v>
      </c>
      <c r="M150" s="169">
        <f ca="1">IF($C150-M$1&lt;År1,0,L149*(1-VLOOKUP($A150,[1]Hugst!$R$5:$W$9,MATCH(ROUNDUP((M$1)/10,0)*10,[1]Hugst!$R$4:$W$4,0))))</f>
        <v>4533.4737547045324</v>
      </c>
      <c r="N150" s="169">
        <f ca="1">IF($C150-N$1&lt;År1,0,M149*(1-VLOOKUP($A150,[1]Hugst!$R$5:$W$9,MATCH(ROUNDUP((N$1)/10,0)*10,[1]Hugst!$R$4:$W$4,0))))</f>
        <v>4543.5452949168384</v>
      </c>
      <c r="O150" s="169">
        <f ca="1">IF($C150-O$1&lt;År1,0,N149*(1-VLOOKUP($A150,[1]Hugst!$R$5:$W$9,MATCH(ROUNDUP((O$1)/10,0)*10,[1]Hugst!$R$4:$W$4,0))))</f>
        <v>4553.6591135500084</v>
      </c>
      <c r="P150" s="169">
        <f ca="1">IF($C150-P$1&lt;År1,0,O149*(1-VLOOKUP($A150,[1]Hugst!$R$5:$W$9,MATCH(ROUNDUP((P$1)/10,0)*10,[1]Hugst!$R$4:$W$4,0))))</f>
        <v>4563.8070907244482</v>
      </c>
      <c r="Q150" s="169">
        <f ca="1">IF($C150-Q$1&lt;År1,0,P149*(1-VLOOKUP($A150,[1]Hugst!$R$5:$W$9,MATCH(ROUNDUP((Q$1)/10,0)*10,[1]Hugst!$R$4:$W$4,0))))</f>
        <v>4573.9727334231638</v>
      </c>
      <c r="R150" s="169">
        <f ca="1">IF($C150-R$1&lt;År1,0,Q149*(1-VLOOKUP($A150,[1]Hugst!$R$5:$W$9,MATCH(ROUNDUP((R$1)/10,0)*10,[1]Hugst!$R$4:$W$4,0))))</f>
        <v>4584.1228010817622</v>
      </c>
      <c r="S150" s="169">
        <f ca="1">IF($C150-S$1&lt;År1,0,R149*(1-VLOOKUP($A150,[1]Hugst!$R$5:$W$9,MATCH(ROUNDUP((S$1)/10,0)*10,[1]Hugst!$R$4:$W$4,0))))</f>
        <v>4594.1905567619388</v>
      </c>
      <c r="T150" s="169">
        <f ca="1">IF($C150-T$1&lt;År1,0,S149*(1-VLOOKUP($A150,[1]Hugst!$R$5:$W$9,MATCH(ROUNDUP((T$1)/10,0)*10,[1]Hugst!$R$4:$W$4,0))))</f>
        <v>4604.0422694921162</v>
      </c>
      <c r="U150" s="169">
        <f ca="1">IF($C150-U$1&lt;År1,0,T149*(1-VLOOKUP($A150,[1]Hugst!$R$5:$W$9,MATCH(ROUNDUP((U$1)/10,0)*10,[1]Hugst!$R$4:$W$4,0))))</f>
        <v>4613.4102189421337</v>
      </c>
      <c r="V150" s="169">
        <f ca="1">IF($C150-V$1&lt;År1,0,U149*(1-VLOOKUP($A150,[1]Hugst!$R$5:$W$9,MATCH(ROUNDUP((V$1)/10,0)*10,[1]Hugst!$R$4:$W$4,0))))</f>
        <v>4621.7587047666275</v>
      </c>
      <c r="W150" s="169">
        <f ca="1">IF($C150-W$1&lt;År1,0,V149*(1-VLOOKUP($A150,[1]Hugst!$R$5:$W$9,MATCH(ROUNDUP((W$1)/10,0)*10,[1]Hugst!$R$4:$W$4,0))))</f>
        <v>4628.0160652843451</v>
      </c>
      <c r="X150" s="169">
        <f ca="1">IF($C150-X$1&lt;År1,0,W149*(1-VLOOKUP($A150,[1]Hugst!$R$5:$W$9,MATCH(ROUNDUP((X$1)/10,0)*10,[1]Hugst!$R$4:$W$4,0))))</f>
        <v>4630.0387148310256</v>
      </c>
      <c r="Y150" s="169">
        <f ca="1">IF($C150-Y$1&lt;År1,0,X149*(1-VLOOKUP($A150,[1]Hugst!$R$5:$W$9,MATCH(ROUNDUP((Y$1)/10,0)*10,[1]Hugst!$R$4:$W$4,0))))</f>
        <v>4623.5392184583234</v>
      </c>
      <c r="Z150" s="169">
        <f ca="1">IF($C150-Z$1&lt;År1,0,Y149*(1-VLOOKUP($A150,[1]Hugst!$R$5:$W$9,MATCH(ROUNDUP((Z$1)/10,0)*10,[1]Hugst!$R$4:$W$4,0))))</f>
        <v>4599.9424413249817</v>
      </c>
      <c r="AA150" s="169">
        <f ca="1">IF($C150-AA$1&lt;År1,0,Z149*(1-VLOOKUP($A150,[1]Hugst!$R$5:$W$9,MATCH(ROUNDUP((AA$1)/10,0)*10,[1]Hugst!$R$4:$W$4,0))))</f>
        <v>4542.0978474723615</v>
      </c>
      <c r="AB150" s="169">
        <f ca="1">IF($C150-AB$1&lt;År1,0,AA149*(1-VLOOKUP($A150,[1]Hugst!$R$5:$W$9,MATCH(ROUNDUP((AB$1)/10,0)*10,[1]Hugst!$R$4:$W$4,0))))</f>
        <v>4415.7040973692729</v>
      </c>
      <c r="AC150" s="169">
        <f ca="1">IF($C150-AC$1&lt;År1,0,AB149*(1-VLOOKUP($A150,[1]Hugst!$R$5:$W$9,MATCH(ROUNDUP((AC$1)/10,0)*10,[1]Hugst!$R$4:$W$4,0))))</f>
        <v>4152.1582429942446</v>
      </c>
      <c r="AD150" s="169">
        <f ca="1">IF($C150-AD$1&lt;År1,0,AC149*(1-VLOOKUP($A150,[1]Hugst!$R$5:$W$9,MATCH(ROUNDUP((AD$1)/10,0)*10,[1]Hugst!$R$4:$W$4,0))))</f>
        <v>3614.2541179942436</v>
      </c>
      <c r="AE150" s="169">
        <f>IF($C150-AE$1&lt;År1,0,AD149*(1-VLOOKUP($A150,[1]Hugst!$R$5:$W$9,MATCH(ROUNDUP((AE$1)/10,0)*10,[1]Hugst!$R$4:$W$4,0))))</f>
        <v>0</v>
      </c>
      <c r="AF150" s="169">
        <f>IF($C150-AF$1&lt;År1,0,AE149*(1-VLOOKUP($A150,[1]Hugst!$R$5:$W$9,MATCH(ROUNDUP((AF$1)/10,0)*10,[1]Hugst!$R$4:$W$4,0))))</f>
        <v>0</v>
      </c>
      <c r="AG150" s="169">
        <f>IF($C150-AG$1&lt;År1,0,AF149*(1-VLOOKUP($A150,[1]Hugst!$R$5:$W$9,MATCH(ROUNDUP((AG$1)/10,0)*10,[1]Hugst!$R$4:$W$4,0))))</f>
        <v>0</v>
      </c>
      <c r="AH150" s="169">
        <f>IF($C150-AH$1&lt;År1,0,AG149*(1-VLOOKUP($A150,[1]Hugst!$R$5:$W$9,MATCH(ROUNDUP((AH$1)/10,0)*10,[1]Hugst!$R$4:$W$4,0))))</f>
        <v>0</v>
      </c>
      <c r="AI150" s="169">
        <f>IF($C150-AI$1&lt;År1,0,AH149*(1-VLOOKUP($A150,[1]Hugst!$R$5:$W$9,MATCH(ROUNDUP((AI$1)/10,0)*10,[1]Hugst!$R$4:$W$4,0))))</f>
        <v>0</v>
      </c>
      <c r="AJ150" s="169">
        <f>IF($C150-AJ$1&lt;År1,0,AI149*(1-VLOOKUP($A150,[1]Hugst!$R$5:$W$9,MATCH(ROUNDUP((AJ$1)/10,0)*10,[1]Hugst!$R$4:$W$4,0))))</f>
        <v>0</v>
      </c>
    </row>
    <row r="151" spans="1:36" x14ac:dyDescent="0.25">
      <c r="A151" s="169" t="s">
        <v>178</v>
      </c>
      <c r="B151" s="169" t="s">
        <v>23</v>
      </c>
      <c r="C151" s="169">
        <v>2045</v>
      </c>
      <c r="D151" s="169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1927.0570361638966</v>
      </c>
      <c r="E151" s="169">
        <f t="shared" ca="1" si="3"/>
        <v>0</v>
      </c>
      <c r="F151" s="169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4454.6361541581527</v>
      </c>
      <c r="G151" s="169">
        <f ca="1">IF($C151-G$1&lt;År1,0,F150*(1-VLOOKUP($A151,[1]Hugst!$R$5:$W$9,MATCH(ROUNDUP((G$1)/10,0)*10,[1]Hugst!$R$4:$W$4,0))))</f>
        <v>4464.3198253092987</v>
      </c>
      <c r="H151" s="169">
        <f ca="1">IF($C151-H$1&lt;År1,0,G150*(1-VLOOKUP($A151,[1]Hugst!$R$5:$W$9,MATCH(ROUNDUP((H$1)/10,0)*10,[1]Hugst!$R$4:$W$4,0))))</f>
        <v>4474.0521255763333</v>
      </c>
      <c r="I151" s="169">
        <f ca="1">IF($C151-I$1&lt;År1,0,H150*(1-VLOOKUP($A151,[1]Hugst!$R$5:$W$9,MATCH(ROUNDUP((I$1)/10,0)*10,[1]Hugst!$R$4:$W$4,0))))</f>
        <v>4483.8332667785353</v>
      </c>
      <c r="J151" s="169">
        <f ca="1">IF($C151-J$1&lt;År1,0,I150*(1-VLOOKUP($A151,[1]Hugst!$R$5:$W$9,MATCH(ROUNDUP((J$1)/10,0)*10,[1]Hugst!$R$4:$W$4,0))))</f>
        <v>4493.6634292512781</v>
      </c>
      <c r="K151" s="169">
        <f ca="1">IF($C151-K$1&lt;År1,0,J150*(1-VLOOKUP($A151,[1]Hugst!$R$5:$W$9,MATCH(ROUNDUP((K$1)/10,0)*10,[1]Hugst!$R$4:$W$4,0))))</f>
        <v>4503.5427291399783</v>
      </c>
      <c r="L151" s="169">
        <f ca="1">IF($C151-L$1&lt;År1,0,K150*(1-VLOOKUP($A151,[1]Hugst!$R$5:$W$9,MATCH(ROUNDUP((L$1)/10,0)*10,[1]Hugst!$R$4:$W$4,0))))</f>
        <v>4513.4711529808619</v>
      </c>
      <c r="M151" s="169">
        <f ca="1">IF($C151-M$1&lt;År1,0,L150*(1-VLOOKUP($A151,[1]Hugst!$R$5:$W$9,MATCH(ROUNDUP((M$1)/10,0)*10,[1]Hugst!$R$4:$W$4,0))))</f>
        <v>4523.4484268571423</v>
      </c>
      <c r="N151" s="169">
        <f ca="1">IF($C151-N$1&lt;År1,0,M150*(1-VLOOKUP($A151,[1]Hugst!$R$5:$W$9,MATCH(ROUNDUP((N$1)/10,0)*10,[1]Hugst!$R$4:$W$4,0))))</f>
        <v>4533.4737547045324</v>
      </c>
      <c r="O151" s="169">
        <f ca="1">IF($C151-O$1&lt;År1,0,N150*(1-VLOOKUP($A151,[1]Hugst!$R$5:$W$9,MATCH(ROUNDUP((O$1)/10,0)*10,[1]Hugst!$R$4:$W$4,0))))</f>
        <v>4543.5452949168384</v>
      </c>
      <c r="P151" s="169">
        <f ca="1">IF($C151-P$1&lt;År1,0,O150*(1-VLOOKUP($A151,[1]Hugst!$R$5:$W$9,MATCH(ROUNDUP((P$1)/10,0)*10,[1]Hugst!$R$4:$W$4,0))))</f>
        <v>4553.6591135500084</v>
      </c>
      <c r="Q151" s="169">
        <f ca="1">IF($C151-Q$1&lt;År1,0,P150*(1-VLOOKUP($A151,[1]Hugst!$R$5:$W$9,MATCH(ROUNDUP((Q$1)/10,0)*10,[1]Hugst!$R$4:$W$4,0))))</f>
        <v>4563.8070907244482</v>
      </c>
      <c r="R151" s="169">
        <f ca="1">IF($C151-R$1&lt;År1,0,Q150*(1-VLOOKUP($A151,[1]Hugst!$R$5:$W$9,MATCH(ROUNDUP((R$1)/10,0)*10,[1]Hugst!$R$4:$W$4,0))))</f>
        <v>4573.9727334231638</v>
      </c>
      <c r="S151" s="169">
        <f ca="1">IF($C151-S$1&lt;År1,0,R150*(1-VLOOKUP($A151,[1]Hugst!$R$5:$W$9,MATCH(ROUNDUP((S$1)/10,0)*10,[1]Hugst!$R$4:$W$4,0))))</f>
        <v>4584.1228010817622</v>
      </c>
      <c r="T151" s="169">
        <f ca="1">IF($C151-T$1&lt;År1,0,S150*(1-VLOOKUP($A151,[1]Hugst!$R$5:$W$9,MATCH(ROUNDUP((T$1)/10,0)*10,[1]Hugst!$R$4:$W$4,0))))</f>
        <v>4594.1905567619388</v>
      </c>
      <c r="U151" s="169">
        <f ca="1">IF($C151-U$1&lt;År1,0,T150*(1-VLOOKUP($A151,[1]Hugst!$R$5:$W$9,MATCH(ROUNDUP((U$1)/10,0)*10,[1]Hugst!$R$4:$W$4,0))))</f>
        <v>4604.0422694921162</v>
      </c>
      <c r="V151" s="169">
        <f ca="1">IF($C151-V$1&lt;År1,0,U150*(1-VLOOKUP($A151,[1]Hugst!$R$5:$W$9,MATCH(ROUNDUP((V$1)/10,0)*10,[1]Hugst!$R$4:$W$4,0))))</f>
        <v>4613.4102189421337</v>
      </c>
      <c r="W151" s="169">
        <f ca="1">IF($C151-W$1&lt;År1,0,V150*(1-VLOOKUP($A151,[1]Hugst!$R$5:$W$9,MATCH(ROUNDUP((W$1)/10,0)*10,[1]Hugst!$R$4:$W$4,0))))</f>
        <v>4621.7587047666275</v>
      </c>
      <c r="X151" s="169">
        <f ca="1">IF($C151-X$1&lt;År1,0,W150*(1-VLOOKUP($A151,[1]Hugst!$R$5:$W$9,MATCH(ROUNDUP((X$1)/10,0)*10,[1]Hugst!$R$4:$W$4,0))))</f>
        <v>4628.0160652843451</v>
      </c>
      <c r="Y151" s="169">
        <f ca="1">IF($C151-Y$1&lt;År1,0,X150*(1-VLOOKUP($A151,[1]Hugst!$R$5:$W$9,MATCH(ROUNDUP((Y$1)/10,0)*10,[1]Hugst!$R$4:$W$4,0))))</f>
        <v>4630.0387148310256</v>
      </c>
      <c r="Z151" s="169">
        <f ca="1">IF($C151-Z$1&lt;År1,0,Y150*(1-VLOOKUP($A151,[1]Hugst!$R$5:$W$9,MATCH(ROUNDUP((Z$1)/10,0)*10,[1]Hugst!$R$4:$W$4,0))))</f>
        <v>4623.5392184583234</v>
      </c>
      <c r="AA151" s="169">
        <f ca="1">IF($C151-AA$1&lt;År1,0,Z150*(1-VLOOKUP($A151,[1]Hugst!$R$5:$W$9,MATCH(ROUNDUP((AA$1)/10,0)*10,[1]Hugst!$R$4:$W$4,0))))</f>
        <v>4599.9424413249817</v>
      </c>
      <c r="AB151" s="169">
        <f ca="1">IF($C151-AB$1&lt;År1,0,AA150*(1-VLOOKUP($A151,[1]Hugst!$R$5:$W$9,MATCH(ROUNDUP((AB$1)/10,0)*10,[1]Hugst!$R$4:$W$4,0))))</f>
        <v>4542.0978474723615</v>
      </c>
      <c r="AC151" s="169">
        <f ca="1">IF($C151-AC$1&lt;År1,0,AB150*(1-VLOOKUP($A151,[1]Hugst!$R$5:$W$9,MATCH(ROUNDUP((AC$1)/10,0)*10,[1]Hugst!$R$4:$W$4,0))))</f>
        <v>4415.7040973692729</v>
      </c>
      <c r="AD151" s="169">
        <f ca="1">IF($C151-AD$1&lt;År1,0,AC150*(1-VLOOKUP($A151,[1]Hugst!$R$5:$W$9,MATCH(ROUNDUP((AD$1)/10,0)*10,[1]Hugst!$R$4:$W$4,0))))</f>
        <v>4152.1582429942446</v>
      </c>
      <c r="AE151" s="169">
        <f ca="1">IF($C151-AE$1&lt;År1,0,AD150*(1-VLOOKUP($A151,[1]Hugst!$R$5:$W$9,MATCH(ROUNDUP((AE$1)/10,0)*10,[1]Hugst!$R$4:$W$4,0))))</f>
        <v>3614.2541179942436</v>
      </c>
      <c r="AF151" s="169">
        <f>IF($C151-AF$1&lt;År1,0,AE150*(1-VLOOKUP($A151,[1]Hugst!$R$5:$W$9,MATCH(ROUNDUP((AF$1)/10,0)*10,[1]Hugst!$R$4:$W$4,0))))</f>
        <v>0</v>
      </c>
      <c r="AG151" s="169">
        <f>IF($C151-AG$1&lt;År1,0,AF150*(1-VLOOKUP($A151,[1]Hugst!$R$5:$W$9,MATCH(ROUNDUP((AG$1)/10,0)*10,[1]Hugst!$R$4:$W$4,0))))</f>
        <v>0</v>
      </c>
      <c r="AH151" s="169">
        <f>IF($C151-AH$1&lt;År1,0,AG150*(1-VLOOKUP($A151,[1]Hugst!$R$5:$W$9,MATCH(ROUNDUP((AH$1)/10,0)*10,[1]Hugst!$R$4:$W$4,0))))</f>
        <v>0</v>
      </c>
      <c r="AI151" s="169">
        <f>IF($C151-AI$1&lt;År1,0,AH150*(1-VLOOKUP($A151,[1]Hugst!$R$5:$W$9,MATCH(ROUNDUP((AI$1)/10,0)*10,[1]Hugst!$R$4:$W$4,0))))</f>
        <v>0</v>
      </c>
      <c r="AJ151" s="169">
        <f>IF($C151-AJ$1&lt;År1,0,AI150*(1-VLOOKUP($A151,[1]Hugst!$R$5:$W$9,MATCH(ROUNDUP((AJ$1)/10,0)*10,[1]Hugst!$R$4:$W$4,0))))</f>
        <v>0</v>
      </c>
    </row>
    <row r="152" spans="1:36" x14ac:dyDescent="0.25">
      <c r="A152" s="169" t="s">
        <v>178</v>
      </c>
      <c r="B152" s="169" t="s">
        <v>23</v>
      </c>
      <c r="C152" s="169">
        <v>2046</v>
      </c>
      <c r="D152" s="169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1917.4217671758233</v>
      </c>
      <c r="E152" s="169">
        <f t="shared" ca="1" si="3"/>
        <v>0</v>
      </c>
      <c r="F152" s="169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4445.0008851700795</v>
      </c>
      <c r="G152" s="169">
        <f ca="1">IF($C152-G$1&lt;År1,0,F151*(1-VLOOKUP($A152,[1]Hugst!$R$5:$W$9,MATCH(ROUNDUP((G$1)/10,0)*10,[1]Hugst!$R$4:$W$4,0))))</f>
        <v>4454.6361541581527</v>
      </c>
      <c r="H152" s="169">
        <f ca="1">IF($C152-H$1&lt;År1,0,G151*(1-VLOOKUP($A152,[1]Hugst!$R$5:$W$9,MATCH(ROUNDUP((H$1)/10,0)*10,[1]Hugst!$R$4:$W$4,0))))</f>
        <v>4464.3198253092987</v>
      </c>
      <c r="I152" s="169">
        <f ca="1">IF($C152-I$1&lt;År1,0,H151*(1-VLOOKUP($A152,[1]Hugst!$R$5:$W$9,MATCH(ROUNDUP((I$1)/10,0)*10,[1]Hugst!$R$4:$W$4,0))))</f>
        <v>4474.0521255763333</v>
      </c>
      <c r="J152" s="169">
        <f ca="1">IF($C152-J$1&lt;År1,0,I151*(1-VLOOKUP($A152,[1]Hugst!$R$5:$W$9,MATCH(ROUNDUP((J$1)/10,0)*10,[1]Hugst!$R$4:$W$4,0))))</f>
        <v>4483.8332667785353</v>
      </c>
      <c r="K152" s="169">
        <f ca="1">IF($C152-K$1&lt;År1,0,J151*(1-VLOOKUP($A152,[1]Hugst!$R$5:$W$9,MATCH(ROUNDUP((K$1)/10,0)*10,[1]Hugst!$R$4:$W$4,0))))</f>
        <v>4493.6634292512781</v>
      </c>
      <c r="L152" s="169">
        <f ca="1">IF($C152-L$1&lt;År1,0,K151*(1-VLOOKUP($A152,[1]Hugst!$R$5:$W$9,MATCH(ROUNDUP((L$1)/10,0)*10,[1]Hugst!$R$4:$W$4,0))))</f>
        <v>4503.5427291399783</v>
      </c>
      <c r="M152" s="169">
        <f ca="1">IF($C152-M$1&lt;År1,0,L151*(1-VLOOKUP($A152,[1]Hugst!$R$5:$W$9,MATCH(ROUNDUP((M$1)/10,0)*10,[1]Hugst!$R$4:$W$4,0))))</f>
        <v>4513.4711529808619</v>
      </c>
      <c r="N152" s="169">
        <f ca="1">IF($C152-N$1&lt;År1,0,M151*(1-VLOOKUP($A152,[1]Hugst!$R$5:$W$9,MATCH(ROUNDUP((N$1)/10,0)*10,[1]Hugst!$R$4:$W$4,0))))</f>
        <v>4523.4484268571423</v>
      </c>
      <c r="O152" s="169">
        <f ca="1">IF($C152-O$1&lt;År1,0,N151*(1-VLOOKUP($A152,[1]Hugst!$R$5:$W$9,MATCH(ROUNDUP((O$1)/10,0)*10,[1]Hugst!$R$4:$W$4,0))))</f>
        <v>4533.4737547045324</v>
      </c>
      <c r="P152" s="169">
        <f ca="1">IF($C152-P$1&lt;År1,0,O151*(1-VLOOKUP($A152,[1]Hugst!$R$5:$W$9,MATCH(ROUNDUP((P$1)/10,0)*10,[1]Hugst!$R$4:$W$4,0))))</f>
        <v>4543.5452949168384</v>
      </c>
      <c r="Q152" s="169">
        <f ca="1">IF($C152-Q$1&lt;År1,0,P151*(1-VLOOKUP($A152,[1]Hugst!$R$5:$W$9,MATCH(ROUNDUP((Q$1)/10,0)*10,[1]Hugst!$R$4:$W$4,0))))</f>
        <v>4553.6591135500084</v>
      </c>
      <c r="R152" s="169">
        <f ca="1">IF($C152-R$1&lt;År1,0,Q151*(1-VLOOKUP($A152,[1]Hugst!$R$5:$W$9,MATCH(ROUNDUP((R$1)/10,0)*10,[1]Hugst!$R$4:$W$4,0))))</f>
        <v>4563.8070907244482</v>
      </c>
      <c r="S152" s="169">
        <f ca="1">IF($C152-S$1&lt;År1,0,R151*(1-VLOOKUP($A152,[1]Hugst!$R$5:$W$9,MATCH(ROUNDUP((S$1)/10,0)*10,[1]Hugst!$R$4:$W$4,0))))</f>
        <v>4573.9727334231638</v>
      </c>
      <c r="T152" s="169">
        <f ca="1">IF($C152-T$1&lt;År1,0,S151*(1-VLOOKUP($A152,[1]Hugst!$R$5:$W$9,MATCH(ROUNDUP((T$1)/10,0)*10,[1]Hugst!$R$4:$W$4,0))))</f>
        <v>4584.1228010817622</v>
      </c>
      <c r="U152" s="169">
        <f ca="1">IF($C152-U$1&lt;År1,0,T151*(1-VLOOKUP($A152,[1]Hugst!$R$5:$W$9,MATCH(ROUNDUP((U$1)/10,0)*10,[1]Hugst!$R$4:$W$4,0))))</f>
        <v>4594.1905567619388</v>
      </c>
      <c r="V152" s="169">
        <f ca="1">IF($C152-V$1&lt;År1,0,U151*(1-VLOOKUP($A152,[1]Hugst!$R$5:$W$9,MATCH(ROUNDUP((V$1)/10,0)*10,[1]Hugst!$R$4:$W$4,0))))</f>
        <v>4604.0422694921162</v>
      </c>
      <c r="W152" s="169">
        <f ca="1">IF($C152-W$1&lt;År1,0,V151*(1-VLOOKUP($A152,[1]Hugst!$R$5:$W$9,MATCH(ROUNDUP((W$1)/10,0)*10,[1]Hugst!$R$4:$W$4,0))))</f>
        <v>4613.4102189421337</v>
      </c>
      <c r="X152" s="169">
        <f ca="1">IF($C152-X$1&lt;År1,0,W151*(1-VLOOKUP($A152,[1]Hugst!$R$5:$W$9,MATCH(ROUNDUP((X$1)/10,0)*10,[1]Hugst!$R$4:$W$4,0))))</f>
        <v>4621.7587047666275</v>
      </c>
      <c r="Y152" s="169">
        <f ca="1">IF($C152-Y$1&lt;År1,0,X151*(1-VLOOKUP($A152,[1]Hugst!$R$5:$W$9,MATCH(ROUNDUP((Y$1)/10,0)*10,[1]Hugst!$R$4:$W$4,0))))</f>
        <v>4628.0160652843451</v>
      </c>
      <c r="Z152" s="169">
        <f ca="1">IF($C152-Z$1&lt;År1,0,Y151*(1-VLOOKUP($A152,[1]Hugst!$R$5:$W$9,MATCH(ROUNDUP((Z$1)/10,0)*10,[1]Hugst!$R$4:$W$4,0))))</f>
        <v>4630.0387148310256</v>
      </c>
      <c r="AA152" s="169">
        <f ca="1">IF($C152-AA$1&lt;År1,0,Z151*(1-VLOOKUP($A152,[1]Hugst!$R$5:$W$9,MATCH(ROUNDUP((AA$1)/10,0)*10,[1]Hugst!$R$4:$W$4,0))))</f>
        <v>4623.5392184583234</v>
      </c>
      <c r="AB152" s="169">
        <f ca="1">IF($C152-AB$1&lt;År1,0,AA151*(1-VLOOKUP($A152,[1]Hugst!$R$5:$W$9,MATCH(ROUNDUP((AB$1)/10,0)*10,[1]Hugst!$R$4:$W$4,0))))</f>
        <v>4599.9424413249817</v>
      </c>
      <c r="AC152" s="169">
        <f ca="1">IF($C152-AC$1&lt;År1,0,AB151*(1-VLOOKUP($A152,[1]Hugst!$R$5:$W$9,MATCH(ROUNDUP((AC$1)/10,0)*10,[1]Hugst!$R$4:$W$4,0))))</f>
        <v>4542.0978474723615</v>
      </c>
      <c r="AD152" s="169">
        <f ca="1">IF($C152-AD$1&lt;År1,0,AC151*(1-VLOOKUP($A152,[1]Hugst!$R$5:$W$9,MATCH(ROUNDUP((AD$1)/10,0)*10,[1]Hugst!$R$4:$W$4,0))))</f>
        <v>4415.7040973692729</v>
      </c>
      <c r="AE152" s="169">
        <f ca="1">IF($C152-AE$1&lt;År1,0,AD151*(1-VLOOKUP($A152,[1]Hugst!$R$5:$W$9,MATCH(ROUNDUP((AE$1)/10,0)*10,[1]Hugst!$R$4:$W$4,0))))</f>
        <v>4152.1582429942446</v>
      </c>
      <c r="AF152" s="169">
        <f ca="1">IF($C152-AF$1&lt;År1,0,AE151*(1-VLOOKUP($A152,[1]Hugst!$R$5:$W$9,MATCH(ROUNDUP((AF$1)/10,0)*10,[1]Hugst!$R$4:$W$4,0))))</f>
        <v>3614.2541179942436</v>
      </c>
      <c r="AG152" s="169">
        <f>IF($C152-AG$1&lt;År1,0,AF151*(1-VLOOKUP($A152,[1]Hugst!$R$5:$W$9,MATCH(ROUNDUP((AG$1)/10,0)*10,[1]Hugst!$R$4:$W$4,0))))</f>
        <v>0</v>
      </c>
      <c r="AH152" s="169">
        <f>IF($C152-AH$1&lt;År1,0,AG151*(1-VLOOKUP($A152,[1]Hugst!$R$5:$W$9,MATCH(ROUNDUP((AH$1)/10,0)*10,[1]Hugst!$R$4:$W$4,0))))</f>
        <v>0</v>
      </c>
      <c r="AI152" s="169">
        <f>IF($C152-AI$1&lt;År1,0,AH151*(1-VLOOKUP($A152,[1]Hugst!$R$5:$W$9,MATCH(ROUNDUP((AI$1)/10,0)*10,[1]Hugst!$R$4:$W$4,0))))</f>
        <v>0</v>
      </c>
      <c r="AJ152" s="169">
        <f>IF($C152-AJ$1&lt;År1,0,AI151*(1-VLOOKUP($A152,[1]Hugst!$R$5:$W$9,MATCH(ROUNDUP((AJ$1)/10,0)*10,[1]Hugst!$R$4:$W$4,0))))</f>
        <v>0</v>
      </c>
    </row>
    <row r="153" spans="1:36" x14ac:dyDescent="0.25">
      <c r="A153" s="169" t="s">
        <v>178</v>
      </c>
      <c r="B153" s="169" t="s">
        <v>23</v>
      </c>
      <c r="C153" s="169">
        <v>2047</v>
      </c>
      <c r="D153" s="169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1907.8346664362689</v>
      </c>
      <c r="E153" s="169">
        <f t="shared" ca="1" si="3"/>
        <v>0</v>
      </c>
      <c r="F153" s="169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4435.4137844305251</v>
      </c>
      <c r="G153" s="169">
        <f ca="1">IF($C153-G$1&lt;År1,0,F152*(1-VLOOKUP($A153,[1]Hugst!$R$5:$W$9,MATCH(ROUNDUP((G$1)/10,0)*10,[1]Hugst!$R$4:$W$4,0))))</f>
        <v>4445.0008851700795</v>
      </c>
      <c r="H153" s="169">
        <f ca="1">IF($C153-H$1&lt;År1,0,G152*(1-VLOOKUP($A153,[1]Hugst!$R$5:$W$9,MATCH(ROUNDUP((H$1)/10,0)*10,[1]Hugst!$R$4:$W$4,0))))</f>
        <v>4454.6361541581527</v>
      </c>
      <c r="I153" s="169">
        <f ca="1">IF($C153-I$1&lt;År1,0,H152*(1-VLOOKUP($A153,[1]Hugst!$R$5:$W$9,MATCH(ROUNDUP((I$1)/10,0)*10,[1]Hugst!$R$4:$W$4,0))))</f>
        <v>4464.3198253092987</v>
      </c>
      <c r="J153" s="169">
        <f ca="1">IF($C153-J$1&lt;År1,0,I152*(1-VLOOKUP($A153,[1]Hugst!$R$5:$W$9,MATCH(ROUNDUP((J$1)/10,0)*10,[1]Hugst!$R$4:$W$4,0))))</f>
        <v>4474.0521255763333</v>
      </c>
      <c r="K153" s="169">
        <f ca="1">IF($C153-K$1&lt;År1,0,J152*(1-VLOOKUP($A153,[1]Hugst!$R$5:$W$9,MATCH(ROUNDUP((K$1)/10,0)*10,[1]Hugst!$R$4:$W$4,0))))</f>
        <v>4483.8332667785353</v>
      </c>
      <c r="L153" s="169">
        <f ca="1">IF($C153-L$1&lt;År1,0,K152*(1-VLOOKUP($A153,[1]Hugst!$R$5:$W$9,MATCH(ROUNDUP((L$1)/10,0)*10,[1]Hugst!$R$4:$W$4,0))))</f>
        <v>4493.6634292512781</v>
      </c>
      <c r="M153" s="169">
        <f ca="1">IF($C153-M$1&lt;År1,0,L152*(1-VLOOKUP($A153,[1]Hugst!$R$5:$W$9,MATCH(ROUNDUP((M$1)/10,0)*10,[1]Hugst!$R$4:$W$4,0))))</f>
        <v>4503.5427291399783</v>
      </c>
      <c r="N153" s="169">
        <f ca="1">IF($C153-N$1&lt;År1,0,M152*(1-VLOOKUP($A153,[1]Hugst!$R$5:$W$9,MATCH(ROUNDUP((N$1)/10,0)*10,[1]Hugst!$R$4:$W$4,0))))</f>
        <v>4513.4711529808619</v>
      </c>
      <c r="O153" s="169">
        <f ca="1">IF($C153-O$1&lt;År1,0,N152*(1-VLOOKUP($A153,[1]Hugst!$R$5:$W$9,MATCH(ROUNDUP((O$1)/10,0)*10,[1]Hugst!$R$4:$W$4,0))))</f>
        <v>4523.4484268571423</v>
      </c>
      <c r="P153" s="169">
        <f ca="1">IF($C153-P$1&lt;År1,0,O152*(1-VLOOKUP($A153,[1]Hugst!$R$5:$W$9,MATCH(ROUNDUP((P$1)/10,0)*10,[1]Hugst!$R$4:$W$4,0))))</f>
        <v>4533.4737547045324</v>
      </c>
      <c r="Q153" s="169">
        <f ca="1">IF($C153-Q$1&lt;År1,0,P152*(1-VLOOKUP($A153,[1]Hugst!$R$5:$W$9,MATCH(ROUNDUP((Q$1)/10,0)*10,[1]Hugst!$R$4:$W$4,0))))</f>
        <v>4543.5452949168384</v>
      </c>
      <c r="R153" s="169">
        <f ca="1">IF($C153-R$1&lt;År1,0,Q152*(1-VLOOKUP($A153,[1]Hugst!$R$5:$W$9,MATCH(ROUNDUP((R$1)/10,0)*10,[1]Hugst!$R$4:$W$4,0))))</f>
        <v>4553.6591135500084</v>
      </c>
      <c r="S153" s="169">
        <f ca="1">IF($C153-S$1&lt;År1,0,R152*(1-VLOOKUP($A153,[1]Hugst!$R$5:$W$9,MATCH(ROUNDUP((S$1)/10,0)*10,[1]Hugst!$R$4:$W$4,0))))</f>
        <v>4563.8070907244482</v>
      </c>
      <c r="T153" s="169">
        <f ca="1">IF($C153-T$1&lt;År1,0,S152*(1-VLOOKUP($A153,[1]Hugst!$R$5:$W$9,MATCH(ROUNDUP((T$1)/10,0)*10,[1]Hugst!$R$4:$W$4,0))))</f>
        <v>4573.9727334231638</v>
      </c>
      <c r="U153" s="169">
        <f ca="1">IF($C153-U$1&lt;År1,0,T152*(1-VLOOKUP($A153,[1]Hugst!$R$5:$W$9,MATCH(ROUNDUP((U$1)/10,0)*10,[1]Hugst!$R$4:$W$4,0))))</f>
        <v>4584.1228010817622</v>
      </c>
      <c r="V153" s="169">
        <f ca="1">IF($C153-V$1&lt;År1,0,U152*(1-VLOOKUP($A153,[1]Hugst!$R$5:$W$9,MATCH(ROUNDUP((V$1)/10,0)*10,[1]Hugst!$R$4:$W$4,0))))</f>
        <v>4594.1905567619388</v>
      </c>
      <c r="W153" s="169">
        <f ca="1">IF($C153-W$1&lt;År1,0,V152*(1-VLOOKUP($A153,[1]Hugst!$R$5:$W$9,MATCH(ROUNDUP((W$1)/10,0)*10,[1]Hugst!$R$4:$W$4,0))))</f>
        <v>4604.0422694921162</v>
      </c>
      <c r="X153" s="169">
        <f ca="1">IF($C153-X$1&lt;År1,0,W152*(1-VLOOKUP($A153,[1]Hugst!$R$5:$W$9,MATCH(ROUNDUP((X$1)/10,0)*10,[1]Hugst!$R$4:$W$4,0))))</f>
        <v>4613.4102189421337</v>
      </c>
      <c r="Y153" s="169">
        <f ca="1">IF($C153-Y$1&lt;År1,0,X152*(1-VLOOKUP($A153,[1]Hugst!$R$5:$W$9,MATCH(ROUNDUP((Y$1)/10,0)*10,[1]Hugst!$R$4:$W$4,0))))</f>
        <v>4621.7587047666275</v>
      </c>
      <c r="Z153" s="169">
        <f ca="1">IF($C153-Z$1&lt;År1,0,Y152*(1-VLOOKUP($A153,[1]Hugst!$R$5:$W$9,MATCH(ROUNDUP((Z$1)/10,0)*10,[1]Hugst!$R$4:$W$4,0))))</f>
        <v>4628.0160652843451</v>
      </c>
      <c r="AA153" s="169">
        <f ca="1">IF($C153-AA$1&lt;År1,0,Z152*(1-VLOOKUP($A153,[1]Hugst!$R$5:$W$9,MATCH(ROUNDUP((AA$1)/10,0)*10,[1]Hugst!$R$4:$W$4,0))))</f>
        <v>4630.0387148310256</v>
      </c>
      <c r="AB153" s="169">
        <f ca="1">IF($C153-AB$1&lt;År1,0,AA152*(1-VLOOKUP($A153,[1]Hugst!$R$5:$W$9,MATCH(ROUNDUP((AB$1)/10,0)*10,[1]Hugst!$R$4:$W$4,0))))</f>
        <v>4623.5392184583234</v>
      </c>
      <c r="AC153" s="169">
        <f ca="1">IF($C153-AC$1&lt;År1,0,AB152*(1-VLOOKUP($A153,[1]Hugst!$R$5:$W$9,MATCH(ROUNDUP((AC$1)/10,0)*10,[1]Hugst!$R$4:$W$4,0))))</f>
        <v>4599.9424413249817</v>
      </c>
      <c r="AD153" s="169">
        <f ca="1">IF($C153-AD$1&lt;År1,0,AC152*(1-VLOOKUP($A153,[1]Hugst!$R$5:$W$9,MATCH(ROUNDUP((AD$1)/10,0)*10,[1]Hugst!$R$4:$W$4,0))))</f>
        <v>4542.0978474723615</v>
      </c>
      <c r="AE153" s="169">
        <f ca="1">IF($C153-AE$1&lt;År1,0,AD152*(1-VLOOKUP($A153,[1]Hugst!$R$5:$W$9,MATCH(ROUNDUP((AE$1)/10,0)*10,[1]Hugst!$R$4:$W$4,0))))</f>
        <v>4415.7040973692729</v>
      </c>
      <c r="AF153" s="169">
        <f ca="1">IF($C153-AF$1&lt;År1,0,AE152*(1-VLOOKUP($A153,[1]Hugst!$R$5:$W$9,MATCH(ROUNDUP((AF$1)/10,0)*10,[1]Hugst!$R$4:$W$4,0))))</f>
        <v>4152.1582429942446</v>
      </c>
      <c r="AG153" s="169">
        <f ca="1">IF($C153-AG$1&lt;År1,0,AF152*(1-VLOOKUP($A153,[1]Hugst!$R$5:$W$9,MATCH(ROUNDUP((AG$1)/10,0)*10,[1]Hugst!$R$4:$W$4,0))))</f>
        <v>3614.2541179942436</v>
      </c>
      <c r="AH153" s="169">
        <f>IF($C153-AH$1&lt;År1,0,AG152*(1-VLOOKUP($A153,[1]Hugst!$R$5:$W$9,MATCH(ROUNDUP((AH$1)/10,0)*10,[1]Hugst!$R$4:$W$4,0))))</f>
        <v>0</v>
      </c>
      <c r="AI153" s="169">
        <f>IF($C153-AI$1&lt;År1,0,AH152*(1-VLOOKUP($A153,[1]Hugst!$R$5:$W$9,MATCH(ROUNDUP((AI$1)/10,0)*10,[1]Hugst!$R$4:$W$4,0))))</f>
        <v>0</v>
      </c>
      <c r="AJ153" s="169">
        <f>IF($C153-AJ$1&lt;År1,0,AI152*(1-VLOOKUP($A153,[1]Hugst!$R$5:$W$9,MATCH(ROUNDUP((AJ$1)/10,0)*10,[1]Hugst!$R$4:$W$4,0))))</f>
        <v>0</v>
      </c>
    </row>
    <row r="154" spans="1:36" x14ac:dyDescent="0.25">
      <c r="A154" s="169" t="s">
        <v>178</v>
      </c>
      <c r="B154" s="169" t="s">
        <v>23</v>
      </c>
      <c r="C154" s="169">
        <v>2048</v>
      </c>
      <c r="D154" s="169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1898.2954971522668</v>
      </c>
      <c r="E154" s="169">
        <f t="shared" ca="1" si="3"/>
        <v>0</v>
      </c>
      <c r="F154" s="169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4425.874615146523</v>
      </c>
      <c r="G154" s="169">
        <f ca="1">IF($C154-G$1&lt;År1,0,F153*(1-VLOOKUP($A154,[1]Hugst!$R$5:$W$9,MATCH(ROUNDUP((G$1)/10,0)*10,[1]Hugst!$R$4:$W$4,0))))</f>
        <v>4435.4137844305251</v>
      </c>
      <c r="H154" s="169">
        <f ca="1">IF($C154-H$1&lt;År1,0,G153*(1-VLOOKUP($A154,[1]Hugst!$R$5:$W$9,MATCH(ROUNDUP((H$1)/10,0)*10,[1]Hugst!$R$4:$W$4,0))))</f>
        <v>4445.0008851700795</v>
      </c>
      <c r="I154" s="169">
        <f ca="1">IF($C154-I$1&lt;År1,0,H153*(1-VLOOKUP($A154,[1]Hugst!$R$5:$W$9,MATCH(ROUNDUP((I$1)/10,0)*10,[1]Hugst!$R$4:$W$4,0))))</f>
        <v>4454.6361541581527</v>
      </c>
      <c r="J154" s="169">
        <f ca="1">IF($C154-J$1&lt;År1,0,I153*(1-VLOOKUP($A154,[1]Hugst!$R$5:$W$9,MATCH(ROUNDUP((J$1)/10,0)*10,[1]Hugst!$R$4:$W$4,0))))</f>
        <v>4464.3198253092987</v>
      </c>
      <c r="K154" s="169">
        <f ca="1">IF($C154-K$1&lt;År1,0,J153*(1-VLOOKUP($A154,[1]Hugst!$R$5:$W$9,MATCH(ROUNDUP((K$1)/10,0)*10,[1]Hugst!$R$4:$W$4,0))))</f>
        <v>4474.0521255763333</v>
      </c>
      <c r="L154" s="169">
        <f ca="1">IF($C154-L$1&lt;År1,0,K153*(1-VLOOKUP($A154,[1]Hugst!$R$5:$W$9,MATCH(ROUNDUP((L$1)/10,0)*10,[1]Hugst!$R$4:$W$4,0))))</f>
        <v>4483.8332667785353</v>
      </c>
      <c r="M154" s="169">
        <f ca="1">IF($C154-M$1&lt;År1,0,L153*(1-VLOOKUP($A154,[1]Hugst!$R$5:$W$9,MATCH(ROUNDUP((M$1)/10,0)*10,[1]Hugst!$R$4:$W$4,0))))</f>
        <v>4493.6634292512781</v>
      </c>
      <c r="N154" s="169">
        <f ca="1">IF($C154-N$1&lt;År1,0,M153*(1-VLOOKUP($A154,[1]Hugst!$R$5:$W$9,MATCH(ROUNDUP((N$1)/10,0)*10,[1]Hugst!$R$4:$W$4,0))))</f>
        <v>4503.5427291399783</v>
      </c>
      <c r="O154" s="169">
        <f ca="1">IF($C154-O$1&lt;År1,0,N153*(1-VLOOKUP($A154,[1]Hugst!$R$5:$W$9,MATCH(ROUNDUP((O$1)/10,0)*10,[1]Hugst!$R$4:$W$4,0))))</f>
        <v>4513.4711529808619</v>
      </c>
      <c r="P154" s="169">
        <f ca="1">IF($C154-P$1&lt;År1,0,O153*(1-VLOOKUP($A154,[1]Hugst!$R$5:$W$9,MATCH(ROUNDUP((P$1)/10,0)*10,[1]Hugst!$R$4:$W$4,0))))</f>
        <v>4523.4484268571423</v>
      </c>
      <c r="Q154" s="169">
        <f ca="1">IF($C154-Q$1&lt;År1,0,P153*(1-VLOOKUP($A154,[1]Hugst!$R$5:$W$9,MATCH(ROUNDUP((Q$1)/10,0)*10,[1]Hugst!$R$4:$W$4,0))))</f>
        <v>4533.4737547045324</v>
      </c>
      <c r="R154" s="169">
        <f ca="1">IF($C154-R$1&lt;År1,0,Q153*(1-VLOOKUP($A154,[1]Hugst!$R$5:$W$9,MATCH(ROUNDUP((R$1)/10,0)*10,[1]Hugst!$R$4:$W$4,0))))</f>
        <v>4543.5452949168384</v>
      </c>
      <c r="S154" s="169">
        <f ca="1">IF($C154-S$1&lt;År1,0,R153*(1-VLOOKUP($A154,[1]Hugst!$R$5:$W$9,MATCH(ROUNDUP((S$1)/10,0)*10,[1]Hugst!$R$4:$W$4,0))))</f>
        <v>4553.6591135500084</v>
      </c>
      <c r="T154" s="169">
        <f ca="1">IF($C154-T$1&lt;År1,0,S153*(1-VLOOKUP($A154,[1]Hugst!$R$5:$W$9,MATCH(ROUNDUP((T$1)/10,0)*10,[1]Hugst!$R$4:$W$4,0))))</f>
        <v>4563.8070907244482</v>
      </c>
      <c r="U154" s="169">
        <f ca="1">IF($C154-U$1&lt;År1,0,T153*(1-VLOOKUP($A154,[1]Hugst!$R$5:$W$9,MATCH(ROUNDUP((U$1)/10,0)*10,[1]Hugst!$R$4:$W$4,0))))</f>
        <v>4573.9727334231638</v>
      </c>
      <c r="V154" s="169">
        <f ca="1">IF($C154-V$1&lt;År1,0,U153*(1-VLOOKUP($A154,[1]Hugst!$R$5:$W$9,MATCH(ROUNDUP((V$1)/10,0)*10,[1]Hugst!$R$4:$W$4,0))))</f>
        <v>4584.1228010817622</v>
      </c>
      <c r="W154" s="169">
        <f ca="1">IF($C154-W$1&lt;År1,0,V153*(1-VLOOKUP($A154,[1]Hugst!$R$5:$W$9,MATCH(ROUNDUP((W$1)/10,0)*10,[1]Hugst!$R$4:$W$4,0))))</f>
        <v>4594.1905567619388</v>
      </c>
      <c r="X154" s="169">
        <f ca="1">IF($C154-X$1&lt;År1,0,W153*(1-VLOOKUP($A154,[1]Hugst!$R$5:$W$9,MATCH(ROUNDUP((X$1)/10,0)*10,[1]Hugst!$R$4:$W$4,0))))</f>
        <v>4604.0422694921162</v>
      </c>
      <c r="Y154" s="169">
        <f ca="1">IF($C154-Y$1&lt;År1,0,X153*(1-VLOOKUP($A154,[1]Hugst!$R$5:$W$9,MATCH(ROUNDUP((Y$1)/10,0)*10,[1]Hugst!$R$4:$W$4,0))))</f>
        <v>4613.4102189421337</v>
      </c>
      <c r="Z154" s="169">
        <f ca="1">IF($C154-Z$1&lt;År1,0,Y153*(1-VLOOKUP($A154,[1]Hugst!$R$5:$W$9,MATCH(ROUNDUP((Z$1)/10,0)*10,[1]Hugst!$R$4:$W$4,0))))</f>
        <v>4621.7587047666275</v>
      </c>
      <c r="AA154" s="169">
        <f ca="1">IF($C154-AA$1&lt;År1,0,Z153*(1-VLOOKUP($A154,[1]Hugst!$R$5:$W$9,MATCH(ROUNDUP((AA$1)/10,0)*10,[1]Hugst!$R$4:$W$4,0))))</f>
        <v>4628.0160652843451</v>
      </c>
      <c r="AB154" s="169">
        <f ca="1">IF($C154-AB$1&lt;År1,0,AA153*(1-VLOOKUP($A154,[1]Hugst!$R$5:$W$9,MATCH(ROUNDUP((AB$1)/10,0)*10,[1]Hugst!$R$4:$W$4,0))))</f>
        <v>4630.0387148310256</v>
      </c>
      <c r="AC154" s="169">
        <f ca="1">IF($C154-AC$1&lt;År1,0,AB153*(1-VLOOKUP($A154,[1]Hugst!$R$5:$W$9,MATCH(ROUNDUP((AC$1)/10,0)*10,[1]Hugst!$R$4:$W$4,0))))</f>
        <v>4623.5392184583234</v>
      </c>
      <c r="AD154" s="169">
        <f ca="1">IF($C154-AD$1&lt;År1,0,AC153*(1-VLOOKUP($A154,[1]Hugst!$R$5:$W$9,MATCH(ROUNDUP((AD$1)/10,0)*10,[1]Hugst!$R$4:$W$4,0))))</f>
        <v>4599.9424413249817</v>
      </c>
      <c r="AE154" s="169">
        <f ca="1">IF($C154-AE$1&lt;År1,0,AD153*(1-VLOOKUP($A154,[1]Hugst!$R$5:$W$9,MATCH(ROUNDUP((AE$1)/10,0)*10,[1]Hugst!$R$4:$W$4,0))))</f>
        <v>4542.0978474723615</v>
      </c>
      <c r="AF154" s="169">
        <f ca="1">IF($C154-AF$1&lt;År1,0,AE153*(1-VLOOKUP($A154,[1]Hugst!$R$5:$W$9,MATCH(ROUNDUP((AF$1)/10,0)*10,[1]Hugst!$R$4:$W$4,0))))</f>
        <v>4415.7040973692729</v>
      </c>
      <c r="AG154" s="169">
        <f ca="1">IF($C154-AG$1&lt;År1,0,AF153*(1-VLOOKUP($A154,[1]Hugst!$R$5:$W$9,MATCH(ROUNDUP((AG$1)/10,0)*10,[1]Hugst!$R$4:$W$4,0))))</f>
        <v>4152.1582429942446</v>
      </c>
      <c r="AH154" s="169">
        <f ca="1">IF($C154-AH$1&lt;År1,0,AG153*(1-VLOOKUP($A154,[1]Hugst!$R$5:$W$9,MATCH(ROUNDUP((AH$1)/10,0)*10,[1]Hugst!$R$4:$W$4,0))))</f>
        <v>3614.2541179942436</v>
      </c>
      <c r="AI154" s="169">
        <f>IF($C154-AI$1&lt;År1,0,AH153*(1-VLOOKUP($A154,[1]Hugst!$R$5:$W$9,MATCH(ROUNDUP((AI$1)/10,0)*10,[1]Hugst!$R$4:$W$4,0))))</f>
        <v>0</v>
      </c>
      <c r="AJ154" s="169">
        <f>IF($C154-AJ$1&lt;År1,0,AI153*(1-VLOOKUP($A154,[1]Hugst!$R$5:$W$9,MATCH(ROUNDUP((AJ$1)/10,0)*10,[1]Hugst!$R$4:$W$4,0))))</f>
        <v>0</v>
      </c>
    </row>
    <row r="155" spans="1:36" x14ac:dyDescent="0.25">
      <c r="A155" s="169" t="s">
        <v>178</v>
      </c>
      <c r="B155" s="169" t="s">
        <v>23</v>
      </c>
      <c r="C155" s="169">
        <v>2049</v>
      </c>
      <c r="D155" s="169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1888.8040216906302</v>
      </c>
      <c r="E155" s="169">
        <f t="shared" ca="1" si="3"/>
        <v>0</v>
      </c>
      <c r="F155" s="169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4416.3831396848864</v>
      </c>
      <c r="G155" s="169">
        <f ca="1">IF($C155-G$1&lt;År1,0,F154*(1-VLOOKUP($A155,[1]Hugst!$R$5:$W$9,MATCH(ROUNDUP((G$1)/10,0)*10,[1]Hugst!$R$4:$W$4,0))))</f>
        <v>4425.874615146523</v>
      </c>
      <c r="H155" s="169">
        <f ca="1">IF($C155-H$1&lt;År1,0,G154*(1-VLOOKUP($A155,[1]Hugst!$R$5:$W$9,MATCH(ROUNDUP((H$1)/10,0)*10,[1]Hugst!$R$4:$W$4,0))))</f>
        <v>4435.4137844305251</v>
      </c>
      <c r="I155" s="169">
        <f ca="1">IF($C155-I$1&lt;År1,0,H154*(1-VLOOKUP($A155,[1]Hugst!$R$5:$W$9,MATCH(ROUNDUP((I$1)/10,0)*10,[1]Hugst!$R$4:$W$4,0))))</f>
        <v>4445.0008851700795</v>
      </c>
      <c r="J155" s="169">
        <f ca="1">IF($C155-J$1&lt;År1,0,I154*(1-VLOOKUP($A155,[1]Hugst!$R$5:$W$9,MATCH(ROUNDUP((J$1)/10,0)*10,[1]Hugst!$R$4:$W$4,0))))</f>
        <v>4454.6361541581527</v>
      </c>
      <c r="K155" s="169">
        <f ca="1">IF($C155-K$1&lt;År1,0,J154*(1-VLOOKUP($A155,[1]Hugst!$R$5:$W$9,MATCH(ROUNDUP((K$1)/10,0)*10,[1]Hugst!$R$4:$W$4,0))))</f>
        <v>4464.3198253092987</v>
      </c>
      <c r="L155" s="169">
        <f ca="1">IF($C155-L$1&lt;År1,0,K154*(1-VLOOKUP($A155,[1]Hugst!$R$5:$W$9,MATCH(ROUNDUP((L$1)/10,0)*10,[1]Hugst!$R$4:$W$4,0))))</f>
        <v>4474.0521255763333</v>
      </c>
      <c r="M155" s="169">
        <f ca="1">IF($C155-M$1&lt;År1,0,L154*(1-VLOOKUP($A155,[1]Hugst!$R$5:$W$9,MATCH(ROUNDUP((M$1)/10,0)*10,[1]Hugst!$R$4:$W$4,0))))</f>
        <v>4483.8332667785353</v>
      </c>
      <c r="N155" s="169">
        <f ca="1">IF($C155-N$1&lt;År1,0,M154*(1-VLOOKUP($A155,[1]Hugst!$R$5:$W$9,MATCH(ROUNDUP((N$1)/10,0)*10,[1]Hugst!$R$4:$W$4,0))))</f>
        <v>4493.6634292512781</v>
      </c>
      <c r="O155" s="169">
        <f ca="1">IF($C155-O$1&lt;År1,0,N154*(1-VLOOKUP($A155,[1]Hugst!$R$5:$W$9,MATCH(ROUNDUP((O$1)/10,0)*10,[1]Hugst!$R$4:$W$4,0))))</f>
        <v>4503.5427291399783</v>
      </c>
      <c r="P155" s="169">
        <f ca="1">IF($C155-P$1&lt;År1,0,O154*(1-VLOOKUP($A155,[1]Hugst!$R$5:$W$9,MATCH(ROUNDUP((P$1)/10,0)*10,[1]Hugst!$R$4:$W$4,0))))</f>
        <v>4513.4711529808619</v>
      </c>
      <c r="Q155" s="169">
        <f ca="1">IF($C155-Q$1&lt;År1,0,P154*(1-VLOOKUP($A155,[1]Hugst!$R$5:$W$9,MATCH(ROUNDUP((Q$1)/10,0)*10,[1]Hugst!$R$4:$W$4,0))))</f>
        <v>4523.4484268571423</v>
      </c>
      <c r="R155" s="169">
        <f ca="1">IF($C155-R$1&lt;År1,0,Q154*(1-VLOOKUP($A155,[1]Hugst!$R$5:$W$9,MATCH(ROUNDUP((R$1)/10,0)*10,[1]Hugst!$R$4:$W$4,0))))</f>
        <v>4533.4737547045324</v>
      </c>
      <c r="S155" s="169">
        <f ca="1">IF($C155-S$1&lt;År1,0,R154*(1-VLOOKUP($A155,[1]Hugst!$R$5:$W$9,MATCH(ROUNDUP((S$1)/10,0)*10,[1]Hugst!$R$4:$W$4,0))))</f>
        <v>4543.5452949168384</v>
      </c>
      <c r="T155" s="169">
        <f ca="1">IF($C155-T$1&lt;År1,0,S154*(1-VLOOKUP($A155,[1]Hugst!$R$5:$W$9,MATCH(ROUNDUP((T$1)/10,0)*10,[1]Hugst!$R$4:$W$4,0))))</f>
        <v>4553.6591135500084</v>
      </c>
      <c r="U155" s="169">
        <f ca="1">IF($C155-U$1&lt;År1,0,T154*(1-VLOOKUP($A155,[1]Hugst!$R$5:$W$9,MATCH(ROUNDUP((U$1)/10,0)*10,[1]Hugst!$R$4:$W$4,0))))</f>
        <v>4563.8070907244482</v>
      </c>
      <c r="V155" s="169">
        <f ca="1">IF($C155-V$1&lt;År1,0,U154*(1-VLOOKUP($A155,[1]Hugst!$R$5:$W$9,MATCH(ROUNDUP((V$1)/10,0)*10,[1]Hugst!$R$4:$W$4,0))))</f>
        <v>4573.9727334231638</v>
      </c>
      <c r="W155" s="169">
        <f ca="1">IF($C155-W$1&lt;År1,0,V154*(1-VLOOKUP($A155,[1]Hugst!$R$5:$W$9,MATCH(ROUNDUP((W$1)/10,0)*10,[1]Hugst!$R$4:$W$4,0))))</f>
        <v>4584.1228010817622</v>
      </c>
      <c r="X155" s="169">
        <f ca="1">IF($C155-X$1&lt;År1,0,W154*(1-VLOOKUP($A155,[1]Hugst!$R$5:$W$9,MATCH(ROUNDUP((X$1)/10,0)*10,[1]Hugst!$R$4:$W$4,0))))</f>
        <v>4594.1905567619388</v>
      </c>
      <c r="Y155" s="169">
        <f ca="1">IF($C155-Y$1&lt;År1,0,X154*(1-VLOOKUP($A155,[1]Hugst!$R$5:$W$9,MATCH(ROUNDUP((Y$1)/10,0)*10,[1]Hugst!$R$4:$W$4,0))))</f>
        <v>4604.0422694921162</v>
      </c>
      <c r="Z155" s="169">
        <f ca="1">IF($C155-Z$1&lt;År1,0,Y154*(1-VLOOKUP($A155,[1]Hugst!$R$5:$W$9,MATCH(ROUNDUP((Z$1)/10,0)*10,[1]Hugst!$R$4:$W$4,0))))</f>
        <v>4613.4102189421337</v>
      </c>
      <c r="AA155" s="169">
        <f ca="1">IF($C155-AA$1&lt;År1,0,Z154*(1-VLOOKUP($A155,[1]Hugst!$R$5:$W$9,MATCH(ROUNDUP((AA$1)/10,0)*10,[1]Hugst!$R$4:$W$4,0))))</f>
        <v>4621.7587047666275</v>
      </c>
      <c r="AB155" s="169">
        <f ca="1">IF($C155-AB$1&lt;År1,0,AA154*(1-VLOOKUP($A155,[1]Hugst!$R$5:$W$9,MATCH(ROUNDUP((AB$1)/10,0)*10,[1]Hugst!$R$4:$W$4,0))))</f>
        <v>4628.0160652843451</v>
      </c>
      <c r="AC155" s="169">
        <f ca="1">IF($C155-AC$1&lt;År1,0,AB154*(1-VLOOKUP($A155,[1]Hugst!$R$5:$W$9,MATCH(ROUNDUP((AC$1)/10,0)*10,[1]Hugst!$R$4:$W$4,0))))</f>
        <v>4630.0387148310256</v>
      </c>
      <c r="AD155" s="169">
        <f ca="1">IF($C155-AD$1&lt;År1,0,AC154*(1-VLOOKUP($A155,[1]Hugst!$R$5:$W$9,MATCH(ROUNDUP((AD$1)/10,0)*10,[1]Hugst!$R$4:$W$4,0))))</f>
        <v>4623.5392184583234</v>
      </c>
      <c r="AE155" s="169">
        <f ca="1">IF($C155-AE$1&lt;År1,0,AD154*(1-VLOOKUP($A155,[1]Hugst!$R$5:$W$9,MATCH(ROUNDUP((AE$1)/10,0)*10,[1]Hugst!$R$4:$W$4,0))))</f>
        <v>4599.9424413249817</v>
      </c>
      <c r="AF155" s="169">
        <f ca="1">IF($C155-AF$1&lt;År1,0,AE154*(1-VLOOKUP($A155,[1]Hugst!$R$5:$W$9,MATCH(ROUNDUP((AF$1)/10,0)*10,[1]Hugst!$R$4:$W$4,0))))</f>
        <v>4542.0978474723615</v>
      </c>
      <c r="AG155" s="169">
        <f ca="1">IF($C155-AG$1&lt;År1,0,AF154*(1-VLOOKUP($A155,[1]Hugst!$R$5:$W$9,MATCH(ROUNDUP((AG$1)/10,0)*10,[1]Hugst!$R$4:$W$4,0))))</f>
        <v>4415.7040973692729</v>
      </c>
      <c r="AH155" s="169">
        <f ca="1">IF($C155-AH$1&lt;År1,0,AG154*(1-VLOOKUP($A155,[1]Hugst!$R$5:$W$9,MATCH(ROUNDUP((AH$1)/10,0)*10,[1]Hugst!$R$4:$W$4,0))))</f>
        <v>4152.1582429942446</v>
      </c>
      <c r="AI155" s="169">
        <f ca="1">IF($C155-AI$1&lt;År1,0,AH154*(1-VLOOKUP($A155,[1]Hugst!$R$5:$W$9,MATCH(ROUNDUP((AI$1)/10,0)*10,[1]Hugst!$R$4:$W$4,0))))</f>
        <v>3614.2541179942436</v>
      </c>
      <c r="AJ155" s="169">
        <f>IF($C155-AJ$1&lt;År1,0,AI154*(1-VLOOKUP($A155,[1]Hugst!$R$5:$W$9,MATCH(ROUNDUP((AJ$1)/10,0)*10,[1]Hugst!$R$4:$W$4,0))))</f>
        <v>0</v>
      </c>
    </row>
    <row r="156" spans="1:36" x14ac:dyDescent="0.25">
      <c r="A156" s="169" t="s">
        <v>178</v>
      </c>
      <c r="B156" s="169" t="s">
        <v>23</v>
      </c>
      <c r="C156" s="169">
        <v>2050</v>
      </c>
      <c r="D156" s="169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1879.3600025942178</v>
      </c>
      <c r="E156" s="169">
        <f t="shared" ca="1" si="3"/>
        <v>6.571371123631252</v>
      </c>
      <c r="F156" s="169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4413.5104917121052</v>
      </c>
      <c r="G156" s="169">
        <f ca="1">IF($C156-G$1&lt;År1,0,F155*(1-VLOOKUP($A156,[1]Hugst!$R$5:$W$9,MATCH(ROUNDUP((G$1)/10,0)*10,[1]Hugst!$R$4:$W$4,0))))</f>
        <v>4416.3831396848864</v>
      </c>
      <c r="H156" s="169">
        <f ca="1">IF($C156-H$1&lt;År1,0,G155*(1-VLOOKUP($A156,[1]Hugst!$R$5:$W$9,MATCH(ROUNDUP((H$1)/10,0)*10,[1]Hugst!$R$4:$W$4,0))))</f>
        <v>4425.874615146523</v>
      </c>
      <c r="I156" s="169">
        <f ca="1">IF($C156-I$1&lt;År1,0,H155*(1-VLOOKUP($A156,[1]Hugst!$R$5:$W$9,MATCH(ROUNDUP((I$1)/10,0)*10,[1]Hugst!$R$4:$W$4,0))))</f>
        <v>4435.4137844305251</v>
      </c>
      <c r="J156" s="169">
        <f ca="1">IF($C156-J$1&lt;År1,0,I155*(1-VLOOKUP($A156,[1]Hugst!$R$5:$W$9,MATCH(ROUNDUP((J$1)/10,0)*10,[1]Hugst!$R$4:$W$4,0))))</f>
        <v>4445.0008851700795</v>
      </c>
      <c r="K156" s="169">
        <f ca="1">IF($C156-K$1&lt;År1,0,J155*(1-VLOOKUP($A156,[1]Hugst!$R$5:$W$9,MATCH(ROUNDUP((K$1)/10,0)*10,[1]Hugst!$R$4:$W$4,0))))</f>
        <v>4454.6361541581527</v>
      </c>
      <c r="L156" s="169">
        <f ca="1">IF($C156-L$1&lt;År1,0,K155*(1-VLOOKUP($A156,[1]Hugst!$R$5:$W$9,MATCH(ROUNDUP((L$1)/10,0)*10,[1]Hugst!$R$4:$W$4,0))))</f>
        <v>4464.3198253092987</v>
      </c>
      <c r="M156" s="169">
        <f ca="1">IF($C156-M$1&lt;År1,0,L155*(1-VLOOKUP($A156,[1]Hugst!$R$5:$W$9,MATCH(ROUNDUP((M$1)/10,0)*10,[1]Hugst!$R$4:$W$4,0))))</f>
        <v>4474.0521255763333</v>
      </c>
      <c r="N156" s="169">
        <f ca="1">IF($C156-N$1&lt;År1,0,M155*(1-VLOOKUP($A156,[1]Hugst!$R$5:$W$9,MATCH(ROUNDUP((N$1)/10,0)*10,[1]Hugst!$R$4:$W$4,0))))</f>
        <v>4483.8332667785353</v>
      </c>
      <c r="O156" s="169">
        <f ca="1">IF($C156-O$1&lt;År1,0,N155*(1-VLOOKUP($A156,[1]Hugst!$R$5:$W$9,MATCH(ROUNDUP((O$1)/10,0)*10,[1]Hugst!$R$4:$W$4,0))))</f>
        <v>4493.6634292512781</v>
      </c>
      <c r="P156" s="169">
        <f ca="1">IF($C156-P$1&lt;År1,0,O155*(1-VLOOKUP($A156,[1]Hugst!$R$5:$W$9,MATCH(ROUNDUP((P$1)/10,0)*10,[1]Hugst!$R$4:$W$4,0))))</f>
        <v>4503.5427291399783</v>
      </c>
      <c r="Q156" s="169">
        <f ca="1">IF($C156-Q$1&lt;År1,0,P155*(1-VLOOKUP($A156,[1]Hugst!$R$5:$W$9,MATCH(ROUNDUP((Q$1)/10,0)*10,[1]Hugst!$R$4:$W$4,0))))</f>
        <v>4513.4711529808619</v>
      </c>
      <c r="R156" s="169">
        <f ca="1">IF($C156-R$1&lt;År1,0,Q155*(1-VLOOKUP($A156,[1]Hugst!$R$5:$W$9,MATCH(ROUNDUP((R$1)/10,0)*10,[1]Hugst!$R$4:$W$4,0))))</f>
        <v>4523.4484268571423</v>
      </c>
      <c r="S156" s="169">
        <f ca="1">IF($C156-S$1&lt;År1,0,R155*(1-VLOOKUP($A156,[1]Hugst!$R$5:$W$9,MATCH(ROUNDUP((S$1)/10,0)*10,[1]Hugst!$R$4:$W$4,0))))</f>
        <v>4533.4737547045324</v>
      </c>
      <c r="T156" s="169">
        <f ca="1">IF($C156-T$1&lt;År1,0,S155*(1-VLOOKUP($A156,[1]Hugst!$R$5:$W$9,MATCH(ROUNDUP((T$1)/10,0)*10,[1]Hugst!$R$4:$W$4,0))))</f>
        <v>4543.5452949168384</v>
      </c>
      <c r="U156" s="169">
        <f ca="1">IF($C156-U$1&lt;År1,0,T155*(1-VLOOKUP($A156,[1]Hugst!$R$5:$W$9,MATCH(ROUNDUP((U$1)/10,0)*10,[1]Hugst!$R$4:$W$4,0))))</f>
        <v>4553.6591135500084</v>
      </c>
      <c r="V156" s="169">
        <f ca="1">IF($C156-V$1&lt;År1,0,U155*(1-VLOOKUP($A156,[1]Hugst!$R$5:$W$9,MATCH(ROUNDUP((V$1)/10,0)*10,[1]Hugst!$R$4:$W$4,0))))</f>
        <v>4563.8070907244482</v>
      </c>
      <c r="W156" s="169">
        <f ca="1">IF($C156-W$1&lt;År1,0,V155*(1-VLOOKUP($A156,[1]Hugst!$R$5:$W$9,MATCH(ROUNDUP((W$1)/10,0)*10,[1]Hugst!$R$4:$W$4,0))))</f>
        <v>4573.9727334231638</v>
      </c>
      <c r="X156" s="169">
        <f ca="1">IF($C156-X$1&lt;År1,0,W155*(1-VLOOKUP($A156,[1]Hugst!$R$5:$W$9,MATCH(ROUNDUP((X$1)/10,0)*10,[1]Hugst!$R$4:$W$4,0))))</f>
        <v>4584.1228010817622</v>
      </c>
      <c r="Y156" s="169">
        <f ca="1">IF($C156-Y$1&lt;År1,0,X155*(1-VLOOKUP($A156,[1]Hugst!$R$5:$W$9,MATCH(ROUNDUP((Y$1)/10,0)*10,[1]Hugst!$R$4:$W$4,0))))</f>
        <v>4594.1905567619388</v>
      </c>
      <c r="Z156" s="169">
        <f ca="1">IF($C156-Z$1&lt;År1,0,Y155*(1-VLOOKUP($A156,[1]Hugst!$R$5:$W$9,MATCH(ROUNDUP((Z$1)/10,0)*10,[1]Hugst!$R$4:$W$4,0))))</f>
        <v>4604.0422694921162</v>
      </c>
      <c r="AA156" s="169">
        <f ca="1">IF($C156-AA$1&lt;År1,0,Z155*(1-VLOOKUP($A156,[1]Hugst!$R$5:$W$9,MATCH(ROUNDUP((AA$1)/10,0)*10,[1]Hugst!$R$4:$W$4,0))))</f>
        <v>4613.4102189421337</v>
      </c>
      <c r="AB156" s="169">
        <f ca="1">IF($C156-AB$1&lt;År1,0,AA155*(1-VLOOKUP($A156,[1]Hugst!$R$5:$W$9,MATCH(ROUNDUP((AB$1)/10,0)*10,[1]Hugst!$R$4:$W$4,0))))</f>
        <v>4621.7587047666275</v>
      </c>
      <c r="AC156" s="169">
        <f ca="1">IF($C156-AC$1&lt;År1,0,AB155*(1-VLOOKUP($A156,[1]Hugst!$R$5:$W$9,MATCH(ROUNDUP((AC$1)/10,0)*10,[1]Hugst!$R$4:$W$4,0))))</f>
        <v>4628.0160652843451</v>
      </c>
      <c r="AD156" s="169">
        <f ca="1">IF($C156-AD$1&lt;År1,0,AC155*(1-VLOOKUP($A156,[1]Hugst!$R$5:$W$9,MATCH(ROUNDUP((AD$1)/10,0)*10,[1]Hugst!$R$4:$W$4,0))))</f>
        <v>4630.0387148310256</v>
      </c>
      <c r="AE156" s="169">
        <f ca="1">IF($C156-AE$1&lt;År1,0,AD155*(1-VLOOKUP($A156,[1]Hugst!$R$5:$W$9,MATCH(ROUNDUP((AE$1)/10,0)*10,[1]Hugst!$R$4:$W$4,0))))</f>
        <v>4623.5392184583234</v>
      </c>
      <c r="AF156" s="169">
        <f ca="1">IF($C156-AF$1&lt;År1,0,AE155*(1-VLOOKUP($A156,[1]Hugst!$R$5:$W$9,MATCH(ROUNDUP((AF$1)/10,0)*10,[1]Hugst!$R$4:$W$4,0))))</f>
        <v>4599.9424413249817</v>
      </c>
      <c r="AG156" s="169">
        <f ca="1">IF($C156-AG$1&lt;År1,0,AF155*(1-VLOOKUP($A156,[1]Hugst!$R$5:$W$9,MATCH(ROUNDUP((AG$1)/10,0)*10,[1]Hugst!$R$4:$W$4,0))))</f>
        <v>4542.0978474723615</v>
      </c>
      <c r="AH156" s="169">
        <f ca="1">IF($C156-AH$1&lt;År1,0,AG155*(1-VLOOKUP($A156,[1]Hugst!$R$5:$W$9,MATCH(ROUNDUP((AH$1)/10,0)*10,[1]Hugst!$R$4:$W$4,0))))</f>
        <v>4415.7040973692729</v>
      </c>
      <c r="AI156" s="169">
        <f ca="1">IF($C156-AI$1&lt;År1,0,AH155*(1-VLOOKUP($A156,[1]Hugst!$R$5:$W$9,MATCH(ROUNDUP((AI$1)/10,0)*10,[1]Hugst!$R$4:$W$4,0))))</f>
        <v>4152.1582429942446</v>
      </c>
      <c r="AJ156" s="169">
        <f ca="1">IF($C156-AJ$1&lt;År1,0,AI155*(1-VLOOKUP($A156,[1]Hugst!$R$5:$W$9,MATCH(ROUNDUP((AJ$1)/10,0)*10,[1]Hugst!$R$4:$W$4,0))))</f>
        <v>3607.6827468706178</v>
      </c>
    </row>
    <row r="157" spans="1:36" x14ac:dyDescent="0.25">
      <c r="A157" s="169" t="s">
        <v>178</v>
      </c>
      <c r="B157" s="169" t="s">
        <v>24</v>
      </c>
      <c r="C157" s="169">
        <v>2020</v>
      </c>
      <c r="D157" s="169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318.07499999999709</v>
      </c>
      <c r="E157" s="169">
        <f t="shared" si="3"/>
        <v>0</v>
      </c>
      <c r="F157" s="169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590.49588200574033</v>
      </c>
      <c r="G157" s="169">
        <f>IF($C157-G$1&lt;År1,0,F156*(1-VLOOKUP($A157,[1]Hugst!$R$5:$W$9,MATCH(ROUNDUP((G$1)/10,0)*10,[1]Hugst!$R$4:$W$4,0))))</f>
        <v>0</v>
      </c>
      <c r="H157" s="169">
        <f>IF($C157-H$1&lt;År1,0,G156*(1-VLOOKUP($A157,[1]Hugst!$R$5:$W$9,MATCH(ROUNDUP((H$1)/10,0)*10,[1]Hugst!$R$4:$W$4,0))))</f>
        <v>0</v>
      </c>
      <c r="I157" s="169">
        <f>IF($C157-I$1&lt;År1,0,H156*(1-VLOOKUP($A157,[1]Hugst!$R$5:$W$9,MATCH(ROUNDUP((I$1)/10,0)*10,[1]Hugst!$R$4:$W$4,0))))</f>
        <v>0</v>
      </c>
      <c r="J157" s="169">
        <f>IF($C157-J$1&lt;År1,0,I156*(1-VLOOKUP($A157,[1]Hugst!$R$5:$W$9,MATCH(ROUNDUP((J$1)/10,0)*10,[1]Hugst!$R$4:$W$4,0))))</f>
        <v>0</v>
      </c>
      <c r="K157" s="169">
        <f>IF($C157-K$1&lt;År1,0,J156*(1-VLOOKUP($A157,[1]Hugst!$R$5:$W$9,MATCH(ROUNDUP((K$1)/10,0)*10,[1]Hugst!$R$4:$W$4,0))))</f>
        <v>0</v>
      </c>
      <c r="L157" s="169">
        <f>IF($C157-L$1&lt;År1,0,K156*(1-VLOOKUP($A157,[1]Hugst!$R$5:$W$9,MATCH(ROUNDUP((L$1)/10,0)*10,[1]Hugst!$R$4:$W$4,0))))</f>
        <v>0</v>
      </c>
      <c r="M157" s="169">
        <f>IF($C157-M$1&lt;År1,0,L156*(1-VLOOKUP($A157,[1]Hugst!$R$5:$W$9,MATCH(ROUNDUP((M$1)/10,0)*10,[1]Hugst!$R$4:$W$4,0))))</f>
        <v>0</v>
      </c>
      <c r="N157" s="169">
        <f>IF($C157-N$1&lt;År1,0,M156*(1-VLOOKUP($A157,[1]Hugst!$R$5:$W$9,MATCH(ROUNDUP((N$1)/10,0)*10,[1]Hugst!$R$4:$W$4,0))))</f>
        <v>0</v>
      </c>
      <c r="O157" s="169">
        <f>IF($C157-O$1&lt;År1,0,N156*(1-VLOOKUP($A157,[1]Hugst!$R$5:$W$9,MATCH(ROUNDUP((O$1)/10,0)*10,[1]Hugst!$R$4:$W$4,0))))</f>
        <v>0</v>
      </c>
      <c r="P157" s="169">
        <f>IF($C157-P$1&lt;År1,0,O156*(1-VLOOKUP($A157,[1]Hugst!$R$5:$W$9,MATCH(ROUNDUP((P$1)/10,0)*10,[1]Hugst!$R$4:$W$4,0))))</f>
        <v>0</v>
      </c>
      <c r="Q157" s="169">
        <f>IF($C157-Q$1&lt;År1,0,P156*(1-VLOOKUP($A157,[1]Hugst!$R$5:$W$9,MATCH(ROUNDUP((Q$1)/10,0)*10,[1]Hugst!$R$4:$W$4,0))))</f>
        <v>0</v>
      </c>
      <c r="R157" s="169">
        <f>IF($C157-R$1&lt;År1,0,Q156*(1-VLOOKUP($A157,[1]Hugst!$R$5:$W$9,MATCH(ROUNDUP((R$1)/10,0)*10,[1]Hugst!$R$4:$W$4,0))))</f>
        <v>0</v>
      </c>
      <c r="S157" s="169">
        <f>IF($C157-S$1&lt;År1,0,R156*(1-VLOOKUP($A157,[1]Hugst!$R$5:$W$9,MATCH(ROUNDUP((S$1)/10,0)*10,[1]Hugst!$R$4:$W$4,0))))</f>
        <v>0</v>
      </c>
      <c r="T157" s="169">
        <f>IF($C157-T$1&lt;År1,0,S156*(1-VLOOKUP($A157,[1]Hugst!$R$5:$W$9,MATCH(ROUNDUP((T$1)/10,0)*10,[1]Hugst!$R$4:$W$4,0))))</f>
        <v>0</v>
      </c>
      <c r="U157" s="169">
        <f>IF($C157-U$1&lt;År1,0,T156*(1-VLOOKUP($A157,[1]Hugst!$R$5:$W$9,MATCH(ROUNDUP((U$1)/10,0)*10,[1]Hugst!$R$4:$W$4,0))))</f>
        <v>0</v>
      </c>
      <c r="V157" s="169">
        <f>IF($C157-V$1&lt;År1,0,U156*(1-VLOOKUP($A157,[1]Hugst!$R$5:$W$9,MATCH(ROUNDUP((V$1)/10,0)*10,[1]Hugst!$R$4:$W$4,0))))</f>
        <v>0</v>
      </c>
      <c r="W157" s="169">
        <f>IF($C157-W$1&lt;År1,0,V156*(1-VLOOKUP($A157,[1]Hugst!$R$5:$W$9,MATCH(ROUNDUP((W$1)/10,0)*10,[1]Hugst!$R$4:$W$4,0))))</f>
        <v>0</v>
      </c>
      <c r="X157" s="169">
        <f>IF($C157-X$1&lt;År1,0,W156*(1-VLOOKUP($A157,[1]Hugst!$R$5:$W$9,MATCH(ROUNDUP((X$1)/10,0)*10,[1]Hugst!$R$4:$W$4,0))))</f>
        <v>0</v>
      </c>
      <c r="Y157" s="169">
        <f>IF($C157-Y$1&lt;År1,0,X156*(1-VLOOKUP($A157,[1]Hugst!$R$5:$W$9,MATCH(ROUNDUP((Y$1)/10,0)*10,[1]Hugst!$R$4:$W$4,0))))</f>
        <v>0</v>
      </c>
      <c r="Z157" s="169">
        <f>IF($C157-Z$1&lt;År1,0,Y156*(1-VLOOKUP($A157,[1]Hugst!$R$5:$W$9,MATCH(ROUNDUP((Z$1)/10,0)*10,[1]Hugst!$R$4:$W$4,0))))</f>
        <v>0</v>
      </c>
      <c r="AA157" s="169">
        <f>IF($C157-AA$1&lt;År1,0,Z156*(1-VLOOKUP($A157,[1]Hugst!$R$5:$W$9,MATCH(ROUNDUP((AA$1)/10,0)*10,[1]Hugst!$R$4:$W$4,0))))</f>
        <v>0</v>
      </c>
      <c r="AB157" s="169">
        <f>IF($C157-AB$1&lt;År1,0,AA156*(1-VLOOKUP($A157,[1]Hugst!$R$5:$W$9,MATCH(ROUNDUP((AB$1)/10,0)*10,[1]Hugst!$R$4:$W$4,0))))</f>
        <v>0</v>
      </c>
      <c r="AC157" s="169">
        <f>IF($C157-AC$1&lt;År1,0,AB156*(1-VLOOKUP($A157,[1]Hugst!$R$5:$W$9,MATCH(ROUNDUP((AC$1)/10,0)*10,[1]Hugst!$R$4:$W$4,0))))</f>
        <v>0</v>
      </c>
      <c r="AD157" s="169">
        <f>IF($C157-AD$1&lt;År1,0,AC156*(1-VLOOKUP($A157,[1]Hugst!$R$5:$W$9,MATCH(ROUNDUP((AD$1)/10,0)*10,[1]Hugst!$R$4:$W$4,0))))</f>
        <v>0</v>
      </c>
      <c r="AE157" s="169">
        <f>IF($C157-AE$1&lt;År1,0,AD156*(1-VLOOKUP($A157,[1]Hugst!$R$5:$W$9,MATCH(ROUNDUP((AE$1)/10,0)*10,[1]Hugst!$R$4:$W$4,0))))</f>
        <v>0</v>
      </c>
      <c r="AF157" s="169">
        <f>IF($C157-AF$1&lt;År1,0,AE156*(1-VLOOKUP($A157,[1]Hugst!$R$5:$W$9,MATCH(ROUNDUP((AF$1)/10,0)*10,[1]Hugst!$R$4:$W$4,0))))</f>
        <v>0</v>
      </c>
      <c r="AG157" s="169">
        <f>IF($C157-AG$1&lt;År1,0,AF156*(1-VLOOKUP($A157,[1]Hugst!$R$5:$W$9,MATCH(ROUNDUP((AG$1)/10,0)*10,[1]Hugst!$R$4:$W$4,0))))</f>
        <v>0</v>
      </c>
      <c r="AH157" s="169">
        <f>IF($C157-AH$1&lt;År1,0,AG156*(1-VLOOKUP($A157,[1]Hugst!$R$5:$W$9,MATCH(ROUNDUP((AH$1)/10,0)*10,[1]Hugst!$R$4:$W$4,0))))</f>
        <v>0</v>
      </c>
      <c r="AI157" s="169">
        <f>IF($C157-AI$1&lt;År1,0,AH156*(1-VLOOKUP($A157,[1]Hugst!$R$5:$W$9,MATCH(ROUNDUP((AI$1)/10,0)*10,[1]Hugst!$R$4:$W$4,0))))</f>
        <v>0</v>
      </c>
      <c r="AJ157" s="169">
        <f>IF($C157-AJ$1&lt;År1,0,AI156*(1-VLOOKUP($A157,[1]Hugst!$R$5:$W$9,MATCH(ROUNDUP((AJ$1)/10,0)*10,[1]Hugst!$R$4:$W$4,0))))</f>
        <v>0</v>
      </c>
    </row>
    <row r="158" spans="1:36" x14ac:dyDescent="0.25">
      <c r="A158" s="169" t="s">
        <v>178</v>
      </c>
      <c r="B158" s="169" t="s">
        <v>24</v>
      </c>
      <c r="C158" s="169">
        <v>2021</v>
      </c>
      <c r="D158" s="169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475.52212499999587</v>
      </c>
      <c r="E158" s="169">
        <f t="shared" ca="1" si="3"/>
        <v>0</v>
      </c>
      <c r="F158" s="169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747.9430070057391</v>
      </c>
      <c r="G158" s="169">
        <f ca="1">IF($C158-G$1&lt;År1,0,F157*(1-VLOOKUP($A158,[1]Hugst!$R$5:$W$9,MATCH(ROUNDUP((G$1)/10,0)*10,[1]Hugst!$R$4:$W$4,0))))</f>
        <v>590.49588200574033</v>
      </c>
      <c r="H158" s="169">
        <f>IF($C158-H$1&lt;År1,0,G157*(1-VLOOKUP($A158,[1]Hugst!$R$5:$W$9,MATCH(ROUNDUP((H$1)/10,0)*10,[1]Hugst!$R$4:$W$4,0))))</f>
        <v>0</v>
      </c>
      <c r="I158" s="169">
        <f>IF($C158-I$1&lt;År1,0,H157*(1-VLOOKUP($A158,[1]Hugst!$R$5:$W$9,MATCH(ROUNDUP((I$1)/10,0)*10,[1]Hugst!$R$4:$W$4,0))))</f>
        <v>0</v>
      </c>
      <c r="J158" s="169">
        <f>IF($C158-J$1&lt;År1,0,I157*(1-VLOOKUP($A158,[1]Hugst!$R$5:$W$9,MATCH(ROUNDUP((J$1)/10,0)*10,[1]Hugst!$R$4:$W$4,0))))</f>
        <v>0</v>
      </c>
      <c r="K158" s="169">
        <f>IF($C158-K$1&lt;År1,0,J157*(1-VLOOKUP($A158,[1]Hugst!$R$5:$W$9,MATCH(ROUNDUP((K$1)/10,0)*10,[1]Hugst!$R$4:$W$4,0))))</f>
        <v>0</v>
      </c>
      <c r="L158" s="169">
        <f>IF($C158-L$1&lt;År1,0,K157*(1-VLOOKUP($A158,[1]Hugst!$R$5:$W$9,MATCH(ROUNDUP((L$1)/10,0)*10,[1]Hugst!$R$4:$W$4,0))))</f>
        <v>0</v>
      </c>
      <c r="M158" s="169">
        <f>IF($C158-M$1&lt;År1,0,L157*(1-VLOOKUP($A158,[1]Hugst!$R$5:$W$9,MATCH(ROUNDUP((M$1)/10,0)*10,[1]Hugst!$R$4:$W$4,0))))</f>
        <v>0</v>
      </c>
      <c r="N158" s="169">
        <f>IF($C158-N$1&lt;År1,0,M157*(1-VLOOKUP($A158,[1]Hugst!$R$5:$W$9,MATCH(ROUNDUP((N$1)/10,0)*10,[1]Hugst!$R$4:$W$4,0))))</f>
        <v>0</v>
      </c>
      <c r="O158" s="169">
        <f>IF($C158-O$1&lt;År1,0,N157*(1-VLOOKUP($A158,[1]Hugst!$R$5:$W$9,MATCH(ROUNDUP((O$1)/10,0)*10,[1]Hugst!$R$4:$W$4,0))))</f>
        <v>0</v>
      </c>
      <c r="P158" s="169">
        <f>IF($C158-P$1&lt;År1,0,O157*(1-VLOOKUP($A158,[1]Hugst!$R$5:$W$9,MATCH(ROUNDUP((P$1)/10,0)*10,[1]Hugst!$R$4:$W$4,0))))</f>
        <v>0</v>
      </c>
      <c r="Q158" s="169">
        <f>IF($C158-Q$1&lt;År1,0,P157*(1-VLOOKUP($A158,[1]Hugst!$R$5:$W$9,MATCH(ROUNDUP((Q$1)/10,0)*10,[1]Hugst!$R$4:$W$4,0))))</f>
        <v>0</v>
      </c>
      <c r="R158" s="169">
        <f>IF($C158-R$1&lt;År1,0,Q157*(1-VLOOKUP($A158,[1]Hugst!$R$5:$W$9,MATCH(ROUNDUP((R$1)/10,0)*10,[1]Hugst!$R$4:$W$4,0))))</f>
        <v>0</v>
      </c>
      <c r="S158" s="169">
        <f>IF($C158-S$1&lt;År1,0,R157*(1-VLOOKUP($A158,[1]Hugst!$R$5:$W$9,MATCH(ROUNDUP((S$1)/10,0)*10,[1]Hugst!$R$4:$W$4,0))))</f>
        <v>0</v>
      </c>
      <c r="T158" s="169">
        <f>IF($C158-T$1&lt;År1,0,S157*(1-VLOOKUP($A158,[1]Hugst!$R$5:$W$9,MATCH(ROUNDUP((T$1)/10,0)*10,[1]Hugst!$R$4:$W$4,0))))</f>
        <v>0</v>
      </c>
      <c r="U158" s="169">
        <f>IF($C158-U$1&lt;År1,0,T157*(1-VLOOKUP($A158,[1]Hugst!$R$5:$W$9,MATCH(ROUNDUP((U$1)/10,0)*10,[1]Hugst!$R$4:$W$4,0))))</f>
        <v>0</v>
      </c>
      <c r="V158" s="169">
        <f>IF($C158-V$1&lt;År1,0,U157*(1-VLOOKUP($A158,[1]Hugst!$R$5:$W$9,MATCH(ROUNDUP((V$1)/10,0)*10,[1]Hugst!$R$4:$W$4,0))))</f>
        <v>0</v>
      </c>
      <c r="W158" s="169">
        <f>IF($C158-W$1&lt;År1,0,V157*(1-VLOOKUP($A158,[1]Hugst!$R$5:$W$9,MATCH(ROUNDUP((W$1)/10,0)*10,[1]Hugst!$R$4:$W$4,0))))</f>
        <v>0</v>
      </c>
      <c r="X158" s="169">
        <f>IF($C158-X$1&lt;År1,0,W157*(1-VLOOKUP($A158,[1]Hugst!$R$5:$W$9,MATCH(ROUNDUP((X$1)/10,0)*10,[1]Hugst!$R$4:$W$4,0))))</f>
        <v>0</v>
      </c>
      <c r="Y158" s="169">
        <f>IF($C158-Y$1&lt;År1,0,X157*(1-VLOOKUP($A158,[1]Hugst!$R$5:$W$9,MATCH(ROUNDUP((Y$1)/10,0)*10,[1]Hugst!$R$4:$W$4,0))))</f>
        <v>0</v>
      </c>
      <c r="Z158" s="169">
        <f>IF($C158-Z$1&lt;År1,0,Y157*(1-VLOOKUP($A158,[1]Hugst!$R$5:$W$9,MATCH(ROUNDUP((Z$1)/10,0)*10,[1]Hugst!$R$4:$W$4,0))))</f>
        <v>0</v>
      </c>
      <c r="AA158" s="169">
        <f>IF($C158-AA$1&lt;År1,0,Z157*(1-VLOOKUP($A158,[1]Hugst!$R$5:$W$9,MATCH(ROUNDUP((AA$1)/10,0)*10,[1]Hugst!$R$4:$W$4,0))))</f>
        <v>0</v>
      </c>
      <c r="AB158" s="169">
        <f>IF($C158-AB$1&lt;År1,0,AA157*(1-VLOOKUP($A158,[1]Hugst!$R$5:$W$9,MATCH(ROUNDUP((AB$1)/10,0)*10,[1]Hugst!$R$4:$W$4,0))))</f>
        <v>0</v>
      </c>
      <c r="AC158" s="169">
        <f>IF($C158-AC$1&lt;År1,0,AB157*(1-VLOOKUP($A158,[1]Hugst!$R$5:$W$9,MATCH(ROUNDUP((AC$1)/10,0)*10,[1]Hugst!$R$4:$W$4,0))))</f>
        <v>0</v>
      </c>
      <c r="AD158" s="169">
        <f>IF($C158-AD$1&lt;År1,0,AC157*(1-VLOOKUP($A158,[1]Hugst!$R$5:$W$9,MATCH(ROUNDUP((AD$1)/10,0)*10,[1]Hugst!$R$4:$W$4,0))))</f>
        <v>0</v>
      </c>
      <c r="AE158" s="169">
        <f>IF($C158-AE$1&lt;År1,0,AD157*(1-VLOOKUP($A158,[1]Hugst!$R$5:$W$9,MATCH(ROUNDUP((AE$1)/10,0)*10,[1]Hugst!$R$4:$W$4,0))))</f>
        <v>0</v>
      </c>
      <c r="AF158" s="169">
        <f>IF($C158-AF$1&lt;År1,0,AE157*(1-VLOOKUP($A158,[1]Hugst!$R$5:$W$9,MATCH(ROUNDUP((AF$1)/10,0)*10,[1]Hugst!$R$4:$W$4,0))))</f>
        <v>0</v>
      </c>
      <c r="AG158" s="169">
        <f>IF($C158-AG$1&lt;År1,0,AF157*(1-VLOOKUP($A158,[1]Hugst!$R$5:$W$9,MATCH(ROUNDUP((AG$1)/10,0)*10,[1]Hugst!$R$4:$W$4,0))))</f>
        <v>0</v>
      </c>
      <c r="AH158" s="169">
        <f>IF($C158-AH$1&lt;År1,0,AG157*(1-VLOOKUP($A158,[1]Hugst!$R$5:$W$9,MATCH(ROUNDUP((AH$1)/10,0)*10,[1]Hugst!$R$4:$W$4,0))))</f>
        <v>0</v>
      </c>
      <c r="AI158" s="169">
        <f>IF($C158-AI$1&lt;År1,0,AH157*(1-VLOOKUP($A158,[1]Hugst!$R$5:$W$9,MATCH(ROUNDUP((AI$1)/10,0)*10,[1]Hugst!$R$4:$W$4,0))))</f>
        <v>0</v>
      </c>
      <c r="AJ158" s="169">
        <f>IF($C158-AJ$1&lt;År1,0,AI157*(1-VLOOKUP($A158,[1]Hugst!$R$5:$W$9,MATCH(ROUNDUP((AJ$1)/10,0)*10,[1]Hugst!$R$4:$W$4,0))))</f>
        <v>0</v>
      </c>
    </row>
    <row r="159" spans="1:36" x14ac:dyDescent="0.25">
      <c r="A159" s="169" t="s">
        <v>178</v>
      </c>
      <c r="B159" s="169" t="s">
        <v>24</v>
      </c>
      <c r="C159" s="169">
        <v>2022</v>
      </c>
      <c r="D159" s="169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552.66326437500175</v>
      </c>
      <c r="E159" s="169">
        <f t="shared" ca="1" si="3"/>
        <v>0</v>
      </c>
      <c r="F159" s="169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825.08414638074498</v>
      </c>
      <c r="G159" s="169">
        <f ca="1">IF($C159-G$1&lt;År1,0,F158*(1-VLOOKUP($A159,[1]Hugst!$R$5:$W$9,MATCH(ROUNDUP((G$1)/10,0)*10,[1]Hugst!$R$4:$W$4,0))))</f>
        <v>747.9430070057391</v>
      </c>
      <c r="H159" s="169">
        <f ca="1">IF($C159-H$1&lt;År1,0,G158*(1-VLOOKUP($A159,[1]Hugst!$R$5:$W$9,MATCH(ROUNDUP((H$1)/10,0)*10,[1]Hugst!$R$4:$W$4,0))))</f>
        <v>590.49588200574033</v>
      </c>
      <c r="I159" s="169">
        <f>IF($C159-I$1&lt;År1,0,H158*(1-VLOOKUP($A159,[1]Hugst!$R$5:$W$9,MATCH(ROUNDUP((I$1)/10,0)*10,[1]Hugst!$R$4:$W$4,0))))</f>
        <v>0</v>
      </c>
      <c r="J159" s="169">
        <f>IF($C159-J$1&lt;År1,0,I158*(1-VLOOKUP($A159,[1]Hugst!$R$5:$W$9,MATCH(ROUNDUP((J$1)/10,0)*10,[1]Hugst!$R$4:$W$4,0))))</f>
        <v>0</v>
      </c>
      <c r="K159" s="169">
        <f>IF($C159-K$1&lt;År1,0,J158*(1-VLOOKUP($A159,[1]Hugst!$R$5:$W$9,MATCH(ROUNDUP((K$1)/10,0)*10,[1]Hugst!$R$4:$W$4,0))))</f>
        <v>0</v>
      </c>
      <c r="L159" s="169">
        <f>IF($C159-L$1&lt;År1,0,K158*(1-VLOOKUP($A159,[1]Hugst!$R$5:$W$9,MATCH(ROUNDUP((L$1)/10,0)*10,[1]Hugst!$R$4:$W$4,0))))</f>
        <v>0</v>
      </c>
      <c r="M159" s="169">
        <f>IF($C159-M$1&lt;År1,0,L158*(1-VLOOKUP($A159,[1]Hugst!$R$5:$W$9,MATCH(ROUNDUP((M$1)/10,0)*10,[1]Hugst!$R$4:$W$4,0))))</f>
        <v>0</v>
      </c>
      <c r="N159" s="169">
        <f>IF($C159-N$1&lt;År1,0,M158*(1-VLOOKUP($A159,[1]Hugst!$R$5:$W$9,MATCH(ROUNDUP((N$1)/10,0)*10,[1]Hugst!$R$4:$W$4,0))))</f>
        <v>0</v>
      </c>
      <c r="O159" s="169">
        <f>IF($C159-O$1&lt;År1,0,N158*(1-VLOOKUP($A159,[1]Hugst!$R$5:$W$9,MATCH(ROUNDUP((O$1)/10,0)*10,[1]Hugst!$R$4:$W$4,0))))</f>
        <v>0</v>
      </c>
      <c r="P159" s="169">
        <f>IF($C159-P$1&lt;År1,0,O158*(1-VLOOKUP($A159,[1]Hugst!$R$5:$W$9,MATCH(ROUNDUP((P$1)/10,0)*10,[1]Hugst!$R$4:$W$4,0))))</f>
        <v>0</v>
      </c>
      <c r="Q159" s="169">
        <f>IF($C159-Q$1&lt;År1,0,P158*(1-VLOOKUP($A159,[1]Hugst!$R$5:$W$9,MATCH(ROUNDUP((Q$1)/10,0)*10,[1]Hugst!$R$4:$W$4,0))))</f>
        <v>0</v>
      </c>
      <c r="R159" s="169">
        <f>IF($C159-R$1&lt;År1,0,Q158*(1-VLOOKUP($A159,[1]Hugst!$R$5:$W$9,MATCH(ROUNDUP((R$1)/10,0)*10,[1]Hugst!$R$4:$W$4,0))))</f>
        <v>0</v>
      </c>
      <c r="S159" s="169">
        <f>IF($C159-S$1&lt;År1,0,R158*(1-VLOOKUP($A159,[1]Hugst!$R$5:$W$9,MATCH(ROUNDUP((S$1)/10,0)*10,[1]Hugst!$R$4:$W$4,0))))</f>
        <v>0</v>
      </c>
      <c r="T159" s="169">
        <f>IF($C159-T$1&lt;År1,0,S158*(1-VLOOKUP($A159,[1]Hugst!$R$5:$W$9,MATCH(ROUNDUP((T$1)/10,0)*10,[1]Hugst!$R$4:$W$4,0))))</f>
        <v>0</v>
      </c>
      <c r="U159" s="169">
        <f>IF($C159-U$1&lt;År1,0,T158*(1-VLOOKUP($A159,[1]Hugst!$R$5:$W$9,MATCH(ROUNDUP((U$1)/10,0)*10,[1]Hugst!$R$4:$W$4,0))))</f>
        <v>0</v>
      </c>
      <c r="V159" s="169">
        <f>IF($C159-V$1&lt;År1,0,U158*(1-VLOOKUP($A159,[1]Hugst!$R$5:$W$9,MATCH(ROUNDUP((V$1)/10,0)*10,[1]Hugst!$R$4:$W$4,0))))</f>
        <v>0</v>
      </c>
      <c r="W159" s="169">
        <f>IF($C159-W$1&lt;År1,0,V158*(1-VLOOKUP($A159,[1]Hugst!$R$5:$W$9,MATCH(ROUNDUP((W$1)/10,0)*10,[1]Hugst!$R$4:$W$4,0))))</f>
        <v>0</v>
      </c>
      <c r="X159" s="169">
        <f>IF($C159-X$1&lt;År1,0,W158*(1-VLOOKUP($A159,[1]Hugst!$R$5:$W$9,MATCH(ROUNDUP((X$1)/10,0)*10,[1]Hugst!$R$4:$W$4,0))))</f>
        <v>0</v>
      </c>
      <c r="Y159" s="169">
        <f>IF($C159-Y$1&lt;År1,0,X158*(1-VLOOKUP($A159,[1]Hugst!$R$5:$W$9,MATCH(ROUNDUP((Y$1)/10,0)*10,[1]Hugst!$R$4:$W$4,0))))</f>
        <v>0</v>
      </c>
      <c r="Z159" s="169">
        <f>IF($C159-Z$1&lt;År1,0,Y158*(1-VLOOKUP($A159,[1]Hugst!$R$5:$W$9,MATCH(ROUNDUP((Z$1)/10,0)*10,[1]Hugst!$R$4:$W$4,0))))</f>
        <v>0</v>
      </c>
      <c r="AA159" s="169">
        <f>IF($C159-AA$1&lt;År1,0,Z158*(1-VLOOKUP($A159,[1]Hugst!$R$5:$W$9,MATCH(ROUNDUP((AA$1)/10,0)*10,[1]Hugst!$R$4:$W$4,0))))</f>
        <v>0</v>
      </c>
      <c r="AB159" s="169">
        <f>IF($C159-AB$1&lt;År1,0,AA158*(1-VLOOKUP($A159,[1]Hugst!$R$5:$W$9,MATCH(ROUNDUP((AB$1)/10,0)*10,[1]Hugst!$R$4:$W$4,0))))</f>
        <v>0</v>
      </c>
      <c r="AC159" s="169">
        <f>IF($C159-AC$1&lt;År1,0,AB158*(1-VLOOKUP($A159,[1]Hugst!$R$5:$W$9,MATCH(ROUNDUP((AC$1)/10,0)*10,[1]Hugst!$R$4:$W$4,0))))</f>
        <v>0</v>
      </c>
      <c r="AD159" s="169">
        <f>IF($C159-AD$1&lt;År1,0,AC158*(1-VLOOKUP($A159,[1]Hugst!$R$5:$W$9,MATCH(ROUNDUP((AD$1)/10,0)*10,[1]Hugst!$R$4:$W$4,0))))</f>
        <v>0</v>
      </c>
      <c r="AE159" s="169">
        <f>IF($C159-AE$1&lt;År1,0,AD158*(1-VLOOKUP($A159,[1]Hugst!$R$5:$W$9,MATCH(ROUNDUP((AE$1)/10,0)*10,[1]Hugst!$R$4:$W$4,0))))</f>
        <v>0</v>
      </c>
      <c r="AF159" s="169">
        <f>IF($C159-AF$1&lt;År1,0,AE158*(1-VLOOKUP($A159,[1]Hugst!$R$5:$W$9,MATCH(ROUNDUP((AF$1)/10,0)*10,[1]Hugst!$R$4:$W$4,0))))</f>
        <v>0</v>
      </c>
      <c r="AG159" s="169">
        <f>IF($C159-AG$1&lt;År1,0,AF158*(1-VLOOKUP($A159,[1]Hugst!$R$5:$W$9,MATCH(ROUNDUP((AG$1)/10,0)*10,[1]Hugst!$R$4:$W$4,0))))</f>
        <v>0</v>
      </c>
      <c r="AH159" s="169">
        <f>IF($C159-AH$1&lt;År1,0,AG158*(1-VLOOKUP($A159,[1]Hugst!$R$5:$W$9,MATCH(ROUNDUP((AH$1)/10,0)*10,[1]Hugst!$R$4:$W$4,0))))</f>
        <v>0</v>
      </c>
      <c r="AI159" s="169">
        <f>IF($C159-AI$1&lt;År1,0,AH158*(1-VLOOKUP($A159,[1]Hugst!$R$5:$W$9,MATCH(ROUNDUP((AI$1)/10,0)*10,[1]Hugst!$R$4:$W$4,0))))</f>
        <v>0</v>
      </c>
      <c r="AJ159" s="169">
        <f>IF($C159-AJ$1&lt;År1,0,AI158*(1-VLOOKUP($A159,[1]Hugst!$R$5:$W$9,MATCH(ROUNDUP((AJ$1)/10,0)*10,[1]Hugst!$R$4:$W$4,0))))</f>
        <v>0</v>
      </c>
    </row>
    <row r="160" spans="1:36" x14ac:dyDescent="0.25">
      <c r="A160" s="169" t="s">
        <v>178</v>
      </c>
      <c r="B160" s="169" t="s">
        <v>24</v>
      </c>
      <c r="C160" s="169">
        <v>2023</v>
      </c>
      <c r="D160" s="169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589.65932305312708</v>
      </c>
      <c r="E160" s="169">
        <f t="shared" ca="1" si="3"/>
        <v>0</v>
      </c>
      <c r="F160" s="169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862.08020505887032</v>
      </c>
      <c r="G160" s="169">
        <f ca="1">IF($C160-G$1&lt;År1,0,F159*(1-VLOOKUP($A160,[1]Hugst!$R$5:$W$9,MATCH(ROUNDUP((G$1)/10,0)*10,[1]Hugst!$R$4:$W$4,0))))</f>
        <v>825.08414638074498</v>
      </c>
      <c r="H160" s="169">
        <f ca="1">IF($C160-H$1&lt;År1,0,G159*(1-VLOOKUP($A160,[1]Hugst!$R$5:$W$9,MATCH(ROUNDUP((H$1)/10,0)*10,[1]Hugst!$R$4:$W$4,0))))</f>
        <v>747.9430070057391</v>
      </c>
      <c r="I160" s="169">
        <f ca="1">IF($C160-I$1&lt;År1,0,H159*(1-VLOOKUP($A160,[1]Hugst!$R$5:$W$9,MATCH(ROUNDUP((I$1)/10,0)*10,[1]Hugst!$R$4:$W$4,0))))</f>
        <v>590.49588200574033</v>
      </c>
      <c r="J160" s="169">
        <f>IF($C160-J$1&lt;År1,0,I159*(1-VLOOKUP($A160,[1]Hugst!$R$5:$W$9,MATCH(ROUNDUP((J$1)/10,0)*10,[1]Hugst!$R$4:$W$4,0))))</f>
        <v>0</v>
      </c>
      <c r="K160" s="169">
        <f>IF($C160-K$1&lt;År1,0,J159*(1-VLOOKUP($A160,[1]Hugst!$R$5:$W$9,MATCH(ROUNDUP((K$1)/10,0)*10,[1]Hugst!$R$4:$W$4,0))))</f>
        <v>0</v>
      </c>
      <c r="L160" s="169">
        <f>IF($C160-L$1&lt;År1,0,K159*(1-VLOOKUP($A160,[1]Hugst!$R$5:$W$9,MATCH(ROUNDUP((L$1)/10,0)*10,[1]Hugst!$R$4:$W$4,0))))</f>
        <v>0</v>
      </c>
      <c r="M160" s="169">
        <f>IF($C160-M$1&lt;År1,0,L159*(1-VLOOKUP($A160,[1]Hugst!$R$5:$W$9,MATCH(ROUNDUP((M$1)/10,0)*10,[1]Hugst!$R$4:$W$4,0))))</f>
        <v>0</v>
      </c>
      <c r="N160" s="169">
        <f>IF($C160-N$1&lt;År1,0,M159*(1-VLOOKUP($A160,[1]Hugst!$R$5:$W$9,MATCH(ROUNDUP((N$1)/10,0)*10,[1]Hugst!$R$4:$W$4,0))))</f>
        <v>0</v>
      </c>
      <c r="O160" s="169">
        <f>IF($C160-O$1&lt;År1,0,N159*(1-VLOOKUP($A160,[1]Hugst!$R$5:$W$9,MATCH(ROUNDUP((O$1)/10,0)*10,[1]Hugst!$R$4:$W$4,0))))</f>
        <v>0</v>
      </c>
      <c r="P160" s="169">
        <f>IF($C160-P$1&lt;År1,0,O159*(1-VLOOKUP($A160,[1]Hugst!$R$5:$W$9,MATCH(ROUNDUP((P$1)/10,0)*10,[1]Hugst!$R$4:$W$4,0))))</f>
        <v>0</v>
      </c>
      <c r="Q160" s="169">
        <f>IF($C160-Q$1&lt;År1,0,P159*(1-VLOOKUP($A160,[1]Hugst!$R$5:$W$9,MATCH(ROUNDUP((Q$1)/10,0)*10,[1]Hugst!$R$4:$W$4,0))))</f>
        <v>0</v>
      </c>
      <c r="R160" s="169">
        <f>IF($C160-R$1&lt;År1,0,Q159*(1-VLOOKUP($A160,[1]Hugst!$R$5:$W$9,MATCH(ROUNDUP((R$1)/10,0)*10,[1]Hugst!$R$4:$W$4,0))))</f>
        <v>0</v>
      </c>
      <c r="S160" s="169">
        <f>IF($C160-S$1&lt;År1,0,R159*(1-VLOOKUP($A160,[1]Hugst!$R$5:$W$9,MATCH(ROUNDUP((S$1)/10,0)*10,[1]Hugst!$R$4:$W$4,0))))</f>
        <v>0</v>
      </c>
      <c r="T160" s="169">
        <f>IF($C160-T$1&lt;År1,0,S159*(1-VLOOKUP($A160,[1]Hugst!$R$5:$W$9,MATCH(ROUNDUP((T$1)/10,0)*10,[1]Hugst!$R$4:$W$4,0))))</f>
        <v>0</v>
      </c>
      <c r="U160" s="169">
        <f>IF($C160-U$1&lt;År1,0,T159*(1-VLOOKUP($A160,[1]Hugst!$R$5:$W$9,MATCH(ROUNDUP((U$1)/10,0)*10,[1]Hugst!$R$4:$W$4,0))))</f>
        <v>0</v>
      </c>
      <c r="V160" s="169">
        <f>IF($C160-V$1&lt;År1,0,U159*(1-VLOOKUP($A160,[1]Hugst!$R$5:$W$9,MATCH(ROUNDUP((V$1)/10,0)*10,[1]Hugst!$R$4:$W$4,0))))</f>
        <v>0</v>
      </c>
      <c r="W160" s="169">
        <f>IF($C160-W$1&lt;År1,0,V159*(1-VLOOKUP($A160,[1]Hugst!$R$5:$W$9,MATCH(ROUNDUP((W$1)/10,0)*10,[1]Hugst!$R$4:$W$4,0))))</f>
        <v>0</v>
      </c>
      <c r="X160" s="169">
        <f>IF($C160-X$1&lt;År1,0,W159*(1-VLOOKUP($A160,[1]Hugst!$R$5:$W$9,MATCH(ROUNDUP((X$1)/10,0)*10,[1]Hugst!$R$4:$W$4,0))))</f>
        <v>0</v>
      </c>
      <c r="Y160" s="169">
        <f>IF($C160-Y$1&lt;År1,0,X159*(1-VLOOKUP($A160,[1]Hugst!$R$5:$W$9,MATCH(ROUNDUP((Y$1)/10,0)*10,[1]Hugst!$R$4:$W$4,0))))</f>
        <v>0</v>
      </c>
      <c r="Z160" s="169">
        <f>IF($C160-Z$1&lt;År1,0,Y159*(1-VLOOKUP($A160,[1]Hugst!$R$5:$W$9,MATCH(ROUNDUP((Z$1)/10,0)*10,[1]Hugst!$R$4:$W$4,0))))</f>
        <v>0</v>
      </c>
      <c r="AA160" s="169">
        <f>IF($C160-AA$1&lt;År1,0,Z159*(1-VLOOKUP($A160,[1]Hugst!$R$5:$W$9,MATCH(ROUNDUP((AA$1)/10,0)*10,[1]Hugst!$R$4:$W$4,0))))</f>
        <v>0</v>
      </c>
      <c r="AB160" s="169">
        <f>IF($C160-AB$1&lt;År1,0,AA159*(1-VLOOKUP($A160,[1]Hugst!$R$5:$W$9,MATCH(ROUNDUP((AB$1)/10,0)*10,[1]Hugst!$R$4:$W$4,0))))</f>
        <v>0</v>
      </c>
      <c r="AC160" s="169">
        <f>IF($C160-AC$1&lt;År1,0,AB159*(1-VLOOKUP($A160,[1]Hugst!$R$5:$W$9,MATCH(ROUNDUP((AC$1)/10,0)*10,[1]Hugst!$R$4:$W$4,0))))</f>
        <v>0</v>
      </c>
      <c r="AD160" s="169">
        <f>IF($C160-AD$1&lt;År1,0,AC159*(1-VLOOKUP($A160,[1]Hugst!$R$5:$W$9,MATCH(ROUNDUP((AD$1)/10,0)*10,[1]Hugst!$R$4:$W$4,0))))</f>
        <v>0</v>
      </c>
      <c r="AE160" s="169">
        <f>IF($C160-AE$1&lt;År1,0,AD159*(1-VLOOKUP($A160,[1]Hugst!$R$5:$W$9,MATCH(ROUNDUP((AE$1)/10,0)*10,[1]Hugst!$R$4:$W$4,0))))</f>
        <v>0</v>
      </c>
      <c r="AF160" s="169">
        <f>IF($C160-AF$1&lt;År1,0,AE159*(1-VLOOKUP($A160,[1]Hugst!$R$5:$W$9,MATCH(ROUNDUP((AF$1)/10,0)*10,[1]Hugst!$R$4:$W$4,0))))</f>
        <v>0</v>
      </c>
      <c r="AG160" s="169">
        <f>IF($C160-AG$1&lt;År1,0,AF159*(1-VLOOKUP($A160,[1]Hugst!$R$5:$W$9,MATCH(ROUNDUP((AG$1)/10,0)*10,[1]Hugst!$R$4:$W$4,0))))</f>
        <v>0</v>
      </c>
      <c r="AH160" s="169">
        <f>IF($C160-AH$1&lt;År1,0,AG159*(1-VLOOKUP($A160,[1]Hugst!$R$5:$W$9,MATCH(ROUNDUP((AH$1)/10,0)*10,[1]Hugst!$R$4:$W$4,0))))</f>
        <v>0</v>
      </c>
      <c r="AI160" s="169">
        <f>IF($C160-AI$1&lt;År1,0,AH159*(1-VLOOKUP($A160,[1]Hugst!$R$5:$W$9,MATCH(ROUNDUP((AI$1)/10,0)*10,[1]Hugst!$R$4:$W$4,0))))</f>
        <v>0</v>
      </c>
      <c r="AJ160" s="169">
        <f>IF($C160-AJ$1&lt;År1,0,AI159*(1-VLOOKUP($A160,[1]Hugst!$R$5:$W$9,MATCH(ROUNDUP((AJ$1)/10,0)*10,[1]Hugst!$R$4:$W$4,0))))</f>
        <v>0</v>
      </c>
    </row>
    <row r="161" spans="1:36" x14ac:dyDescent="0.25">
      <c r="A161" s="169" t="s">
        <v>178</v>
      </c>
      <c r="B161" s="169" t="s">
        <v>24</v>
      </c>
      <c r="C161" s="169">
        <v>2024</v>
      </c>
      <c r="D161" s="169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606.59071393785325</v>
      </c>
      <c r="E161" s="169">
        <f t="shared" ca="1" si="3"/>
        <v>0</v>
      </c>
      <c r="F161" s="169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879.01159594359649</v>
      </c>
      <c r="G161" s="169">
        <f ca="1">IF($C161-G$1&lt;År1,0,F160*(1-VLOOKUP($A161,[1]Hugst!$R$5:$W$9,MATCH(ROUNDUP((G$1)/10,0)*10,[1]Hugst!$R$4:$W$4,0))))</f>
        <v>862.08020505887032</v>
      </c>
      <c r="H161" s="169">
        <f ca="1">IF($C161-H$1&lt;År1,0,G160*(1-VLOOKUP($A161,[1]Hugst!$R$5:$W$9,MATCH(ROUNDUP((H$1)/10,0)*10,[1]Hugst!$R$4:$W$4,0))))</f>
        <v>825.08414638074498</v>
      </c>
      <c r="I161" s="169">
        <f ca="1">IF($C161-I$1&lt;År1,0,H160*(1-VLOOKUP($A161,[1]Hugst!$R$5:$W$9,MATCH(ROUNDUP((I$1)/10,0)*10,[1]Hugst!$R$4:$W$4,0))))</f>
        <v>747.9430070057391</v>
      </c>
      <c r="J161" s="169">
        <f ca="1">IF($C161-J$1&lt;År1,0,I160*(1-VLOOKUP($A161,[1]Hugst!$R$5:$W$9,MATCH(ROUNDUP((J$1)/10,0)*10,[1]Hugst!$R$4:$W$4,0))))</f>
        <v>590.49588200574033</v>
      </c>
      <c r="K161" s="169">
        <f>IF($C161-K$1&lt;År1,0,J160*(1-VLOOKUP($A161,[1]Hugst!$R$5:$W$9,MATCH(ROUNDUP((K$1)/10,0)*10,[1]Hugst!$R$4:$W$4,0))))</f>
        <v>0</v>
      </c>
      <c r="L161" s="169">
        <f>IF($C161-L$1&lt;År1,0,K160*(1-VLOOKUP($A161,[1]Hugst!$R$5:$W$9,MATCH(ROUNDUP((L$1)/10,0)*10,[1]Hugst!$R$4:$W$4,0))))</f>
        <v>0</v>
      </c>
      <c r="M161" s="169">
        <f>IF($C161-M$1&lt;År1,0,L160*(1-VLOOKUP($A161,[1]Hugst!$R$5:$W$9,MATCH(ROUNDUP((M$1)/10,0)*10,[1]Hugst!$R$4:$W$4,0))))</f>
        <v>0</v>
      </c>
      <c r="N161" s="169">
        <f>IF($C161-N$1&lt;År1,0,M160*(1-VLOOKUP($A161,[1]Hugst!$R$5:$W$9,MATCH(ROUNDUP((N$1)/10,0)*10,[1]Hugst!$R$4:$W$4,0))))</f>
        <v>0</v>
      </c>
      <c r="O161" s="169">
        <f>IF($C161-O$1&lt;År1,0,N160*(1-VLOOKUP($A161,[1]Hugst!$R$5:$W$9,MATCH(ROUNDUP((O$1)/10,0)*10,[1]Hugst!$R$4:$W$4,0))))</f>
        <v>0</v>
      </c>
      <c r="P161" s="169">
        <f>IF($C161-P$1&lt;År1,0,O160*(1-VLOOKUP($A161,[1]Hugst!$R$5:$W$9,MATCH(ROUNDUP((P$1)/10,0)*10,[1]Hugst!$R$4:$W$4,0))))</f>
        <v>0</v>
      </c>
      <c r="Q161" s="169">
        <f>IF($C161-Q$1&lt;År1,0,P160*(1-VLOOKUP($A161,[1]Hugst!$R$5:$W$9,MATCH(ROUNDUP((Q$1)/10,0)*10,[1]Hugst!$R$4:$W$4,0))))</f>
        <v>0</v>
      </c>
      <c r="R161" s="169">
        <f>IF($C161-R$1&lt;År1,0,Q160*(1-VLOOKUP($A161,[1]Hugst!$R$5:$W$9,MATCH(ROUNDUP((R$1)/10,0)*10,[1]Hugst!$R$4:$W$4,0))))</f>
        <v>0</v>
      </c>
      <c r="S161" s="169">
        <f>IF($C161-S$1&lt;År1,0,R160*(1-VLOOKUP($A161,[1]Hugst!$R$5:$W$9,MATCH(ROUNDUP((S$1)/10,0)*10,[1]Hugst!$R$4:$W$4,0))))</f>
        <v>0</v>
      </c>
      <c r="T161" s="169">
        <f>IF($C161-T$1&lt;År1,0,S160*(1-VLOOKUP($A161,[1]Hugst!$R$5:$W$9,MATCH(ROUNDUP((T$1)/10,0)*10,[1]Hugst!$R$4:$W$4,0))))</f>
        <v>0</v>
      </c>
      <c r="U161" s="169">
        <f>IF($C161-U$1&lt;År1,0,T160*(1-VLOOKUP($A161,[1]Hugst!$R$5:$W$9,MATCH(ROUNDUP((U$1)/10,0)*10,[1]Hugst!$R$4:$W$4,0))))</f>
        <v>0</v>
      </c>
      <c r="V161" s="169">
        <f>IF($C161-V$1&lt;År1,0,U160*(1-VLOOKUP($A161,[1]Hugst!$R$5:$W$9,MATCH(ROUNDUP((V$1)/10,0)*10,[1]Hugst!$R$4:$W$4,0))))</f>
        <v>0</v>
      </c>
      <c r="W161" s="169">
        <f>IF($C161-W$1&lt;År1,0,V160*(1-VLOOKUP($A161,[1]Hugst!$R$5:$W$9,MATCH(ROUNDUP((W$1)/10,0)*10,[1]Hugst!$R$4:$W$4,0))))</f>
        <v>0</v>
      </c>
      <c r="X161" s="169">
        <f>IF($C161-X$1&lt;År1,0,W160*(1-VLOOKUP($A161,[1]Hugst!$R$5:$W$9,MATCH(ROUNDUP((X$1)/10,0)*10,[1]Hugst!$R$4:$W$4,0))))</f>
        <v>0</v>
      </c>
      <c r="Y161" s="169">
        <f>IF($C161-Y$1&lt;År1,0,X160*(1-VLOOKUP($A161,[1]Hugst!$R$5:$W$9,MATCH(ROUNDUP((Y$1)/10,0)*10,[1]Hugst!$R$4:$W$4,0))))</f>
        <v>0</v>
      </c>
      <c r="Z161" s="169">
        <f>IF($C161-Z$1&lt;År1,0,Y160*(1-VLOOKUP($A161,[1]Hugst!$R$5:$W$9,MATCH(ROUNDUP((Z$1)/10,0)*10,[1]Hugst!$R$4:$W$4,0))))</f>
        <v>0</v>
      </c>
      <c r="AA161" s="169">
        <f>IF($C161-AA$1&lt;År1,0,Z160*(1-VLOOKUP($A161,[1]Hugst!$R$5:$W$9,MATCH(ROUNDUP((AA$1)/10,0)*10,[1]Hugst!$R$4:$W$4,0))))</f>
        <v>0</v>
      </c>
      <c r="AB161" s="169">
        <f>IF($C161-AB$1&lt;År1,0,AA160*(1-VLOOKUP($A161,[1]Hugst!$R$5:$W$9,MATCH(ROUNDUP((AB$1)/10,0)*10,[1]Hugst!$R$4:$W$4,0))))</f>
        <v>0</v>
      </c>
      <c r="AC161" s="169">
        <f>IF($C161-AC$1&lt;År1,0,AB160*(1-VLOOKUP($A161,[1]Hugst!$R$5:$W$9,MATCH(ROUNDUP((AC$1)/10,0)*10,[1]Hugst!$R$4:$W$4,0))))</f>
        <v>0</v>
      </c>
      <c r="AD161" s="169">
        <f>IF($C161-AD$1&lt;År1,0,AC160*(1-VLOOKUP($A161,[1]Hugst!$R$5:$W$9,MATCH(ROUNDUP((AD$1)/10,0)*10,[1]Hugst!$R$4:$W$4,0))))</f>
        <v>0</v>
      </c>
      <c r="AE161" s="169">
        <f>IF($C161-AE$1&lt;År1,0,AD160*(1-VLOOKUP($A161,[1]Hugst!$R$5:$W$9,MATCH(ROUNDUP((AE$1)/10,0)*10,[1]Hugst!$R$4:$W$4,0))))</f>
        <v>0</v>
      </c>
      <c r="AF161" s="169">
        <f>IF($C161-AF$1&lt;År1,0,AE160*(1-VLOOKUP($A161,[1]Hugst!$R$5:$W$9,MATCH(ROUNDUP((AF$1)/10,0)*10,[1]Hugst!$R$4:$W$4,0))))</f>
        <v>0</v>
      </c>
      <c r="AG161" s="169">
        <f>IF($C161-AG$1&lt;År1,0,AF160*(1-VLOOKUP($A161,[1]Hugst!$R$5:$W$9,MATCH(ROUNDUP((AG$1)/10,0)*10,[1]Hugst!$R$4:$W$4,0))))</f>
        <v>0</v>
      </c>
      <c r="AH161" s="169">
        <f>IF($C161-AH$1&lt;År1,0,AG160*(1-VLOOKUP($A161,[1]Hugst!$R$5:$W$9,MATCH(ROUNDUP((AH$1)/10,0)*10,[1]Hugst!$R$4:$W$4,0))))</f>
        <v>0</v>
      </c>
      <c r="AI161" s="169">
        <f>IF($C161-AI$1&lt;År1,0,AH160*(1-VLOOKUP($A161,[1]Hugst!$R$5:$W$9,MATCH(ROUNDUP((AI$1)/10,0)*10,[1]Hugst!$R$4:$W$4,0))))</f>
        <v>0</v>
      </c>
      <c r="AJ161" s="169">
        <f>IF($C161-AJ$1&lt;År1,0,AI160*(1-VLOOKUP($A161,[1]Hugst!$R$5:$W$9,MATCH(ROUNDUP((AJ$1)/10,0)*10,[1]Hugst!$R$4:$W$4,0))))</f>
        <v>0</v>
      </c>
    </row>
    <row r="162" spans="1:36" x14ac:dyDescent="0.25">
      <c r="A162" s="169" t="s">
        <v>178</v>
      </c>
      <c r="B162" s="169" t="s">
        <v>24</v>
      </c>
      <c r="C162" s="169">
        <v>2025</v>
      </c>
      <c r="D162" s="169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613.49760411816487</v>
      </c>
      <c r="E162" s="169">
        <f t="shared" ca="1" si="3"/>
        <v>0</v>
      </c>
      <c r="F162" s="169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885.91848612390811</v>
      </c>
      <c r="G162" s="169">
        <f ca="1">IF($C162-G$1&lt;År1,0,F161*(1-VLOOKUP($A162,[1]Hugst!$R$5:$W$9,MATCH(ROUNDUP((G$1)/10,0)*10,[1]Hugst!$R$4:$W$4,0))))</f>
        <v>879.01159594359649</v>
      </c>
      <c r="H162" s="169">
        <f ca="1">IF($C162-H$1&lt;År1,0,G161*(1-VLOOKUP($A162,[1]Hugst!$R$5:$W$9,MATCH(ROUNDUP((H$1)/10,0)*10,[1]Hugst!$R$4:$W$4,0))))</f>
        <v>862.08020505887032</v>
      </c>
      <c r="I162" s="169">
        <f ca="1">IF($C162-I$1&lt;År1,0,H161*(1-VLOOKUP($A162,[1]Hugst!$R$5:$W$9,MATCH(ROUNDUP((I$1)/10,0)*10,[1]Hugst!$R$4:$W$4,0))))</f>
        <v>825.08414638074498</v>
      </c>
      <c r="J162" s="169">
        <f ca="1">IF($C162-J$1&lt;År1,0,I161*(1-VLOOKUP($A162,[1]Hugst!$R$5:$W$9,MATCH(ROUNDUP((J$1)/10,0)*10,[1]Hugst!$R$4:$W$4,0))))</f>
        <v>747.9430070057391</v>
      </c>
      <c r="K162" s="169">
        <f ca="1">IF($C162-K$1&lt;År1,0,J161*(1-VLOOKUP($A162,[1]Hugst!$R$5:$W$9,MATCH(ROUNDUP((K$1)/10,0)*10,[1]Hugst!$R$4:$W$4,0))))</f>
        <v>590.49588200574033</v>
      </c>
      <c r="L162" s="169">
        <f>IF($C162-L$1&lt;År1,0,K161*(1-VLOOKUP($A162,[1]Hugst!$R$5:$W$9,MATCH(ROUNDUP((L$1)/10,0)*10,[1]Hugst!$R$4:$W$4,0))))</f>
        <v>0</v>
      </c>
      <c r="M162" s="169">
        <f>IF($C162-M$1&lt;År1,0,L161*(1-VLOOKUP($A162,[1]Hugst!$R$5:$W$9,MATCH(ROUNDUP((M$1)/10,0)*10,[1]Hugst!$R$4:$W$4,0))))</f>
        <v>0</v>
      </c>
      <c r="N162" s="169">
        <f>IF($C162-N$1&lt;År1,0,M161*(1-VLOOKUP($A162,[1]Hugst!$R$5:$W$9,MATCH(ROUNDUP((N$1)/10,0)*10,[1]Hugst!$R$4:$W$4,0))))</f>
        <v>0</v>
      </c>
      <c r="O162" s="169">
        <f>IF($C162-O$1&lt;År1,0,N161*(1-VLOOKUP($A162,[1]Hugst!$R$5:$W$9,MATCH(ROUNDUP((O$1)/10,0)*10,[1]Hugst!$R$4:$W$4,0))))</f>
        <v>0</v>
      </c>
      <c r="P162" s="169">
        <f>IF($C162-P$1&lt;År1,0,O161*(1-VLOOKUP($A162,[1]Hugst!$R$5:$W$9,MATCH(ROUNDUP((P$1)/10,0)*10,[1]Hugst!$R$4:$W$4,0))))</f>
        <v>0</v>
      </c>
      <c r="Q162" s="169">
        <f>IF($C162-Q$1&lt;År1,0,P161*(1-VLOOKUP($A162,[1]Hugst!$R$5:$W$9,MATCH(ROUNDUP((Q$1)/10,0)*10,[1]Hugst!$R$4:$W$4,0))))</f>
        <v>0</v>
      </c>
      <c r="R162" s="169">
        <f>IF($C162-R$1&lt;År1,0,Q161*(1-VLOOKUP($A162,[1]Hugst!$R$5:$W$9,MATCH(ROUNDUP((R$1)/10,0)*10,[1]Hugst!$R$4:$W$4,0))))</f>
        <v>0</v>
      </c>
      <c r="S162" s="169">
        <f>IF($C162-S$1&lt;År1,0,R161*(1-VLOOKUP($A162,[1]Hugst!$R$5:$W$9,MATCH(ROUNDUP((S$1)/10,0)*10,[1]Hugst!$R$4:$W$4,0))))</f>
        <v>0</v>
      </c>
      <c r="T162" s="169">
        <f>IF($C162-T$1&lt;År1,0,S161*(1-VLOOKUP($A162,[1]Hugst!$R$5:$W$9,MATCH(ROUNDUP((T$1)/10,0)*10,[1]Hugst!$R$4:$W$4,0))))</f>
        <v>0</v>
      </c>
      <c r="U162" s="169">
        <f>IF($C162-U$1&lt;År1,0,T161*(1-VLOOKUP($A162,[1]Hugst!$R$5:$W$9,MATCH(ROUNDUP((U$1)/10,0)*10,[1]Hugst!$R$4:$W$4,0))))</f>
        <v>0</v>
      </c>
      <c r="V162" s="169">
        <f>IF($C162-V$1&lt;År1,0,U161*(1-VLOOKUP($A162,[1]Hugst!$R$5:$W$9,MATCH(ROUNDUP((V$1)/10,0)*10,[1]Hugst!$R$4:$W$4,0))))</f>
        <v>0</v>
      </c>
      <c r="W162" s="169">
        <f>IF($C162-W$1&lt;År1,0,V161*(1-VLOOKUP($A162,[1]Hugst!$R$5:$W$9,MATCH(ROUNDUP((W$1)/10,0)*10,[1]Hugst!$R$4:$W$4,0))))</f>
        <v>0</v>
      </c>
      <c r="X162" s="169">
        <f>IF($C162-X$1&lt;År1,0,W161*(1-VLOOKUP($A162,[1]Hugst!$R$5:$W$9,MATCH(ROUNDUP((X$1)/10,0)*10,[1]Hugst!$R$4:$W$4,0))))</f>
        <v>0</v>
      </c>
      <c r="Y162" s="169">
        <f>IF($C162-Y$1&lt;År1,0,X161*(1-VLOOKUP($A162,[1]Hugst!$R$5:$W$9,MATCH(ROUNDUP((Y$1)/10,0)*10,[1]Hugst!$R$4:$W$4,0))))</f>
        <v>0</v>
      </c>
      <c r="Z162" s="169">
        <f>IF($C162-Z$1&lt;År1,0,Y161*(1-VLOOKUP($A162,[1]Hugst!$R$5:$W$9,MATCH(ROUNDUP((Z$1)/10,0)*10,[1]Hugst!$R$4:$W$4,0))))</f>
        <v>0</v>
      </c>
      <c r="AA162" s="169">
        <f>IF($C162-AA$1&lt;År1,0,Z161*(1-VLOOKUP($A162,[1]Hugst!$R$5:$W$9,MATCH(ROUNDUP((AA$1)/10,0)*10,[1]Hugst!$R$4:$W$4,0))))</f>
        <v>0</v>
      </c>
      <c r="AB162" s="169">
        <f>IF($C162-AB$1&lt;År1,0,AA161*(1-VLOOKUP($A162,[1]Hugst!$R$5:$W$9,MATCH(ROUNDUP((AB$1)/10,0)*10,[1]Hugst!$R$4:$W$4,0))))</f>
        <v>0</v>
      </c>
      <c r="AC162" s="169">
        <f>IF($C162-AC$1&lt;År1,0,AB161*(1-VLOOKUP($A162,[1]Hugst!$R$5:$W$9,MATCH(ROUNDUP((AC$1)/10,0)*10,[1]Hugst!$R$4:$W$4,0))))</f>
        <v>0</v>
      </c>
      <c r="AD162" s="169">
        <f>IF($C162-AD$1&lt;År1,0,AC161*(1-VLOOKUP($A162,[1]Hugst!$R$5:$W$9,MATCH(ROUNDUP((AD$1)/10,0)*10,[1]Hugst!$R$4:$W$4,0))))</f>
        <v>0</v>
      </c>
      <c r="AE162" s="169">
        <f>IF($C162-AE$1&lt;År1,0,AD161*(1-VLOOKUP($A162,[1]Hugst!$R$5:$W$9,MATCH(ROUNDUP((AE$1)/10,0)*10,[1]Hugst!$R$4:$W$4,0))))</f>
        <v>0</v>
      </c>
      <c r="AF162" s="169">
        <f>IF($C162-AF$1&lt;År1,0,AE161*(1-VLOOKUP($A162,[1]Hugst!$R$5:$W$9,MATCH(ROUNDUP((AF$1)/10,0)*10,[1]Hugst!$R$4:$W$4,0))))</f>
        <v>0</v>
      </c>
      <c r="AG162" s="169">
        <f>IF($C162-AG$1&lt;År1,0,AF161*(1-VLOOKUP($A162,[1]Hugst!$R$5:$W$9,MATCH(ROUNDUP((AG$1)/10,0)*10,[1]Hugst!$R$4:$W$4,0))))</f>
        <v>0</v>
      </c>
      <c r="AH162" s="169">
        <f>IF($C162-AH$1&lt;År1,0,AG161*(1-VLOOKUP($A162,[1]Hugst!$R$5:$W$9,MATCH(ROUNDUP((AH$1)/10,0)*10,[1]Hugst!$R$4:$W$4,0))))</f>
        <v>0</v>
      </c>
      <c r="AI162" s="169">
        <f>IF($C162-AI$1&lt;År1,0,AH161*(1-VLOOKUP($A162,[1]Hugst!$R$5:$W$9,MATCH(ROUNDUP((AI$1)/10,0)*10,[1]Hugst!$R$4:$W$4,0))))</f>
        <v>0</v>
      </c>
      <c r="AJ162" s="169">
        <f>IF($C162-AJ$1&lt;År1,0,AI161*(1-VLOOKUP($A162,[1]Hugst!$R$5:$W$9,MATCH(ROUNDUP((AJ$1)/10,0)*10,[1]Hugst!$R$4:$W$4,0))))</f>
        <v>0</v>
      </c>
    </row>
    <row r="163" spans="1:36" x14ac:dyDescent="0.25">
      <c r="A163" s="169" t="s">
        <v>178</v>
      </c>
      <c r="B163" s="169" t="s">
        <v>24</v>
      </c>
      <c r="C163" s="169">
        <v>2026</v>
      </c>
      <c r="D163" s="169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615.40003797258373</v>
      </c>
      <c r="E163" s="169">
        <f t="shared" ca="1" si="3"/>
        <v>0</v>
      </c>
      <c r="F163" s="169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887.82091997832697</v>
      </c>
      <c r="G163" s="169">
        <f ca="1">IF($C163-G$1&lt;År1,0,F162*(1-VLOOKUP($A163,[1]Hugst!$R$5:$W$9,MATCH(ROUNDUP((G$1)/10,0)*10,[1]Hugst!$R$4:$W$4,0))))</f>
        <v>885.91848612390811</v>
      </c>
      <c r="H163" s="169">
        <f ca="1">IF($C163-H$1&lt;År1,0,G162*(1-VLOOKUP($A163,[1]Hugst!$R$5:$W$9,MATCH(ROUNDUP((H$1)/10,0)*10,[1]Hugst!$R$4:$W$4,0))))</f>
        <v>879.01159594359649</v>
      </c>
      <c r="I163" s="169">
        <f ca="1">IF($C163-I$1&lt;År1,0,H162*(1-VLOOKUP($A163,[1]Hugst!$R$5:$W$9,MATCH(ROUNDUP((I$1)/10,0)*10,[1]Hugst!$R$4:$W$4,0))))</f>
        <v>862.08020505887032</v>
      </c>
      <c r="J163" s="169">
        <f ca="1">IF($C163-J$1&lt;År1,0,I162*(1-VLOOKUP($A163,[1]Hugst!$R$5:$W$9,MATCH(ROUNDUP((J$1)/10,0)*10,[1]Hugst!$R$4:$W$4,0))))</f>
        <v>825.08414638074498</v>
      </c>
      <c r="K163" s="169">
        <f ca="1">IF($C163-K$1&lt;År1,0,J162*(1-VLOOKUP($A163,[1]Hugst!$R$5:$W$9,MATCH(ROUNDUP((K$1)/10,0)*10,[1]Hugst!$R$4:$W$4,0))))</f>
        <v>747.9430070057391</v>
      </c>
      <c r="L163" s="169">
        <f ca="1">IF($C163-L$1&lt;År1,0,K162*(1-VLOOKUP($A163,[1]Hugst!$R$5:$W$9,MATCH(ROUNDUP((L$1)/10,0)*10,[1]Hugst!$R$4:$W$4,0))))</f>
        <v>590.49588200574033</v>
      </c>
      <c r="M163" s="169">
        <f>IF($C163-M$1&lt;År1,0,L162*(1-VLOOKUP($A163,[1]Hugst!$R$5:$W$9,MATCH(ROUNDUP((M$1)/10,0)*10,[1]Hugst!$R$4:$W$4,0))))</f>
        <v>0</v>
      </c>
      <c r="N163" s="169">
        <f>IF($C163-N$1&lt;År1,0,M162*(1-VLOOKUP($A163,[1]Hugst!$R$5:$W$9,MATCH(ROUNDUP((N$1)/10,0)*10,[1]Hugst!$R$4:$W$4,0))))</f>
        <v>0</v>
      </c>
      <c r="O163" s="169">
        <f>IF($C163-O$1&lt;År1,0,N162*(1-VLOOKUP($A163,[1]Hugst!$R$5:$W$9,MATCH(ROUNDUP((O$1)/10,0)*10,[1]Hugst!$R$4:$W$4,0))))</f>
        <v>0</v>
      </c>
      <c r="P163" s="169">
        <f>IF($C163-P$1&lt;År1,0,O162*(1-VLOOKUP($A163,[1]Hugst!$R$5:$W$9,MATCH(ROUNDUP((P$1)/10,0)*10,[1]Hugst!$R$4:$W$4,0))))</f>
        <v>0</v>
      </c>
      <c r="Q163" s="169">
        <f>IF($C163-Q$1&lt;År1,0,P162*(1-VLOOKUP($A163,[1]Hugst!$R$5:$W$9,MATCH(ROUNDUP((Q$1)/10,0)*10,[1]Hugst!$R$4:$W$4,0))))</f>
        <v>0</v>
      </c>
      <c r="R163" s="169">
        <f>IF($C163-R$1&lt;År1,0,Q162*(1-VLOOKUP($A163,[1]Hugst!$R$5:$W$9,MATCH(ROUNDUP((R$1)/10,0)*10,[1]Hugst!$R$4:$W$4,0))))</f>
        <v>0</v>
      </c>
      <c r="S163" s="169">
        <f>IF($C163-S$1&lt;År1,0,R162*(1-VLOOKUP($A163,[1]Hugst!$R$5:$W$9,MATCH(ROUNDUP((S$1)/10,0)*10,[1]Hugst!$R$4:$W$4,0))))</f>
        <v>0</v>
      </c>
      <c r="T163" s="169">
        <f>IF($C163-T$1&lt;År1,0,S162*(1-VLOOKUP($A163,[1]Hugst!$R$5:$W$9,MATCH(ROUNDUP((T$1)/10,0)*10,[1]Hugst!$R$4:$W$4,0))))</f>
        <v>0</v>
      </c>
      <c r="U163" s="169">
        <f>IF($C163-U$1&lt;År1,0,T162*(1-VLOOKUP($A163,[1]Hugst!$R$5:$W$9,MATCH(ROUNDUP((U$1)/10,0)*10,[1]Hugst!$R$4:$W$4,0))))</f>
        <v>0</v>
      </c>
      <c r="V163" s="169">
        <f>IF($C163-V$1&lt;År1,0,U162*(1-VLOOKUP($A163,[1]Hugst!$R$5:$W$9,MATCH(ROUNDUP((V$1)/10,0)*10,[1]Hugst!$R$4:$W$4,0))))</f>
        <v>0</v>
      </c>
      <c r="W163" s="169">
        <f>IF($C163-W$1&lt;År1,0,V162*(1-VLOOKUP($A163,[1]Hugst!$R$5:$W$9,MATCH(ROUNDUP((W$1)/10,0)*10,[1]Hugst!$R$4:$W$4,0))))</f>
        <v>0</v>
      </c>
      <c r="X163" s="169">
        <f>IF($C163-X$1&lt;År1,0,W162*(1-VLOOKUP($A163,[1]Hugst!$R$5:$W$9,MATCH(ROUNDUP((X$1)/10,0)*10,[1]Hugst!$R$4:$W$4,0))))</f>
        <v>0</v>
      </c>
      <c r="Y163" s="169">
        <f>IF($C163-Y$1&lt;År1,0,X162*(1-VLOOKUP($A163,[1]Hugst!$R$5:$W$9,MATCH(ROUNDUP((Y$1)/10,0)*10,[1]Hugst!$R$4:$W$4,0))))</f>
        <v>0</v>
      </c>
      <c r="Z163" s="169">
        <f>IF($C163-Z$1&lt;År1,0,Y162*(1-VLOOKUP($A163,[1]Hugst!$R$5:$W$9,MATCH(ROUNDUP((Z$1)/10,0)*10,[1]Hugst!$R$4:$W$4,0))))</f>
        <v>0</v>
      </c>
      <c r="AA163" s="169">
        <f>IF($C163-AA$1&lt;År1,0,Z162*(1-VLOOKUP($A163,[1]Hugst!$R$5:$W$9,MATCH(ROUNDUP((AA$1)/10,0)*10,[1]Hugst!$R$4:$W$4,0))))</f>
        <v>0</v>
      </c>
      <c r="AB163" s="169">
        <f>IF($C163-AB$1&lt;År1,0,AA162*(1-VLOOKUP($A163,[1]Hugst!$R$5:$W$9,MATCH(ROUNDUP((AB$1)/10,0)*10,[1]Hugst!$R$4:$W$4,0))))</f>
        <v>0</v>
      </c>
      <c r="AC163" s="169">
        <f>IF($C163-AC$1&lt;År1,0,AB162*(1-VLOOKUP($A163,[1]Hugst!$R$5:$W$9,MATCH(ROUNDUP((AC$1)/10,0)*10,[1]Hugst!$R$4:$W$4,0))))</f>
        <v>0</v>
      </c>
      <c r="AD163" s="169">
        <f>IF($C163-AD$1&lt;År1,0,AC162*(1-VLOOKUP($A163,[1]Hugst!$R$5:$W$9,MATCH(ROUNDUP((AD$1)/10,0)*10,[1]Hugst!$R$4:$W$4,0))))</f>
        <v>0</v>
      </c>
      <c r="AE163" s="169">
        <f>IF($C163-AE$1&lt;År1,0,AD162*(1-VLOOKUP($A163,[1]Hugst!$R$5:$W$9,MATCH(ROUNDUP((AE$1)/10,0)*10,[1]Hugst!$R$4:$W$4,0))))</f>
        <v>0</v>
      </c>
      <c r="AF163" s="169">
        <f>IF($C163-AF$1&lt;År1,0,AE162*(1-VLOOKUP($A163,[1]Hugst!$R$5:$W$9,MATCH(ROUNDUP((AF$1)/10,0)*10,[1]Hugst!$R$4:$W$4,0))))</f>
        <v>0</v>
      </c>
      <c r="AG163" s="169">
        <f>IF($C163-AG$1&lt;År1,0,AF162*(1-VLOOKUP($A163,[1]Hugst!$R$5:$W$9,MATCH(ROUNDUP((AG$1)/10,0)*10,[1]Hugst!$R$4:$W$4,0))))</f>
        <v>0</v>
      </c>
      <c r="AH163" s="169">
        <f>IF($C163-AH$1&lt;År1,0,AG162*(1-VLOOKUP($A163,[1]Hugst!$R$5:$W$9,MATCH(ROUNDUP((AH$1)/10,0)*10,[1]Hugst!$R$4:$W$4,0))))</f>
        <v>0</v>
      </c>
      <c r="AI163" s="169">
        <f>IF($C163-AI$1&lt;År1,0,AH162*(1-VLOOKUP($A163,[1]Hugst!$R$5:$W$9,MATCH(ROUNDUP((AI$1)/10,0)*10,[1]Hugst!$R$4:$W$4,0))))</f>
        <v>0</v>
      </c>
      <c r="AJ163" s="169">
        <f>IF($C163-AJ$1&lt;År1,0,AI162*(1-VLOOKUP($A163,[1]Hugst!$R$5:$W$9,MATCH(ROUNDUP((AJ$1)/10,0)*10,[1]Hugst!$R$4:$W$4,0))))</f>
        <v>0</v>
      </c>
    </row>
    <row r="164" spans="1:36" x14ac:dyDescent="0.25">
      <c r="A164" s="169" t="s">
        <v>178</v>
      </c>
      <c r="B164" s="169" t="s">
        <v>24</v>
      </c>
      <c r="C164" s="169">
        <v>2027</v>
      </c>
      <c r="D164" s="169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614.80799872021817</v>
      </c>
      <c r="E164" s="169">
        <f t="shared" ca="1" si="3"/>
        <v>0</v>
      </c>
      <c r="F164" s="169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887.2288807259614</v>
      </c>
      <c r="G164" s="169">
        <f ca="1">IF($C164-G$1&lt;År1,0,F163*(1-VLOOKUP($A164,[1]Hugst!$R$5:$W$9,MATCH(ROUNDUP((G$1)/10,0)*10,[1]Hugst!$R$4:$W$4,0))))</f>
        <v>887.82091997832697</v>
      </c>
      <c r="H164" s="169">
        <f ca="1">IF($C164-H$1&lt;År1,0,G163*(1-VLOOKUP($A164,[1]Hugst!$R$5:$W$9,MATCH(ROUNDUP((H$1)/10,0)*10,[1]Hugst!$R$4:$W$4,0))))</f>
        <v>885.91848612390811</v>
      </c>
      <c r="I164" s="169">
        <f ca="1">IF($C164-I$1&lt;År1,0,H163*(1-VLOOKUP($A164,[1]Hugst!$R$5:$W$9,MATCH(ROUNDUP((I$1)/10,0)*10,[1]Hugst!$R$4:$W$4,0))))</f>
        <v>879.01159594359649</v>
      </c>
      <c r="J164" s="169">
        <f ca="1">IF($C164-J$1&lt;År1,0,I163*(1-VLOOKUP($A164,[1]Hugst!$R$5:$W$9,MATCH(ROUNDUP((J$1)/10,0)*10,[1]Hugst!$R$4:$W$4,0))))</f>
        <v>862.08020505887032</v>
      </c>
      <c r="K164" s="169">
        <f ca="1">IF($C164-K$1&lt;År1,0,J163*(1-VLOOKUP($A164,[1]Hugst!$R$5:$W$9,MATCH(ROUNDUP((K$1)/10,0)*10,[1]Hugst!$R$4:$W$4,0))))</f>
        <v>825.08414638074498</v>
      </c>
      <c r="L164" s="169">
        <f ca="1">IF($C164-L$1&lt;År1,0,K163*(1-VLOOKUP($A164,[1]Hugst!$R$5:$W$9,MATCH(ROUNDUP((L$1)/10,0)*10,[1]Hugst!$R$4:$W$4,0))))</f>
        <v>747.9430070057391</v>
      </c>
      <c r="M164" s="169">
        <f ca="1">IF($C164-M$1&lt;År1,0,L163*(1-VLOOKUP($A164,[1]Hugst!$R$5:$W$9,MATCH(ROUNDUP((M$1)/10,0)*10,[1]Hugst!$R$4:$W$4,0))))</f>
        <v>590.49588200574033</v>
      </c>
      <c r="N164" s="169">
        <f>IF($C164-N$1&lt;År1,0,M163*(1-VLOOKUP($A164,[1]Hugst!$R$5:$W$9,MATCH(ROUNDUP((N$1)/10,0)*10,[1]Hugst!$R$4:$W$4,0))))</f>
        <v>0</v>
      </c>
      <c r="O164" s="169">
        <f>IF($C164-O$1&lt;År1,0,N163*(1-VLOOKUP($A164,[1]Hugst!$R$5:$W$9,MATCH(ROUNDUP((O$1)/10,0)*10,[1]Hugst!$R$4:$W$4,0))))</f>
        <v>0</v>
      </c>
      <c r="P164" s="169">
        <f>IF($C164-P$1&lt;År1,0,O163*(1-VLOOKUP($A164,[1]Hugst!$R$5:$W$9,MATCH(ROUNDUP((P$1)/10,0)*10,[1]Hugst!$R$4:$W$4,0))))</f>
        <v>0</v>
      </c>
      <c r="Q164" s="169">
        <f>IF($C164-Q$1&lt;År1,0,P163*(1-VLOOKUP($A164,[1]Hugst!$R$5:$W$9,MATCH(ROUNDUP((Q$1)/10,0)*10,[1]Hugst!$R$4:$W$4,0))))</f>
        <v>0</v>
      </c>
      <c r="R164" s="169">
        <f>IF($C164-R$1&lt;År1,0,Q163*(1-VLOOKUP($A164,[1]Hugst!$R$5:$W$9,MATCH(ROUNDUP((R$1)/10,0)*10,[1]Hugst!$R$4:$W$4,0))))</f>
        <v>0</v>
      </c>
      <c r="S164" s="169">
        <f>IF($C164-S$1&lt;År1,0,R163*(1-VLOOKUP($A164,[1]Hugst!$R$5:$W$9,MATCH(ROUNDUP((S$1)/10,0)*10,[1]Hugst!$R$4:$W$4,0))))</f>
        <v>0</v>
      </c>
      <c r="T164" s="169">
        <f>IF($C164-T$1&lt;År1,0,S163*(1-VLOOKUP($A164,[1]Hugst!$R$5:$W$9,MATCH(ROUNDUP((T$1)/10,0)*10,[1]Hugst!$R$4:$W$4,0))))</f>
        <v>0</v>
      </c>
      <c r="U164" s="169">
        <f>IF($C164-U$1&lt;År1,0,T163*(1-VLOOKUP($A164,[1]Hugst!$R$5:$W$9,MATCH(ROUNDUP((U$1)/10,0)*10,[1]Hugst!$R$4:$W$4,0))))</f>
        <v>0</v>
      </c>
      <c r="V164" s="169">
        <f>IF($C164-V$1&lt;År1,0,U163*(1-VLOOKUP($A164,[1]Hugst!$R$5:$W$9,MATCH(ROUNDUP((V$1)/10,0)*10,[1]Hugst!$R$4:$W$4,0))))</f>
        <v>0</v>
      </c>
      <c r="W164" s="169">
        <f>IF($C164-W$1&lt;År1,0,V163*(1-VLOOKUP($A164,[1]Hugst!$R$5:$W$9,MATCH(ROUNDUP((W$1)/10,0)*10,[1]Hugst!$R$4:$W$4,0))))</f>
        <v>0</v>
      </c>
      <c r="X164" s="169">
        <f>IF($C164-X$1&lt;År1,0,W163*(1-VLOOKUP($A164,[1]Hugst!$R$5:$W$9,MATCH(ROUNDUP((X$1)/10,0)*10,[1]Hugst!$R$4:$W$4,0))))</f>
        <v>0</v>
      </c>
      <c r="Y164" s="169">
        <f>IF($C164-Y$1&lt;År1,0,X163*(1-VLOOKUP($A164,[1]Hugst!$R$5:$W$9,MATCH(ROUNDUP((Y$1)/10,0)*10,[1]Hugst!$R$4:$W$4,0))))</f>
        <v>0</v>
      </c>
      <c r="Z164" s="169">
        <f>IF($C164-Z$1&lt;År1,0,Y163*(1-VLOOKUP($A164,[1]Hugst!$R$5:$W$9,MATCH(ROUNDUP((Z$1)/10,0)*10,[1]Hugst!$R$4:$W$4,0))))</f>
        <v>0</v>
      </c>
      <c r="AA164" s="169">
        <f>IF($C164-AA$1&lt;År1,0,Z163*(1-VLOOKUP($A164,[1]Hugst!$R$5:$W$9,MATCH(ROUNDUP((AA$1)/10,0)*10,[1]Hugst!$R$4:$W$4,0))))</f>
        <v>0</v>
      </c>
      <c r="AB164" s="169">
        <f>IF($C164-AB$1&lt;År1,0,AA163*(1-VLOOKUP($A164,[1]Hugst!$R$5:$W$9,MATCH(ROUNDUP((AB$1)/10,0)*10,[1]Hugst!$R$4:$W$4,0))))</f>
        <v>0</v>
      </c>
      <c r="AC164" s="169">
        <f>IF($C164-AC$1&lt;År1,0,AB163*(1-VLOOKUP($A164,[1]Hugst!$R$5:$W$9,MATCH(ROUNDUP((AC$1)/10,0)*10,[1]Hugst!$R$4:$W$4,0))))</f>
        <v>0</v>
      </c>
      <c r="AD164" s="169">
        <f>IF($C164-AD$1&lt;År1,0,AC163*(1-VLOOKUP($A164,[1]Hugst!$R$5:$W$9,MATCH(ROUNDUP((AD$1)/10,0)*10,[1]Hugst!$R$4:$W$4,0))))</f>
        <v>0</v>
      </c>
      <c r="AE164" s="169">
        <f>IF($C164-AE$1&lt;År1,0,AD163*(1-VLOOKUP($A164,[1]Hugst!$R$5:$W$9,MATCH(ROUNDUP((AE$1)/10,0)*10,[1]Hugst!$R$4:$W$4,0))))</f>
        <v>0</v>
      </c>
      <c r="AF164" s="169">
        <f>IF($C164-AF$1&lt;År1,0,AE163*(1-VLOOKUP($A164,[1]Hugst!$R$5:$W$9,MATCH(ROUNDUP((AF$1)/10,0)*10,[1]Hugst!$R$4:$W$4,0))))</f>
        <v>0</v>
      </c>
      <c r="AG164" s="169">
        <f>IF($C164-AG$1&lt;År1,0,AF163*(1-VLOOKUP($A164,[1]Hugst!$R$5:$W$9,MATCH(ROUNDUP((AG$1)/10,0)*10,[1]Hugst!$R$4:$W$4,0))))</f>
        <v>0</v>
      </c>
      <c r="AH164" s="169">
        <f>IF($C164-AH$1&lt;År1,0,AG163*(1-VLOOKUP($A164,[1]Hugst!$R$5:$W$9,MATCH(ROUNDUP((AH$1)/10,0)*10,[1]Hugst!$R$4:$W$4,0))))</f>
        <v>0</v>
      </c>
      <c r="AI164" s="169">
        <f>IF($C164-AI$1&lt;År1,0,AH163*(1-VLOOKUP($A164,[1]Hugst!$R$5:$W$9,MATCH(ROUNDUP((AI$1)/10,0)*10,[1]Hugst!$R$4:$W$4,0))))</f>
        <v>0</v>
      </c>
      <c r="AJ164" s="169">
        <f>IF($C164-AJ$1&lt;År1,0,AI163*(1-VLOOKUP($A164,[1]Hugst!$R$5:$W$9,MATCH(ROUNDUP((AJ$1)/10,0)*10,[1]Hugst!$R$4:$W$4,0))))</f>
        <v>0</v>
      </c>
    </row>
    <row r="165" spans="1:36" x14ac:dyDescent="0.25">
      <c r="A165" s="169" t="s">
        <v>178</v>
      </c>
      <c r="B165" s="169" t="s">
        <v>24</v>
      </c>
      <c r="C165" s="169">
        <v>2028</v>
      </c>
      <c r="D165" s="169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612.9764391953704</v>
      </c>
      <c r="E165" s="169">
        <f t="shared" ca="1" si="3"/>
        <v>0</v>
      </c>
      <c r="F165" s="169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885.39732120111364</v>
      </c>
      <c r="G165" s="169">
        <f ca="1">IF($C165-G$1&lt;År1,0,F164*(1-VLOOKUP($A165,[1]Hugst!$R$5:$W$9,MATCH(ROUNDUP((G$1)/10,0)*10,[1]Hugst!$R$4:$W$4,0))))</f>
        <v>887.2288807259614</v>
      </c>
      <c r="H165" s="169">
        <f ca="1">IF($C165-H$1&lt;År1,0,G164*(1-VLOOKUP($A165,[1]Hugst!$R$5:$W$9,MATCH(ROUNDUP((H$1)/10,0)*10,[1]Hugst!$R$4:$W$4,0))))</f>
        <v>887.82091997832697</v>
      </c>
      <c r="I165" s="169">
        <f ca="1">IF($C165-I$1&lt;År1,0,H164*(1-VLOOKUP($A165,[1]Hugst!$R$5:$W$9,MATCH(ROUNDUP((I$1)/10,0)*10,[1]Hugst!$R$4:$W$4,0))))</f>
        <v>885.91848612390811</v>
      </c>
      <c r="J165" s="169">
        <f ca="1">IF($C165-J$1&lt;År1,0,I164*(1-VLOOKUP($A165,[1]Hugst!$R$5:$W$9,MATCH(ROUNDUP((J$1)/10,0)*10,[1]Hugst!$R$4:$W$4,0))))</f>
        <v>879.01159594359649</v>
      </c>
      <c r="K165" s="169">
        <f ca="1">IF($C165-K$1&lt;År1,0,J164*(1-VLOOKUP($A165,[1]Hugst!$R$5:$W$9,MATCH(ROUNDUP((K$1)/10,0)*10,[1]Hugst!$R$4:$W$4,0))))</f>
        <v>862.08020505887032</v>
      </c>
      <c r="L165" s="169">
        <f ca="1">IF($C165-L$1&lt;År1,0,K164*(1-VLOOKUP($A165,[1]Hugst!$R$5:$W$9,MATCH(ROUNDUP((L$1)/10,0)*10,[1]Hugst!$R$4:$W$4,0))))</f>
        <v>825.08414638074498</v>
      </c>
      <c r="M165" s="169">
        <f ca="1">IF($C165-M$1&lt;År1,0,L164*(1-VLOOKUP($A165,[1]Hugst!$R$5:$W$9,MATCH(ROUNDUP((M$1)/10,0)*10,[1]Hugst!$R$4:$W$4,0))))</f>
        <v>747.9430070057391</v>
      </c>
      <c r="N165" s="169">
        <f ca="1">IF($C165-N$1&lt;År1,0,M164*(1-VLOOKUP($A165,[1]Hugst!$R$5:$W$9,MATCH(ROUNDUP((N$1)/10,0)*10,[1]Hugst!$R$4:$W$4,0))))</f>
        <v>590.49588200574033</v>
      </c>
      <c r="O165" s="169">
        <f>IF($C165-O$1&lt;År1,0,N164*(1-VLOOKUP($A165,[1]Hugst!$R$5:$W$9,MATCH(ROUNDUP((O$1)/10,0)*10,[1]Hugst!$R$4:$W$4,0))))</f>
        <v>0</v>
      </c>
      <c r="P165" s="169">
        <f>IF($C165-P$1&lt;År1,0,O164*(1-VLOOKUP($A165,[1]Hugst!$R$5:$W$9,MATCH(ROUNDUP((P$1)/10,0)*10,[1]Hugst!$R$4:$W$4,0))))</f>
        <v>0</v>
      </c>
      <c r="Q165" s="169">
        <f>IF($C165-Q$1&lt;År1,0,P164*(1-VLOOKUP($A165,[1]Hugst!$R$5:$W$9,MATCH(ROUNDUP((Q$1)/10,0)*10,[1]Hugst!$R$4:$W$4,0))))</f>
        <v>0</v>
      </c>
      <c r="R165" s="169">
        <f>IF($C165-R$1&lt;År1,0,Q164*(1-VLOOKUP($A165,[1]Hugst!$R$5:$W$9,MATCH(ROUNDUP((R$1)/10,0)*10,[1]Hugst!$R$4:$W$4,0))))</f>
        <v>0</v>
      </c>
      <c r="S165" s="169">
        <f>IF($C165-S$1&lt;År1,0,R164*(1-VLOOKUP($A165,[1]Hugst!$R$5:$W$9,MATCH(ROUNDUP((S$1)/10,0)*10,[1]Hugst!$R$4:$W$4,0))))</f>
        <v>0</v>
      </c>
      <c r="T165" s="169">
        <f>IF($C165-T$1&lt;År1,0,S164*(1-VLOOKUP($A165,[1]Hugst!$R$5:$W$9,MATCH(ROUNDUP((T$1)/10,0)*10,[1]Hugst!$R$4:$W$4,0))))</f>
        <v>0</v>
      </c>
      <c r="U165" s="169">
        <f>IF($C165-U$1&lt;År1,0,T164*(1-VLOOKUP($A165,[1]Hugst!$R$5:$W$9,MATCH(ROUNDUP((U$1)/10,0)*10,[1]Hugst!$R$4:$W$4,0))))</f>
        <v>0</v>
      </c>
      <c r="V165" s="169">
        <f>IF($C165-V$1&lt;År1,0,U164*(1-VLOOKUP($A165,[1]Hugst!$R$5:$W$9,MATCH(ROUNDUP((V$1)/10,0)*10,[1]Hugst!$R$4:$W$4,0))))</f>
        <v>0</v>
      </c>
      <c r="W165" s="169">
        <f>IF($C165-W$1&lt;År1,0,V164*(1-VLOOKUP($A165,[1]Hugst!$R$5:$W$9,MATCH(ROUNDUP((W$1)/10,0)*10,[1]Hugst!$R$4:$W$4,0))))</f>
        <v>0</v>
      </c>
      <c r="X165" s="169">
        <f>IF($C165-X$1&lt;År1,0,W164*(1-VLOOKUP($A165,[1]Hugst!$R$5:$W$9,MATCH(ROUNDUP((X$1)/10,0)*10,[1]Hugst!$R$4:$W$4,0))))</f>
        <v>0</v>
      </c>
      <c r="Y165" s="169">
        <f>IF($C165-Y$1&lt;År1,0,X164*(1-VLOOKUP($A165,[1]Hugst!$R$5:$W$9,MATCH(ROUNDUP((Y$1)/10,0)*10,[1]Hugst!$R$4:$W$4,0))))</f>
        <v>0</v>
      </c>
      <c r="Z165" s="169">
        <f>IF($C165-Z$1&lt;År1,0,Y164*(1-VLOOKUP($A165,[1]Hugst!$R$5:$W$9,MATCH(ROUNDUP((Z$1)/10,0)*10,[1]Hugst!$R$4:$W$4,0))))</f>
        <v>0</v>
      </c>
      <c r="AA165" s="169">
        <f>IF($C165-AA$1&lt;År1,0,Z164*(1-VLOOKUP($A165,[1]Hugst!$R$5:$W$9,MATCH(ROUNDUP((AA$1)/10,0)*10,[1]Hugst!$R$4:$W$4,0))))</f>
        <v>0</v>
      </c>
      <c r="AB165" s="169">
        <f>IF($C165-AB$1&lt;År1,0,AA164*(1-VLOOKUP($A165,[1]Hugst!$R$5:$W$9,MATCH(ROUNDUP((AB$1)/10,0)*10,[1]Hugst!$R$4:$W$4,0))))</f>
        <v>0</v>
      </c>
      <c r="AC165" s="169">
        <f>IF($C165-AC$1&lt;År1,0,AB164*(1-VLOOKUP($A165,[1]Hugst!$R$5:$W$9,MATCH(ROUNDUP((AC$1)/10,0)*10,[1]Hugst!$R$4:$W$4,0))))</f>
        <v>0</v>
      </c>
      <c r="AD165" s="169">
        <f>IF($C165-AD$1&lt;År1,0,AC164*(1-VLOOKUP($A165,[1]Hugst!$R$5:$W$9,MATCH(ROUNDUP((AD$1)/10,0)*10,[1]Hugst!$R$4:$W$4,0))))</f>
        <v>0</v>
      </c>
      <c r="AE165" s="169">
        <f>IF($C165-AE$1&lt;År1,0,AD164*(1-VLOOKUP($A165,[1]Hugst!$R$5:$W$9,MATCH(ROUNDUP((AE$1)/10,0)*10,[1]Hugst!$R$4:$W$4,0))))</f>
        <v>0</v>
      </c>
      <c r="AF165" s="169">
        <f>IF($C165-AF$1&lt;År1,0,AE164*(1-VLOOKUP($A165,[1]Hugst!$R$5:$W$9,MATCH(ROUNDUP((AF$1)/10,0)*10,[1]Hugst!$R$4:$W$4,0))))</f>
        <v>0</v>
      </c>
      <c r="AG165" s="169">
        <f>IF($C165-AG$1&lt;År1,0,AF164*(1-VLOOKUP($A165,[1]Hugst!$R$5:$W$9,MATCH(ROUNDUP((AG$1)/10,0)*10,[1]Hugst!$R$4:$W$4,0))))</f>
        <v>0</v>
      </c>
      <c r="AH165" s="169">
        <f>IF($C165-AH$1&lt;År1,0,AG164*(1-VLOOKUP($A165,[1]Hugst!$R$5:$W$9,MATCH(ROUNDUP((AH$1)/10,0)*10,[1]Hugst!$R$4:$W$4,0))))</f>
        <v>0</v>
      </c>
      <c r="AI165" s="169">
        <f>IF($C165-AI$1&lt;År1,0,AH164*(1-VLOOKUP($A165,[1]Hugst!$R$5:$W$9,MATCH(ROUNDUP((AI$1)/10,0)*10,[1]Hugst!$R$4:$W$4,0))))</f>
        <v>0</v>
      </c>
      <c r="AJ165" s="169">
        <f>IF($C165-AJ$1&lt;År1,0,AI164*(1-VLOOKUP($A165,[1]Hugst!$R$5:$W$9,MATCH(ROUNDUP((AJ$1)/10,0)*10,[1]Hugst!$R$4:$W$4,0))))</f>
        <v>0</v>
      </c>
    </row>
    <row r="166" spans="1:36" x14ac:dyDescent="0.25">
      <c r="A166" s="169" t="s">
        <v>178</v>
      </c>
      <c r="B166" s="169" t="s">
        <v>24</v>
      </c>
      <c r="C166" s="169">
        <v>2029</v>
      </c>
      <c r="D166" s="169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610.53279723375726</v>
      </c>
      <c r="E166" s="169">
        <f t="shared" ca="1" si="3"/>
        <v>0</v>
      </c>
      <c r="F166" s="169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882.9536792395005</v>
      </c>
      <c r="G166" s="169">
        <f ca="1">IF($C166-G$1&lt;År1,0,F165*(1-VLOOKUP($A166,[1]Hugst!$R$5:$W$9,MATCH(ROUNDUP((G$1)/10,0)*10,[1]Hugst!$R$4:$W$4,0))))</f>
        <v>885.39732120111364</v>
      </c>
      <c r="H166" s="169">
        <f ca="1">IF($C166-H$1&lt;År1,0,G165*(1-VLOOKUP($A166,[1]Hugst!$R$5:$W$9,MATCH(ROUNDUP((H$1)/10,0)*10,[1]Hugst!$R$4:$W$4,0))))</f>
        <v>887.2288807259614</v>
      </c>
      <c r="I166" s="169">
        <f ca="1">IF($C166-I$1&lt;År1,0,H165*(1-VLOOKUP($A166,[1]Hugst!$R$5:$W$9,MATCH(ROUNDUP((I$1)/10,0)*10,[1]Hugst!$R$4:$W$4,0))))</f>
        <v>887.82091997832697</v>
      </c>
      <c r="J166" s="169">
        <f ca="1">IF($C166-J$1&lt;År1,0,I165*(1-VLOOKUP($A166,[1]Hugst!$R$5:$W$9,MATCH(ROUNDUP((J$1)/10,0)*10,[1]Hugst!$R$4:$W$4,0))))</f>
        <v>885.91848612390811</v>
      </c>
      <c r="K166" s="169">
        <f ca="1">IF($C166-K$1&lt;År1,0,J165*(1-VLOOKUP($A166,[1]Hugst!$R$5:$W$9,MATCH(ROUNDUP((K$1)/10,0)*10,[1]Hugst!$R$4:$W$4,0))))</f>
        <v>879.01159594359649</v>
      </c>
      <c r="L166" s="169">
        <f ca="1">IF($C166-L$1&lt;År1,0,K165*(1-VLOOKUP($A166,[1]Hugst!$R$5:$W$9,MATCH(ROUNDUP((L$1)/10,0)*10,[1]Hugst!$R$4:$W$4,0))))</f>
        <v>862.08020505887032</v>
      </c>
      <c r="M166" s="169">
        <f ca="1">IF($C166-M$1&lt;År1,0,L165*(1-VLOOKUP($A166,[1]Hugst!$R$5:$W$9,MATCH(ROUNDUP((M$1)/10,0)*10,[1]Hugst!$R$4:$W$4,0))))</f>
        <v>825.08414638074498</v>
      </c>
      <c r="N166" s="169">
        <f ca="1">IF($C166-N$1&lt;År1,0,M165*(1-VLOOKUP($A166,[1]Hugst!$R$5:$W$9,MATCH(ROUNDUP((N$1)/10,0)*10,[1]Hugst!$R$4:$W$4,0))))</f>
        <v>747.9430070057391</v>
      </c>
      <c r="O166" s="169">
        <f ca="1">IF($C166-O$1&lt;År1,0,N165*(1-VLOOKUP($A166,[1]Hugst!$R$5:$W$9,MATCH(ROUNDUP((O$1)/10,0)*10,[1]Hugst!$R$4:$W$4,0))))</f>
        <v>590.49588200574033</v>
      </c>
      <c r="P166" s="169">
        <f>IF($C166-P$1&lt;År1,0,O165*(1-VLOOKUP($A166,[1]Hugst!$R$5:$W$9,MATCH(ROUNDUP((P$1)/10,0)*10,[1]Hugst!$R$4:$W$4,0))))</f>
        <v>0</v>
      </c>
      <c r="Q166" s="169">
        <f>IF($C166-Q$1&lt;År1,0,P165*(1-VLOOKUP($A166,[1]Hugst!$R$5:$W$9,MATCH(ROUNDUP((Q$1)/10,0)*10,[1]Hugst!$R$4:$W$4,0))))</f>
        <v>0</v>
      </c>
      <c r="R166" s="169">
        <f>IF($C166-R$1&lt;År1,0,Q165*(1-VLOOKUP($A166,[1]Hugst!$R$5:$W$9,MATCH(ROUNDUP((R$1)/10,0)*10,[1]Hugst!$R$4:$W$4,0))))</f>
        <v>0</v>
      </c>
      <c r="S166" s="169">
        <f>IF($C166-S$1&lt;År1,0,R165*(1-VLOOKUP($A166,[1]Hugst!$R$5:$W$9,MATCH(ROUNDUP((S$1)/10,0)*10,[1]Hugst!$R$4:$W$4,0))))</f>
        <v>0</v>
      </c>
      <c r="T166" s="169">
        <f>IF($C166-T$1&lt;År1,0,S165*(1-VLOOKUP($A166,[1]Hugst!$R$5:$W$9,MATCH(ROUNDUP((T$1)/10,0)*10,[1]Hugst!$R$4:$W$4,0))))</f>
        <v>0</v>
      </c>
      <c r="U166" s="169">
        <f>IF($C166-U$1&lt;År1,0,T165*(1-VLOOKUP($A166,[1]Hugst!$R$5:$W$9,MATCH(ROUNDUP((U$1)/10,0)*10,[1]Hugst!$R$4:$W$4,0))))</f>
        <v>0</v>
      </c>
      <c r="V166" s="169">
        <f>IF($C166-V$1&lt;År1,0,U165*(1-VLOOKUP($A166,[1]Hugst!$R$5:$W$9,MATCH(ROUNDUP((V$1)/10,0)*10,[1]Hugst!$R$4:$W$4,0))))</f>
        <v>0</v>
      </c>
      <c r="W166" s="169">
        <f>IF($C166-W$1&lt;År1,0,V165*(1-VLOOKUP($A166,[1]Hugst!$R$5:$W$9,MATCH(ROUNDUP((W$1)/10,0)*10,[1]Hugst!$R$4:$W$4,0))))</f>
        <v>0</v>
      </c>
      <c r="X166" s="169">
        <f>IF($C166-X$1&lt;År1,0,W165*(1-VLOOKUP($A166,[1]Hugst!$R$5:$W$9,MATCH(ROUNDUP((X$1)/10,0)*10,[1]Hugst!$R$4:$W$4,0))))</f>
        <v>0</v>
      </c>
      <c r="Y166" s="169">
        <f>IF($C166-Y$1&lt;År1,0,X165*(1-VLOOKUP($A166,[1]Hugst!$R$5:$W$9,MATCH(ROUNDUP((Y$1)/10,0)*10,[1]Hugst!$R$4:$W$4,0))))</f>
        <v>0</v>
      </c>
      <c r="Z166" s="169">
        <f>IF($C166-Z$1&lt;År1,0,Y165*(1-VLOOKUP($A166,[1]Hugst!$R$5:$W$9,MATCH(ROUNDUP((Z$1)/10,0)*10,[1]Hugst!$R$4:$W$4,0))))</f>
        <v>0</v>
      </c>
      <c r="AA166" s="169">
        <f>IF($C166-AA$1&lt;År1,0,Z165*(1-VLOOKUP($A166,[1]Hugst!$R$5:$W$9,MATCH(ROUNDUP((AA$1)/10,0)*10,[1]Hugst!$R$4:$W$4,0))))</f>
        <v>0</v>
      </c>
      <c r="AB166" s="169">
        <f>IF($C166-AB$1&lt;År1,0,AA165*(1-VLOOKUP($A166,[1]Hugst!$R$5:$W$9,MATCH(ROUNDUP((AB$1)/10,0)*10,[1]Hugst!$R$4:$W$4,0))))</f>
        <v>0</v>
      </c>
      <c r="AC166" s="169">
        <f>IF($C166-AC$1&lt;År1,0,AB165*(1-VLOOKUP($A166,[1]Hugst!$R$5:$W$9,MATCH(ROUNDUP((AC$1)/10,0)*10,[1]Hugst!$R$4:$W$4,0))))</f>
        <v>0</v>
      </c>
      <c r="AD166" s="169">
        <f>IF($C166-AD$1&lt;År1,0,AC165*(1-VLOOKUP($A166,[1]Hugst!$R$5:$W$9,MATCH(ROUNDUP((AD$1)/10,0)*10,[1]Hugst!$R$4:$W$4,0))))</f>
        <v>0</v>
      </c>
      <c r="AE166" s="169">
        <f>IF($C166-AE$1&lt;År1,0,AD165*(1-VLOOKUP($A166,[1]Hugst!$R$5:$W$9,MATCH(ROUNDUP((AE$1)/10,0)*10,[1]Hugst!$R$4:$W$4,0))))</f>
        <v>0</v>
      </c>
      <c r="AF166" s="169">
        <f>IF($C166-AF$1&lt;År1,0,AE165*(1-VLOOKUP($A166,[1]Hugst!$R$5:$W$9,MATCH(ROUNDUP((AF$1)/10,0)*10,[1]Hugst!$R$4:$W$4,0))))</f>
        <v>0</v>
      </c>
      <c r="AG166" s="169">
        <f>IF($C166-AG$1&lt;År1,0,AF165*(1-VLOOKUP($A166,[1]Hugst!$R$5:$W$9,MATCH(ROUNDUP((AG$1)/10,0)*10,[1]Hugst!$R$4:$W$4,0))))</f>
        <v>0</v>
      </c>
      <c r="AH166" s="169">
        <f>IF($C166-AH$1&lt;År1,0,AG165*(1-VLOOKUP($A166,[1]Hugst!$R$5:$W$9,MATCH(ROUNDUP((AH$1)/10,0)*10,[1]Hugst!$R$4:$W$4,0))))</f>
        <v>0</v>
      </c>
      <c r="AI166" s="169">
        <f>IF($C166-AI$1&lt;År1,0,AH165*(1-VLOOKUP($A166,[1]Hugst!$R$5:$W$9,MATCH(ROUNDUP((AI$1)/10,0)*10,[1]Hugst!$R$4:$W$4,0))))</f>
        <v>0</v>
      </c>
      <c r="AJ166" s="169">
        <f>IF($C166-AJ$1&lt;År1,0,AI165*(1-VLOOKUP($A166,[1]Hugst!$R$5:$W$9,MATCH(ROUNDUP((AJ$1)/10,0)*10,[1]Hugst!$R$4:$W$4,0))))</f>
        <v>0</v>
      </c>
    </row>
    <row r="167" spans="1:36" x14ac:dyDescent="0.25">
      <c r="A167" s="169" t="s">
        <v>178</v>
      </c>
      <c r="B167" s="169" t="s">
        <v>24</v>
      </c>
      <c r="C167" s="169">
        <v>2030</v>
      </c>
      <c r="D167" s="169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607.79075336478263</v>
      </c>
      <c r="E167" s="169">
        <f t="shared" ca="1" si="3"/>
        <v>0</v>
      </c>
      <c r="F167" s="169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880.21163537052587</v>
      </c>
      <c r="G167" s="169">
        <f ca="1">IF($C167-G$1&lt;År1,0,F166*(1-VLOOKUP($A167,[1]Hugst!$R$5:$W$9,MATCH(ROUNDUP((G$1)/10,0)*10,[1]Hugst!$R$4:$W$4,0))))</f>
        <v>882.9536792395005</v>
      </c>
      <c r="H167" s="169">
        <f ca="1">IF($C167-H$1&lt;År1,0,G166*(1-VLOOKUP($A167,[1]Hugst!$R$5:$W$9,MATCH(ROUNDUP((H$1)/10,0)*10,[1]Hugst!$R$4:$W$4,0))))</f>
        <v>885.39732120111364</v>
      </c>
      <c r="I167" s="169">
        <f ca="1">IF($C167-I$1&lt;År1,0,H166*(1-VLOOKUP($A167,[1]Hugst!$R$5:$W$9,MATCH(ROUNDUP((I$1)/10,0)*10,[1]Hugst!$R$4:$W$4,0))))</f>
        <v>887.2288807259614</v>
      </c>
      <c r="J167" s="169">
        <f ca="1">IF($C167-J$1&lt;År1,0,I166*(1-VLOOKUP($A167,[1]Hugst!$R$5:$W$9,MATCH(ROUNDUP((J$1)/10,0)*10,[1]Hugst!$R$4:$W$4,0))))</f>
        <v>887.82091997832697</v>
      </c>
      <c r="K167" s="169">
        <f ca="1">IF($C167-K$1&lt;År1,0,J166*(1-VLOOKUP($A167,[1]Hugst!$R$5:$W$9,MATCH(ROUNDUP((K$1)/10,0)*10,[1]Hugst!$R$4:$W$4,0))))</f>
        <v>885.91848612390811</v>
      </c>
      <c r="L167" s="169">
        <f ca="1">IF($C167-L$1&lt;År1,0,K166*(1-VLOOKUP($A167,[1]Hugst!$R$5:$W$9,MATCH(ROUNDUP((L$1)/10,0)*10,[1]Hugst!$R$4:$W$4,0))))</f>
        <v>879.01159594359649</v>
      </c>
      <c r="M167" s="169">
        <f ca="1">IF($C167-M$1&lt;År1,0,L166*(1-VLOOKUP($A167,[1]Hugst!$R$5:$W$9,MATCH(ROUNDUP((M$1)/10,0)*10,[1]Hugst!$R$4:$W$4,0))))</f>
        <v>862.08020505887032</v>
      </c>
      <c r="N167" s="169">
        <f ca="1">IF($C167-N$1&lt;År1,0,M166*(1-VLOOKUP($A167,[1]Hugst!$R$5:$W$9,MATCH(ROUNDUP((N$1)/10,0)*10,[1]Hugst!$R$4:$W$4,0))))</f>
        <v>825.08414638074498</v>
      </c>
      <c r="O167" s="169">
        <f ca="1">IF($C167-O$1&lt;År1,0,N166*(1-VLOOKUP($A167,[1]Hugst!$R$5:$W$9,MATCH(ROUNDUP((O$1)/10,0)*10,[1]Hugst!$R$4:$W$4,0))))</f>
        <v>747.9430070057391</v>
      </c>
      <c r="P167" s="169">
        <f ca="1">IF($C167-P$1&lt;År1,0,O166*(1-VLOOKUP($A167,[1]Hugst!$R$5:$W$9,MATCH(ROUNDUP((P$1)/10,0)*10,[1]Hugst!$R$4:$W$4,0))))</f>
        <v>590.49588200574033</v>
      </c>
      <c r="Q167" s="169">
        <f>IF($C167-Q$1&lt;År1,0,P166*(1-VLOOKUP($A167,[1]Hugst!$R$5:$W$9,MATCH(ROUNDUP((Q$1)/10,0)*10,[1]Hugst!$R$4:$W$4,0))))</f>
        <v>0</v>
      </c>
      <c r="R167" s="169">
        <f>IF($C167-R$1&lt;År1,0,Q166*(1-VLOOKUP($A167,[1]Hugst!$R$5:$W$9,MATCH(ROUNDUP((R$1)/10,0)*10,[1]Hugst!$R$4:$W$4,0))))</f>
        <v>0</v>
      </c>
      <c r="S167" s="169">
        <f>IF($C167-S$1&lt;År1,0,R166*(1-VLOOKUP($A167,[1]Hugst!$R$5:$W$9,MATCH(ROUNDUP((S$1)/10,0)*10,[1]Hugst!$R$4:$W$4,0))))</f>
        <v>0</v>
      </c>
      <c r="T167" s="169">
        <f>IF($C167-T$1&lt;År1,0,S166*(1-VLOOKUP($A167,[1]Hugst!$R$5:$W$9,MATCH(ROUNDUP((T$1)/10,0)*10,[1]Hugst!$R$4:$W$4,0))))</f>
        <v>0</v>
      </c>
      <c r="U167" s="169">
        <f>IF($C167-U$1&lt;År1,0,T166*(1-VLOOKUP($A167,[1]Hugst!$R$5:$W$9,MATCH(ROUNDUP((U$1)/10,0)*10,[1]Hugst!$R$4:$W$4,0))))</f>
        <v>0</v>
      </c>
      <c r="V167" s="169">
        <f>IF($C167-V$1&lt;År1,0,U166*(1-VLOOKUP($A167,[1]Hugst!$R$5:$W$9,MATCH(ROUNDUP((V$1)/10,0)*10,[1]Hugst!$R$4:$W$4,0))))</f>
        <v>0</v>
      </c>
      <c r="W167" s="169">
        <f>IF($C167-W$1&lt;År1,0,V166*(1-VLOOKUP($A167,[1]Hugst!$R$5:$W$9,MATCH(ROUNDUP((W$1)/10,0)*10,[1]Hugst!$R$4:$W$4,0))))</f>
        <v>0</v>
      </c>
      <c r="X167" s="169">
        <f>IF($C167-X$1&lt;År1,0,W166*(1-VLOOKUP($A167,[1]Hugst!$R$5:$W$9,MATCH(ROUNDUP((X$1)/10,0)*10,[1]Hugst!$R$4:$W$4,0))))</f>
        <v>0</v>
      </c>
      <c r="Y167" s="169">
        <f>IF($C167-Y$1&lt;År1,0,X166*(1-VLOOKUP($A167,[1]Hugst!$R$5:$W$9,MATCH(ROUNDUP((Y$1)/10,0)*10,[1]Hugst!$R$4:$W$4,0))))</f>
        <v>0</v>
      </c>
      <c r="Z167" s="169">
        <f>IF($C167-Z$1&lt;År1,0,Y166*(1-VLOOKUP($A167,[1]Hugst!$R$5:$W$9,MATCH(ROUNDUP((Z$1)/10,0)*10,[1]Hugst!$R$4:$W$4,0))))</f>
        <v>0</v>
      </c>
      <c r="AA167" s="169">
        <f>IF($C167-AA$1&lt;År1,0,Z166*(1-VLOOKUP($A167,[1]Hugst!$R$5:$W$9,MATCH(ROUNDUP((AA$1)/10,0)*10,[1]Hugst!$R$4:$W$4,0))))</f>
        <v>0</v>
      </c>
      <c r="AB167" s="169">
        <f>IF($C167-AB$1&lt;År1,0,AA166*(1-VLOOKUP($A167,[1]Hugst!$R$5:$W$9,MATCH(ROUNDUP((AB$1)/10,0)*10,[1]Hugst!$R$4:$W$4,0))))</f>
        <v>0</v>
      </c>
      <c r="AC167" s="169">
        <f>IF($C167-AC$1&lt;År1,0,AB166*(1-VLOOKUP($A167,[1]Hugst!$R$5:$W$9,MATCH(ROUNDUP((AC$1)/10,0)*10,[1]Hugst!$R$4:$W$4,0))))</f>
        <v>0</v>
      </c>
      <c r="AD167" s="169">
        <f>IF($C167-AD$1&lt;År1,0,AC166*(1-VLOOKUP($A167,[1]Hugst!$R$5:$W$9,MATCH(ROUNDUP((AD$1)/10,0)*10,[1]Hugst!$R$4:$W$4,0))))</f>
        <v>0</v>
      </c>
      <c r="AE167" s="169">
        <f>IF($C167-AE$1&lt;År1,0,AD166*(1-VLOOKUP($A167,[1]Hugst!$R$5:$W$9,MATCH(ROUNDUP((AE$1)/10,0)*10,[1]Hugst!$R$4:$W$4,0))))</f>
        <v>0</v>
      </c>
      <c r="AF167" s="169">
        <f>IF($C167-AF$1&lt;År1,0,AE166*(1-VLOOKUP($A167,[1]Hugst!$R$5:$W$9,MATCH(ROUNDUP((AF$1)/10,0)*10,[1]Hugst!$R$4:$W$4,0))))</f>
        <v>0</v>
      </c>
      <c r="AG167" s="169">
        <f>IF($C167-AG$1&lt;År1,0,AF166*(1-VLOOKUP($A167,[1]Hugst!$R$5:$W$9,MATCH(ROUNDUP((AG$1)/10,0)*10,[1]Hugst!$R$4:$W$4,0))))</f>
        <v>0</v>
      </c>
      <c r="AH167" s="169">
        <f>IF($C167-AH$1&lt;År1,0,AG166*(1-VLOOKUP($A167,[1]Hugst!$R$5:$W$9,MATCH(ROUNDUP((AH$1)/10,0)*10,[1]Hugst!$R$4:$W$4,0))))</f>
        <v>0</v>
      </c>
      <c r="AI167" s="169">
        <f>IF($C167-AI$1&lt;År1,0,AH166*(1-VLOOKUP($A167,[1]Hugst!$R$5:$W$9,MATCH(ROUNDUP((AI$1)/10,0)*10,[1]Hugst!$R$4:$W$4,0))))</f>
        <v>0</v>
      </c>
      <c r="AJ167" s="169">
        <f>IF($C167-AJ$1&lt;År1,0,AI166*(1-VLOOKUP($A167,[1]Hugst!$R$5:$W$9,MATCH(ROUNDUP((AJ$1)/10,0)*10,[1]Hugst!$R$4:$W$4,0))))</f>
        <v>0</v>
      </c>
    </row>
    <row r="168" spans="1:36" x14ac:dyDescent="0.25">
      <c r="A168" s="169" t="s">
        <v>178</v>
      </c>
      <c r="B168" s="169" t="s">
        <v>24</v>
      </c>
      <c r="C168" s="169">
        <v>2031</v>
      </c>
      <c r="D168" s="169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604.90710965654671</v>
      </c>
      <c r="E168" s="169">
        <f t="shared" ca="1" si="3"/>
        <v>0</v>
      </c>
      <c r="F168" s="169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877.32799166229108</v>
      </c>
      <c r="G168" s="169">
        <f ca="1">IF($C168-G$1&lt;År1,0,F167*(1-VLOOKUP($A168,[1]Hugst!$R$5:$W$9,MATCH(ROUNDUP((G$1)/10,0)*10,[1]Hugst!$R$4:$W$4,0))))</f>
        <v>880.21163537052587</v>
      </c>
      <c r="H168" s="169">
        <f ca="1">IF($C168-H$1&lt;År1,0,G167*(1-VLOOKUP($A168,[1]Hugst!$R$5:$W$9,MATCH(ROUNDUP((H$1)/10,0)*10,[1]Hugst!$R$4:$W$4,0))))</f>
        <v>882.9536792395005</v>
      </c>
      <c r="I168" s="169">
        <f ca="1">IF($C168-I$1&lt;År1,0,H167*(1-VLOOKUP($A168,[1]Hugst!$R$5:$W$9,MATCH(ROUNDUP((I$1)/10,0)*10,[1]Hugst!$R$4:$W$4,0))))</f>
        <v>885.39732120111364</v>
      </c>
      <c r="J168" s="169">
        <f ca="1">IF($C168-J$1&lt;År1,0,I167*(1-VLOOKUP($A168,[1]Hugst!$R$5:$W$9,MATCH(ROUNDUP((J$1)/10,0)*10,[1]Hugst!$R$4:$W$4,0))))</f>
        <v>887.2288807259614</v>
      </c>
      <c r="K168" s="169">
        <f ca="1">IF($C168-K$1&lt;År1,0,J167*(1-VLOOKUP($A168,[1]Hugst!$R$5:$W$9,MATCH(ROUNDUP((K$1)/10,0)*10,[1]Hugst!$R$4:$W$4,0))))</f>
        <v>887.82091997832697</v>
      </c>
      <c r="L168" s="169">
        <f ca="1">IF($C168-L$1&lt;År1,0,K167*(1-VLOOKUP($A168,[1]Hugst!$R$5:$W$9,MATCH(ROUNDUP((L$1)/10,0)*10,[1]Hugst!$R$4:$W$4,0))))</f>
        <v>885.91848612390811</v>
      </c>
      <c r="M168" s="169">
        <f ca="1">IF($C168-M$1&lt;År1,0,L167*(1-VLOOKUP($A168,[1]Hugst!$R$5:$W$9,MATCH(ROUNDUP((M$1)/10,0)*10,[1]Hugst!$R$4:$W$4,0))))</f>
        <v>879.01159594359649</v>
      </c>
      <c r="N168" s="169">
        <f ca="1">IF($C168-N$1&lt;År1,0,M167*(1-VLOOKUP($A168,[1]Hugst!$R$5:$W$9,MATCH(ROUNDUP((N$1)/10,0)*10,[1]Hugst!$R$4:$W$4,0))))</f>
        <v>862.08020505887032</v>
      </c>
      <c r="O168" s="169">
        <f ca="1">IF($C168-O$1&lt;År1,0,N167*(1-VLOOKUP($A168,[1]Hugst!$R$5:$W$9,MATCH(ROUNDUP((O$1)/10,0)*10,[1]Hugst!$R$4:$W$4,0))))</f>
        <v>825.08414638074498</v>
      </c>
      <c r="P168" s="169">
        <f ca="1">IF($C168-P$1&lt;År1,0,O167*(1-VLOOKUP($A168,[1]Hugst!$R$5:$W$9,MATCH(ROUNDUP((P$1)/10,0)*10,[1]Hugst!$R$4:$W$4,0))))</f>
        <v>747.9430070057391</v>
      </c>
      <c r="Q168" s="169">
        <f ca="1">IF($C168-Q$1&lt;År1,0,P167*(1-VLOOKUP($A168,[1]Hugst!$R$5:$W$9,MATCH(ROUNDUP((Q$1)/10,0)*10,[1]Hugst!$R$4:$W$4,0))))</f>
        <v>590.49588200574033</v>
      </c>
      <c r="R168" s="169">
        <f>IF($C168-R$1&lt;År1,0,Q167*(1-VLOOKUP($A168,[1]Hugst!$R$5:$W$9,MATCH(ROUNDUP((R$1)/10,0)*10,[1]Hugst!$R$4:$W$4,0))))</f>
        <v>0</v>
      </c>
      <c r="S168" s="169">
        <f>IF($C168-S$1&lt;År1,0,R167*(1-VLOOKUP($A168,[1]Hugst!$R$5:$W$9,MATCH(ROUNDUP((S$1)/10,0)*10,[1]Hugst!$R$4:$W$4,0))))</f>
        <v>0</v>
      </c>
      <c r="T168" s="169">
        <f>IF($C168-T$1&lt;År1,0,S167*(1-VLOOKUP($A168,[1]Hugst!$R$5:$W$9,MATCH(ROUNDUP((T$1)/10,0)*10,[1]Hugst!$R$4:$W$4,0))))</f>
        <v>0</v>
      </c>
      <c r="U168" s="169">
        <f>IF($C168-U$1&lt;År1,0,T167*(1-VLOOKUP($A168,[1]Hugst!$R$5:$W$9,MATCH(ROUNDUP((U$1)/10,0)*10,[1]Hugst!$R$4:$W$4,0))))</f>
        <v>0</v>
      </c>
      <c r="V168" s="169">
        <f>IF($C168-V$1&lt;År1,0,U167*(1-VLOOKUP($A168,[1]Hugst!$R$5:$W$9,MATCH(ROUNDUP((V$1)/10,0)*10,[1]Hugst!$R$4:$W$4,0))))</f>
        <v>0</v>
      </c>
      <c r="W168" s="169">
        <f>IF($C168-W$1&lt;År1,0,V167*(1-VLOOKUP($A168,[1]Hugst!$R$5:$W$9,MATCH(ROUNDUP((W$1)/10,0)*10,[1]Hugst!$R$4:$W$4,0))))</f>
        <v>0</v>
      </c>
      <c r="X168" s="169">
        <f>IF($C168-X$1&lt;År1,0,W167*(1-VLOOKUP($A168,[1]Hugst!$R$5:$W$9,MATCH(ROUNDUP((X$1)/10,0)*10,[1]Hugst!$R$4:$W$4,0))))</f>
        <v>0</v>
      </c>
      <c r="Y168" s="169">
        <f>IF($C168-Y$1&lt;År1,0,X167*(1-VLOOKUP($A168,[1]Hugst!$R$5:$W$9,MATCH(ROUNDUP((Y$1)/10,0)*10,[1]Hugst!$R$4:$W$4,0))))</f>
        <v>0</v>
      </c>
      <c r="Z168" s="169">
        <f>IF($C168-Z$1&lt;År1,0,Y167*(1-VLOOKUP($A168,[1]Hugst!$R$5:$W$9,MATCH(ROUNDUP((Z$1)/10,0)*10,[1]Hugst!$R$4:$W$4,0))))</f>
        <v>0</v>
      </c>
      <c r="AA168" s="169">
        <f>IF($C168-AA$1&lt;År1,0,Z167*(1-VLOOKUP($A168,[1]Hugst!$R$5:$W$9,MATCH(ROUNDUP((AA$1)/10,0)*10,[1]Hugst!$R$4:$W$4,0))))</f>
        <v>0</v>
      </c>
      <c r="AB168" s="169">
        <f>IF($C168-AB$1&lt;År1,0,AA167*(1-VLOOKUP($A168,[1]Hugst!$R$5:$W$9,MATCH(ROUNDUP((AB$1)/10,0)*10,[1]Hugst!$R$4:$W$4,0))))</f>
        <v>0</v>
      </c>
      <c r="AC168" s="169">
        <f>IF($C168-AC$1&lt;År1,0,AB167*(1-VLOOKUP($A168,[1]Hugst!$R$5:$W$9,MATCH(ROUNDUP((AC$1)/10,0)*10,[1]Hugst!$R$4:$W$4,0))))</f>
        <v>0</v>
      </c>
      <c r="AD168" s="169">
        <f>IF($C168-AD$1&lt;År1,0,AC167*(1-VLOOKUP($A168,[1]Hugst!$R$5:$W$9,MATCH(ROUNDUP((AD$1)/10,0)*10,[1]Hugst!$R$4:$W$4,0))))</f>
        <v>0</v>
      </c>
      <c r="AE168" s="169">
        <f>IF($C168-AE$1&lt;År1,0,AD167*(1-VLOOKUP($A168,[1]Hugst!$R$5:$W$9,MATCH(ROUNDUP((AE$1)/10,0)*10,[1]Hugst!$R$4:$W$4,0))))</f>
        <v>0</v>
      </c>
      <c r="AF168" s="169">
        <f>IF($C168-AF$1&lt;År1,0,AE167*(1-VLOOKUP($A168,[1]Hugst!$R$5:$W$9,MATCH(ROUNDUP((AF$1)/10,0)*10,[1]Hugst!$R$4:$W$4,0))))</f>
        <v>0</v>
      </c>
      <c r="AG168" s="169">
        <f>IF($C168-AG$1&lt;År1,0,AF167*(1-VLOOKUP($A168,[1]Hugst!$R$5:$W$9,MATCH(ROUNDUP((AG$1)/10,0)*10,[1]Hugst!$R$4:$W$4,0))))</f>
        <v>0</v>
      </c>
      <c r="AH168" s="169">
        <f>IF($C168-AH$1&lt;År1,0,AG167*(1-VLOOKUP($A168,[1]Hugst!$R$5:$W$9,MATCH(ROUNDUP((AH$1)/10,0)*10,[1]Hugst!$R$4:$W$4,0))))</f>
        <v>0</v>
      </c>
      <c r="AI168" s="169">
        <f>IF($C168-AI$1&lt;År1,0,AH167*(1-VLOOKUP($A168,[1]Hugst!$R$5:$W$9,MATCH(ROUNDUP((AI$1)/10,0)*10,[1]Hugst!$R$4:$W$4,0))))</f>
        <v>0</v>
      </c>
      <c r="AJ168" s="169">
        <f>IF($C168-AJ$1&lt;År1,0,AI167*(1-VLOOKUP($A168,[1]Hugst!$R$5:$W$9,MATCH(ROUNDUP((AJ$1)/10,0)*10,[1]Hugst!$R$4:$W$4,0))))</f>
        <v>0</v>
      </c>
    </row>
    <row r="169" spans="1:36" x14ac:dyDescent="0.25">
      <c r="A169" s="169" t="s">
        <v>178</v>
      </c>
      <c r="B169" s="169" t="s">
        <v>24</v>
      </c>
      <c r="C169" s="169">
        <v>2032</v>
      </c>
      <c r="D169" s="169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601.9602291375636</v>
      </c>
      <c r="E169" s="169">
        <f t="shared" ca="1" si="3"/>
        <v>0</v>
      </c>
      <c r="F169" s="169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874.38111114330798</v>
      </c>
      <c r="G169" s="169">
        <f ca="1">IF($C169-G$1&lt;År1,0,F168*(1-VLOOKUP($A169,[1]Hugst!$R$5:$W$9,MATCH(ROUNDUP((G$1)/10,0)*10,[1]Hugst!$R$4:$W$4,0))))</f>
        <v>877.32799166229108</v>
      </c>
      <c r="H169" s="169">
        <f ca="1">IF($C169-H$1&lt;År1,0,G168*(1-VLOOKUP($A169,[1]Hugst!$R$5:$W$9,MATCH(ROUNDUP((H$1)/10,0)*10,[1]Hugst!$R$4:$W$4,0))))</f>
        <v>880.21163537052587</v>
      </c>
      <c r="I169" s="169">
        <f ca="1">IF($C169-I$1&lt;År1,0,H168*(1-VLOOKUP($A169,[1]Hugst!$R$5:$W$9,MATCH(ROUNDUP((I$1)/10,0)*10,[1]Hugst!$R$4:$W$4,0))))</f>
        <v>882.9536792395005</v>
      </c>
      <c r="J169" s="169">
        <f ca="1">IF($C169-J$1&lt;År1,0,I168*(1-VLOOKUP($A169,[1]Hugst!$R$5:$W$9,MATCH(ROUNDUP((J$1)/10,0)*10,[1]Hugst!$R$4:$W$4,0))))</f>
        <v>885.39732120111364</v>
      </c>
      <c r="K169" s="169">
        <f ca="1">IF($C169-K$1&lt;År1,0,J168*(1-VLOOKUP($A169,[1]Hugst!$R$5:$W$9,MATCH(ROUNDUP((K$1)/10,0)*10,[1]Hugst!$R$4:$W$4,0))))</f>
        <v>887.2288807259614</v>
      </c>
      <c r="L169" s="169">
        <f ca="1">IF($C169-L$1&lt;År1,0,K168*(1-VLOOKUP($A169,[1]Hugst!$R$5:$W$9,MATCH(ROUNDUP((L$1)/10,0)*10,[1]Hugst!$R$4:$W$4,0))))</f>
        <v>887.82091997832697</v>
      </c>
      <c r="M169" s="169">
        <f ca="1">IF($C169-M$1&lt;År1,0,L168*(1-VLOOKUP($A169,[1]Hugst!$R$5:$W$9,MATCH(ROUNDUP((M$1)/10,0)*10,[1]Hugst!$R$4:$W$4,0))))</f>
        <v>885.91848612390811</v>
      </c>
      <c r="N169" s="169">
        <f ca="1">IF($C169-N$1&lt;År1,0,M168*(1-VLOOKUP($A169,[1]Hugst!$R$5:$W$9,MATCH(ROUNDUP((N$1)/10,0)*10,[1]Hugst!$R$4:$W$4,0))))</f>
        <v>879.01159594359649</v>
      </c>
      <c r="O169" s="169">
        <f ca="1">IF($C169-O$1&lt;År1,0,N168*(1-VLOOKUP($A169,[1]Hugst!$R$5:$W$9,MATCH(ROUNDUP((O$1)/10,0)*10,[1]Hugst!$R$4:$W$4,0))))</f>
        <v>862.08020505887032</v>
      </c>
      <c r="P169" s="169">
        <f ca="1">IF($C169-P$1&lt;År1,0,O168*(1-VLOOKUP($A169,[1]Hugst!$R$5:$W$9,MATCH(ROUNDUP((P$1)/10,0)*10,[1]Hugst!$R$4:$W$4,0))))</f>
        <v>825.08414638074498</v>
      </c>
      <c r="Q169" s="169">
        <f ca="1">IF($C169-Q$1&lt;År1,0,P168*(1-VLOOKUP($A169,[1]Hugst!$R$5:$W$9,MATCH(ROUNDUP((Q$1)/10,0)*10,[1]Hugst!$R$4:$W$4,0))))</f>
        <v>747.9430070057391</v>
      </c>
      <c r="R169" s="169">
        <f ca="1">IF($C169-R$1&lt;År1,0,Q168*(1-VLOOKUP($A169,[1]Hugst!$R$5:$W$9,MATCH(ROUNDUP((R$1)/10,0)*10,[1]Hugst!$R$4:$W$4,0))))</f>
        <v>590.49588200574033</v>
      </c>
      <c r="S169" s="169">
        <f>IF($C169-S$1&lt;År1,0,R168*(1-VLOOKUP($A169,[1]Hugst!$R$5:$W$9,MATCH(ROUNDUP((S$1)/10,0)*10,[1]Hugst!$R$4:$W$4,0))))</f>
        <v>0</v>
      </c>
      <c r="T169" s="169">
        <f>IF($C169-T$1&lt;År1,0,S168*(1-VLOOKUP($A169,[1]Hugst!$R$5:$W$9,MATCH(ROUNDUP((T$1)/10,0)*10,[1]Hugst!$R$4:$W$4,0))))</f>
        <v>0</v>
      </c>
      <c r="U169" s="169">
        <f>IF($C169-U$1&lt;År1,0,T168*(1-VLOOKUP($A169,[1]Hugst!$R$5:$W$9,MATCH(ROUNDUP((U$1)/10,0)*10,[1]Hugst!$R$4:$W$4,0))))</f>
        <v>0</v>
      </c>
      <c r="V169" s="169">
        <f>IF($C169-V$1&lt;År1,0,U168*(1-VLOOKUP($A169,[1]Hugst!$R$5:$W$9,MATCH(ROUNDUP((V$1)/10,0)*10,[1]Hugst!$R$4:$W$4,0))))</f>
        <v>0</v>
      </c>
      <c r="W169" s="169">
        <f>IF($C169-W$1&lt;År1,0,V168*(1-VLOOKUP($A169,[1]Hugst!$R$5:$W$9,MATCH(ROUNDUP((W$1)/10,0)*10,[1]Hugst!$R$4:$W$4,0))))</f>
        <v>0</v>
      </c>
      <c r="X169" s="169">
        <f>IF($C169-X$1&lt;År1,0,W168*(1-VLOOKUP($A169,[1]Hugst!$R$5:$W$9,MATCH(ROUNDUP((X$1)/10,0)*10,[1]Hugst!$R$4:$W$4,0))))</f>
        <v>0</v>
      </c>
      <c r="Y169" s="169">
        <f>IF($C169-Y$1&lt;År1,0,X168*(1-VLOOKUP($A169,[1]Hugst!$R$5:$W$9,MATCH(ROUNDUP((Y$1)/10,0)*10,[1]Hugst!$R$4:$W$4,0))))</f>
        <v>0</v>
      </c>
      <c r="Z169" s="169">
        <f>IF($C169-Z$1&lt;År1,0,Y168*(1-VLOOKUP($A169,[1]Hugst!$R$5:$W$9,MATCH(ROUNDUP((Z$1)/10,0)*10,[1]Hugst!$R$4:$W$4,0))))</f>
        <v>0</v>
      </c>
      <c r="AA169" s="169">
        <f>IF($C169-AA$1&lt;År1,0,Z168*(1-VLOOKUP($A169,[1]Hugst!$R$5:$W$9,MATCH(ROUNDUP((AA$1)/10,0)*10,[1]Hugst!$R$4:$W$4,0))))</f>
        <v>0</v>
      </c>
      <c r="AB169" s="169">
        <f>IF($C169-AB$1&lt;År1,0,AA168*(1-VLOOKUP($A169,[1]Hugst!$R$5:$W$9,MATCH(ROUNDUP((AB$1)/10,0)*10,[1]Hugst!$R$4:$W$4,0))))</f>
        <v>0</v>
      </c>
      <c r="AC169" s="169">
        <f>IF($C169-AC$1&lt;År1,0,AB168*(1-VLOOKUP($A169,[1]Hugst!$R$5:$W$9,MATCH(ROUNDUP((AC$1)/10,0)*10,[1]Hugst!$R$4:$W$4,0))))</f>
        <v>0</v>
      </c>
      <c r="AD169" s="169">
        <f>IF($C169-AD$1&lt;År1,0,AC168*(1-VLOOKUP($A169,[1]Hugst!$R$5:$W$9,MATCH(ROUNDUP((AD$1)/10,0)*10,[1]Hugst!$R$4:$W$4,0))))</f>
        <v>0</v>
      </c>
      <c r="AE169" s="169">
        <f>IF($C169-AE$1&lt;År1,0,AD168*(1-VLOOKUP($A169,[1]Hugst!$R$5:$W$9,MATCH(ROUNDUP((AE$1)/10,0)*10,[1]Hugst!$R$4:$W$4,0))))</f>
        <v>0</v>
      </c>
      <c r="AF169" s="169">
        <f>IF($C169-AF$1&lt;År1,0,AE168*(1-VLOOKUP($A169,[1]Hugst!$R$5:$W$9,MATCH(ROUNDUP((AF$1)/10,0)*10,[1]Hugst!$R$4:$W$4,0))))</f>
        <v>0</v>
      </c>
      <c r="AG169" s="169">
        <f>IF($C169-AG$1&lt;År1,0,AF168*(1-VLOOKUP($A169,[1]Hugst!$R$5:$W$9,MATCH(ROUNDUP((AG$1)/10,0)*10,[1]Hugst!$R$4:$W$4,0))))</f>
        <v>0</v>
      </c>
      <c r="AH169" s="169">
        <f>IF($C169-AH$1&lt;År1,0,AG168*(1-VLOOKUP($A169,[1]Hugst!$R$5:$W$9,MATCH(ROUNDUP((AH$1)/10,0)*10,[1]Hugst!$R$4:$W$4,0))))</f>
        <v>0</v>
      </c>
      <c r="AI169" s="169">
        <f>IF($C169-AI$1&lt;År1,0,AH168*(1-VLOOKUP($A169,[1]Hugst!$R$5:$W$9,MATCH(ROUNDUP((AI$1)/10,0)*10,[1]Hugst!$R$4:$W$4,0))))</f>
        <v>0</v>
      </c>
      <c r="AJ169" s="169">
        <f>IF($C169-AJ$1&lt;År1,0,AI168*(1-VLOOKUP($A169,[1]Hugst!$R$5:$W$9,MATCH(ROUNDUP((AJ$1)/10,0)*10,[1]Hugst!$R$4:$W$4,0))))</f>
        <v>0</v>
      </c>
    </row>
    <row r="170" spans="1:36" x14ac:dyDescent="0.25">
      <c r="A170" s="169" t="s">
        <v>178</v>
      </c>
      <c r="B170" s="169" t="s">
        <v>24</v>
      </c>
      <c r="C170" s="169">
        <v>2033</v>
      </c>
      <c r="D170" s="169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598.98925550652348</v>
      </c>
      <c r="E170" s="169">
        <f t="shared" ca="1" si="3"/>
        <v>0</v>
      </c>
      <c r="F170" s="169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871.41013751226785</v>
      </c>
      <c r="G170" s="169">
        <f ca="1">IF($C170-G$1&lt;År1,0,F169*(1-VLOOKUP($A170,[1]Hugst!$R$5:$W$9,MATCH(ROUNDUP((G$1)/10,0)*10,[1]Hugst!$R$4:$W$4,0))))</f>
        <v>874.38111114330798</v>
      </c>
      <c r="H170" s="169">
        <f ca="1">IF($C170-H$1&lt;År1,0,G169*(1-VLOOKUP($A170,[1]Hugst!$R$5:$W$9,MATCH(ROUNDUP((H$1)/10,0)*10,[1]Hugst!$R$4:$W$4,0))))</f>
        <v>877.32799166229108</v>
      </c>
      <c r="I170" s="169">
        <f ca="1">IF($C170-I$1&lt;År1,0,H169*(1-VLOOKUP($A170,[1]Hugst!$R$5:$W$9,MATCH(ROUNDUP((I$1)/10,0)*10,[1]Hugst!$R$4:$W$4,0))))</f>
        <v>880.21163537052587</v>
      </c>
      <c r="J170" s="169">
        <f ca="1">IF($C170-J$1&lt;År1,0,I169*(1-VLOOKUP($A170,[1]Hugst!$R$5:$W$9,MATCH(ROUNDUP((J$1)/10,0)*10,[1]Hugst!$R$4:$W$4,0))))</f>
        <v>882.9536792395005</v>
      </c>
      <c r="K170" s="169">
        <f ca="1">IF($C170-K$1&lt;År1,0,J169*(1-VLOOKUP($A170,[1]Hugst!$R$5:$W$9,MATCH(ROUNDUP((K$1)/10,0)*10,[1]Hugst!$R$4:$W$4,0))))</f>
        <v>885.39732120111364</v>
      </c>
      <c r="L170" s="169">
        <f ca="1">IF($C170-L$1&lt;År1,0,K169*(1-VLOOKUP($A170,[1]Hugst!$R$5:$W$9,MATCH(ROUNDUP((L$1)/10,0)*10,[1]Hugst!$R$4:$W$4,0))))</f>
        <v>887.2288807259614</v>
      </c>
      <c r="M170" s="169">
        <f ca="1">IF($C170-M$1&lt;År1,0,L169*(1-VLOOKUP($A170,[1]Hugst!$R$5:$W$9,MATCH(ROUNDUP((M$1)/10,0)*10,[1]Hugst!$R$4:$W$4,0))))</f>
        <v>887.82091997832697</v>
      </c>
      <c r="N170" s="169">
        <f ca="1">IF($C170-N$1&lt;År1,0,M169*(1-VLOOKUP($A170,[1]Hugst!$R$5:$W$9,MATCH(ROUNDUP((N$1)/10,0)*10,[1]Hugst!$R$4:$W$4,0))))</f>
        <v>885.91848612390811</v>
      </c>
      <c r="O170" s="169">
        <f ca="1">IF($C170-O$1&lt;År1,0,N169*(1-VLOOKUP($A170,[1]Hugst!$R$5:$W$9,MATCH(ROUNDUP((O$1)/10,0)*10,[1]Hugst!$R$4:$W$4,0))))</f>
        <v>879.01159594359649</v>
      </c>
      <c r="P170" s="169">
        <f ca="1">IF($C170-P$1&lt;År1,0,O169*(1-VLOOKUP($A170,[1]Hugst!$R$5:$W$9,MATCH(ROUNDUP((P$1)/10,0)*10,[1]Hugst!$R$4:$W$4,0))))</f>
        <v>862.08020505887032</v>
      </c>
      <c r="Q170" s="169">
        <f ca="1">IF($C170-Q$1&lt;År1,0,P169*(1-VLOOKUP($A170,[1]Hugst!$R$5:$W$9,MATCH(ROUNDUP((Q$1)/10,0)*10,[1]Hugst!$R$4:$W$4,0))))</f>
        <v>825.08414638074498</v>
      </c>
      <c r="R170" s="169">
        <f ca="1">IF($C170-R$1&lt;År1,0,Q169*(1-VLOOKUP($A170,[1]Hugst!$R$5:$W$9,MATCH(ROUNDUP((R$1)/10,0)*10,[1]Hugst!$R$4:$W$4,0))))</f>
        <v>747.9430070057391</v>
      </c>
      <c r="S170" s="169">
        <f ca="1">IF($C170-S$1&lt;År1,0,R169*(1-VLOOKUP($A170,[1]Hugst!$R$5:$W$9,MATCH(ROUNDUP((S$1)/10,0)*10,[1]Hugst!$R$4:$W$4,0))))</f>
        <v>590.49588200574033</v>
      </c>
      <c r="T170" s="169">
        <f>IF($C170-T$1&lt;År1,0,S169*(1-VLOOKUP($A170,[1]Hugst!$R$5:$W$9,MATCH(ROUNDUP((T$1)/10,0)*10,[1]Hugst!$R$4:$W$4,0))))</f>
        <v>0</v>
      </c>
      <c r="U170" s="169">
        <f>IF($C170-U$1&lt;År1,0,T169*(1-VLOOKUP($A170,[1]Hugst!$R$5:$W$9,MATCH(ROUNDUP((U$1)/10,0)*10,[1]Hugst!$R$4:$W$4,0))))</f>
        <v>0</v>
      </c>
      <c r="V170" s="169">
        <f>IF($C170-V$1&lt;År1,0,U169*(1-VLOOKUP($A170,[1]Hugst!$R$5:$W$9,MATCH(ROUNDUP((V$1)/10,0)*10,[1]Hugst!$R$4:$W$4,0))))</f>
        <v>0</v>
      </c>
      <c r="W170" s="169">
        <f>IF($C170-W$1&lt;År1,0,V169*(1-VLOOKUP($A170,[1]Hugst!$R$5:$W$9,MATCH(ROUNDUP((W$1)/10,0)*10,[1]Hugst!$R$4:$W$4,0))))</f>
        <v>0</v>
      </c>
      <c r="X170" s="169">
        <f>IF($C170-X$1&lt;År1,0,W169*(1-VLOOKUP($A170,[1]Hugst!$R$5:$W$9,MATCH(ROUNDUP((X$1)/10,0)*10,[1]Hugst!$R$4:$W$4,0))))</f>
        <v>0</v>
      </c>
      <c r="Y170" s="169">
        <f>IF($C170-Y$1&lt;År1,0,X169*(1-VLOOKUP($A170,[1]Hugst!$R$5:$W$9,MATCH(ROUNDUP((Y$1)/10,0)*10,[1]Hugst!$R$4:$W$4,0))))</f>
        <v>0</v>
      </c>
      <c r="Z170" s="169">
        <f>IF($C170-Z$1&lt;År1,0,Y169*(1-VLOOKUP($A170,[1]Hugst!$R$5:$W$9,MATCH(ROUNDUP((Z$1)/10,0)*10,[1]Hugst!$R$4:$W$4,0))))</f>
        <v>0</v>
      </c>
      <c r="AA170" s="169">
        <f>IF($C170-AA$1&lt;År1,0,Z169*(1-VLOOKUP($A170,[1]Hugst!$R$5:$W$9,MATCH(ROUNDUP((AA$1)/10,0)*10,[1]Hugst!$R$4:$W$4,0))))</f>
        <v>0</v>
      </c>
      <c r="AB170" s="169">
        <f>IF($C170-AB$1&lt;År1,0,AA169*(1-VLOOKUP($A170,[1]Hugst!$R$5:$W$9,MATCH(ROUNDUP((AB$1)/10,0)*10,[1]Hugst!$R$4:$W$4,0))))</f>
        <v>0</v>
      </c>
      <c r="AC170" s="169">
        <f>IF($C170-AC$1&lt;År1,0,AB169*(1-VLOOKUP($A170,[1]Hugst!$R$5:$W$9,MATCH(ROUNDUP((AC$1)/10,0)*10,[1]Hugst!$R$4:$W$4,0))))</f>
        <v>0</v>
      </c>
      <c r="AD170" s="169">
        <f>IF($C170-AD$1&lt;År1,0,AC169*(1-VLOOKUP($A170,[1]Hugst!$R$5:$W$9,MATCH(ROUNDUP((AD$1)/10,0)*10,[1]Hugst!$R$4:$W$4,0))))</f>
        <v>0</v>
      </c>
      <c r="AE170" s="169">
        <f>IF($C170-AE$1&lt;År1,0,AD169*(1-VLOOKUP($A170,[1]Hugst!$R$5:$W$9,MATCH(ROUNDUP((AE$1)/10,0)*10,[1]Hugst!$R$4:$W$4,0))))</f>
        <v>0</v>
      </c>
      <c r="AF170" s="169">
        <f>IF($C170-AF$1&lt;År1,0,AE169*(1-VLOOKUP($A170,[1]Hugst!$R$5:$W$9,MATCH(ROUNDUP((AF$1)/10,0)*10,[1]Hugst!$R$4:$W$4,0))))</f>
        <v>0</v>
      </c>
      <c r="AG170" s="169">
        <f>IF($C170-AG$1&lt;År1,0,AF169*(1-VLOOKUP($A170,[1]Hugst!$R$5:$W$9,MATCH(ROUNDUP((AG$1)/10,0)*10,[1]Hugst!$R$4:$W$4,0))))</f>
        <v>0</v>
      </c>
      <c r="AH170" s="169">
        <f>IF($C170-AH$1&lt;År1,0,AG169*(1-VLOOKUP($A170,[1]Hugst!$R$5:$W$9,MATCH(ROUNDUP((AH$1)/10,0)*10,[1]Hugst!$R$4:$W$4,0))))</f>
        <v>0</v>
      </c>
      <c r="AI170" s="169">
        <f>IF($C170-AI$1&lt;År1,0,AH169*(1-VLOOKUP($A170,[1]Hugst!$R$5:$W$9,MATCH(ROUNDUP((AI$1)/10,0)*10,[1]Hugst!$R$4:$W$4,0))))</f>
        <v>0</v>
      </c>
      <c r="AJ170" s="169">
        <f>IF($C170-AJ$1&lt;År1,0,AI169*(1-VLOOKUP($A170,[1]Hugst!$R$5:$W$9,MATCH(ROUNDUP((AJ$1)/10,0)*10,[1]Hugst!$R$4:$W$4,0))))</f>
        <v>0</v>
      </c>
    </row>
    <row r="171" spans="1:36" x14ac:dyDescent="0.25">
      <c r="A171" s="169" t="s">
        <v>178</v>
      </c>
      <c r="B171" s="169" t="s">
        <v>24</v>
      </c>
      <c r="C171" s="169">
        <v>2034</v>
      </c>
      <c r="D171" s="169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596.01372298631395</v>
      </c>
      <c r="E171" s="169">
        <f t="shared" ca="1" si="3"/>
        <v>0</v>
      </c>
      <c r="F171" s="169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868.43460499205833</v>
      </c>
      <c r="G171" s="169">
        <f ca="1">IF($C171-G$1&lt;År1,0,F170*(1-VLOOKUP($A171,[1]Hugst!$R$5:$W$9,MATCH(ROUNDUP((G$1)/10,0)*10,[1]Hugst!$R$4:$W$4,0))))</f>
        <v>871.41013751226785</v>
      </c>
      <c r="H171" s="169">
        <f ca="1">IF($C171-H$1&lt;År1,0,G170*(1-VLOOKUP($A171,[1]Hugst!$R$5:$W$9,MATCH(ROUNDUP((H$1)/10,0)*10,[1]Hugst!$R$4:$W$4,0))))</f>
        <v>874.38111114330798</v>
      </c>
      <c r="I171" s="169">
        <f ca="1">IF($C171-I$1&lt;År1,0,H170*(1-VLOOKUP($A171,[1]Hugst!$R$5:$W$9,MATCH(ROUNDUP((I$1)/10,0)*10,[1]Hugst!$R$4:$W$4,0))))</f>
        <v>877.32799166229108</v>
      </c>
      <c r="J171" s="169">
        <f ca="1">IF($C171-J$1&lt;År1,0,I170*(1-VLOOKUP($A171,[1]Hugst!$R$5:$W$9,MATCH(ROUNDUP((J$1)/10,0)*10,[1]Hugst!$R$4:$W$4,0))))</f>
        <v>880.21163537052587</v>
      </c>
      <c r="K171" s="169">
        <f ca="1">IF($C171-K$1&lt;År1,0,J170*(1-VLOOKUP($A171,[1]Hugst!$R$5:$W$9,MATCH(ROUNDUP((K$1)/10,0)*10,[1]Hugst!$R$4:$W$4,0))))</f>
        <v>882.9536792395005</v>
      </c>
      <c r="L171" s="169">
        <f ca="1">IF($C171-L$1&lt;År1,0,K170*(1-VLOOKUP($A171,[1]Hugst!$R$5:$W$9,MATCH(ROUNDUP((L$1)/10,0)*10,[1]Hugst!$R$4:$W$4,0))))</f>
        <v>885.39732120111364</v>
      </c>
      <c r="M171" s="169">
        <f ca="1">IF($C171-M$1&lt;År1,0,L170*(1-VLOOKUP($A171,[1]Hugst!$R$5:$W$9,MATCH(ROUNDUP((M$1)/10,0)*10,[1]Hugst!$R$4:$W$4,0))))</f>
        <v>887.2288807259614</v>
      </c>
      <c r="N171" s="169">
        <f ca="1">IF($C171-N$1&lt;År1,0,M170*(1-VLOOKUP($A171,[1]Hugst!$R$5:$W$9,MATCH(ROUNDUP((N$1)/10,0)*10,[1]Hugst!$R$4:$W$4,0))))</f>
        <v>887.82091997832697</v>
      </c>
      <c r="O171" s="169">
        <f ca="1">IF($C171-O$1&lt;År1,0,N170*(1-VLOOKUP($A171,[1]Hugst!$R$5:$W$9,MATCH(ROUNDUP((O$1)/10,0)*10,[1]Hugst!$R$4:$W$4,0))))</f>
        <v>885.91848612390811</v>
      </c>
      <c r="P171" s="169">
        <f ca="1">IF($C171-P$1&lt;År1,0,O170*(1-VLOOKUP($A171,[1]Hugst!$R$5:$W$9,MATCH(ROUNDUP((P$1)/10,0)*10,[1]Hugst!$R$4:$W$4,0))))</f>
        <v>879.01159594359649</v>
      </c>
      <c r="Q171" s="169">
        <f ca="1">IF($C171-Q$1&lt;År1,0,P170*(1-VLOOKUP($A171,[1]Hugst!$R$5:$W$9,MATCH(ROUNDUP((Q$1)/10,0)*10,[1]Hugst!$R$4:$W$4,0))))</f>
        <v>862.08020505887032</v>
      </c>
      <c r="R171" s="169">
        <f ca="1">IF($C171-R$1&lt;År1,0,Q170*(1-VLOOKUP($A171,[1]Hugst!$R$5:$W$9,MATCH(ROUNDUP((R$1)/10,0)*10,[1]Hugst!$R$4:$W$4,0))))</f>
        <v>825.08414638074498</v>
      </c>
      <c r="S171" s="169">
        <f ca="1">IF($C171-S$1&lt;År1,0,R170*(1-VLOOKUP($A171,[1]Hugst!$R$5:$W$9,MATCH(ROUNDUP((S$1)/10,0)*10,[1]Hugst!$R$4:$W$4,0))))</f>
        <v>747.9430070057391</v>
      </c>
      <c r="T171" s="169">
        <f ca="1">IF($C171-T$1&lt;År1,0,S170*(1-VLOOKUP($A171,[1]Hugst!$R$5:$W$9,MATCH(ROUNDUP((T$1)/10,0)*10,[1]Hugst!$R$4:$W$4,0))))</f>
        <v>590.49588200574033</v>
      </c>
      <c r="U171" s="169">
        <f>IF($C171-U$1&lt;År1,0,T170*(1-VLOOKUP($A171,[1]Hugst!$R$5:$W$9,MATCH(ROUNDUP((U$1)/10,0)*10,[1]Hugst!$R$4:$W$4,0))))</f>
        <v>0</v>
      </c>
      <c r="V171" s="169">
        <f>IF($C171-V$1&lt;År1,0,U170*(1-VLOOKUP($A171,[1]Hugst!$R$5:$W$9,MATCH(ROUNDUP((V$1)/10,0)*10,[1]Hugst!$R$4:$W$4,0))))</f>
        <v>0</v>
      </c>
      <c r="W171" s="169">
        <f>IF($C171-W$1&lt;År1,0,V170*(1-VLOOKUP($A171,[1]Hugst!$R$5:$W$9,MATCH(ROUNDUP((W$1)/10,0)*10,[1]Hugst!$R$4:$W$4,0))))</f>
        <v>0</v>
      </c>
      <c r="X171" s="169">
        <f>IF($C171-X$1&lt;År1,0,W170*(1-VLOOKUP($A171,[1]Hugst!$R$5:$W$9,MATCH(ROUNDUP((X$1)/10,0)*10,[1]Hugst!$R$4:$W$4,0))))</f>
        <v>0</v>
      </c>
      <c r="Y171" s="169">
        <f>IF($C171-Y$1&lt;År1,0,X170*(1-VLOOKUP($A171,[1]Hugst!$R$5:$W$9,MATCH(ROUNDUP((Y$1)/10,0)*10,[1]Hugst!$R$4:$W$4,0))))</f>
        <v>0</v>
      </c>
      <c r="Z171" s="169">
        <f>IF($C171-Z$1&lt;År1,0,Y170*(1-VLOOKUP($A171,[1]Hugst!$R$5:$W$9,MATCH(ROUNDUP((Z$1)/10,0)*10,[1]Hugst!$R$4:$W$4,0))))</f>
        <v>0</v>
      </c>
      <c r="AA171" s="169">
        <f>IF($C171-AA$1&lt;År1,0,Z170*(1-VLOOKUP($A171,[1]Hugst!$R$5:$W$9,MATCH(ROUNDUP((AA$1)/10,0)*10,[1]Hugst!$R$4:$W$4,0))))</f>
        <v>0</v>
      </c>
      <c r="AB171" s="169">
        <f>IF($C171-AB$1&lt;År1,0,AA170*(1-VLOOKUP($A171,[1]Hugst!$R$5:$W$9,MATCH(ROUNDUP((AB$1)/10,0)*10,[1]Hugst!$R$4:$W$4,0))))</f>
        <v>0</v>
      </c>
      <c r="AC171" s="169">
        <f>IF($C171-AC$1&lt;År1,0,AB170*(1-VLOOKUP($A171,[1]Hugst!$R$5:$W$9,MATCH(ROUNDUP((AC$1)/10,0)*10,[1]Hugst!$R$4:$W$4,0))))</f>
        <v>0</v>
      </c>
      <c r="AD171" s="169">
        <f>IF($C171-AD$1&lt;År1,0,AC170*(1-VLOOKUP($A171,[1]Hugst!$R$5:$W$9,MATCH(ROUNDUP((AD$1)/10,0)*10,[1]Hugst!$R$4:$W$4,0))))</f>
        <v>0</v>
      </c>
      <c r="AE171" s="169">
        <f>IF($C171-AE$1&lt;År1,0,AD170*(1-VLOOKUP($A171,[1]Hugst!$R$5:$W$9,MATCH(ROUNDUP((AE$1)/10,0)*10,[1]Hugst!$R$4:$W$4,0))))</f>
        <v>0</v>
      </c>
      <c r="AF171" s="169">
        <f>IF($C171-AF$1&lt;År1,0,AE170*(1-VLOOKUP($A171,[1]Hugst!$R$5:$W$9,MATCH(ROUNDUP((AF$1)/10,0)*10,[1]Hugst!$R$4:$W$4,0))))</f>
        <v>0</v>
      </c>
      <c r="AG171" s="169">
        <f>IF($C171-AG$1&lt;År1,0,AF170*(1-VLOOKUP($A171,[1]Hugst!$R$5:$W$9,MATCH(ROUNDUP((AG$1)/10,0)*10,[1]Hugst!$R$4:$W$4,0))))</f>
        <v>0</v>
      </c>
      <c r="AH171" s="169">
        <f>IF($C171-AH$1&lt;År1,0,AG170*(1-VLOOKUP($A171,[1]Hugst!$R$5:$W$9,MATCH(ROUNDUP((AH$1)/10,0)*10,[1]Hugst!$R$4:$W$4,0))))</f>
        <v>0</v>
      </c>
      <c r="AI171" s="169">
        <f>IF($C171-AI$1&lt;År1,0,AH170*(1-VLOOKUP($A171,[1]Hugst!$R$5:$W$9,MATCH(ROUNDUP((AI$1)/10,0)*10,[1]Hugst!$R$4:$W$4,0))))</f>
        <v>0</v>
      </c>
      <c r="AJ171" s="169">
        <f>IF($C171-AJ$1&lt;År1,0,AI170*(1-VLOOKUP($A171,[1]Hugst!$R$5:$W$9,MATCH(ROUNDUP((AJ$1)/10,0)*10,[1]Hugst!$R$4:$W$4,0))))</f>
        <v>0</v>
      </c>
    </row>
    <row r="172" spans="1:36" x14ac:dyDescent="0.25">
      <c r="A172" s="169" t="s">
        <v>178</v>
      </c>
      <c r="B172" s="169" t="s">
        <v>24</v>
      </c>
      <c r="C172" s="169">
        <v>2035</v>
      </c>
      <c r="D172" s="169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593.04336125005466</v>
      </c>
      <c r="E172" s="169">
        <f t="shared" ca="1" si="3"/>
        <v>0</v>
      </c>
      <c r="F172" s="169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865.46424325579903</v>
      </c>
      <c r="G172" s="169">
        <f ca="1">IF($C172-G$1&lt;År1,0,F171*(1-VLOOKUP($A172,[1]Hugst!$R$5:$W$9,MATCH(ROUNDUP((G$1)/10,0)*10,[1]Hugst!$R$4:$W$4,0))))</f>
        <v>868.43460499205833</v>
      </c>
      <c r="H172" s="169">
        <f ca="1">IF($C172-H$1&lt;År1,0,G171*(1-VLOOKUP($A172,[1]Hugst!$R$5:$W$9,MATCH(ROUNDUP((H$1)/10,0)*10,[1]Hugst!$R$4:$W$4,0))))</f>
        <v>871.41013751226785</v>
      </c>
      <c r="I172" s="169">
        <f ca="1">IF($C172-I$1&lt;År1,0,H171*(1-VLOOKUP($A172,[1]Hugst!$R$5:$W$9,MATCH(ROUNDUP((I$1)/10,0)*10,[1]Hugst!$R$4:$W$4,0))))</f>
        <v>874.38111114330798</v>
      </c>
      <c r="J172" s="169">
        <f ca="1">IF($C172-J$1&lt;År1,0,I171*(1-VLOOKUP($A172,[1]Hugst!$R$5:$W$9,MATCH(ROUNDUP((J$1)/10,0)*10,[1]Hugst!$R$4:$W$4,0))))</f>
        <v>877.32799166229108</v>
      </c>
      <c r="K172" s="169">
        <f ca="1">IF($C172-K$1&lt;År1,0,J171*(1-VLOOKUP($A172,[1]Hugst!$R$5:$W$9,MATCH(ROUNDUP((K$1)/10,0)*10,[1]Hugst!$R$4:$W$4,0))))</f>
        <v>880.21163537052587</v>
      </c>
      <c r="L172" s="169">
        <f ca="1">IF($C172-L$1&lt;År1,0,K171*(1-VLOOKUP($A172,[1]Hugst!$R$5:$W$9,MATCH(ROUNDUP((L$1)/10,0)*10,[1]Hugst!$R$4:$W$4,0))))</f>
        <v>882.9536792395005</v>
      </c>
      <c r="M172" s="169">
        <f ca="1">IF($C172-M$1&lt;År1,0,L171*(1-VLOOKUP($A172,[1]Hugst!$R$5:$W$9,MATCH(ROUNDUP((M$1)/10,0)*10,[1]Hugst!$R$4:$W$4,0))))</f>
        <v>885.39732120111364</v>
      </c>
      <c r="N172" s="169">
        <f ca="1">IF($C172-N$1&lt;År1,0,M171*(1-VLOOKUP($A172,[1]Hugst!$R$5:$W$9,MATCH(ROUNDUP((N$1)/10,0)*10,[1]Hugst!$R$4:$W$4,0))))</f>
        <v>887.2288807259614</v>
      </c>
      <c r="O172" s="169">
        <f ca="1">IF($C172-O$1&lt;År1,0,N171*(1-VLOOKUP($A172,[1]Hugst!$R$5:$W$9,MATCH(ROUNDUP((O$1)/10,0)*10,[1]Hugst!$R$4:$W$4,0))))</f>
        <v>887.82091997832697</v>
      </c>
      <c r="P172" s="169">
        <f ca="1">IF($C172-P$1&lt;År1,0,O171*(1-VLOOKUP($A172,[1]Hugst!$R$5:$W$9,MATCH(ROUNDUP((P$1)/10,0)*10,[1]Hugst!$R$4:$W$4,0))))</f>
        <v>885.91848612390811</v>
      </c>
      <c r="Q172" s="169">
        <f ca="1">IF($C172-Q$1&lt;År1,0,P171*(1-VLOOKUP($A172,[1]Hugst!$R$5:$W$9,MATCH(ROUNDUP((Q$1)/10,0)*10,[1]Hugst!$R$4:$W$4,0))))</f>
        <v>879.01159594359649</v>
      </c>
      <c r="R172" s="169">
        <f ca="1">IF($C172-R$1&lt;År1,0,Q171*(1-VLOOKUP($A172,[1]Hugst!$R$5:$W$9,MATCH(ROUNDUP((R$1)/10,0)*10,[1]Hugst!$R$4:$W$4,0))))</f>
        <v>862.08020505887032</v>
      </c>
      <c r="S172" s="169">
        <f ca="1">IF($C172-S$1&lt;År1,0,R171*(1-VLOOKUP($A172,[1]Hugst!$R$5:$W$9,MATCH(ROUNDUP((S$1)/10,0)*10,[1]Hugst!$R$4:$W$4,0))))</f>
        <v>825.08414638074498</v>
      </c>
      <c r="T172" s="169">
        <f ca="1">IF($C172-T$1&lt;År1,0,S171*(1-VLOOKUP($A172,[1]Hugst!$R$5:$W$9,MATCH(ROUNDUP((T$1)/10,0)*10,[1]Hugst!$R$4:$W$4,0))))</f>
        <v>747.9430070057391</v>
      </c>
      <c r="U172" s="169">
        <f ca="1">IF($C172-U$1&lt;År1,0,T171*(1-VLOOKUP($A172,[1]Hugst!$R$5:$W$9,MATCH(ROUNDUP((U$1)/10,0)*10,[1]Hugst!$R$4:$W$4,0))))</f>
        <v>590.49588200574033</v>
      </c>
      <c r="V172" s="169">
        <f>IF($C172-V$1&lt;År1,0,U171*(1-VLOOKUP($A172,[1]Hugst!$R$5:$W$9,MATCH(ROUNDUP((V$1)/10,0)*10,[1]Hugst!$R$4:$W$4,0))))</f>
        <v>0</v>
      </c>
      <c r="W172" s="169">
        <f>IF($C172-W$1&lt;År1,0,V171*(1-VLOOKUP($A172,[1]Hugst!$R$5:$W$9,MATCH(ROUNDUP((W$1)/10,0)*10,[1]Hugst!$R$4:$W$4,0))))</f>
        <v>0</v>
      </c>
      <c r="X172" s="169">
        <f>IF($C172-X$1&lt;År1,0,W171*(1-VLOOKUP($A172,[1]Hugst!$R$5:$W$9,MATCH(ROUNDUP((X$1)/10,0)*10,[1]Hugst!$R$4:$W$4,0))))</f>
        <v>0</v>
      </c>
      <c r="Y172" s="169">
        <f>IF($C172-Y$1&lt;År1,0,X171*(1-VLOOKUP($A172,[1]Hugst!$R$5:$W$9,MATCH(ROUNDUP((Y$1)/10,0)*10,[1]Hugst!$R$4:$W$4,0))))</f>
        <v>0</v>
      </c>
      <c r="Z172" s="169">
        <f>IF($C172-Z$1&lt;År1,0,Y171*(1-VLOOKUP($A172,[1]Hugst!$R$5:$W$9,MATCH(ROUNDUP((Z$1)/10,0)*10,[1]Hugst!$R$4:$W$4,0))))</f>
        <v>0</v>
      </c>
      <c r="AA172" s="169">
        <f>IF($C172-AA$1&lt;År1,0,Z171*(1-VLOOKUP($A172,[1]Hugst!$R$5:$W$9,MATCH(ROUNDUP((AA$1)/10,0)*10,[1]Hugst!$R$4:$W$4,0))))</f>
        <v>0</v>
      </c>
      <c r="AB172" s="169">
        <f>IF($C172-AB$1&lt;År1,0,AA171*(1-VLOOKUP($A172,[1]Hugst!$R$5:$W$9,MATCH(ROUNDUP((AB$1)/10,0)*10,[1]Hugst!$R$4:$W$4,0))))</f>
        <v>0</v>
      </c>
      <c r="AC172" s="169">
        <f>IF($C172-AC$1&lt;År1,0,AB171*(1-VLOOKUP($A172,[1]Hugst!$R$5:$W$9,MATCH(ROUNDUP((AC$1)/10,0)*10,[1]Hugst!$R$4:$W$4,0))))</f>
        <v>0</v>
      </c>
      <c r="AD172" s="169">
        <f>IF($C172-AD$1&lt;År1,0,AC171*(1-VLOOKUP($A172,[1]Hugst!$R$5:$W$9,MATCH(ROUNDUP((AD$1)/10,0)*10,[1]Hugst!$R$4:$W$4,0))))</f>
        <v>0</v>
      </c>
      <c r="AE172" s="169">
        <f>IF($C172-AE$1&lt;År1,0,AD171*(1-VLOOKUP($A172,[1]Hugst!$R$5:$W$9,MATCH(ROUNDUP((AE$1)/10,0)*10,[1]Hugst!$R$4:$W$4,0))))</f>
        <v>0</v>
      </c>
      <c r="AF172" s="169">
        <f>IF($C172-AF$1&lt;År1,0,AE171*(1-VLOOKUP($A172,[1]Hugst!$R$5:$W$9,MATCH(ROUNDUP((AF$1)/10,0)*10,[1]Hugst!$R$4:$W$4,0))))</f>
        <v>0</v>
      </c>
      <c r="AG172" s="169">
        <f>IF($C172-AG$1&lt;År1,0,AF171*(1-VLOOKUP($A172,[1]Hugst!$R$5:$W$9,MATCH(ROUNDUP((AG$1)/10,0)*10,[1]Hugst!$R$4:$W$4,0))))</f>
        <v>0</v>
      </c>
      <c r="AH172" s="169">
        <f>IF($C172-AH$1&lt;År1,0,AG171*(1-VLOOKUP($A172,[1]Hugst!$R$5:$W$9,MATCH(ROUNDUP((AH$1)/10,0)*10,[1]Hugst!$R$4:$W$4,0))))</f>
        <v>0</v>
      </c>
      <c r="AI172" s="169">
        <f>IF($C172-AI$1&lt;År1,0,AH171*(1-VLOOKUP($A172,[1]Hugst!$R$5:$W$9,MATCH(ROUNDUP((AI$1)/10,0)*10,[1]Hugst!$R$4:$W$4,0))))</f>
        <v>0</v>
      </c>
      <c r="AJ172" s="169">
        <f>IF($C172-AJ$1&lt;År1,0,AI171*(1-VLOOKUP($A172,[1]Hugst!$R$5:$W$9,MATCH(ROUNDUP((AJ$1)/10,0)*10,[1]Hugst!$R$4:$W$4,0))))</f>
        <v>0</v>
      </c>
    </row>
    <row r="173" spans="1:36" x14ac:dyDescent="0.25">
      <c r="A173" s="169" t="s">
        <v>178</v>
      </c>
      <c r="B173" s="169" t="s">
        <v>24</v>
      </c>
      <c r="C173" s="169">
        <v>2036</v>
      </c>
      <c r="D173" s="169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590.08299788312706</v>
      </c>
      <c r="E173" s="169">
        <f t="shared" ca="1" si="3"/>
        <v>0</v>
      </c>
      <c r="F173" s="169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862.50387988887144</v>
      </c>
      <c r="G173" s="169">
        <f ca="1">IF($C173-G$1&lt;År1,0,F172*(1-VLOOKUP($A173,[1]Hugst!$R$5:$W$9,MATCH(ROUNDUP((G$1)/10,0)*10,[1]Hugst!$R$4:$W$4,0))))</f>
        <v>865.46424325579903</v>
      </c>
      <c r="H173" s="169">
        <f ca="1">IF($C173-H$1&lt;År1,0,G172*(1-VLOOKUP($A173,[1]Hugst!$R$5:$W$9,MATCH(ROUNDUP((H$1)/10,0)*10,[1]Hugst!$R$4:$W$4,0))))</f>
        <v>868.43460499205833</v>
      </c>
      <c r="I173" s="169">
        <f ca="1">IF($C173-I$1&lt;År1,0,H172*(1-VLOOKUP($A173,[1]Hugst!$R$5:$W$9,MATCH(ROUNDUP((I$1)/10,0)*10,[1]Hugst!$R$4:$W$4,0))))</f>
        <v>871.41013751226785</v>
      </c>
      <c r="J173" s="169">
        <f ca="1">IF($C173-J$1&lt;År1,0,I172*(1-VLOOKUP($A173,[1]Hugst!$R$5:$W$9,MATCH(ROUNDUP((J$1)/10,0)*10,[1]Hugst!$R$4:$W$4,0))))</f>
        <v>874.38111114330798</v>
      </c>
      <c r="K173" s="169">
        <f ca="1">IF($C173-K$1&lt;År1,0,J172*(1-VLOOKUP($A173,[1]Hugst!$R$5:$W$9,MATCH(ROUNDUP((K$1)/10,0)*10,[1]Hugst!$R$4:$W$4,0))))</f>
        <v>877.32799166229108</v>
      </c>
      <c r="L173" s="169">
        <f ca="1">IF($C173-L$1&lt;År1,0,K172*(1-VLOOKUP($A173,[1]Hugst!$R$5:$W$9,MATCH(ROUNDUP((L$1)/10,0)*10,[1]Hugst!$R$4:$W$4,0))))</f>
        <v>880.21163537052587</v>
      </c>
      <c r="M173" s="169">
        <f ca="1">IF($C173-M$1&lt;År1,0,L172*(1-VLOOKUP($A173,[1]Hugst!$R$5:$W$9,MATCH(ROUNDUP((M$1)/10,0)*10,[1]Hugst!$R$4:$W$4,0))))</f>
        <v>882.9536792395005</v>
      </c>
      <c r="N173" s="169">
        <f ca="1">IF($C173-N$1&lt;År1,0,M172*(1-VLOOKUP($A173,[1]Hugst!$R$5:$W$9,MATCH(ROUNDUP((N$1)/10,0)*10,[1]Hugst!$R$4:$W$4,0))))</f>
        <v>885.39732120111364</v>
      </c>
      <c r="O173" s="169">
        <f ca="1">IF($C173-O$1&lt;År1,0,N172*(1-VLOOKUP($A173,[1]Hugst!$R$5:$W$9,MATCH(ROUNDUP((O$1)/10,0)*10,[1]Hugst!$R$4:$W$4,0))))</f>
        <v>887.2288807259614</v>
      </c>
      <c r="P173" s="169">
        <f ca="1">IF($C173-P$1&lt;År1,0,O172*(1-VLOOKUP($A173,[1]Hugst!$R$5:$W$9,MATCH(ROUNDUP((P$1)/10,0)*10,[1]Hugst!$R$4:$W$4,0))))</f>
        <v>887.82091997832697</v>
      </c>
      <c r="Q173" s="169">
        <f ca="1">IF($C173-Q$1&lt;År1,0,P172*(1-VLOOKUP($A173,[1]Hugst!$R$5:$W$9,MATCH(ROUNDUP((Q$1)/10,0)*10,[1]Hugst!$R$4:$W$4,0))))</f>
        <v>885.91848612390811</v>
      </c>
      <c r="R173" s="169">
        <f ca="1">IF($C173-R$1&lt;År1,0,Q172*(1-VLOOKUP($A173,[1]Hugst!$R$5:$W$9,MATCH(ROUNDUP((R$1)/10,0)*10,[1]Hugst!$R$4:$W$4,0))))</f>
        <v>879.01159594359649</v>
      </c>
      <c r="S173" s="169">
        <f ca="1">IF($C173-S$1&lt;År1,0,R172*(1-VLOOKUP($A173,[1]Hugst!$R$5:$W$9,MATCH(ROUNDUP((S$1)/10,0)*10,[1]Hugst!$R$4:$W$4,0))))</f>
        <v>862.08020505887032</v>
      </c>
      <c r="T173" s="169">
        <f ca="1">IF($C173-T$1&lt;År1,0,S172*(1-VLOOKUP($A173,[1]Hugst!$R$5:$W$9,MATCH(ROUNDUP((T$1)/10,0)*10,[1]Hugst!$R$4:$W$4,0))))</f>
        <v>825.08414638074498</v>
      </c>
      <c r="U173" s="169">
        <f ca="1">IF($C173-U$1&lt;År1,0,T172*(1-VLOOKUP($A173,[1]Hugst!$R$5:$W$9,MATCH(ROUNDUP((U$1)/10,0)*10,[1]Hugst!$R$4:$W$4,0))))</f>
        <v>747.9430070057391</v>
      </c>
      <c r="V173" s="169">
        <f ca="1">IF($C173-V$1&lt;År1,0,U172*(1-VLOOKUP($A173,[1]Hugst!$R$5:$W$9,MATCH(ROUNDUP((V$1)/10,0)*10,[1]Hugst!$R$4:$W$4,0))))</f>
        <v>590.49588200574033</v>
      </c>
      <c r="W173" s="169">
        <f>IF($C173-W$1&lt;År1,0,V172*(1-VLOOKUP($A173,[1]Hugst!$R$5:$W$9,MATCH(ROUNDUP((W$1)/10,0)*10,[1]Hugst!$R$4:$W$4,0))))</f>
        <v>0</v>
      </c>
      <c r="X173" s="169">
        <f>IF($C173-X$1&lt;År1,0,W172*(1-VLOOKUP($A173,[1]Hugst!$R$5:$W$9,MATCH(ROUNDUP((X$1)/10,0)*10,[1]Hugst!$R$4:$W$4,0))))</f>
        <v>0</v>
      </c>
      <c r="Y173" s="169">
        <f>IF($C173-Y$1&lt;År1,0,X172*(1-VLOOKUP($A173,[1]Hugst!$R$5:$W$9,MATCH(ROUNDUP((Y$1)/10,0)*10,[1]Hugst!$R$4:$W$4,0))))</f>
        <v>0</v>
      </c>
      <c r="Z173" s="169">
        <f>IF($C173-Z$1&lt;År1,0,Y172*(1-VLOOKUP($A173,[1]Hugst!$R$5:$W$9,MATCH(ROUNDUP((Z$1)/10,0)*10,[1]Hugst!$R$4:$W$4,0))))</f>
        <v>0</v>
      </c>
      <c r="AA173" s="169">
        <f>IF($C173-AA$1&lt;År1,0,Z172*(1-VLOOKUP($A173,[1]Hugst!$R$5:$W$9,MATCH(ROUNDUP((AA$1)/10,0)*10,[1]Hugst!$R$4:$W$4,0))))</f>
        <v>0</v>
      </c>
      <c r="AB173" s="169">
        <f>IF($C173-AB$1&lt;År1,0,AA172*(1-VLOOKUP($A173,[1]Hugst!$R$5:$W$9,MATCH(ROUNDUP((AB$1)/10,0)*10,[1]Hugst!$R$4:$W$4,0))))</f>
        <v>0</v>
      </c>
      <c r="AC173" s="169">
        <f>IF($C173-AC$1&lt;År1,0,AB172*(1-VLOOKUP($A173,[1]Hugst!$R$5:$W$9,MATCH(ROUNDUP((AC$1)/10,0)*10,[1]Hugst!$R$4:$W$4,0))))</f>
        <v>0</v>
      </c>
      <c r="AD173" s="169">
        <f>IF($C173-AD$1&lt;År1,0,AC172*(1-VLOOKUP($A173,[1]Hugst!$R$5:$W$9,MATCH(ROUNDUP((AD$1)/10,0)*10,[1]Hugst!$R$4:$W$4,0))))</f>
        <v>0</v>
      </c>
      <c r="AE173" s="169">
        <f>IF($C173-AE$1&lt;År1,0,AD172*(1-VLOOKUP($A173,[1]Hugst!$R$5:$W$9,MATCH(ROUNDUP((AE$1)/10,0)*10,[1]Hugst!$R$4:$W$4,0))))</f>
        <v>0</v>
      </c>
      <c r="AF173" s="169">
        <f>IF($C173-AF$1&lt;År1,0,AE172*(1-VLOOKUP($A173,[1]Hugst!$R$5:$W$9,MATCH(ROUNDUP((AF$1)/10,0)*10,[1]Hugst!$R$4:$W$4,0))))</f>
        <v>0</v>
      </c>
      <c r="AG173" s="169">
        <f>IF($C173-AG$1&lt;År1,0,AF172*(1-VLOOKUP($A173,[1]Hugst!$R$5:$W$9,MATCH(ROUNDUP((AG$1)/10,0)*10,[1]Hugst!$R$4:$W$4,0))))</f>
        <v>0</v>
      </c>
      <c r="AH173" s="169">
        <f>IF($C173-AH$1&lt;År1,0,AG172*(1-VLOOKUP($A173,[1]Hugst!$R$5:$W$9,MATCH(ROUNDUP((AH$1)/10,0)*10,[1]Hugst!$R$4:$W$4,0))))</f>
        <v>0</v>
      </c>
      <c r="AI173" s="169">
        <f>IF($C173-AI$1&lt;År1,0,AH172*(1-VLOOKUP($A173,[1]Hugst!$R$5:$W$9,MATCH(ROUNDUP((AI$1)/10,0)*10,[1]Hugst!$R$4:$W$4,0))))</f>
        <v>0</v>
      </c>
      <c r="AJ173" s="169">
        <f>IF($C173-AJ$1&lt;År1,0,AI172*(1-VLOOKUP($A173,[1]Hugst!$R$5:$W$9,MATCH(ROUNDUP((AJ$1)/10,0)*10,[1]Hugst!$R$4:$W$4,0))))</f>
        <v>0</v>
      </c>
    </row>
    <row r="174" spans="1:36" x14ac:dyDescent="0.25">
      <c r="A174" s="169" t="s">
        <v>178</v>
      </c>
      <c r="B174" s="169" t="s">
        <v>24</v>
      </c>
      <c r="C174" s="169">
        <v>2037</v>
      </c>
      <c r="D174" s="169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587.13500961338104</v>
      </c>
      <c r="E174" s="169">
        <f t="shared" ca="1" si="3"/>
        <v>0</v>
      </c>
      <c r="F174" s="169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859.55589161912542</v>
      </c>
      <c r="G174" s="169">
        <f ca="1">IF($C174-G$1&lt;År1,0,F173*(1-VLOOKUP($A174,[1]Hugst!$R$5:$W$9,MATCH(ROUNDUP((G$1)/10,0)*10,[1]Hugst!$R$4:$W$4,0))))</f>
        <v>862.50387988887144</v>
      </c>
      <c r="H174" s="169">
        <f ca="1">IF($C174-H$1&lt;År1,0,G173*(1-VLOOKUP($A174,[1]Hugst!$R$5:$W$9,MATCH(ROUNDUP((H$1)/10,0)*10,[1]Hugst!$R$4:$W$4,0))))</f>
        <v>865.46424325579903</v>
      </c>
      <c r="I174" s="169">
        <f ca="1">IF($C174-I$1&lt;År1,0,H173*(1-VLOOKUP($A174,[1]Hugst!$R$5:$W$9,MATCH(ROUNDUP((I$1)/10,0)*10,[1]Hugst!$R$4:$W$4,0))))</f>
        <v>868.43460499205833</v>
      </c>
      <c r="J174" s="169">
        <f ca="1">IF($C174-J$1&lt;År1,0,I173*(1-VLOOKUP($A174,[1]Hugst!$R$5:$W$9,MATCH(ROUNDUP((J$1)/10,0)*10,[1]Hugst!$R$4:$W$4,0))))</f>
        <v>871.41013751226785</v>
      </c>
      <c r="K174" s="169">
        <f ca="1">IF($C174-K$1&lt;År1,0,J173*(1-VLOOKUP($A174,[1]Hugst!$R$5:$W$9,MATCH(ROUNDUP((K$1)/10,0)*10,[1]Hugst!$R$4:$W$4,0))))</f>
        <v>874.38111114330798</v>
      </c>
      <c r="L174" s="169">
        <f ca="1">IF($C174-L$1&lt;År1,0,K173*(1-VLOOKUP($A174,[1]Hugst!$R$5:$W$9,MATCH(ROUNDUP((L$1)/10,0)*10,[1]Hugst!$R$4:$W$4,0))))</f>
        <v>877.32799166229108</v>
      </c>
      <c r="M174" s="169">
        <f ca="1">IF($C174-M$1&lt;År1,0,L173*(1-VLOOKUP($A174,[1]Hugst!$R$5:$W$9,MATCH(ROUNDUP((M$1)/10,0)*10,[1]Hugst!$R$4:$W$4,0))))</f>
        <v>880.21163537052587</v>
      </c>
      <c r="N174" s="169">
        <f ca="1">IF($C174-N$1&lt;År1,0,M173*(1-VLOOKUP($A174,[1]Hugst!$R$5:$W$9,MATCH(ROUNDUP((N$1)/10,0)*10,[1]Hugst!$R$4:$W$4,0))))</f>
        <v>882.9536792395005</v>
      </c>
      <c r="O174" s="169">
        <f ca="1">IF($C174-O$1&lt;År1,0,N173*(1-VLOOKUP($A174,[1]Hugst!$R$5:$W$9,MATCH(ROUNDUP((O$1)/10,0)*10,[1]Hugst!$R$4:$W$4,0))))</f>
        <v>885.39732120111364</v>
      </c>
      <c r="P174" s="169">
        <f ca="1">IF($C174-P$1&lt;År1,0,O173*(1-VLOOKUP($A174,[1]Hugst!$R$5:$W$9,MATCH(ROUNDUP((P$1)/10,0)*10,[1]Hugst!$R$4:$W$4,0))))</f>
        <v>887.2288807259614</v>
      </c>
      <c r="Q174" s="169">
        <f ca="1">IF($C174-Q$1&lt;År1,0,P173*(1-VLOOKUP($A174,[1]Hugst!$R$5:$W$9,MATCH(ROUNDUP((Q$1)/10,0)*10,[1]Hugst!$R$4:$W$4,0))))</f>
        <v>887.82091997832697</v>
      </c>
      <c r="R174" s="169">
        <f ca="1">IF($C174-R$1&lt;År1,0,Q173*(1-VLOOKUP($A174,[1]Hugst!$R$5:$W$9,MATCH(ROUNDUP((R$1)/10,0)*10,[1]Hugst!$R$4:$W$4,0))))</f>
        <v>885.91848612390811</v>
      </c>
      <c r="S174" s="169">
        <f ca="1">IF($C174-S$1&lt;År1,0,R173*(1-VLOOKUP($A174,[1]Hugst!$R$5:$W$9,MATCH(ROUNDUP((S$1)/10,0)*10,[1]Hugst!$R$4:$W$4,0))))</f>
        <v>879.01159594359649</v>
      </c>
      <c r="T174" s="169">
        <f ca="1">IF($C174-T$1&lt;År1,0,S173*(1-VLOOKUP($A174,[1]Hugst!$R$5:$W$9,MATCH(ROUNDUP((T$1)/10,0)*10,[1]Hugst!$R$4:$W$4,0))))</f>
        <v>862.08020505887032</v>
      </c>
      <c r="U174" s="169">
        <f ca="1">IF($C174-U$1&lt;År1,0,T173*(1-VLOOKUP($A174,[1]Hugst!$R$5:$W$9,MATCH(ROUNDUP((U$1)/10,0)*10,[1]Hugst!$R$4:$W$4,0))))</f>
        <v>825.08414638074498</v>
      </c>
      <c r="V174" s="169">
        <f ca="1">IF($C174-V$1&lt;År1,0,U173*(1-VLOOKUP($A174,[1]Hugst!$R$5:$W$9,MATCH(ROUNDUP((V$1)/10,0)*10,[1]Hugst!$R$4:$W$4,0))))</f>
        <v>747.9430070057391</v>
      </c>
      <c r="W174" s="169">
        <f ca="1">IF($C174-W$1&lt;År1,0,V173*(1-VLOOKUP($A174,[1]Hugst!$R$5:$W$9,MATCH(ROUNDUP((W$1)/10,0)*10,[1]Hugst!$R$4:$W$4,0))))</f>
        <v>590.49588200574033</v>
      </c>
      <c r="X174" s="169">
        <f>IF($C174-X$1&lt;År1,0,W173*(1-VLOOKUP($A174,[1]Hugst!$R$5:$W$9,MATCH(ROUNDUP((X$1)/10,0)*10,[1]Hugst!$R$4:$W$4,0))))</f>
        <v>0</v>
      </c>
      <c r="Y174" s="169">
        <f>IF($C174-Y$1&lt;År1,0,X173*(1-VLOOKUP($A174,[1]Hugst!$R$5:$W$9,MATCH(ROUNDUP((Y$1)/10,0)*10,[1]Hugst!$R$4:$W$4,0))))</f>
        <v>0</v>
      </c>
      <c r="Z174" s="169">
        <f>IF($C174-Z$1&lt;År1,0,Y173*(1-VLOOKUP($A174,[1]Hugst!$R$5:$W$9,MATCH(ROUNDUP((Z$1)/10,0)*10,[1]Hugst!$R$4:$W$4,0))))</f>
        <v>0</v>
      </c>
      <c r="AA174" s="169">
        <f>IF($C174-AA$1&lt;År1,0,Z173*(1-VLOOKUP($A174,[1]Hugst!$R$5:$W$9,MATCH(ROUNDUP((AA$1)/10,0)*10,[1]Hugst!$R$4:$W$4,0))))</f>
        <v>0</v>
      </c>
      <c r="AB174" s="169">
        <f>IF($C174-AB$1&lt;År1,0,AA173*(1-VLOOKUP($A174,[1]Hugst!$R$5:$W$9,MATCH(ROUNDUP((AB$1)/10,0)*10,[1]Hugst!$R$4:$W$4,0))))</f>
        <v>0</v>
      </c>
      <c r="AC174" s="169">
        <f>IF($C174-AC$1&lt;År1,0,AB173*(1-VLOOKUP($A174,[1]Hugst!$R$5:$W$9,MATCH(ROUNDUP((AC$1)/10,0)*10,[1]Hugst!$R$4:$W$4,0))))</f>
        <v>0</v>
      </c>
      <c r="AD174" s="169">
        <f>IF($C174-AD$1&lt;År1,0,AC173*(1-VLOOKUP($A174,[1]Hugst!$R$5:$W$9,MATCH(ROUNDUP((AD$1)/10,0)*10,[1]Hugst!$R$4:$W$4,0))))</f>
        <v>0</v>
      </c>
      <c r="AE174" s="169">
        <f>IF($C174-AE$1&lt;År1,0,AD173*(1-VLOOKUP($A174,[1]Hugst!$R$5:$W$9,MATCH(ROUNDUP((AE$1)/10,0)*10,[1]Hugst!$R$4:$W$4,0))))</f>
        <v>0</v>
      </c>
      <c r="AF174" s="169">
        <f>IF($C174-AF$1&lt;År1,0,AE173*(1-VLOOKUP($A174,[1]Hugst!$R$5:$W$9,MATCH(ROUNDUP((AF$1)/10,0)*10,[1]Hugst!$R$4:$W$4,0))))</f>
        <v>0</v>
      </c>
      <c r="AG174" s="169">
        <f>IF($C174-AG$1&lt;År1,0,AF173*(1-VLOOKUP($A174,[1]Hugst!$R$5:$W$9,MATCH(ROUNDUP((AG$1)/10,0)*10,[1]Hugst!$R$4:$W$4,0))))</f>
        <v>0</v>
      </c>
      <c r="AH174" s="169">
        <f>IF($C174-AH$1&lt;År1,0,AG173*(1-VLOOKUP($A174,[1]Hugst!$R$5:$W$9,MATCH(ROUNDUP((AH$1)/10,0)*10,[1]Hugst!$R$4:$W$4,0))))</f>
        <v>0</v>
      </c>
      <c r="AI174" s="169">
        <f>IF($C174-AI$1&lt;År1,0,AH173*(1-VLOOKUP($A174,[1]Hugst!$R$5:$W$9,MATCH(ROUNDUP((AI$1)/10,0)*10,[1]Hugst!$R$4:$W$4,0))))</f>
        <v>0</v>
      </c>
      <c r="AJ174" s="169">
        <f>IF($C174-AJ$1&lt;År1,0,AI173*(1-VLOOKUP($A174,[1]Hugst!$R$5:$W$9,MATCH(ROUNDUP((AJ$1)/10,0)*10,[1]Hugst!$R$4:$W$4,0))))</f>
        <v>0</v>
      </c>
    </row>
    <row r="175" spans="1:36" x14ac:dyDescent="0.25">
      <c r="A175" s="169" t="s">
        <v>178</v>
      </c>
      <c r="B175" s="169" t="s">
        <v>24</v>
      </c>
      <c r="C175" s="169">
        <v>2038</v>
      </c>
      <c r="D175" s="169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584.20054792515202</v>
      </c>
      <c r="E175" s="169">
        <f t="shared" ca="1" si="3"/>
        <v>0</v>
      </c>
      <c r="F175" s="169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856.6214299308964</v>
      </c>
      <c r="G175" s="169">
        <f ca="1">IF($C175-G$1&lt;År1,0,F174*(1-VLOOKUP($A175,[1]Hugst!$R$5:$W$9,MATCH(ROUNDUP((G$1)/10,0)*10,[1]Hugst!$R$4:$W$4,0))))</f>
        <v>859.55589161912542</v>
      </c>
      <c r="H175" s="169">
        <f ca="1">IF($C175-H$1&lt;År1,0,G174*(1-VLOOKUP($A175,[1]Hugst!$R$5:$W$9,MATCH(ROUNDUP((H$1)/10,0)*10,[1]Hugst!$R$4:$W$4,0))))</f>
        <v>862.50387988887144</v>
      </c>
      <c r="I175" s="169">
        <f ca="1">IF($C175-I$1&lt;År1,0,H174*(1-VLOOKUP($A175,[1]Hugst!$R$5:$W$9,MATCH(ROUNDUP((I$1)/10,0)*10,[1]Hugst!$R$4:$W$4,0))))</f>
        <v>865.46424325579903</v>
      </c>
      <c r="J175" s="169">
        <f ca="1">IF($C175-J$1&lt;År1,0,I174*(1-VLOOKUP($A175,[1]Hugst!$R$5:$W$9,MATCH(ROUNDUP((J$1)/10,0)*10,[1]Hugst!$R$4:$W$4,0))))</f>
        <v>868.43460499205833</v>
      </c>
      <c r="K175" s="169">
        <f ca="1">IF($C175-K$1&lt;År1,0,J174*(1-VLOOKUP($A175,[1]Hugst!$R$5:$W$9,MATCH(ROUNDUP((K$1)/10,0)*10,[1]Hugst!$R$4:$W$4,0))))</f>
        <v>871.41013751226785</v>
      </c>
      <c r="L175" s="169">
        <f ca="1">IF($C175-L$1&lt;År1,0,K174*(1-VLOOKUP($A175,[1]Hugst!$R$5:$W$9,MATCH(ROUNDUP((L$1)/10,0)*10,[1]Hugst!$R$4:$W$4,0))))</f>
        <v>874.38111114330798</v>
      </c>
      <c r="M175" s="169">
        <f ca="1">IF($C175-M$1&lt;År1,0,L174*(1-VLOOKUP($A175,[1]Hugst!$R$5:$W$9,MATCH(ROUNDUP((M$1)/10,0)*10,[1]Hugst!$R$4:$W$4,0))))</f>
        <v>877.32799166229108</v>
      </c>
      <c r="N175" s="169">
        <f ca="1">IF($C175-N$1&lt;År1,0,M174*(1-VLOOKUP($A175,[1]Hugst!$R$5:$W$9,MATCH(ROUNDUP((N$1)/10,0)*10,[1]Hugst!$R$4:$W$4,0))))</f>
        <v>880.21163537052587</v>
      </c>
      <c r="O175" s="169">
        <f ca="1">IF($C175-O$1&lt;År1,0,N174*(1-VLOOKUP($A175,[1]Hugst!$R$5:$W$9,MATCH(ROUNDUP((O$1)/10,0)*10,[1]Hugst!$R$4:$W$4,0))))</f>
        <v>882.9536792395005</v>
      </c>
      <c r="P175" s="169">
        <f ca="1">IF($C175-P$1&lt;År1,0,O174*(1-VLOOKUP($A175,[1]Hugst!$R$5:$W$9,MATCH(ROUNDUP((P$1)/10,0)*10,[1]Hugst!$R$4:$W$4,0))))</f>
        <v>885.39732120111364</v>
      </c>
      <c r="Q175" s="169">
        <f ca="1">IF($C175-Q$1&lt;År1,0,P174*(1-VLOOKUP($A175,[1]Hugst!$R$5:$W$9,MATCH(ROUNDUP((Q$1)/10,0)*10,[1]Hugst!$R$4:$W$4,0))))</f>
        <v>887.2288807259614</v>
      </c>
      <c r="R175" s="169">
        <f ca="1">IF($C175-R$1&lt;År1,0,Q174*(1-VLOOKUP($A175,[1]Hugst!$R$5:$W$9,MATCH(ROUNDUP((R$1)/10,0)*10,[1]Hugst!$R$4:$W$4,0))))</f>
        <v>887.82091997832697</v>
      </c>
      <c r="S175" s="169">
        <f ca="1">IF($C175-S$1&lt;År1,0,R174*(1-VLOOKUP($A175,[1]Hugst!$R$5:$W$9,MATCH(ROUNDUP((S$1)/10,0)*10,[1]Hugst!$R$4:$W$4,0))))</f>
        <v>885.91848612390811</v>
      </c>
      <c r="T175" s="169">
        <f ca="1">IF($C175-T$1&lt;År1,0,S174*(1-VLOOKUP($A175,[1]Hugst!$R$5:$W$9,MATCH(ROUNDUP((T$1)/10,0)*10,[1]Hugst!$R$4:$W$4,0))))</f>
        <v>879.01159594359649</v>
      </c>
      <c r="U175" s="169">
        <f ca="1">IF($C175-U$1&lt;År1,0,T174*(1-VLOOKUP($A175,[1]Hugst!$R$5:$W$9,MATCH(ROUNDUP((U$1)/10,0)*10,[1]Hugst!$R$4:$W$4,0))))</f>
        <v>862.08020505887032</v>
      </c>
      <c r="V175" s="169">
        <f ca="1">IF($C175-V$1&lt;År1,0,U174*(1-VLOOKUP($A175,[1]Hugst!$R$5:$W$9,MATCH(ROUNDUP((V$1)/10,0)*10,[1]Hugst!$R$4:$W$4,0))))</f>
        <v>825.08414638074498</v>
      </c>
      <c r="W175" s="169">
        <f ca="1">IF($C175-W$1&lt;År1,0,V174*(1-VLOOKUP($A175,[1]Hugst!$R$5:$W$9,MATCH(ROUNDUP((W$1)/10,0)*10,[1]Hugst!$R$4:$W$4,0))))</f>
        <v>747.9430070057391</v>
      </c>
      <c r="X175" s="169">
        <f ca="1">IF($C175-X$1&lt;År1,0,W174*(1-VLOOKUP($A175,[1]Hugst!$R$5:$W$9,MATCH(ROUNDUP((X$1)/10,0)*10,[1]Hugst!$R$4:$W$4,0))))</f>
        <v>590.49588200574033</v>
      </c>
      <c r="Y175" s="169">
        <f>IF($C175-Y$1&lt;År1,0,X174*(1-VLOOKUP($A175,[1]Hugst!$R$5:$W$9,MATCH(ROUNDUP((Y$1)/10,0)*10,[1]Hugst!$R$4:$W$4,0))))</f>
        <v>0</v>
      </c>
      <c r="Z175" s="169">
        <f>IF($C175-Z$1&lt;År1,0,Y174*(1-VLOOKUP($A175,[1]Hugst!$R$5:$W$9,MATCH(ROUNDUP((Z$1)/10,0)*10,[1]Hugst!$R$4:$W$4,0))))</f>
        <v>0</v>
      </c>
      <c r="AA175" s="169">
        <f>IF($C175-AA$1&lt;År1,0,Z174*(1-VLOOKUP($A175,[1]Hugst!$R$5:$W$9,MATCH(ROUNDUP((AA$1)/10,0)*10,[1]Hugst!$R$4:$W$4,0))))</f>
        <v>0</v>
      </c>
      <c r="AB175" s="169">
        <f>IF($C175-AB$1&lt;År1,0,AA174*(1-VLOOKUP($A175,[1]Hugst!$R$5:$W$9,MATCH(ROUNDUP((AB$1)/10,0)*10,[1]Hugst!$R$4:$W$4,0))))</f>
        <v>0</v>
      </c>
      <c r="AC175" s="169">
        <f>IF($C175-AC$1&lt;År1,0,AB174*(1-VLOOKUP($A175,[1]Hugst!$R$5:$W$9,MATCH(ROUNDUP((AC$1)/10,0)*10,[1]Hugst!$R$4:$W$4,0))))</f>
        <v>0</v>
      </c>
      <c r="AD175" s="169">
        <f>IF($C175-AD$1&lt;År1,0,AC174*(1-VLOOKUP($A175,[1]Hugst!$R$5:$W$9,MATCH(ROUNDUP((AD$1)/10,0)*10,[1]Hugst!$R$4:$W$4,0))))</f>
        <v>0</v>
      </c>
      <c r="AE175" s="169">
        <f>IF($C175-AE$1&lt;År1,0,AD174*(1-VLOOKUP($A175,[1]Hugst!$R$5:$W$9,MATCH(ROUNDUP((AE$1)/10,0)*10,[1]Hugst!$R$4:$W$4,0))))</f>
        <v>0</v>
      </c>
      <c r="AF175" s="169">
        <f>IF($C175-AF$1&lt;År1,0,AE174*(1-VLOOKUP($A175,[1]Hugst!$R$5:$W$9,MATCH(ROUNDUP((AF$1)/10,0)*10,[1]Hugst!$R$4:$W$4,0))))</f>
        <v>0</v>
      </c>
      <c r="AG175" s="169">
        <f>IF($C175-AG$1&lt;År1,0,AF174*(1-VLOOKUP($A175,[1]Hugst!$R$5:$W$9,MATCH(ROUNDUP((AG$1)/10,0)*10,[1]Hugst!$R$4:$W$4,0))))</f>
        <v>0</v>
      </c>
      <c r="AH175" s="169">
        <f>IF($C175-AH$1&lt;År1,0,AG174*(1-VLOOKUP($A175,[1]Hugst!$R$5:$W$9,MATCH(ROUNDUP((AH$1)/10,0)*10,[1]Hugst!$R$4:$W$4,0))))</f>
        <v>0</v>
      </c>
      <c r="AI175" s="169">
        <f>IF($C175-AI$1&lt;År1,0,AH174*(1-VLOOKUP($A175,[1]Hugst!$R$5:$W$9,MATCH(ROUNDUP((AI$1)/10,0)*10,[1]Hugst!$R$4:$W$4,0))))</f>
        <v>0</v>
      </c>
      <c r="AJ175" s="169">
        <f>IF($C175-AJ$1&lt;År1,0,AI174*(1-VLOOKUP($A175,[1]Hugst!$R$5:$W$9,MATCH(ROUNDUP((AJ$1)/10,0)*10,[1]Hugst!$R$4:$W$4,0))))</f>
        <v>0</v>
      </c>
    </row>
    <row r="176" spans="1:36" x14ac:dyDescent="0.25">
      <c r="A176" s="169" t="s">
        <v>178</v>
      </c>
      <c r="B176" s="169" t="s">
        <v>24</v>
      </c>
      <c r="C176" s="169">
        <v>2039</v>
      </c>
      <c r="D176" s="169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581.2801518654378</v>
      </c>
      <c r="E176" s="169">
        <f t="shared" ca="1" si="3"/>
        <v>0</v>
      </c>
      <c r="F176" s="169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853.70103387118218</v>
      </c>
      <c r="G176" s="169">
        <f ca="1">IF($C176-G$1&lt;År1,0,F175*(1-VLOOKUP($A176,[1]Hugst!$R$5:$W$9,MATCH(ROUNDUP((G$1)/10,0)*10,[1]Hugst!$R$4:$W$4,0))))</f>
        <v>856.6214299308964</v>
      </c>
      <c r="H176" s="169">
        <f ca="1">IF($C176-H$1&lt;År1,0,G175*(1-VLOOKUP($A176,[1]Hugst!$R$5:$W$9,MATCH(ROUNDUP((H$1)/10,0)*10,[1]Hugst!$R$4:$W$4,0))))</f>
        <v>859.55589161912542</v>
      </c>
      <c r="I176" s="169">
        <f ca="1">IF($C176-I$1&lt;År1,0,H175*(1-VLOOKUP($A176,[1]Hugst!$R$5:$W$9,MATCH(ROUNDUP((I$1)/10,0)*10,[1]Hugst!$R$4:$W$4,0))))</f>
        <v>862.50387988887144</v>
      </c>
      <c r="J176" s="169">
        <f ca="1">IF($C176-J$1&lt;År1,0,I175*(1-VLOOKUP($A176,[1]Hugst!$R$5:$W$9,MATCH(ROUNDUP((J$1)/10,0)*10,[1]Hugst!$R$4:$W$4,0))))</f>
        <v>865.46424325579903</v>
      </c>
      <c r="K176" s="169">
        <f ca="1">IF($C176-K$1&lt;År1,0,J175*(1-VLOOKUP($A176,[1]Hugst!$R$5:$W$9,MATCH(ROUNDUP((K$1)/10,0)*10,[1]Hugst!$R$4:$W$4,0))))</f>
        <v>868.43460499205833</v>
      </c>
      <c r="L176" s="169">
        <f ca="1">IF($C176-L$1&lt;År1,0,K175*(1-VLOOKUP($A176,[1]Hugst!$R$5:$W$9,MATCH(ROUNDUP((L$1)/10,0)*10,[1]Hugst!$R$4:$W$4,0))))</f>
        <v>871.41013751226785</v>
      </c>
      <c r="M176" s="169">
        <f ca="1">IF($C176-M$1&lt;År1,0,L175*(1-VLOOKUP($A176,[1]Hugst!$R$5:$W$9,MATCH(ROUNDUP((M$1)/10,0)*10,[1]Hugst!$R$4:$W$4,0))))</f>
        <v>874.38111114330798</v>
      </c>
      <c r="N176" s="169">
        <f ca="1">IF($C176-N$1&lt;År1,0,M175*(1-VLOOKUP($A176,[1]Hugst!$R$5:$W$9,MATCH(ROUNDUP((N$1)/10,0)*10,[1]Hugst!$R$4:$W$4,0))))</f>
        <v>877.32799166229108</v>
      </c>
      <c r="O176" s="169">
        <f ca="1">IF($C176-O$1&lt;År1,0,N175*(1-VLOOKUP($A176,[1]Hugst!$R$5:$W$9,MATCH(ROUNDUP((O$1)/10,0)*10,[1]Hugst!$R$4:$W$4,0))))</f>
        <v>880.21163537052587</v>
      </c>
      <c r="P176" s="169">
        <f ca="1">IF($C176-P$1&lt;År1,0,O175*(1-VLOOKUP($A176,[1]Hugst!$R$5:$W$9,MATCH(ROUNDUP((P$1)/10,0)*10,[1]Hugst!$R$4:$W$4,0))))</f>
        <v>882.9536792395005</v>
      </c>
      <c r="Q176" s="169">
        <f ca="1">IF($C176-Q$1&lt;År1,0,P175*(1-VLOOKUP($A176,[1]Hugst!$R$5:$W$9,MATCH(ROUNDUP((Q$1)/10,0)*10,[1]Hugst!$R$4:$W$4,0))))</f>
        <v>885.39732120111364</v>
      </c>
      <c r="R176" s="169">
        <f ca="1">IF($C176-R$1&lt;År1,0,Q175*(1-VLOOKUP($A176,[1]Hugst!$R$5:$W$9,MATCH(ROUNDUP((R$1)/10,0)*10,[1]Hugst!$R$4:$W$4,0))))</f>
        <v>887.2288807259614</v>
      </c>
      <c r="S176" s="169">
        <f ca="1">IF($C176-S$1&lt;År1,0,R175*(1-VLOOKUP($A176,[1]Hugst!$R$5:$W$9,MATCH(ROUNDUP((S$1)/10,0)*10,[1]Hugst!$R$4:$W$4,0))))</f>
        <v>887.82091997832697</v>
      </c>
      <c r="T176" s="169">
        <f ca="1">IF($C176-T$1&lt;År1,0,S175*(1-VLOOKUP($A176,[1]Hugst!$R$5:$W$9,MATCH(ROUNDUP((T$1)/10,0)*10,[1]Hugst!$R$4:$W$4,0))))</f>
        <v>885.91848612390811</v>
      </c>
      <c r="U176" s="169">
        <f ca="1">IF($C176-U$1&lt;År1,0,T175*(1-VLOOKUP($A176,[1]Hugst!$R$5:$W$9,MATCH(ROUNDUP((U$1)/10,0)*10,[1]Hugst!$R$4:$W$4,0))))</f>
        <v>879.01159594359649</v>
      </c>
      <c r="V176" s="169">
        <f ca="1">IF($C176-V$1&lt;År1,0,U175*(1-VLOOKUP($A176,[1]Hugst!$R$5:$W$9,MATCH(ROUNDUP((V$1)/10,0)*10,[1]Hugst!$R$4:$W$4,0))))</f>
        <v>862.08020505887032</v>
      </c>
      <c r="W176" s="169">
        <f ca="1">IF($C176-W$1&lt;År1,0,V175*(1-VLOOKUP($A176,[1]Hugst!$R$5:$W$9,MATCH(ROUNDUP((W$1)/10,0)*10,[1]Hugst!$R$4:$W$4,0))))</f>
        <v>825.08414638074498</v>
      </c>
      <c r="X176" s="169">
        <f ca="1">IF($C176-X$1&lt;År1,0,W175*(1-VLOOKUP($A176,[1]Hugst!$R$5:$W$9,MATCH(ROUNDUP((X$1)/10,0)*10,[1]Hugst!$R$4:$W$4,0))))</f>
        <v>747.9430070057391</v>
      </c>
      <c r="Y176" s="169">
        <f ca="1">IF($C176-Y$1&lt;År1,0,X175*(1-VLOOKUP($A176,[1]Hugst!$R$5:$W$9,MATCH(ROUNDUP((Y$1)/10,0)*10,[1]Hugst!$R$4:$W$4,0))))</f>
        <v>590.49588200574033</v>
      </c>
      <c r="Z176" s="169">
        <f>IF($C176-Z$1&lt;År1,0,Y175*(1-VLOOKUP($A176,[1]Hugst!$R$5:$W$9,MATCH(ROUNDUP((Z$1)/10,0)*10,[1]Hugst!$R$4:$W$4,0))))</f>
        <v>0</v>
      </c>
      <c r="AA176" s="169">
        <f>IF($C176-AA$1&lt;År1,0,Z175*(1-VLOOKUP($A176,[1]Hugst!$R$5:$W$9,MATCH(ROUNDUP((AA$1)/10,0)*10,[1]Hugst!$R$4:$W$4,0))))</f>
        <v>0</v>
      </c>
      <c r="AB176" s="169">
        <f>IF($C176-AB$1&lt;År1,0,AA175*(1-VLOOKUP($A176,[1]Hugst!$R$5:$W$9,MATCH(ROUNDUP((AB$1)/10,0)*10,[1]Hugst!$R$4:$W$4,0))))</f>
        <v>0</v>
      </c>
      <c r="AC176" s="169">
        <f>IF($C176-AC$1&lt;År1,0,AB175*(1-VLOOKUP($A176,[1]Hugst!$R$5:$W$9,MATCH(ROUNDUP((AC$1)/10,0)*10,[1]Hugst!$R$4:$W$4,0))))</f>
        <v>0</v>
      </c>
      <c r="AD176" s="169">
        <f>IF($C176-AD$1&lt;År1,0,AC175*(1-VLOOKUP($A176,[1]Hugst!$R$5:$W$9,MATCH(ROUNDUP((AD$1)/10,0)*10,[1]Hugst!$R$4:$W$4,0))))</f>
        <v>0</v>
      </c>
      <c r="AE176" s="169">
        <f>IF($C176-AE$1&lt;År1,0,AD175*(1-VLOOKUP($A176,[1]Hugst!$R$5:$W$9,MATCH(ROUNDUP((AE$1)/10,0)*10,[1]Hugst!$R$4:$W$4,0))))</f>
        <v>0</v>
      </c>
      <c r="AF176" s="169">
        <f>IF($C176-AF$1&lt;År1,0,AE175*(1-VLOOKUP($A176,[1]Hugst!$R$5:$W$9,MATCH(ROUNDUP((AF$1)/10,0)*10,[1]Hugst!$R$4:$W$4,0))))</f>
        <v>0</v>
      </c>
      <c r="AG176" s="169">
        <f>IF($C176-AG$1&lt;År1,0,AF175*(1-VLOOKUP($A176,[1]Hugst!$R$5:$W$9,MATCH(ROUNDUP((AG$1)/10,0)*10,[1]Hugst!$R$4:$W$4,0))))</f>
        <v>0</v>
      </c>
      <c r="AH176" s="169">
        <f>IF($C176-AH$1&lt;År1,0,AG175*(1-VLOOKUP($A176,[1]Hugst!$R$5:$W$9,MATCH(ROUNDUP((AH$1)/10,0)*10,[1]Hugst!$R$4:$W$4,0))))</f>
        <v>0</v>
      </c>
      <c r="AI176" s="169">
        <f>IF($C176-AI$1&lt;År1,0,AH175*(1-VLOOKUP($A176,[1]Hugst!$R$5:$W$9,MATCH(ROUNDUP((AI$1)/10,0)*10,[1]Hugst!$R$4:$W$4,0))))</f>
        <v>0</v>
      </c>
      <c r="AJ176" s="169">
        <f>IF($C176-AJ$1&lt;År1,0,AI175*(1-VLOOKUP($A176,[1]Hugst!$R$5:$W$9,MATCH(ROUNDUP((AJ$1)/10,0)*10,[1]Hugst!$R$4:$W$4,0))))</f>
        <v>0</v>
      </c>
    </row>
    <row r="177" spans="1:36" x14ac:dyDescent="0.25">
      <c r="A177" s="169" t="s">
        <v>178</v>
      </c>
      <c r="B177" s="169" t="s">
        <v>24</v>
      </c>
      <c r="C177" s="169">
        <v>2040</v>
      </c>
      <c r="D177" s="169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578.37405444606338</v>
      </c>
      <c r="E177" s="169">
        <f t="shared" ca="1" si="3"/>
        <v>0</v>
      </c>
      <c r="F177" s="169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850.79493645180776</v>
      </c>
      <c r="G177" s="169">
        <f ca="1">IF($C177-G$1&lt;År1,0,F176*(1-VLOOKUP($A177,[1]Hugst!$R$5:$W$9,MATCH(ROUNDUP((G$1)/10,0)*10,[1]Hugst!$R$4:$W$4,0))))</f>
        <v>853.70103387118218</v>
      </c>
      <c r="H177" s="169">
        <f ca="1">IF($C177-H$1&lt;År1,0,G176*(1-VLOOKUP($A177,[1]Hugst!$R$5:$W$9,MATCH(ROUNDUP((H$1)/10,0)*10,[1]Hugst!$R$4:$W$4,0))))</f>
        <v>856.6214299308964</v>
      </c>
      <c r="I177" s="169">
        <f ca="1">IF($C177-I$1&lt;År1,0,H176*(1-VLOOKUP($A177,[1]Hugst!$R$5:$W$9,MATCH(ROUNDUP((I$1)/10,0)*10,[1]Hugst!$R$4:$W$4,0))))</f>
        <v>859.55589161912542</v>
      </c>
      <c r="J177" s="169">
        <f ca="1">IF($C177-J$1&lt;År1,0,I176*(1-VLOOKUP($A177,[1]Hugst!$R$5:$W$9,MATCH(ROUNDUP((J$1)/10,0)*10,[1]Hugst!$R$4:$W$4,0))))</f>
        <v>862.50387988887144</v>
      </c>
      <c r="K177" s="169">
        <f ca="1">IF($C177-K$1&lt;År1,0,J176*(1-VLOOKUP($A177,[1]Hugst!$R$5:$W$9,MATCH(ROUNDUP((K$1)/10,0)*10,[1]Hugst!$R$4:$W$4,0))))</f>
        <v>865.46424325579903</v>
      </c>
      <c r="L177" s="169">
        <f ca="1">IF($C177-L$1&lt;År1,0,K176*(1-VLOOKUP($A177,[1]Hugst!$R$5:$W$9,MATCH(ROUNDUP((L$1)/10,0)*10,[1]Hugst!$R$4:$W$4,0))))</f>
        <v>868.43460499205833</v>
      </c>
      <c r="M177" s="169">
        <f ca="1">IF($C177-M$1&lt;År1,0,L176*(1-VLOOKUP($A177,[1]Hugst!$R$5:$W$9,MATCH(ROUNDUP((M$1)/10,0)*10,[1]Hugst!$R$4:$W$4,0))))</f>
        <v>871.41013751226785</v>
      </c>
      <c r="N177" s="169">
        <f ca="1">IF($C177-N$1&lt;År1,0,M176*(1-VLOOKUP($A177,[1]Hugst!$R$5:$W$9,MATCH(ROUNDUP((N$1)/10,0)*10,[1]Hugst!$R$4:$W$4,0))))</f>
        <v>874.38111114330798</v>
      </c>
      <c r="O177" s="169">
        <f ca="1">IF($C177-O$1&lt;År1,0,N176*(1-VLOOKUP($A177,[1]Hugst!$R$5:$W$9,MATCH(ROUNDUP((O$1)/10,0)*10,[1]Hugst!$R$4:$W$4,0))))</f>
        <v>877.32799166229108</v>
      </c>
      <c r="P177" s="169">
        <f ca="1">IF($C177-P$1&lt;År1,0,O176*(1-VLOOKUP($A177,[1]Hugst!$R$5:$W$9,MATCH(ROUNDUP((P$1)/10,0)*10,[1]Hugst!$R$4:$W$4,0))))</f>
        <v>880.21163537052587</v>
      </c>
      <c r="Q177" s="169">
        <f ca="1">IF($C177-Q$1&lt;År1,0,P176*(1-VLOOKUP($A177,[1]Hugst!$R$5:$W$9,MATCH(ROUNDUP((Q$1)/10,0)*10,[1]Hugst!$R$4:$W$4,0))))</f>
        <v>882.9536792395005</v>
      </c>
      <c r="R177" s="169">
        <f ca="1">IF($C177-R$1&lt;År1,0,Q176*(1-VLOOKUP($A177,[1]Hugst!$R$5:$W$9,MATCH(ROUNDUP((R$1)/10,0)*10,[1]Hugst!$R$4:$W$4,0))))</f>
        <v>885.39732120111364</v>
      </c>
      <c r="S177" s="169">
        <f ca="1">IF($C177-S$1&lt;År1,0,R176*(1-VLOOKUP($A177,[1]Hugst!$R$5:$W$9,MATCH(ROUNDUP((S$1)/10,0)*10,[1]Hugst!$R$4:$W$4,0))))</f>
        <v>887.2288807259614</v>
      </c>
      <c r="T177" s="169">
        <f ca="1">IF($C177-T$1&lt;År1,0,S176*(1-VLOOKUP($A177,[1]Hugst!$R$5:$W$9,MATCH(ROUNDUP((T$1)/10,0)*10,[1]Hugst!$R$4:$W$4,0))))</f>
        <v>887.82091997832697</v>
      </c>
      <c r="U177" s="169">
        <f ca="1">IF($C177-U$1&lt;År1,0,T176*(1-VLOOKUP($A177,[1]Hugst!$R$5:$W$9,MATCH(ROUNDUP((U$1)/10,0)*10,[1]Hugst!$R$4:$W$4,0))))</f>
        <v>885.91848612390811</v>
      </c>
      <c r="V177" s="169">
        <f ca="1">IF($C177-V$1&lt;År1,0,U176*(1-VLOOKUP($A177,[1]Hugst!$R$5:$W$9,MATCH(ROUNDUP((V$1)/10,0)*10,[1]Hugst!$R$4:$W$4,0))))</f>
        <v>879.01159594359649</v>
      </c>
      <c r="W177" s="169">
        <f ca="1">IF($C177-W$1&lt;År1,0,V176*(1-VLOOKUP($A177,[1]Hugst!$R$5:$W$9,MATCH(ROUNDUP((W$1)/10,0)*10,[1]Hugst!$R$4:$W$4,0))))</f>
        <v>862.08020505887032</v>
      </c>
      <c r="X177" s="169">
        <f ca="1">IF($C177-X$1&lt;År1,0,W176*(1-VLOOKUP($A177,[1]Hugst!$R$5:$W$9,MATCH(ROUNDUP((X$1)/10,0)*10,[1]Hugst!$R$4:$W$4,0))))</f>
        <v>825.08414638074498</v>
      </c>
      <c r="Y177" s="169">
        <f ca="1">IF($C177-Y$1&lt;År1,0,X176*(1-VLOOKUP($A177,[1]Hugst!$R$5:$W$9,MATCH(ROUNDUP((Y$1)/10,0)*10,[1]Hugst!$R$4:$W$4,0))))</f>
        <v>747.9430070057391</v>
      </c>
      <c r="Z177" s="169">
        <f ca="1">IF($C177-Z$1&lt;År1,0,Y176*(1-VLOOKUP($A177,[1]Hugst!$R$5:$W$9,MATCH(ROUNDUP((Z$1)/10,0)*10,[1]Hugst!$R$4:$W$4,0))))</f>
        <v>590.49588200574033</v>
      </c>
      <c r="AA177" s="169">
        <f>IF($C177-AA$1&lt;År1,0,Z176*(1-VLOOKUP($A177,[1]Hugst!$R$5:$W$9,MATCH(ROUNDUP((AA$1)/10,0)*10,[1]Hugst!$R$4:$W$4,0))))</f>
        <v>0</v>
      </c>
      <c r="AB177" s="169">
        <f>IF($C177-AB$1&lt;År1,0,AA176*(1-VLOOKUP($A177,[1]Hugst!$R$5:$W$9,MATCH(ROUNDUP((AB$1)/10,0)*10,[1]Hugst!$R$4:$W$4,0))))</f>
        <v>0</v>
      </c>
      <c r="AC177" s="169">
        <f>IF($C177-AC$1&lt;År1,0,AB176*(1-VLOOKUP($A177,[1]Hugst!$R$5:$W$9,MATCH(ROUNDUP((AC$1)/10,0)*10,[1]Hugst!$R$4:$W$4,0))))</f>
        <v>0</v>
      </c>
      <c r="AD177" s="169">
        <f>IF($C177-AD$1&lt;År1,0,AC176*(1-VLOOKUP($A177,[1]Hugst!$R$5:$W$9,MATCH(ROUNDUP((AD$1)/10,0)*10,[1]Hugst!$R$4:$W$4,0))))</f>
        <v>0</v>
      </c>
      <c r="AE177" s="169">
        <f>IF($C177-AE$1&lt;År1,0,AD176*(1-VLOOKUP($A177,[1]Hugst!$R$5:$W$9,MATCH(ROUNDUP((AE$1)/10,0)*10,[1]Hugst!$R$4:$W$4,0))))</f>
        <v>0</v>
      </c>
      <c r="AF177" s="169">
        <f>IF($C177-AF$1&lt;År1,0,AE176*(1-VLOOKUP($A177,[1]Hugst!$R$5:$W$9,MATCH(ROUNDUP((AF$1)/10,0)*10,[1]Hugst!$R$4:$W$4,0))))</f>
        <v>0</v>
      </c>
      <c r="AG177" s="169">
        <f>IF($C177-AG$1&lt;År1,0,AF176*(1-VLOOKUP($A177,[1]Hugst!$R$5:$W$9,MATCH(ROUNDUP((AG$1)/10,0)*10,[1]Hugst!$R$4:$W$4,0))))</f>
        <v>0</v>
      </c>
      <c r="AH177" s="169">
        <f>IF($C177-AH$1&lt;År1,0,AG176*(1-VLOOKUP($A177,[1]Hugst!$R$5:$W$9,MATCH(ROUNDUP((AH$1)/10,0)*10,[1]Hugst!$R$4:$W$4,0))))</f>
        <v>0</v>
      </c>
      <c r="AI177" s="169">
        <f>IF($C177-AI$1&lt;År1,0,AH176*(1-VLOOKUP($A177,[1]Hugst!$R$5:$W$9,MATCH(ROUNDUP((AI$1)/10,0)*10,[1]Hugst!$R$4:$W$4,0))))</f>
        <v>0</v>
      </c>
      <c r="AJ177" s="169">
        <f>IF($C177-AJ$1&lt;År1,0,AI176*(1-VLOOKUP($A177,[1]Hugst!$R$5:$W$9,MATCH(ROUNDUP((AJ$1)/10,0)*10,[1]Hugst!$R$4:$W$4,0))))</f>
        <v>0</v>
      </c>
    </row>
    <row r="178" spans="1:36" x14ac:dyDescent="0.25">
      <c r="A178" s="169" t="s">
        <v>178</v>
      </c>
      <c r="B178" s="169" t="s">
        <v>24</v>
      </c>
      <c r="C178" s="169">
        <v>2041</v>
      </c>
      <c r="D178" s="169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575.48233584380978</v>
      </c>
      <c r="E178" s="169">
        <f t="shared" ca="1" si="3"/>
        <v>0</v>
      </c>
      <c r="F178" s="169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847.90321784955415</v>
      </c>
      <c r="G178" s="169">
        <f ca="1">IF($C178-G$1&lt;År1,0,F177*(1-VLOOKUP($A178,[1]Hugst!$R$5:$W$9,MATCH(ROUNDUP((G$1)/10,0)*10,[1]Hugst!$R$4:$W$4,0))))</f>
        <v>850.79493645180776</v>
      </c>
      <c r="H178" s="169">
        <f ca="1">IF($C178-H$1&lt;År1,0,G177*(1-VLOOKUP($A178,[1]Hugst!$R$5:$W$9,MATCH(ROUNDUP((H$1)/10,0)*10,[1]Hugst!$R$4:$W$4,0))))</f>
        <v>853.70103387118218</v>
      </c>
      <c r="I178" s="169">
        <f ca="1">IF($C178-I$1&lt;År1,0,H177*(1-VLOOKUP($A178,[1]Hugst!$R$5:$W$9,MATCH(ROUNDUP((I$1)/10,0)*10,[1]Hugst!$R$4:$W$4,0))))</f>
        <v>856.6214299308964</v>
      </c>
      <c r="J178" s="169">
        <f ca="1">IF($C178-J$1&lt;År1,0,I177*(1-VLOOKUP($A178,[1]Hugst!$R$5:$W$9,MATCH(ROUNDUP((J$1)/10,0)*10,[1]Hugst!$R$4:$W$4,0))))</f>
        <v>859.55589161912542</v>
      </c>
      <c r="K178" s="169">
        <f ca="1">IF($C178-K$1&lt;År1,0,J177*(1-VLOOKUP($A178,[1]Hugst!$R$5:$W$9,MATCH(ROUNDUP((K$1)/10,0)*10,[1]Hugst!$R$4:$W$4,0))))</f>
        <v>862.50387988887144</v>
      </c>
      <c r="L178" s="169">
        <f ca="1">IF($C178-L$1&lt;År1,0,K177*(1-VLOOKUP($A178,[1]Hugst!$R$5:$W$9,MATCH(ROUNDUP((L$1)/10,0)*10,[1]Hugst!$R$4:$W$4,0))))</f>
        <v>865.46424325579903</v>
      </c>
      <c r="M178" s="169">
        <f ca="1">IF($C178-M$1&lt;År1,0,L177*(1-VLOOKUP($A178,[1]Hugst!$R$5:$W$9,MATCH(ROUNDUP((M$1)/10,0)*10,[1]Hugst!$R$4:$W$4,0))))</f>
        <v>868.43460499205833</v>
      </c>
      <c r="N178" s="169">
        <f ca="1">IF($C178-N$1&lt;År1,0,M177*(1-VLOOKUP($A178,[1]Hugst!$R$5:$W$9,MATCH(ROUNDUP((N$1)/10,0)*10,[1]Hugst!$R$4:$W$4,0))))</f>
        <v>871.41013751226785</v>
      </c>
      <c r="O178" s="169">
        <f ca="1">IF($C178-O$1&lt;År1,0,N177*(1-VLOOKUP($A178,[1]Hugst!$R$5:$W$9,MATCH(ROUNDUP((O$1)/10,0)*10,[1]Hugst!$R$4:$W$4,0))))</f>
        <v>874.38111114330798</v>
      </c>
      <c r="P178" s="169">
        <f ca="1">IF($C178-P$1&lt;År1,0,O177*(1-VLOOKUP($A178,[1]Hugst!$R$5:$W$9,MATCH(ROUNDUP((P$1)/10,0)*10,[1]Hugst!$R$4:$W$4,0))))</f>
        <v>877.32799166229108</v>
      </c>
      <c r="Q178" s="169">
        <f ca="1">IF($C178-Q$1&lt;År1,0,P177*(1-VLOOKUP($A178,[1]Hugst!$R$5:$W$9,MATCH(ROUNDUP((Q$1)/10,0)*10,[1]Hugst!$R$4:$W$4,0))))</f>
        <v>880.21163537052587</v>
      </c>
      <c r="R178" s="169">
        <f ca="1">IF($C178-R$1&lt;År1,0,Q177*(1-VLOOKUP($A178,[1]Hugst!$R$5:$W$9,MATCH(ROUNDUP((R$1)/10,0)*10,[1]Hugst!$R$4:$W$4,0))))</f>
        <v>882.9536792395005</v>
      </c>
      <c r="S178" s="169">
        <f ca="1">IF($C178-S$1&lt;År1,0,R177*(1-VLOOKUP($A178,[1]Hugst!$R$5:$W$9,MATCH(ROUNDUP((S$1)/10,0)*10,[1]Hugst!$R$4:$W$4,0))))</f>
        <v>885.39732120111364</v>
      </c>
      <c r="T178" s="169">
        <f ca="1">IF($C178-T$1&lt;År1,0,S177*(1-VLOOKUP($A178,[1]Hugst!$R$5:$W$9,MATCH(ROUNDUP((T$1)/10,0)*10,[1]Hugst!$R$4:$W$4,0))))</f>
        <v>887.2288807259614</v>
      </c>
      <c r="U178" s="169">
        <f ca="1">IF($C178-U$1&lt;År1,0,T177*(1-VLOOKUP($A178,[1]Hugst!$R$5:$W$9,MATCH(ROUNDUP((U$1)/10,0)*10,[1]Hugst!$R$4:$W$4,0))))</f>
        <v>887.82091997832697</v>
      </c>
      <c r="V178" s="169">
        <f ca="1">IF($C178-V$1&lt;År1,0,U177*(1-VLOOKUP($A178,[1]Hugst!$R$5:$W$9,MATCH(ROUNDUP((V$1)/10,0)*10,[1]Hugst!$R$4:$W$4,0))))</f>
        <v>885.91848612390811</v>
      </c>
      <c r="W178" s="169">
        <f ca="1">IF($C178-W$1&lt;År1,0,V177*(1-VLOOKUP($A178,[1]Hugst!$R$5:$W$9,MATCH(ROUNDUP((W$1)/10,0)*10,[1]Hugst!$R$4:$W$4,0))))</f>
        <v>879.01159594359649</v>
      </c>
      <c r="X178" s="169">
        <f ca="1">IF($C178-X$1&lt;År1,0,W177*(1-VLOOKUP($A178,[1]Hugst!$R$5:$W$9,MATCH(ROUNDUP((X$1)/10,0)*10,[1]Hugst!$R$4:$W$4,0))))</f>
        <v>862.08020505887032</v>
      </c>
      <c r="Y178" s="169">
        <f ca="1">IF($C178-Y$1&lt;År1,0,X177*(1-VLOOKUP($A178,[1]Hugst!$R$5:$W$9,MATCH(ROUNDUP((Y$1)/10,0)*10,[1]Hugst!$R$4:$W$4,0))))</f>
        <v>825.08414638074498</v>
      </c>
      <c r="Z178" s="169">
        <f ca="1">IF($C178-Z$1&lt;År1,0,Y177*(1-VLOOKUP($A178,[1]Hugst!$R$5:$W$9,MATCH(ROUNDUP((Z$1)/10,0)*10,[1]Hugst!$R$4:$W$4,0))))</f>
        <v>747.9430070057391</v>
      </c>
      <c r="AA178" s="169">
        <f ca="1">IF($C178-AA$1&lt;År1,0,Z177*(1-VLOOKUP($A178,[1]Hugst!$R$5:$W$9,MATCH(ROUNDUP((AA$1)/10,0)*10,[1]Hugst!$R$4:$W$4,0))))</f>
        <v>590.49588200574033</v>
      </c>
      <c r="AB178" s="169">
        <f>IF($C178-AB$1&lt;År1,0,AA177*(1-VLOOKUP($A178,[1]Hugst!$R$5:$W$9,MATCH(ROUNDUP((AB$1)/10,0)*10,[1]Hugst!$R$4:$W$4,0))))</f>
        <v>0</v>
      </c>
      <c r="AC178" s="169">
        <f>IF($C178-AC$1&lt;År1,0,AB177*(1-VLOOKUP($A178,[1]Hugst!$R$5:$W$9,MATCH(ROUNDUP((AC$1)/10,0)*10,[1]Hugst!$R$4:$W$4,0))))</f>
        <v>0</v>
      </c>
      <c r="AD178" s="169">
        <f>IF($C178-AD$1&lt;År1,0,AC177*(1-VLOOKUP($A178,[1]Hugst!$R$5:$W$9,MATCH(ROUNDUP((AD$1)/10,0)*10,[1]Hugst!$R$4:$W$4,0))))</f>
        <v>0</v>
      </c>
      <c r="AE178" s="169">
        <f>IF($C178-AE$1&lt;År1,0,AD177*(1-VLOOKUP($A178,[1]Hugst!$R$5:$W$9,MATCH(ROUNDUP((AE$1)/10,0)*10,[1]Hugst!$R$4:$W$4,0))))</f>
        <v>0</v>
      </c>
      <c r="AF178" s="169">
        <f>IF($C178-AF$1&lt;År1,0,AE177*(1-VLOOKUP($A178,[1]Hugst!$R$5:$W$9,MATCH(ROUNDUP((AF$1)/10,0)*10,[1]Hugst!$R$4:$W$4,0))))</f>
        <v>0</v>
      </c>
      <c r="AG178" s="169">
        <f>IF($C178-AG$1&lt;År1,0,AF177*(1-VLOOKUP($A178,[1]Hugst!$R$5:$W$9,MATCH(ROUNDUP((AG$1)/10,0)*10,[1]Hugst!$R$4:$W$4,0))))</f>
        <v>0</v>
      </c>
      <c r="AH178" s="169">
        <f>IF($C178-AH$1&lt;År1,0,AG177*(1-VLOOKUP($A178,[1]Hugst!$R$5:$W$9,MATCH(ROUNDUP((AH$1)/10,0)*10,[1]Hugst!$R$4:$W$4,0))))</f>
        <v>0</v>
      </c>
      <c r="AI178" s="169">
        <f>IF($C178-AI$1&lt;År1,0,AH177*(1-VLOOKUP($A178,[1]Hugst!$R$5:$W$9,MATCH(ROUNDUP((AI$1)/10,0)*10,[1]Hugst!$R$4:$W$4,0))))</f>
        <v>0</v>
      </c>
      <c r="AJ178" s="169">
        <f>IF($C178-AJ$1&lt;År1,0,AI177*(1-VLOOKUP($A178,[1]Hugst!$R$5:$W$9,MATCH(ROUNDUP((AJ$1)/10,0)*10,[1]Hugst!$R$4:$W$4,0))))</f>
        <v>0</v>
      </c>
    </row>
    <row r="179" spans="1:36" x14ac:dyDescent="0.25">
      <c r="A179" s="169" t="s">
        <v>178</v>
      </c>
      <c r="B179" s="169" t="s">
        <v>24</v>
      </c>
      <c r="C179" s="169">
        <v>2042</v>
      </c>
      <c r="D179" s="169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572.60499999959302</v>
      </c>
      <c r="E179" s="169">
        <f t="shared" ca="1" si="3"/>
        <v>0</v>
      </c>
      <c r="F179" s="169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845.02588200533739</v>
      </c>
      <c r="G179" s="169">
        <f ca="1">IF($C179-G$1&lt;År1,0,F178*(1-VLOOKUP($A179,[1]Hugst!$R$5:$W$9,MATCH(ROUNDUP((G$1)/10,0)*10,[1]Hugst!$R$4:$W$4,0))))</f>
        <v>847.90321784955415</v>
      </c>
      <c r="H179" s="169">
        <f ca="1">IF($C179-H$1&lt;År1,0,G178*(1-VLOOKUP($A179,[1]Hugst!$R$5:$W$9,MATCH(ROUNDUP((H$1)/10,0)*10,[1]Hugst!$R$4:$W$4,0))))</f>
        <v>850.79493645180776</v>
      </c>
      <c r="I179" s="169">
        <f ca="1">IF($C179-I$1&lt;År1,0,H178*(1-VLOOKUP($A179,[1]Hugst!$R$5:$W$9,MATCH(ROUNDUP((I$1)/10,0)*10,[1]Hugst!$R$4:$W$4,0))))</f>
        <v>853.70103387118218</v>
      </c>
      <c r="J179" s="169">
        <f ca="1">IF($C179-J$1&lt;År1,0,I178*(1-VLOOKUP($A179,[1]Hugst!$R$5:$W$9,MATCH(ROUNDUP((J$1)/10,0)*10,[1]Hugst!$R$4:$W$4,0))))</f>
        <v>856.6214299308964</v>
      </c>
      <c r="K179" s="169">
        <f ca="1">IF($C179-K$1&lt;År1,0,J178*(1-VLOOKUP($A179,[1]Hugst!$R$5:$W$9,MATCH(ROUNDUP((K$1)/10,0)*10,[1]Hugst!$R$4:$W$4,0))))</f>
        <v>859.55589161912542</v>
      </c>
      <c r="L179" s="169">
        <f ca="1">IF($C179-L$1&lt;År1,0,K178*(1-VLOOKUP($A179,[1]Hugst!$R$5:$W$9,MATCH(ROUNDUP((L$1)/10,0)*10,[1]Hugst!$R$4:$W$4,0))))</f>
        <v>862.50387988887144</v>
      </c>
      <c r="M179" s="169">
        <f ca="1">IF($C179-M$1&lt;År1,0,L178*(1-VLOOKUP($A179,[1]Hugst!$R$5:$W$9,MATCH(ROUNDUP((M$1)/10,0)*10,[1]Hugst!$R$4:$W$4,0))))</f>
        <v>865.46424325579903</v>
      </c>
      <c r="N179" s="169">
        <f ca="1">IF($C179-N$1&lt;År1,0,M178*(1-VLOOKUP($A179,[1]Hugst!$R$5:$W$9,MATCH(ROUNDUP((N$1)/10,0)*10,[1]Hugst!$R$4:$W$4,0))))</f>
        <v>868.43460499205833</v>
      </c>
      <c r="O179" s="169">
        <f ca="1">IF($C179-O$1&lt;År1,0,N178*(1-VLOOKUP($A179,[1]Hugst!$R$5:$W$9,MATCH(ROUNDUP((O$1)/10,0)*10,[1]Hugst!$R$4:$W$4,0))))</f>
        <v>871.41013751226785</v>
      </c>
      <c r="P179" s="169">
        <f ca="1">IF($C179-P$1&lt;År1,0,O178*(1-VLOOKUP($A179,[1]Hugst!$R$5:$W$9,MATCH(ROUNDUP((P$1)/10,0)*10,[1]Hugst!$R$4:$W$4,0))))</f>
        <v>874.38111114330798</v>
      </c>
      <c r="Q179" s="169">
        <f ca="1">IF($C179-Q$1&lt;År1,0,P178*(1-VLOOKUP($A179,[1]Hugst!$R$5:$W$9,MATCH(ROUNDUP((Q$1)/10,0)*10,[1]Hugst!$R$4:$W$4,0))))</f>
        <v>877.32799166229108</v>
      </c>
      <c r="R179" s="169">
        <f ca="1">IF($C179-R$1&lt;År1,0,Q178*(1-VLOOKUP($A179,[1]Hugst!$R$5:$W$9,MATCH(ROUNDUP((R$1)/10,0)*10,[1]Hugst!$R$4:$W$4,0))))</f>
        <v>880.21163537052587</v>
      </c>
      <c r="S179" s="169">
        <f ca="1">IF($C179-S$1&lt;År1,0,R178*(1-VLOOKUP($A179,[1]Hugst!$R$5:$W$9,MATCH(ROUNDUP((S$1)/10,0)*10,[1]Hugst!$R$4:$W$4,0))))</f>
        <v>882.9536792395005</v>
      </c>
      <c r="T179" s="169">
        <f ca="1">IF($C179-T$1&lt;År1,0,S178*(1-VLOOKUP($A179,[1]Hugst!$R$5:$W$9,MATCH(ROUNDUP((T$1)/10,0)*10,[1]Hugst!$R$4:$W$4,0))))</f>
        <v>885.39732120111364</v>
      </c>
      <c r="U179" s="169">
        <f ca="1">IF($C179-U$1&lt;År1,0,T178*(1-VLOOKUP($A179,[1]Hugst!$R$5:$W$9,MATCH(ROUNDUP((U$1)/10,0)*10,[1]Hugst!$R$4:$W$4,0))))</f>
        <v>887.2288807259614</v>
      </c>
      <c r="V179" s="169">
        <f ca="1">IF($C179-V$1&lt;År1,0,U178*(1-VLOOKUP($A179,[1]Hugst!$R$5:$W$9,MATCH(ROUNDUP((V$1)/10,0)*10,[1]Hugst!$R$4:$W$4,0))))</f>
        <v>887.82091997832697</v>
      </c>
      <c r="W179" s="169">
        <f ca="1">IF($C179-W$1&lt;År1,0,V178*(1-VLOOKUP($A179,[1]Hugst!$R$5:$W$9,MATCH(ROUNDUP((W$1)/10,0)*10,[1]Hugst!$R$4:$W$4,0))))</f>
        <v>885.91848612390811</v>
      </c>
      <c r="X179" s="169">
        <f ca="1">IF($C179-X$1&lt;År1,0,W178*(1-VLOOKUP($A179,[1]Hugst!$R$5:$W$9,MATCH(ROUNDUP((X$1)/10,0)*10,[1]Hugst!$R$4:$W$4,0))))</f>
        <v>879.01159594359649</v>
      </c>
      <c r="Y179" s="169">
        <f ca="1">IF($C179-Y$1&lt;År1,0,X178*(1-VLOOKUP($A179,[1]Hugst!$R$5:$W$9,MATCH(ROUNDUP((Y$1)/10,0)*10,[1]Hugst!$R$4:$W$4,0))))</f>
        <v>862.08020505887032</v>
      </c>
      <c r="Z179" s="169">
        <f ca="1">IF($C179-Z$1&lt;År1,0,Y178*(1-VLOOKUP($A179,[1]Hugst!$R$5:$W$9,MATCH(ROUNDUP((Z$1)/10,0)*10,[1]Hugst!$R$4:$W$4,0))))</f>
        <v>825.08414638074498</v>
      </c>
      <c r="AA179" s="169">
        <f ca="1">IF($C179-AA$1&lt;År1,0,Z178*(1-VLOOKUP($A179,[1]Hugst!$R$5:$W$9,MATCH(ROUNDUP((AA$1)/10,0)*10,[1]Hugst!$R$4:$W$4,0))))</f>
        <v>747.9430070057391</v>
      </c>
      <c r="AB179" s="169">
        <f ca="1">IF($C179-AB$1&lt;År1,0,AA178*(1-VLOOKUP($A179,[1]Hugst!$R$5:$W$9,MATCH(ROUNDUP((AB$1)/10,0)*10,[1]Hugst!$R$4:$W$4,0))))</f>
        <v>590.49588200574033</v>
      </c>
      <c r="AC179" s="169">
        <f>IF($C179-AC$1&lt;År1,0,AB178*(1-VLOOKUP($A179,[1]Hugst!$R$5:$W$9,MATCH(ROUNDUP((AC$1)/10,0)*10,[1]Hugst!$R$4:$W$4,0))))</f>
        <v>0</v>
      </c>
      <c r="AD179" s="169">
        <f>IF($C179-AD$1&lt;År1,0,AC178*(1-VLOOKUP($A179,[1]Hugst!$R$5:$W$9,MATCH(ROUNDUP((AD$1)/10,0)*10,[1]Hugst!$R$4:$W$4,0))))</f>
        <v>0</v>
      </c>
      <c r="AE179" s="169">
        <f>IF($C179-AE$1&lt;År1,0,AD178*(1-VLOOKUP($A179,[1]Hugst!$R$5:$W$9,MATCH(ROUNDUP((AE$1)/10,0)*10,[1]Hugst!$R$4:$W$4,0))))</f>
        <v>0</v>
      </c>
      <c r="AF179" s="169">
        <f>IF($C179-AF$1&lt;År1,0,AE178*(1-VLOOKUP($A179,[1]Hugst!$R$5:$W$9,MATCH(ROUNDUP((AF$1)/10,0)*10,[1]Hugst!$R$4:$W$4,0))))</f>
        <v>0</v>
      </c>
      <c r="AG179" s="169">
        <f>IF($C179-AG$1&lt;År1,0,AF178*(1-VLOOKUP($A179,[1]Hugst!$R$5:$W$9,MATCH(ROUNDUP((AG$1)/10,0)*10,[1]Hugst!$R$4:$W$4,0))))</f>
        <v>0</v>
      </c>
      <c r="AH179" s="169">
        <f>IF($C179-AH$1&lt;År1,0,AG178*(1-VLOOKUP($A179,[1]Hugst!$R$5:$W$9,MATCH(ROUNDUP((AH$1)/10,0)*10,[1]Hugst!$R$4:$W$4,0))))</f>
        <v>0</v>
      </c>
      <c r="AI179" s="169">
        <f>IF($C179-AI$1&lt;År1,0,AH178*(1-VLOOKUP($A179,[1]Hugst!$R$5:$W$9,MATCH(ROUNDUP((AI$1)/10,0)*10,[1]Hugst!$R$4:$W$4,0))))</f>
        <v>0</v>
      </c>
      <c r="AJ179" s="169">
        <f>IF($C179-AJ$1&lt;År1,0,AI178*(1-VLOOKUP($A179,[1]Hugst!$R$5:$W$9,MATCH(ROUNDUP((AJ$1)/10,0)*10,[1]Hugst!$R$4:$W$4,0))))</f>
        <v>0</v>
      </c>
    </row>
    <row r="180" spans="1:36" x14ac:dyDescent="0.25">
      <c r="A180" s="169" t="s">
        <v>178</v>
      </c>
      <c r="B180" s="169" t="s">
        <v>24</v>
      </c>
      <c r="C180" s="169">
        <v>2043</v>
      </c>
      <c r="D180" s="169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569.7420129170805</v>
      </c>
      <c r="E180" s="169">
        <f t="shared" ca="1" si="3"/>
        <v>0</v>
      </c>
      <c r="F180" s="169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842.16289492282488</v>
      </c>
      <c r="G180" s="169">
        <f ca="1">IF($C180-G$1&lt;År1,0,F179*(1-VLOOKUP($A180,[1]Hugst!$R$5:$W$9,MATCH(ROUNDUP((G$1)/10,0)*10,[1]Hugst!$R$4:$W$4,0))))</f>
        <v>845.02588200533739</v>
      </c>
      <c r="H180" s="169">
        <f ca="1">IF($C180-H$1&lt;År1,0,G179*(1-VLOOKUP($A180,[1]Hugst!$R$5:$W$9,MATCH(ROUNDUP((H$1)/10,0)*10,[1]Hugst!$R$4:$W$4,0))))</f>
        <v>847.90321784955415</v>
      </c>
      <c r="I180" s="169">
        <f ca="1">IF($C180-I$1&lt;År1,0,H179*(1-VLOOKUP($A180,[1]Hugst!$R$5:$W$9,MATCH(ROUNDUP((I$1)/10,0)*10,[1]Hugst!$R$4:$W$4,0))))</f>
        <v>850.79493645180776</v>
      </c>
      <c r="J180" s="169">
        <f ca="1">IF($C180-J$1&lt;År1,0,I179*(1-VLOOKUP($A180,[1]Hugst!$R$5:$W$9,MATCH(ROUNDUP((J$1)/10,0)*10,[1]Hugst!$R$4:$W$4,0))))</f>
        <v>853.70103387118218</v>
      </c>
      <c r="K180" s="169">
        <f ca="1">IF($C180-K$1&lt;År1,0,J179*(1-VLOOKUP($A180,[1]Hugst!$R$5:$W$9,MATCH(ROUNDUP((K$1)/10,0)*10,[1]Hugst!$R$4:$W$4,0))))</f>
        <v>856.6214299308964</v>
      </c>
      <c r="L180" s="169">
        <f ca="1">IF($C180-L$1&lt;År1,0,K179*(1-VLOOKUP($A180,[1]Hugst!$R$5:$W$9,MATCH(ROUNDUP((L$1)/10,0)*10,[1]Hugst!$R$4:$W$4,0))))</f>
        <v>859.55589161912542</v>
      </c>
      <c r="M180" s="169">
        <f ca="1">IF($C180-M$1&lt;År1,0,L179*(1-VLOOKUP($A180,[1]Hugst!$R$5:$W$9,MATCH(ROUNDUP((M$1)/10,0)*10,[1]Hugst!$R$4:$W$4,0))))</f>
        <v>862.50387988887144</v>
      </c>
      <c r="N180" s="169">
        <f ca="1">IF($C180-N$1&lt;År1,0,M179*(1-VLOOKUP($A180,[1]Hugst!$R$5:$W$9,MATCH(ROUNDUP((N$1)/10,0)*10,[1]Hugst!$R$4:$W$4,0))))</f>
        <v>865.46424325579903</v>
      </c>
      <c r="O180" s="169">
        <f ca="1">IF($C180-O$1&lt;År1,0,N179*(1-VLOOKUP($A180,[1]Hugst!$R$5:$W$9,MATCH(ROUNDUP((O$1)/10,0)*10,[1]Hugst!$R$4:$W$4,0))))</f>
        <v>868.43460499205833</v>
      </c>
      <c r="P180" s="169">
        <f ca="1">IF($C180-P$1&lt;År1,0,O179*(1-VLOOKUP($A180,[1]Hugst!$R$5:$W$9,MATCH(ROUNDUP((P$1)/10,0)*10,[1]Hugst!$R$4:$W$4,0))))</f>
        <v>871.41013751226785</v>
      </c>
      <c r="Q180" s="169">
        <f ca="1">IF($C180-Q$1&lt;År1,0,P179*(1-VLOOKUP($A180,[1]Hugst!$R$5:$W$9,MATCH(ROUNDUP((Q$1)/10,0)*10,[1]Hugst!$R$4:$W$4,0))))</f>
        <v>874.38111114330798</v>
      </c>
      <c r="R180" s="169">
        <f ca="1">IF($C180-R$1&lt;År1,0,Q179*(1-VLOOKUP($A180,[1]Hugst!$R$5:$W$9,MATCH(ROUNDUP((R$1)/10,0)*10,[1]Hugst!$R$4:$W$4,0))))</f>
        <v>877.32799166229108</v>
      </c>
      <c r="S180" s="169">
        <f ca="1">IF($C180-S$1&lt;År1,0,R179*(1-VLOOKUP($A180,[1]Hugst!$R$5:$W$9,MATCH(ROUNDUP((S$1)/10,0)*10,[1]Hugst!$R$4:$W$4,0))))</f>
        <v>880.21163537052587</v>
      </c>
      <c r="T180" s="169">
        <f ca="1">IF($C180-T$1&lt;År1,0,S179*(1-VLOOKUP($A180,[1]Hugst!$R$5:$W$9,MATCH(ROUNDUP((T$1)/10,0)*10,[1]Hugst!$R$4:$W$4,0))))</f>
        <v>882.9536792395005</v>
      </c>
      <c r="U180" s="169">
        <f ca="1">IF($C180-U$1&lt;År1,0,T179*(1-VLOOKUP($A180,[1]Hugst!$R$5:$W$9,MATCH(ROUNDUP((U$1)/10,0)*10,[1]Hugst!$R$4:$W$4,0))))</f>
        <v>885.39732120111364</v>
      </c>
      <c r="V180" s="169">
        <f ca="1">IF($C180-V$1&lt;År1,0,U179*(1-VLOOKUP($A180,[1]Hugst!$R$5:$W$9,MATCH(ROUNDUP((V$1)/10,0)*10,[1]Hugst!$R$4:$W$4,0))))</f>
        <v>887.2288807259614</v>
      </c>
      <c r="W180" s="169">
        <f ca="1">IF($C180-W$1&lt;År1,0,V179*(1-VLOOKUP($A180,[1]Hugst!$R$5:$W$9,MATCH(ROUNDUP((W$1)/10,0)*10,[1]Hugst!$R$4:$W$4,0))))</f>
        <v>887.82091997832697</v>
      </c>
      <c r="X180" s="169">
        <f ca="1">IF($C180-X$1&lt;År1,0,W179*(1-VLOOKUP($A180,[1]Hugst!$R$5:$W$9,MATCH(ROUNDUP((X$1)/10,0)*10,[1]Hugst!$R$4:$W$4,0))))</f>
        <v>885.91848612390811</v>
      </c>
      <c r="Y180" s="169">
        <f ca="1">IF($C180-Y$1&lt;År1,0,X179*(1-VLOOKUP($A180,[1]Hugst!$R$5:$W$9,MATCH(ROUNDUP((Y$1)/10,0)*10,[1]Hugst!$R$4:$W$4,0))))</f>
        <v>879.01159594359649</v>
      </c>
      <c r="Z180" s="169">
        <f ca="1">IF($C180-Z$1&lt;År1,0,Y179*(1-VLOOKUP($A180,[1]Hugst!$R$5:$W$9,MATCH(ROUNDUP((Z$1)/10,0)*10,[1]Hugst!$R$4:$W$4,0))))</f>
        <v>862.08020505887032</v>
      </c>
      <c r="AA180" s="169">
        <f ca="1">IF($C180-AA$1&lt;År1,0,Z179*(1-VLOOKUP($A180,[1]Hugst!$R$5:$W$9,MATCH(ROUNDUP((AA$1)/10,0)*10,[1]Hugst!$R$4:$W$4,0))))</f>
        <v>825.08414638074498</v>
      </c>
      <c r="AB180" s="169">
        <f ca="1">IF($C180-AB$1&lt;År1,0,AA179*(1-VLOOKUP($A180,[1]Hugst!$R$5:$W$9,MATCH(ROUNDUP((AB$1)/10,0)*10,[1]Hugst!$R$4:$W$4,0))))</f>
        <v>747.9430070057391</v>
      </c>
      <c r="AC180" s="169">
        <f ca="1">IF($C180-AC$1&lt;År1,0,AB179*(1-VLOOKUP($A180,[1]Hugst!$R$5:$W$9,MATCH(ROUNDUP((AC$1)/10,0)*10,[1]Hugst!$R$4:$W$4,0))))</f>
        <v>590.49588200574033</v>
      </c>
      <c r="AD180" s="169">
        <f>IF($C180-AD$1&lt;År1,0,AC179*(1-VLOOKUP($A180,[1]Hugst!$R$5:$W$9,MATCH(ROUNDUP((AD$1)/10,0)*10,[1]Hugst!$R$4:$W$4,0))))</f>
        <v>0</v>
      </c>
      <c r="AE180" s="169">
        <f>IF($C180-AE$1&lt;År1,0,AD179*(1-VLOOKUP($A180,[1]Hugst!$R$5:$W$9,MATCH(ROUNDUP((AE$1)/10,0)*10,[1]Hugst!$R$4:$W$4,0))))</f>
        <v>0</v>
      </c>
      <c r="AF180" s="169">
        <f>IF($C180-AF$1&lt;År1,0,AE179*(1-VLOOKUP($A180,[1]Hugst!$R$5:$W$9,MATCH(ROUNDUP((AF$1)/10,0)*10,[1]Hugst!$R$4:$W$4,0))))</f>
        <v>0</v>
      </c>
      <c r="AG180" s="169">
        <f>IF($C180-AG$1&lt;År1,0,AF179*(1-VLOOKUP($A180,[1]Hugst!$R$5:$W$9,MATCH(ROUNDUP((AG$1)/10,0)*10,[1]Hugst!$R$4:$W$4,0))))</f>
        <v>0</v>
      </c>
      <c r="AH180" s="169">
        <f>IF($C180-AH$1&lt;År1,0,AG179*(1-VLOOKUP($A180,[1]Hugst!$R$5:$W$9,MATCH(ROUNDUP((AH$1)/10,0)*10,[1]Hugst!$R$4:$W$4,0))))</f>
        <v>0</v>
      </c>
      <c r="AI180" s="169">
        <f>IF($C180-AI$1&lt;År1,0,AH179*(1-VLOOKUP($A180,[1]Hugst!$R$5:$W$9,MATCH(ROUNDUP((AI$1)/10,0)*10,[1]Hugst!$R$4:$W$4,0))))</f>
        <v>0</v>
      </c>
      <c r="AJ180" s="169">
        <f>IF($C180-AJ$1&lt;År1,0,AI179*(1-VLOOKUP($A180,[1]Hugst!$R$5:$W$9,MATCH(ROUNDUP((AJ$1)/10,0)*10,[1]Hugst!$R$4:$W$4,0))))</f>
        <v>0</v>
      </c>
    </row>
    <row r="181" spans="1:36" x14ac:dyDescent="0.25">
      <c r="A181" s="169" t="s">
        <v>178</v>
      </c>
      <c r="B181" s="169" t="s">
        <v>24</v>
      </c>
      <c r="C181" s="169">
        <v>2044</v>
      </c>
      <c r="D181" s="169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566.89332181124428</v>
      </c>
      <c r="E181" s="169">
        <f t="shared" ca="1" si="3"/>
        <v>0</v>
      </c>
      <c r="F181" s="169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839.31420381698865</v>
      </c>
      <c r="G181" s="169">
        <f ca="1">IF($C181-G$1&lt;År1,0,F180*(1-VLOOKUP($A181,[1]Hugst!$R$5:$W$9,MATCH(ROUNDUP((G$1)/10,0)*10,[1]Hugst!$R$4:$W$4,0))))</f>
        <v>842.16289492282488</v>
      </c>
      <c r="H181" s="169">
        <f ca="1">IF($C181-H$1&lt;År1,0,G180*(1-VLOOKUP($A181,[1]Hugst!$R$5:$W$9,MATCH(ROUNDUP((H$1)/10,0)*10,[1]Hugst!$R$4:$W$4,0))))</f>
        <v>845.02588200533739</v>
      </c>
      <c r="I181" s="169">
        <f ca="1">IF($C181-I$1&lt;År1,0,H180*(1-VLOOKUP($A181,[1]Hugst!$R$5:$W$9,MATCH(ROUNDUP((I$1)/10,0)*10,[1]Hugst!$R$4:$W$4,0))))</f>
        <v>847.90321784955415</v>
      </c>
      <c r="J181" s="169">
        <f ca="1">IF($C181-J$1&lt;År1,0,I180*(1-VLOOKUP($A181,[1]Hugst!$R$5:$W$9,MATCH(ROUNDUP((J$1)/10,0)*10,[1]Hugst!$R$4:$W$4,0))))</f>
        <v>850.79493645180776</v>
      </c>
      <c r="K181" s="169">
        <f ca="1">IF($C181-K$1&lt;År1,0,J180*(1-VLOOKUP($A181,[1]Hugst!$R$5:$W$9,MATCH(ROUNDUP((K$1)/10,0)*10,[1]Hugst!$R$4:$W$4,0))))</f>
        <v>853.70103387118218</v>
      </c>
      <c r="L181" s="169">
        <f ca="1">IF($C181-L$1&lt;År1,0,K180*(1-VLOOKUP($A181,[1]Hugst!$R$5:$W$9,MATCH(ROUNDUP((L$1)/10,0)*10,[1]Hugst!$R$4:$W$4,0))))</f>
        <v>856.6214299308964</v>
      </c>
      <c r="M181" s="169">
        <f ca="1">IF($C181-M$1&lt;År1,0,L180*(1-VLOOKUP($A181,[1]Hugst!$R$5:$W$9,MATCH(ROUNDUP((M$1)/10,0)*10,[1]Hugst!$R$4:$W$4,0))))</f>
        <v>859.55589161912542</v>
      </c>
      <c r="N181" s="169">
        <f ca="1">IF($C181-N$1&lt;År1,0,M180*(1-VLOOKUP($A181,[1]Hugst!$R$5:$W$9,MATCH(ROUNDUP((N$1)/10,0)*10,[1]Hugst!$R$4:$W$4,0))))</f>
        <v>862.50387988887144</v>
      </c>
      <c r="O181" s="169">
        <f ca="1">IF($C181-O$1&lt;År1,0,N180*(1-VLOOKUP($A181,[1]Hugst!$R$5:$W$9,MATCH(ROUNDUP((O$1)/10,0)*10,[1]Hugst!$R$4:$W$4,0))))</f>
        <v>865.46424325579903</v>
      </c>
      <c r="P181" s="169">
        <f ca="1">IF($C181-P$1&lt;År1,0,O180*(1-VLOOKUP($A181,[1]Hugst!$R$5:$W$9,MATCH(ROUNDUP((P$1)/10,0)*10,[1]Hugst!$R$4:$W$4,0))))</f>
        <v>868.43460499205833</v>
      </c>
      <c r="Q181" s="169">
        <f ca="1">IF($C181-Q$1&lt;År1,0,P180*(1-VLOOKUP($A181,[1]Hugst!$R$5:$W$9,MATCH(ROUNDUP((Q$1)/10,0)*10,[1]Hugst!$R$4:$W$4,0))))</f>
        <v>871.41013751226785</v>
      </c>
      <c r="R181" s="169">
        <f ca="1">IF($C181-R$1&lt;År1,0,Q180*(1-VLOOKUP($A181,[1]Hugst!$R$5:$W$9,MATCH(ROUNDUP((R$1)/10,0)*10,[1]Hugst!$R$4:$W$4,0))))</f>
        <v>874.38111114330798</v>
      </c>
      <c r="S181" s="169">
        <f ca="1">IF($C181-S$1&lt;År1,0,R180*(1-VLOOKUP($A181,[1]Hugst!$R$5:$W$9,MATCH(ROUNDUP((S$1)/10,0)*10,[1]Hugst!$R$4:$W$4,0))))</f>
        <v>877.32799166229108</v>
      </c>
      <c r="T181" s="169">
        <f ca="1">IF($C181-T$1&lt;År1,0,S180*(1-VLOOKUP($A181,[1]Hugst!$R$5:$W$9,MATCH(ROUNDUP((T$1)/10,0)*10,[1]Hugst!$R$4:$W$4,0))))</f>
        <v>880.21163537052587</v>
      </c>
      <c r="U181" s="169">
        <f ca="1">IF($C181-U$1&lt;År1,0,T180*(1-VLOOKUP($A181,[1]Hugst!$R$5:$W$9,MATCH(ROUNDUP((U$1)/10,0)*10,[1]Hugst!$R$4:$W$4,0))))</f>
        <v>882.9536792395005</v>
      </c>
      <c r="V181" s="169">
        <f ca="1">IF($C181-V$1&lt;År1,0,U180*(1-VLOOKUP($A181,[1]Hugst!$R$5:$W$9,MATCH(ROUNDUP((V$1)/10,0)*10,[1]Hugst!$R$4:$W$4,0))))</f>
        <v>885.39732120111364</v>
      </c>
      <c r="W181" s="169">
        <f ca="1">IF($C181-W$1&lt;År1,0,V180*(1-VLOOKUP($A181,[1]Hugst!$R$5:$W$9,MATCH(ROUNDUP((W$1)/10,0)*10,[1]Hugst!$R$4:$W$4,0))))</f>
        <v>887.2288807259614</v>
      </c>
      <c r="X181" s="169">
        <f ca="1">IF($C181-X$1&lt;År1,0,W180*(1-VLOOKUP($A181,[1]Hugst!$R$5:$W$9,MATCH(ROUNDUP((X$1)/10,0)*10,[1]Hugst!$R$4:$W$4,0))))</f>
        <v>887.82091997832697</v>
      </c>
      <c r="Y181" s="169">
        <f ca="1">IF($C181-Y$1&lt;År1,0,X180*(1-VLOOKUP($A181,[1]Hugst!$R$5:$W$9,MATCH(ROUNDUP((Y$1)/10,0)*10,[1]Hugst!$R$4:$W$4,0))))</f>
        <v>885.91848612390811</v>
      </c>
      <c r="Z181" s="169">
        <f ca="1">IF($C181-Z$1&lt;År1,0,Y180*(1-VLOOKUP($A181,[1]Hugst!$R$5:$W$9,MATCH(ROUNDUP((Z$1)/10,0)*10,[1]Hugst!$R$4:$W$4,0))))</f>
        <v>879.01159594359649</v>
      </c>
      <c r="AA181" s="169">
        <f ca="1">IF($C181-AA$1&lt;År1,0,Z180*(1-VLOOKUP($A181,[1]Hugst!$R$5:$W$9,MATCH(ROUNDUP((AA$1)/10,0)*10,[1]Hugst!$R$4:$W$4,0))))</f>
        <v>862.08020505887032</v>
      </c>
      <c r="AB181" s="169">
        <f ca="1">IF($C181-AB$1&lt;År1,0,AA180*(1-VLOOKUP($A181,[1]Hugst!$R$5:$W$9,MATCH(ROUNDUP((AB$1)/10,0)*10,[1]Hugst!$R$4:$W$4,0))))</f>
        <v>825.08414638074498</v>
      </c>
      <c r="AC181" s="169">
        <f ca="1">IF($C181-AC$1&lt;År1,0,AB180*(1-VLOOKUP($A181,[1]Hugst!$R$5:$W$9,MATCH(ROUNDUP((AC$1)/10,0)*10,[1]Hugst!$R$4:$W$4,0))))</f>
        <v>747.9430070057391</v>
      </c>
      <c r="AD181" s="169">
        <f ca="1">IF($C181-AD$1&lt;År1,0,AC180*(1-VLOOKUP($A181,[1]Hugst!$R$5:$W$9,MATCH(ROUNDUP((AD$1)/10,0)*10,[1]Hugst!$R$4:$W$4,0))))</f>
        <v>590.49588200574033</v>
      </c>
      <c r="AE181" s="169">
        <f>IF($C181-AE$1&lt;År1,0,AD180*(1-VLOOKUP($A181,[1]Hugst!$R$5:$W$9,MATCH(ROUNDUP((AE$1)/10,0)*10,[1]Hugst!$R$4:$W$4,0))))</f>
        <v>0</v>
      </c>
      <c r="AF181" s="169">
        <f>IF($C181-AF$1&lt;År1,0,AE180*(1-VLOOKUP($A181,[1]Hugst!$R$5:$W$9,MATCH(ROUNDUP((AF$1)/10,0)*10,[1]Hugst!$R$4:$W$4,0))))</f>
        <v>0</v>
      </c>
      <c r="AG181" s="169">
        <f>IF($C181-AG$1&lt;År1,0,AF180*(1-VLOOKUP($A181,[1]Hugst!$R$5:$W$9,MATCH(ROUNDUP((AG$1)/10,0)*10,[1]Hugst!$R$4:$W$4,0))))</f>
        <v>0</v>
      </c>
      <c r="AH181" s="169">
        <f>IF($C181-AH$1&lt;År1,0,AG180*(1-VLOOKUP($A181,[1]Hugst!$R$5:$W$9,MATCH(ROUNDUP((AH$1)/10,0)*10,[1]Hugst!$R$4:$W$4,0))))</f>
        <v>0</v>
      </c>
      <c r="AI181" s="169">
        <f>IF($C181-AI$1&lt;År1,0,AH180*(1-VLOOKUP($A181,[1]Hugst!$R$5:$W$9,MATCH(ROUNDUP((AI$1)/10,0)*10,[1]Hugst!$R$4:$W$4,0))))</f>
        <v>0</v>
      </c>
      <c r="AJ181" s="169">
        <f>IF($C181-AJ$1&lt;År1,0,AI180*(1-VLOOKUP($A181,[1]Hugst!$R$5:$W$9,MATCH(ROUNDUP((AJ$1)/10,0)*10,[1]Hugst!$R$4:$W$4,0))))</f>
        <v>0</v>
      </c>
    </row>
    <row r="182" spans="1:36" x14ac:dyDescent="0.25">
      <c r="A182" s="169" t="s">
        <v>178</v>
      </c>
      <c r="B182" s="169" t="s">
        <v>24</v>
      </c>
      <c r="C182" s="169">
        <v>2045</v>
      </c>
      <c r="D182" s="169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564.05886468155586</v>
      </c>
      <c r="E182" s="169">
        <f t="shared" ca="1" si="3"/>
        <v>0</v>
      </c>
      <c r="F182" s="169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836.47974668730023</v>
      </c>
      <c r="G182" s="169">
        <f ca="1">IF($C182-G$1&lt;År1,0,F181*(1-VLOOKUP($A182,[1]Hugst!$R$5:$W$9,MATCH(ROUNDUP((G$1)/10,0)*10,[1]Hugst!$R$4:$W$4,0))))</f>
        <v>839.31420381698865</v>
      </c>
      <c r="H182" s="169">
        <f ca="1">IF($C182-H$1&lt;År1,0,G181*(1-VLOOKUP($A182,[1]Hugst!$R$5:$W$9,MATCH(ROUNDUP((H$1)/10,0)*10,[1]Hugst!$R$4:$W$4,0))))</f>
        <v>842.16289492282488</v>
      </c>
      <c r="I182" s="169">
        <f ca="1">IF($C182-I$1&lt;År1,0,H181*(1-VLOOKUP($A182,[1]Hugst!$R$5:$W$9,MATCH(ROUNDUP((I$1)/10,0)*10,[1]Hugst!$R$4:$W$4,0))))</f>
        <v>845.02588200533739</v>
      </c>
      <c r="J182" s="169">
        <f ca="1">IF($C182-J$1&lt;År1,0,I181*(1-VLOOKUP($A182,[1]Hugst!$R$5:$W$9,MATCH(ROUNDUP((J$1)/10,0)*10,[1]Hugst!$R$4:$W$4,0))))</f>
        <v>847.90321784955415</v>
      </c>
      <c r="K182" s="169">
        <f ca="1">IF($C182-K$1&lt;År1,0,J181*(1-VLOOKUP($A182,[1]Hugst!$R$5:$W$9,MATCH(ROUNDUP((K$1)/10,0)*10,[1]Hugst!$R$4:$W$4,0))))</f>
        <v>850.79493645180776</v>
      </c>
      <c r="L182" s="169">
        <f ca="1">IF($C182-L$1&lt;År1,0,K181*(1-VLOOKUP($A182,[1]Hugst!$R$5:$W$9,MATCH(ROUNDUP((L$1)/10,0)*10,[1]Hugst!$R$4:$W$4,0))))</f>
        <v>853.70103387118218</v>
      </c>
      <c r="M182" s="169">
        <f ca="1">IF($C182-M$1&lt;År1,0,L181*(1-VLOOKUP($A182,[1]Hugst!$R$5:$W$9,MATCH(ROUNDUP((M$1)/10,0)*10,[1]Hugst!$R$4:$W$4,0))))</f>
        <v>856.6214299308964</v>
      </c>
      <c r="N182" s="169">
        <f ca="1">IF($C182-N$1&lt;År1,0,M181*(1-VLOOKUP($A182,[1]Hugst!$R$5:$W$9,MATCH(ROUNDUP((N$1)/10,0)*10,[1]Hugst!$R$4:$W$4,0))))</f>
        <v>859.55589161912542</v>
      </c>
      <c r="O182" s="169">
        <f ca="1">IF($C182-O$1&lt;År1,0,N181*(1-VLOOKUP($A182,[1]Hugst!$R$5:$W$9,MATCH(ROUNDUP((O$1)/10,0)*10,[1]Hugst!$R$4:$W$4,0))))</f>
        <v>862.50387988887144</v>
      </c>
      <c r="P182" s="169">
        <f ca="1">IF($C182-P$1&lt;År1,0,O181*(1-VLOOKUP($A182,[1]Hugst!$R$5:$W$9,MATCH(ROUNDUP((P$1)/10,0)*10,[1]Hugst!$R$4:$W$4,0))))</f>
        <v>865.46424325579903</v>
      </c>
      <c r="Q182" s="169">
        <f ca="1">IF($C182-Q$1&lt;År1,0,P181*(1-VLOOKUP($A182,[1]Hugst!$R$5:$W$9,MATCH(ROUNDUP((Q$1)/10,0)*10,[1]Hugst!$R$4:$W$4,0))))</f>
        <v>868.43460499205833</v>
      </c>
      <c r="R182" s="169">
        <f ca="1">IF($C182-R$1&lt;År1,0,Q181*(1-VLOOKUP($A182,[1]Hugst!$R$5:$W$9,MATCH(ROUNDUP((R$1)/10,0)*10,[1]Hugst!$R$4:$W$4,0))))</f>
        <v>871.41013751226785</v>
      </c>
      <c r="S182" s="169">
        <f ca="1">IF($C182-S$1&lt;År1,0,R181*(1-VLOOKUP($A182,[1]Hugst!$R$5:$W$9,MATCH(ROUNDUP((S$1)/10,0)*10,[1]Hugst!$R$4:$W$4,0))))</f>
        <v>874.38111114330798</v>
      </c>
      <c r="T182" s="169">
        <f ca="1">IF($C182-T$1&lt;År1,0,S181*(1-VLOOKUP($A182,[1]Hugst!$R$5:$W$9,MATCH(ROUNDUP((T$1)/10,0)*10,[1]Hugst!$R$4:$W$4,0))))</f>
        <v>877.32799166229108</v>
      </c>
      <c r="U182" s="169">
        <f ca="1">IF($C182-U$1&lt;År1,0,T181*(1-VLOOKUP($A182,[1]Hugst!$R$5:$W$9,MATCH(ROUNDUP((U$1)/10,0)*10,[1]Hugst!$R$4:$W$4,0))))</f>
        <v>880.21163537052587</v>
      </c>
      <c r="V182" s="169">
        <f ca="1">IF($C182-V$1&lt;År1,0,U181*(1-VLOOKUP($A182,[1]Hugst!$R$5:$W$9,MATCH(ROUNDUP((V$1)/10,0)*10,[1]Hugst!$R$4:$W$4,0))))</f>
        <v>882.9536792395005</v>
      </c>
      <c r="W182" s="169">
        <f ca="1">IF($C182-W$1&lt;År1,0,V181*(1-VLOOKUP($A182,[1]Hugst!$R$5:$W$9,MATCH(ROUNDUP((W$1)/10,0)*10,[1]Hugst!$R$4:$W$4,0))))</f>
        <v>885.39732120111364</v>
      </c>
      <c r="X182" s="169">
        <f ca="1">IF($C182-X$1&lt;År1,0,W181*(1-VLOOKUP($A182,[1]Hugst!$R$5:$W$9,MATCH(ROUNDUP((X$1)/10,0)*10,[1]Hugst!$R$4:$W$4,0))))</f>
        <v>887.2288807259614</v>
      </c>
      <c r="Y182" s="169">
        <f ca="1">IF($C182-Y$1&lt;År1,0,X181*(1-VLOOKUP($A182,[1]Hugst!$R$5:$W$9,MATCH(ROUNDUP((Y$1)/10,0)*10,[1]Hugst!$R$4:$W$4,0))))</f>
        <v>887.82091997832697</v>
      </c>
      <c r="Z182" s="169">
        <f ca="1">IF($C182-Z$1&lt;År1,0,Y181*(1-VLOOKUP($A182,[1]Hugst!$R$5:$W$9,MATCH(ROUNDUP((Z$1)/10,0)*10,[1]Hugst!$R$4:$W$4,0))))</f>
        <v>885.91848612390811</v>
      </c>
      <c r="AA182" s="169">
        <f ca="1">IF($C182-AA$1&lt;År1,0,Z181*(1-VLOOKUP($A182,[1]Hugst!$R$5:$W$9,MATCH(ROUNDUP((AA$1)/10,0)*10,[1]Hugst!$R$4:$W$4,0))))</f>
        <v>879.01159594359649</v>
      </c>
      <c r="AB182" s="169">
        <f ca="1">IF($C182-AB$1&lt;År1,0,AA181*(1-VLOOKUP($A182,[1]Hugst!$R$5:$W$9,MATCH(ROUNDUP((AB$1)/10,0)*10,[1]Hugst!$R$4:$W$4,0))))</f>
        <v>862.08020505887032</v>
      </c>
      <c r="AC182" s="169">
        <f ca="1">IF($C182-AC$1&lt;År1,0,AB181*(1-VLOOKUP($A182,[1]Hugst!$R$5:$W$9,MATCH(ROUNDUP((AC$1)/10,0)*10,[1]Hugst!$R$4:$W$4,0))))</f>
        <v>825.08414638074498</v>
      </c>
      <c r="AD182" s="169">
        <f ca="1">IF($C182-AD$1&lt;År1,0,AC181*(1-VLOOKUP($A182,[1]Hugst!$R$5:$W$9,MATCH(ROUNDUP((AD$1)/10,0)*10,[1]Hugst!$R$4:$W$4,0))))</f>
        <v>747.9430070057391</v>
      </c>
      <c r="AE182" s="169">
        <f ca="1">IF($C182-AE$1&lt;År1,0,AD181*(1-VLOOKUP($A182,[1]Hugst!$R$5:$W$9,MATCH(ROUNDUP((AE$1)/10,0)*10,[1]Hugst!$R$4:$W$4,0))))</f>
        <v>590.49588200574033</v>
      </c>
      <c r="AF182" s="169">
        <f>IF($C182-AF$1&lt;År1,0,AE181*(1-VLOOKUP($A182,[1]Hugst!$R$5:$W$9,MATCH(ROUNDUP((AF$1)/10,0)*10,[1]Hugst!$R$4:$W$4,0))))</f>
        <v>0</v>
      </c>
      <c r="AG182" s="169">
        <f>IF($C182-AG$1&lt;År1,0,AF181*(1-VLOOKUP($A182,[1]Hugst!$R$5:$W$9,MATCH(ROUNDUP((AG$1)/10,0)*10,[1]Hugst!$R$4:$W$4,0))))</f>
        <v>0</v>
      </c>
      <c r="AH182" s="169">
        <f>IF($C182-AH$1&lt;År1,0,AG181*(1-VLOOKUP($A182,[1]Hugst!$R$5:$W$9,MATCH(ROUNDUP((AH$1)/10,0)*10,[1]Hugst!$R$4:$W$4,0))))</f>
        <v>0</v>
      </c>
      <c r="AI182" s="169">
        <f>IF($C182-AI$1&lt;År1,0,AH181*(1-VLOOKUP($A182,[1]Hugst!$R$5:$W$9,MATCH(ROUNDUP((AI$1)/10,0)*10,[1]Hugst!$R$4:$W$4,0))))</f>
        <v>0</v>
      </c>
      <c r="AJ182" s="169">
        <f>IF($C182-AJ$1&lt;År1,0,AI181*(1-VLOOKUP($A182,[1]Hugst!$R$5:$W$9,MATCH(ROUNDUP((AJ$1)/10,0)*10,[1]Hugst!$R$4:$W$4,0))))</f>
        <v>0</v>
      </c>
    </row>
    <row r="183" spans="1:36" x14ac:dyDescent="0.25">
      <c r="A183" s="169" t="s">
        <v>178</v>
      </c>
      <c r="B183" s="169" t="s">
        <v>24</v>
      </c>
      <c r="C183" s="169">
        <v>2046</v>
      </c>
      <c r="D183" s="169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561.2385750978483</v>
      </c>
      <c r="E183" s="169">
        <f t="shared" ca="1" si="3"/>
        <v>0</v>
      </c>
      <c r="F183" s="169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833.65945710359267</v>
      </c>
      <c r="G183" s="169">
        <f ca="1">IF($C183-G$1&lt;År1,0,F182*(1-VLOOKUP($A183,[1]Hugst!$R$5:$W$9,MATCH(ROUNDUP((G$1)/10,0)*10,[1]Hugst!$R$4:$W$4,0))))</f>
        <v>836.47974668730023</v>
      </c>
      <c r="H183" s="169">
        <f ca="1">IF($C183-H$1&lt;År1,0,G182*(1-VLOOKUP($A183,[1]Hugst!$R$5:$W$9,MATCH(ROUNDUP((H$1)/10,0)*10,[1]Hugst!$R$4:$W$4,0))))</f>
        <v>839.31420381698865</v>
      </c>
      <c r="I183" s="169">
        <f ca="1">IF($C183-I$1&lt;År1,0,H182*(1-VLOOKUP($A183,[1]Hugst!$R$5:$W$9,MATCH(ROUNDUP((I$1)/10,0)*10,[1]Hugst!$R$4:$W$4,0))))</f>
        <v>842.16289492282488</v>
      </c>
      <c r="J183" s="169">
        <f ca="1">IF($C183-J$1&lt;År1,0,I182*(1-VLOOKUP($A183,[1]Hugst!$R$5:$W$9,MATCH(ROUNDUP((J$1)/10,0)*10,[1]Hugst!$R$4:$W$4,0))))</f>
        <v>845.02588200533739</v>
      </c>
      <c r="K183" s="169">
        <f ca="1">IF($C183-K$1&lt;År1,0,J182*(1-VLOOKUP($A183,[1]Hugst!$R$5:$W$9,MATCH(ROUNDUP((K$1)/10,0)*10,[1]Hugst!$R$4:$W$4,0))))</f>
        <v>847.90321784955415</v>
      </c>
      <c r="L183" s="169">
        <f ca="1">IF($C183-L$1&lt;År1,0,K182*(1-VLOOKUP($A183,[1]Hugst!$R$5:$W$9,MATCH(ROUNDUP((L$1)/10,0)*10,[1]Hugst!$R$4:$W$4,0))))</f>
        <v>850.79493645180776</v>
      </c>
      <c r="M183" s="169">
        <f ca="1">IF($C183-M$1&lt;År1,0,L182*(1-VLOOKUP($A183,[1]Hugst!$R$5:$W$9,MATCH(ROUNDUP((M$1)/10,0)*10,[1]Hugst!$R$4:$W$4,0))))</f>
        <v>853.70103387118218</v>
      </c>
      <c r="N183" s="169">
        <f ca="1">IF($C183-N$1&lt;År1,0,M182*(1-VLOOKUP($A183,[1]Hugst!$R$5:$W$9,MATCH(ROUNDUP((N$1)/10,0)*10,[1]Hugst!$R$4:$W$4,0))))</f>
        <v>856.6214299308964</v>
      </c>
      <c r="O183" s="169">
        <f ca="1">IF($C183-O$1&lt;År1,0,N182*(1-VLOOKUP($A183,[1]Hugst!$R$5:$W$9,MATCH(ROUNDUP((O$1)/10,0)*10,[1]Hugst!$R$4:$W$4,0))))</f>
        <v>859.55589161912542</v>
      </c>
      <c r="P183" s="169">
        <f ca="1">IF($C183-P$1&lt;År1,0,O182*(1-VLOOKUP($A183,[1]Hugst!$R$5:$W$9,MATCH(ROUNDUP((P$1)/10,0)*10,[1]Hugst!$R$4:$W$4,0))))</f>
        <v>862.50387988887144</v>
      </c>
      <c r="Q183" s="169">
        <f ca="1">IF($C183-Q$1&lt;År1,0,P182*(1-VLOOKUP($A183,[1]Hugst!$R$5:$W$9,MATCH(ROUNDUP((Q$1)/10,0)*10,[1]Hugst!$R$4:$W$4,0))))</f>
        <v>865.46424325579903</v>
      </c>
      <c r="R183" s="169">
        <f ca="1">IF($C183-R$1&lt;År1,0,Q182*(1-VLOOKUP($A183,[1]Hugst!$R$5:$W$9,MATCH(ROUNDUP((R$1)/10,0)*10,[1]Hugst!$R$4:$W$4,0))))</f>
        <v>868.43460499205833</v>
      </c>
      <c r="S183" s="169">
        <f ca="1">IF($C183-S$1&lt;År1,0,R182*(1-VLOOKUP($A183,[1]Hugst!$R$5:$W$9,MATCH(ROUNDUP((S$1)/10,0)*10,[1]Hugst!$R$4:$W$4,0))))</f>
        <v>871.41013751226785</v>
      </c>
      <c r="T183" s="169">
        <f ca="1">IF($C183-T$1&lt;År1,0,S182*(1-VLOOKUP($A183,[1]Hugst!$R$5:$W$9,MATCH(ROUNDUP((T$1)/10,0)*10,[1]Hugst!$R$4:$W$4,0))))</f>
        <v>874.38111114330798</v>
      </c>
      <c r="U183" s="169">
        <f ca="1">IF($C183-U$1&lt;År1,0,T182*(1-VLOOKUP($A183,[1]Hugst!$R$5:$W$9,MATCH(ROUNDUP((U$1)/10,0)*10,[1]Hugst!$R$4:$W$4,0))))</f>
        <v>877.32799166229108</v>
      </c>
      <c r="V183" s="169">
        <f ca="1">IF($C183-V$1&lt;År1,0,U182*(1-VLOOKUP($A183,[1]Hugst!$R$5:$W$9,MATCH(ROUNDUP((V$1)/10,0)*10,[1]Hugst!$R$4:$W$4,0))))</f>
        <v>880.21163537052587</v>
      </c>
      <c r="W183" s="169">
        <f ca="1">IF($C183-W$1&lt;År1,0,V182*(1-VLOOKUP($A183,[1]Hugst!$R$5:$W$9,MATCH(ROUNDUP((W$1)/10,0)*10,[1]Hugst!$R$4:$W$4,0))))</f>
        <v>882.9536792395005</v>
      </c>
      <c r="X183" s="169">
        <f ca="1">IF($C183-X$1&lt;År1,0,W182*(1-VLOOKUP($A183,[1]Hugst!$R$5:$W$9,MATCH(ROUNDUP((X$1)/10,0)*10,[1]Hugst!$R$4:$W$4,0))))</f>
        <v>885.39732120111364</v>
      </c>
      <c r="Y183" s="169">
        <f ca="1">IF($C183-Y$1&lt;År1,0,X182*(1-VLOOKUP($A183,[1]Hugst!$R$5:$W$9,MATCH(ROUNDUP((Y$1)/10,0)*10,[1]Hugst!$R$4:$W$4,0))))</f>
        <v>887.2288807259614</v>
      </c>
      <c r="Z183" s="169">
        <f ca="1">IF($C183-Z$1&lt;År1,0,Y182*(1-VLOOKUP($A183,[1]Hugst!$R$5:$W$9,MATCH(ROUNDUP((Z$1)/10,0)*10,[1]Hugst!$R$4:$W$4,0))))</f>
        <v>887.82091997832697</v>
      </c>
      <c r="AA183" s="169">
        <f ca="1">IF($C183-AA$1&lt;År1,0,Z182*(1-VLOOKUP($A183,[1]Hugst!$R$5:$W$9,MATCH(ROUNDUP((AA$1)/10,0)*10,[1]Hugst!$R$4:$W$4,0))))</f>
        <v>885.91848612390811</v>
      </c>
      <c r="AB183" s="169">
        <f ca="1">IF($C183-AB$1&lt;År1,0,AA182*(1-VLOOKUP($A183,[1]Hugst!$R$5:$W$9,MATCH(ROUNDUP((AB$1)/10,0)*10,[1]Hugst!$R$4:$W$4,0))))</f>
        <v>879.01159594359649</v>
      </c>
      <c r="AC183" s="169">
        <f ca="1">IF($C183-AC$1&lt;År1,0,AB182*(1-VLOOKUP($A183,[1]Hugst!$R$5:$W$9,MATCH(ROUNDUP((AC$1)/10,0)*10,[1]Hugst!$R$4:$W$4,0))))</f>
        <v>862.08020505887032</v>
      </c>
      <c r="AD183" s="169">
        <f ca="1">IF($C183-AD$1&lt;År1,0,AC182*(1-VLOOKUP($A183,[1]Hugst!$R$5:$W$9,MATCH(ROUNDUP((AD$1)/10,0)*10,[1]Hugst!$R$4:$W$4,0))))</f>
        <v>825.08414638074498</v>
      </c>
      <c r="AE183" s="169">
        <f ca="1">IF($C183-AE$1&lt;År1,0,AD182*(1-VLOOKUP($A183,[1]Hugst!$R$5:$W$9,MATCH(ROUNDUP((AE$1)/10,0)*10,[1]Hugst!$R$4:$W$4,0))))</f>
        <v>747.9430070057391</v>
      </c>
      <c r="AF183" s="169">
        <f ca="1">IF($C183-AF$1&lt;År1,0,AE182*(1-VLOOKUP($A183,[1]Hugst!$R$5:$W$9,MATCH(ROUNDUP((AF$1)/10,0)*10,[1]Hugst!$R$4:$W$4,0))))</f>
        <v>590.49588200574033</v>
      </c>
      <c r="AG183" s="169">
        <f>IF($C183-AG$1&lt;År1,0,AF182*(1-VLOOKUP($A183,[1]Hugst!$R$5:$W$9,MATCH(ROUNDUP((AG$1)/10,0)*10,[1]Hugst!$R$4:$W$4,0))))</f>
        <v>0</v>
      </c>
      <c r="AH183" s="169">
        <f>IF($C183-AH$1&lt;År1,0,AG182*(1-VLOOKUP($A183,[1]Hugst!$R$5:$W$9,MATCH(ROUNDUP((AH$1)/10,0)*10,[1]Hugst!$R$4:$W$4,0))))</f>
        <v>0</v>
      </c>
      <c r="AI183" s="169">
        <f>IF($C183-AI$1&lt;År1,0,AH182*(1-VLOOKUP($A183,[1]Hugst!$R$5:$W$9,MATCH(ROUNDUP((AI$1)/10,0)*10,[1]Hugst!$R$4:$W$4,0))))</f>
        <v>0</v>
      </c>
      <c r="AJ183" s="169">
        <f>IF($C183-AJ$1&lt;År1,0,AI182*(1-VLOOKUP($A183,[1]Hugst!$R$5:$W$9,MATCH(ROUNDUP((AJ$1)/10,0)*10,[1]Hugst!$R$4:$W$4,0))))</f>
        <v>0</v>
      </c>
    </row>
    <row r="184" spans="1:36" x14ac:dyDescent="0.25">
      <c r="A184" s="169" t="s">
        <v>178</v>
      </c>
      <c r="B184" s="169" t="s">
        <v>24</v>
      </c>
      <c r="C184" s="169">
        <v>2047</v>
      </c>
      <c r="D184" s="169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558.43238459218537</v>
      </c>
      <c r="E184" s="169">
        <f t="shared" ca="1" si="3"/>
        <v>0</v>
      </c>
      <c r="F184" s="169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830.85326659792975</v>
      </c>
      <c r="G184" s="169">
        <f ca="1">IF($C184-G$1&lt;År1,0,F183*(1-VLOOKUP($A184,[1]Hugst!$R$5:$W$9,MATCH(ROUNDUP((G$1)/10,0)*10,[1]Hugst!$R$4:$W$4,0))))</f>
        <v>833.65945710359267</v>
      </c>
      <c r="H184" s="169">
        <f ca="1">IF($C184-H$1&lt;År1,0,G183*(1-VLOOKUP($A184,[1]Hugst!$R$5:$W$9,MATCH(ROUNDUP((H$1)/10,0)*10,[1]Hugst!$R$4:$W$4,0))))</f>
        <v>836.47974668730023</v>
      </c>
      <c r="I184" s="169">
        <f ca="1">IF($C184-I$1&lt;År1,0,H183*(1-VLOOKUP($A184,[1]Hugst!$R$5:$W$9,MATCH(ROUNDUP((I$1)/10,0)*10,[1]Hugst!$R$4:$W$4,0))))</f>
        <v>839.31420381698865</v>
      </c>
      <c r="J184" s="169">
        <f ca="1">IF($C184-J$1&lt;År1,0,I183*(1-VLOOKUP($A184,[1]Hugst!$R$5:$W$9,MATCH(ROUNDUP((J$1)/10,0)*10,[1]Hugst!$R$4:$W$4,0))))</f>
        <v>842.16289492282488</v>
      </c>
      <c r="K184" s="169">
        <f ca="1">IF($C184-K$1&lt;År1,0,J183*(1-VLOOKUP($A184,[1]Hugst!$R$5:$W$9,MATCH(ROUNDUP((K$1)/10,0)*10,[1]Hugst!$R$4:$W$4,0))))</f>
        <v>845.02588200533739</v>
      </c>
      <c r="L184" s="169">
        <f ca="1">IF($C184-L$1&lt;År1,0,K183*(1-VLOOKUP($A184,[1]Hugst!$R$5:$W$9,MATCH(ROUNDUP((L$1)/10,0)*10,[1]Hugst!$R$4:$W$4,0))))</f>
        <v>847.90321784955415</v>
      </c>
      <c r="M184" s="169">
        <f ca="1">IF($C184-M$1&lt;År1,0,L183*(1-VLOOKUP($A184,[1]Hugst!$R$5:$W$9,MATCH(ROUNDUP((M$1)/10,0)*10,[1]Hugst!$R$4:$W$4,0))))</f>
        <v>850.79493645180776</v>
      </c>
      <c r="N184" s="169">
        <f ca="1">IF($C184-N$1&lt;År1,0,M183*(1-VLOOKUP($A184,[1]Hugst!$R$5:$W$9,MATCH(ROUNDUP((N$1)/10,0)*10,[1]Hugst!$R$4:$W$4,0))))</f>
        <v>853.70103387118218</v>
      </c>
      <c r="O184" s="169">
        <f ca="1">IF($C184-O$1&lt;År1,0,N183*(1-VLOOKUP($A184,[1]Hugst!$R$5:$W$9,MATCH(ROUNDUP((O$1)/10,0)*10,[1]Hugst!$R$4:$W$4,0))))</f>
        <v>856.6214299308964</v>
      </c>
      <c r="P184" s="169">
        <f ca="1">IF($C184-P$1&lt;År1,0,O183*(1-VLOOKUP($A184,[1]Hugst!$R$5:$W$9,MATCH(ROUNDUP((P$1)/10,0)*10,[1]Hugst!$R$4:$W$4,0))))</f>
        <v>859.55589161912542</v>
      </c>
      <c r="Q184" s="169">
        <f ca="1">IF($C184-Q$1&lt;År1,0,P183*(1-VLOOKUP($A184,[1]Hugst!$R$5:$W$9,MATCH(ROUNDUP((Q$1)/10,0)*10,[1]Hugst!$R$4:$W$4,0))))</f>
        <v>862.50387988887144</v>
      </c>
      <c r="R184" s="169">
        <f ca="1">IF($C184-R$1&lt;År1,0,Q183*(1-VLOOKUP($A184,[1]Hugst!$R$5:$W$9,MATCH(ROUNDUP((R$1)/10,0)*10,[1]Hugst!$R$4:$W$4,0))))</f>
        <v>865.46424325579903</v>
      </c>
      <c r="S184" s="169">
        <f ca="1">IF($C184-S$1&lt;År1,0,R183*(1-VLOOKUP($A184,[1]Hugst!$R$5:$W$9,MATCH(ROUNDUP((S$1)/10,0)*10,[1]Hugst!$R$4:$W$4,0))))</f>
        <v>868.43460499205833</v>
      </c>
      <c r="T184" s="169">
        <f ca="1">IF($C184-T$1&lt;År1,0,S183*(1-VLOOKUP($A184,[1]Hugst!$R$5:$W$9,MATCH(ROUNDUP((T$1)/10,0)*10,[1]Hugst!$R$4:$W$4,0))))</f>
        <v>871.41013751226785</v>
      </c>
      <c r="U184" s="169">
        <f ca="1">IF($C184-U$1&lt;År1,0,T183*(1-VLOOKUP($A184,[1]Hugst!$R$5:$W$9,MATCH(ROUNDUP((U$1)/10,0)*10,[1]Hugst!$R$4:$W$4,0))))</f>
        <v>874.38111114330798</v>
      </c>
      <c r="V184" s="169">
        <f ca="1">IF($C184-V$1&lt;År1,0,U183*(1-VLOOKUP($A184,[1]Hugst!$R$5:$W$9,MATCH(ROUNDUP((V$1)/10,0)*10,[1]Hugst!$R$4:$W$4,0))))</f>
        <v>877.32799166229108</v>
      </c>
      <c r="W184" s="169">
        <f ca="1">IF($C184-W$1&lt;År1,0,V183*(1-VLOOKUP($A184,[1]Hugst!$R$5:$W$9,MATCH(ROUNDUP((W$1)/10,0)*10,[1]Hugst!$R$4:$W$4,0))))</f>
        <v>880.21163537052587</v>
      </c>
      <c r="X184" s="169">
        <f ca="1">IF($C184-X$1&lt;År1,0,W183*(1-VLOOKUP($A184,[1]Hugst!$R$5:$W$9,MATCH(ROUNDUP((X$1)/10,0)*10,[1]Hugst!$R$4:$W$4,0))))</f>
        <v>882.9536792395005</v>
      </c>
      <c r="Y184" s="169">
        <f ca="1">IF($C184-Y$1&lt;År1,0,X183*(1-VLOOKUP($A184,[1]Hugst!$R$5:$W$9,MATCH(ROUNDUP((Y$1)/10,0)*10,[1]Hugst!$R$4:$W$4,0))))</f>
        <v>885.39732120111364</v>
      </c>
      <c r="Z184" s="169">
        <f ca="1">IF($C184-Z$1&lt;År1,0,Y183*(1-VLOOKUP($A184,[1]Hugst!$R$5:$W$9,MATCH(ROUNDUP((Z$1)/10,0)*10,[1]Hugst!$R$4:$W$4,0))))</f>
        <v>887.2288807259614</v>
      </c>
      <c r="AA184" s="169">
        <f ca="1">IF($C184-AA$1&lt;År1,0,Z183*(1-VLOOKUP($A184,[1]Hugst!$R$5:$W$9,MATCH(ROUNDUP((AA$1)/10,0)*10,[1]Hugst!$R$4:$W$4,0))))</f>
        <v>887.82091997832697</v>
      </c>
      <c r="AB184" s="169">
        <f ca="1">IF($C184-AB$1&lt;År1,0,AA183*(1-VLOOKUP($A184,[1]Hugst!$R$5:$W$9,MATCH(ROUNDUP((AB$1)/10,0)*10,[1]Hugst!$R$4:$W$4,0))))</f>
        <v>885.91848612390811</v>
      </c>
      <c r="AC184" s="169">
        <f ca="1">IF($C184-AC$1&lt;År1,0,AB183*(1-VLOOKUP($A184,[1]Hugst!$R$5:$W$9,MATCH(ROUNDUP((AC$1)/10,0)*10,[1]Hugst!$R$4:$W$4,0))))</f>
        <v>879.01159594359649</v>
      </c>
      <c r="AD184" s="169">
        <f ca="1">IF($C184-AD$1&lt;År1,0,AC183*(1-VLOOKUP($A184,[1]Hugst!$R$5:$W$9,MATCH(ROUNDUP((AD$1)/10,0)*10,[1]Hugst!$R$4:$W$4,0))))</f>
        <v>862.08020505887032</v>
      </c>
      <c r="AE184" s="169">
        <f ca="1">IF($C184-AE$1&lt;År1,0,AD183*(1-VLOOKUP($A184,[1]Hugst!$R$5:$W$9,MATCH(ROUNDUP((AE$1)/10,0)*10,[1]Hugst!$R$4:$W$4,0))))</f>
        <v>825.08414638074498</v>
      </c>
      <c r="AF184" s="169">
        <f ca="1">IF($C184-AF$1&lt;År1,0,AE183*(1-VLOOKUP($A184,[1]Hugst!$R$5:$W$9,MATCH(ROUNDUP((AF$1)/10,0)*10,[1]Hugst!$R$4:$W$4,0))))</f>
        <v>747.9430070057391</v>
      </c>
      <c r="AG184" s="169">
        <f ca="1">IF($C184-AG$1&lt;År1,0,AF183*(1-VLOOKUP($A184,[1]Hugst!$R$5:$W$9,MATCH(ROUNDUP((AG$1)/10,0)*10,[1]Hugst!$R$4:$W$4,0))))</f>
        <v>590.49588200574033</v>
      </c>
      <c r="AH184" s="169">
        <f>IF($C184-AH$1&lt;År1,0,AG183*(1-VLOOKUP($A184,[1]Hugst!$R$5:$W$9,MATCH(ROUNDUP((AH$1)/10,0)*10,[1]Hugst!$R$4:$W$4,0))))</f>
        <v>0</v>
      </c>
      <c r="AI184" s="169">
        <f>IF($C184-AI$1&lt;År1,0,AH183*(1-VLOOKUP($A184,[1]Hugst!$R$5:$W$9,MATCH(ROUNDUP((AI$1)/10,0)*10,[1]Hugst!$R$4:$W$4,0))))</f>
        <v>0</v>
      </c>
      <c r="AJ184" s="169">
        <f>IF($C184-AJ$1&lt;År1,0,AI183*(1-VLOOKUP($A184,[1]Hugst!$R$5:$W$9,MATCH(ROUNDUP((AJ$1)/10,0)*10,[1]Hugst!$R$4:$W$4,0))))</f>
        <v>0</v>
      </c>
    </row>
    <row r="185" spans="1:36" x14ac:dyDescent="0.25">
      <c r="A185" s="169" t="s">
        <v>178</v>
      </c>
      <c r="B185" s="169" t="s">
        <v>24</v>
      </c>
      <c r="C185" s="169">
        <v>2048</v>
      </c>
      <c r="D185" s="169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555.64022385414683</v>
      </c>
      <c r="E185" s="169">
        <f t="shared" ca="1" si="3"/>
        <v>0</v>
      </c>
      <c r="F185" s="169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828.0611058598912</v>
      </c>
      <c r="G185" s="169">
        <f ca="1">IF($C185-G$1&lt;År1,0,F184*(1-VLOOKUP($A185,[1]Hugst!$R$5:$W$9,MATCH(ROUNDUP((G$1)/10,0)*10,[1]Hugst!$R$4:$W$4,0))))</f>
        <v>830.85326659792975</v>
      </c>
      <c r="H185" s="169">
        <f ca="1">IF($C185-H$1&lt;År1,0,G184*(1-VLOOKUP($A185,[1]Hugst!$R$5:$W$9,MATCH(ROUNDUP((H$1)/10,0)*10,[1]Hugst!$R$4:$W$4,0))))</f>
        <v>833.65945710359267</v>
      </c>
      <c r="I185" s="169">
        <f ca="1">IF($C185-I$1&lt;År1,0,H184*(1-VLOOKUP($A185,[1]Hugst!$R$5:$W$9,MATCH(ROUNDUP((I$1)/10,0)*10,[1]Hugst!$R$4:$W$4,0))))</f>
        <v>836.47974668730023</v>
      </c>
      <c r="J185" s="169">
        <f ca="1">IF($C185-J$1&lt;År1,0,I184*(1-VLOOKUP($A185,[1]Hugst!$R$5:$W$9,MATCH(ROUNDUP((J$1)/10,0)*10,[1]Hugst!$R$4:$W$4,0))))</f>
        <v>839.31420381698865</v>
      </c>
      <c r="K185" s="169">
        <f ca="1">IF($C185-K$1&lt;År1,0,J184*(1-VLOOKUP($A185,[1]Hugst!$R$5:$W$9,MATCH(ROUNDUP((K$1)/10,0)*10,[1]Hugst!$R$4:$W$4,0))))</f>
        <v>842.16289492282488</v>
      </c>
      <c r="L185" s="169">
        <f ca="1">IF($C185-L$1&lt;År1,0,K184*(1-VLOOKUP($A185,[1]Hugst!$R$5:$W$9,MATCH(ROUNDUP((L$1)/10,0)*10,[1]Hugst!$R$4:$W$4,0))))</f>
        <v>845.02588200533739</v>
      </c>
      <c r="M185" s="169">
        <f ca="1">IF($C185-M$1&lt;År1,0,L184*(1-VLOOKUP($A185,[1]Hugst!$R$5:$W$9,MATCH(ROUNDUP((M$1)/10,0)*10,[1]Hugst!$R$4:$W$4,0))))</f>
        <v>847.90321784955415</v>
      </c>
      <c r="N185" s="169">
        <f ca="1">IF($C185-N$1&lt;År1,0,M184*(1-VLOOKUP($A185,[1]Hugst!$R$5:$W$9,MATCH(ROUNDUP((N$1)/10,0)*10,[1]Hugst!$R$4:$W$4,0))))</f>
        <v>850.79493645180776</v>
      </c>
      <c r="O185" s="169">
        <f ca="1">IF($C185-O$1&lt;År1,0,N184*(1-VLOOKUP($A185,[1]Hugst!$R$5:$W$9,MATCH(ROUNDUP((O$1)/10,0)*10,[1]Hugst!$R$4:$W$4,0))))</f>
        <v>853.70103387118218</v>
      </c>
      <c r="P185" s="169">
        <f ca="1">IF($C185-P$1&lt;År1,0,O184*(1-VLOOKUP($A185,[1]Hugst!$R$5:$W$9,MATCH(ROUNDUP((P$1)/10,0)*10,[1]Hugst!$R$4:$W$4,0))))</f>
        <v>856.6214299308964</v>
      </c>
      <c r="Q185" s="169">
        <f ca="1">IF($C185-Q$1&lt;År1,0,P184*(1-VLOOKUP($A185,[1]Hugst!$R$5:$W$9,MATCH(ROUNDUP((Q$1)/10,0)*10,[1]Hugst!$R$4:$W$4,0))))</f>
        <v>859.55589161912542</v>
      </c>
      <c r="R185" s="169">
        <f ca="1">IF($C185-R$1&lt;År1,0,Q184*(1-VLOOKUP($A185,[1]Hugst!$R$5:$W$9,MATCH(ROUNDUP((R$1)/10,0)*10,[1]Hugst!$R$4:$W$4,0))))</f>
        <v>862.50387988887144</v>
      </c>
      <c r="S185" s="169">
        <f ca="1">IF($C185-S$1&lt;År1,0,R184*(1-VLOOKUP($A185,[1]Hugst!$R$5:$W$9,MATCH(ROUNDUP((S$1)/10,0)*10,[1]Hugst!$R$4:$W$4,0))))</f>
        <v>865.46424325579903</v>
      </c>
      <c r="T185" s="169">
        <f ca="1">IF($C185-T$1&lt;År1,0,S184*(1-VLOOKUP($A185,[1]Hugst!$R$5:$W$9,MATCH(ROUNDUP((T$1)/10,0)*10,[1]Hugst!$R$4:$W$4,0))))</f>
        <v>868.43460499205833</v>
      </c>
      <c r="U185" s="169">
        <f ca="1">IF($C185-U$1&lt;År1,0,T184*(1-VLOOKUP($A185,[1]Hugst!$R$5:$W$9,MATCH(ROUNDUP((U$1)/10,0)*10,[1]Hugst!$R$4:$W$4,0))))</f>
        <v>871.41013751226785</v>
      </c>
      <c r="V185" s="169">
        <f ca="1">IF($C185-V$1&lt;År1,0,U184*(1-VLOOKUP($A185,[1]Hugst!$R$5:$W$9,MATCH(ROUNDUP((V$1)/10,0)*10,[1]Hugst!$R$4:$W$4,0))))</f>
        <v>874.38111114330798</v>
      </c>
      <c r="W185" s="169">
        <f ca="1">IF($C185-W$1&lt;År1,0,V184*(1-VLOOKUP($A185,[1]Hugst!$R$5:$W$9,MATCH(ROUNDUP((W$1)/10,0)*10,[1]Hugst!$R$4:$W$4,0))))</f>
        <v>877.32799166229108</v>
      </c>
      <c r="X185" s="169">
        <f ca="1">IF($C185-X$1&lt;År1,0,W184*(1-VLOOKUP($A185,[1]Hugst!$R$5:$W$9,MATCH(ROUNDUP((X$1)/10,0)*10,[1]Hugst!$R$4:$W$4,0))))</f>
        <v>880.21163537052587</v>
      </c>
      <c r="Y185" s="169">
        <f ca="1">IF($C185-Y$1&lt;År1,0,X184*(1-VLOOKUP($A185,[1]Hugst!$R$5:$W$9,MATCH(ROUNDUP((Y$1)/10,0)*10,[1]Hugst!$R$4:$W$4,0))))</f>
        <v>882.9536792395005</v>
      </c>
      <c r="Z185" s="169">
        <f ca="1">IF($C185-Z$1&lt;År1,0,Y184*(1-VLOOKUP($A185,[1]Hugst!$R$5:$W$9,MATCH(ROUNDUP((Z$1)/10,0)*10,[1]Hugst!$R$4:$W$4,0))))</f>
        <v>885.39732120111364</v>
      </c>
      <c r="AA185" s="169">
        <f ca="1">IF($C185-AA$1&lt;År1,0,Z184*(1-VLOOKUP($A185,[1]Hugst!$R$5:$W$9,MATCH(ROUNDUP((AA$1)/10,0)*10,[1]Hugst!$R$4:$W$4,0))))</f>
        <v>887.2288807259614</v>
      </c>
      <c r="AB185" s="169">
        <f ca="1">IF($C185-AB$1&lt;År1,0,AA184*(1-VLOOKUP($A185,[1]Hugst!$R$5:$W$9,MATCH(ROUNDUP((AB$1)/10,0)*10,[1]Hugst!$R$4:$W$4,0))))</f>
        <v>887.82091997832697</v>
      </c>
      <c r="AC185" s="169">
        <f ca="1">IF($C185-AC$1&lt;År1,0,AB184*(1-VLOOKUP($A185,[1]Hugst!$R$5:$W$9,MATCH(ROUNDUP((AC$1)/10,0)*10,[1]Hugst!$R$4:$W$4,0))))</f>
        <v>885.91848612390811</v>
      </c>
      <c r="AD185" s="169">
        <f ca="1">IF($C185-AD$1&lt;År1,0,AC184*(1-VLOOKUP($A185,[1]Hugst!$R$5:$W$9,MATCH(ROUNDUP((AD$1)/10,0)*10,[1]Hugst!$R$4:$W$4,0))))</f>
        <v>879.01159594359649</v>
      </c>
      <c r="AE185" s="169">
        <f ca="1">IF($C185-AE$1&lt;År1,0,AD184*(1-VLOOKUP($A185,[1]Hugst!$R$5:$W$9,MATCH(ROUNDUP((AE$1)/10,0)*10,[1]Hugst!$R$4:$W$4,0))))</f>
        <v>862.08020505887032</v>
      </c>
      <c r="AF185" s="169">
        <f ca="1">IF($C185-AF$1&lt;År1,0,AE184*(1-VLOOKUP($A185,[1]Hugst!$R$5:$W$9,MATCH(ROUNDUP((AF$1)/10,0)*10,[1]Hugst!$R$4:$W$4,0))))</f>
        <v>825.08414638074498</v>
      </c>
      <c r="AG185" s="169">
        <f ca="1">IF($C185-AG$1&lt;År1,0,AF184*(1-VLOOKUP($A185,[1]Hugst!$R$5:$W$9,MATCH(ROUNDUP((AG$1)/10,0)*10,[1]Hugst!$R$4:$W$4,0))))</f>
        <v>747.9430070057391</v>
      </c>
      <c r="AH185" s="169">
        <f ca="1">IF($C185-AH$1&lt;År1,0,AG184*(1-VLOOKUP($A185,[1]Hugst!$R$5:$W$9,MATCH(ROUNDUP((AH$1)/10,0)*10,[1]Hugst!$R$4:$W$4,0))))</f>
        <v>590.49588200574033</v>
      </c>
      <c r="AI185" s="169">
        <f>IF($C185-AI$1&lt;År1,0,AH184*(1-VLOOKUP($A185,[1]Hugst!$R$5:$W$9,MATCH(ROUNDUP((AI$1)/10,0)*10,[1]Hugst!$R$4:$W$4,0))))</f>
        <v>0</v>
      </c>
      <c r="AJ185" s="169">
        <f>IF($C185-AJ$1&lt;År1,0,AI184*(1-VLOOKUP($A185,[1]Hugst!$R$5:$W$9,MATCH(ROUNDUP((AJ$1)/10,0)*10,[1]Hugst!$R$4:$W$4,0))))</f>
        <v>0</v>
      </c>
    </row>
    <row r="186" spans="1:36" x14ac:dyDescent="0.25">
      <c r="A186" s="169" t="s">
        <v>178</v>
      </c>
      <c r="B186" s="169" t="s">
        <v>24</v>
      </c>
      <c r="C186" s="169">
        <v>2049</v>
      </c>
      <c r="D186" s="169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552.86202332734683</v>
      </c>
      <c r="E186" s="169">
        <f t="shared" ca="1" si="3"/>
        <v>0</v>
      </c>
      <c r="F186" s="169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825.28290533309121</v>
      </c>
      <c r="G186" s="169">
        <f ca="1">IF($C186-G$1&lt;År1,0,F185*(1-VLOOKUP($A186,[1]Hugst!$R$5:$W$9,MATCH(ROUNDUP((G$1)/10,0)*10,[1]Hugst!$R$4:$W$4,0))))</f>
        <v>828.0611058598912</v>
      </c>
      <c r="H186" s="169">
        <f ca="1">IF($C186-H$1&lt;År1,0,G185*(1-VLOOKUP($A186,[1]Hugst!$R$5:$W$9,MATCH(ROUNDUP((H$1)/10,0)*10,[1]Hugst!$R$4:$W$4,0))))</f>
        <v>830.85326659792975</v>
      </c>
      <c r="I186" s="169">
        <f ca="1">IF($C186-I$1&lt;År1,0,H185*(1-VLOOKUP($A186,[1]Hugst!$R$5:$W$9,MATCH(ROUNDUP((I$1)/10,0)*10,[1]Hugst!$R$4:$W$4,0))))</f>
        <v>833.65945710359267</v>
      </c>
      <c r="J186" s="169">
        <f ca="1">IF($C186-J$1&lt;År1,0,I185*(1-VLOOKUP($A186,[1]Hugst!$R$5:$W$9,MATCH(ROUNDUP((J$1)/10,0)*10,[1]Hugst!$R$4:$W$4,0))))</f>
        <v>836.47974668730023</v>
      </c>
      <c r="K186" s="169">
        <f ca="1">IF($C186-K$1&lt;År1,0,J185*(1-VLOOKUP($A186,[1]Hugst!$R$5:$W$9,MATCH(ROUNDUP((K$1)/10,0)*10,[1]Hugst!$R$4:$W$4,0))))</f>
        <v>839.31420381698865</v>
      </c>
      <c r="L186" s="169">
        <f ca="1">IF($C186-L$1&lt;År1,0,K185*(1-VLOOKUP($A186,[1]Hugst!$R$5:$W$9,MATCH(ROUNDUP((L$1)/10,0)*10,[1]Hugst!$R$4:$W$4,0))))</f>
        <v>842.16289492282488</v>
      </c>
      <c r="M186" s="169">
        <f ca="1">IF($C186-M$1&lt;År1,0,L185*(1-VLOOKUP($A186,[1]Hugst!$R$5:$W$9,MATCH(ROUNDUP((M$1)/10,0)*10,[1]Hugst!$R$4:$W$4,0))))</f>
        <v>845.02588200533739</v>
      </c>
      <c r="N186" s="169">
        <f ca="1">IF($C186-N$1&lt;År1,0,M185*(1-VLOOKUP($A186,[1]Hugst!$R$5:$W$9,MATCH(ROUNDUP((N$1)/10,0)*10,[1]Hugst!$R$4:$W$4,0))))</f>
        <v>847.90321784955415</v>
      </c>
      <c r="O186" s="169">
        <f ca="1">IF($C186-O$1&lt;År1,0,N185*(1-VLOOKUP($A186,[1]Hugst!$R$5:$W$9,MATCH(ROUNDUP((O$1)/10,0)*10,[1]Hugst!$R$4:$W$4,0))))</f>
        <v>850.79493645180776</v>
      </c>
      <c r="P186" s="169">
        <f ca="1">IF($C186-P$1&lt;År1,0,O185*(1-VLOOKUP($A186,[1]Hugst!$R$5:$W$9,MATCH(ROUNDUP((P$1)/10,0)*10,[1]Hugst!$R$4:$W$4,0))))</f>
        <v>853.70103387118218</v>
      </c>
      <c r="Q186" s="169">
        <f ca="1">IF($C186-Q$1&lt;År1,0,P185*(1-VLOOKUP($A186,[1]Hugst!$R$5:$W$9,MATCH(ROUNDUP((Q$1)/10,0)*10,[1]Hugst!$R$4:$W$4,0))))</f>
        <v>856.6214299308964</v>
      </c>
      <c r="R186" s="169">
        <f ca="1">IF($C186-R$1&lt;År1,0,Q185*(1-VLOOKUP($A186,[1]Hugst!$R$5:$W$9,MATCH(ROUNDUP((R$1)/10,0)*10,[1]Hugst!$R$4:$W$4,0))))</f>
        <v>859.55589161912542</v>
      </c>
      <c r="S186" s="169">
        <f ca="1">IF($C186-S$1&lt;År1,0,R185*(1-VLOOKUP($A186,[1]Hugst!$R$5:$W$9,MATCH(ROUNDUP((S$1)/10,0)*10,[1]Hugst!$R$4:$W$4,0))))</f>
        <v>862.50387988887144</v>
      </c>
      <c r="T186" s="169">
        <f ca="1">IF($C186-T$1&lt;År1,0,S185*(1-VLOOKUP($A186,[1]Hugst!$R$5:$W$9,MATCH(ROUNDUP((T$1)/10,0)*10,[1]Hugst!$R$4:$W$4,0))))</f>
        <v>865.46424325579903</v>
      </c>
      <c r="U186" s="169">
        <f ca="1">IF($C186-U$1&lt;År1,0,T185*(1-VLOOKUP($A186,[1]Hugst!$R$5:$W$9,MATCH(ROUNDUP((U$1)/10,0)*10,[1]Hugst!$R$4:$W$4,0))))</f>
        <v>868.43460499205833</v>
      </c>
      <c r="V186" s="169">
        <f ca="1">IF($C186-V$1&lt;År1,0,U185*(1-VLOOKUP($A186,[1]Hugst!$R$5:$W$9,MATCH(ROUNDUP((V$1)/10,0)*10,[1]Hugst!$R$4:$W$4,0))))</f>
        <v>871.41013751226785</v>
      </c>
      <c r="W186" s="169">
        <f ca="1">IF($C186-W$1&lt;År1,0,V185*(1-VLOOKUP($A186,[1]Hugst!$R$5:$W$9,MATCH(ROUNDUP((W$1)/10,0)*10,[1]Hugst!$R$4:$W$4,0))))</f>
        <v>874.38111114330798</v>
      </c>
      <c r="X186" s="169">
        <f ca="1">IF($C186-X$1&lt;År1,0,W185*(1-VLOOKUP($A186,[1]Hugst!$R$5:$W$9,MATCH(ROUNDUP((X$1)/10,0)*10,[1]Hugst!$R$4:$W$4,0))))</f>
        <v>877.32799166229108</v>
      </c>
      <c r="Y186" s="169">
        <f ca="1">IF($C186-Y$1&lt;År1,0,X185*(1-VLOOKUP($A186,[1]Hugst!$R$5:$W$9,MATCH(ROUNDUP((Y$1)/10,0)*10,[1]Hugst!$R$4:$W$4,0))))</f>
        <v>880.21163537052587</v>
      </c>
      <c r="Z186" s="169">
        <f ca="1">IF($C186-Z$1&lt;År1,0,Y185*(1-VLOOKUP($A186,[1]Hugst!$R$5:$W$9,MATCH(ROUNDUP((Z$1)/10,0)*10,[1]Hugst!$R$4:$W$4,0))))</f>
        <v>882.9536792395005</v>
      </c>
      <c r="AA186" s="169">
        <f ca="1">IF($C186-AA$1&lt;År1,0,Z185*(1-VLOOKUP($A186,[1]Hugst!$R$5:$W$9,MATCH(ROUNDUP((AA$1)/10,0)*10,[1]Hugst!$R$4:$W$4,0))))</f>
        <v>885.39732120111364</v>
      </c>
      <c r="AB186" s="169">
        <f ca="1">IF($C186-AB$1&lt;År1,0,AA185*(1-VLOOKUP($A186,[1]Hugst!$R$5:$W$9,MATCH(ROUNDUP((AB$1)/10,0)*10,[1]Hugst!$R$4:$W$4,0))))</f>
        <v>887.2288807259614</v>
      </c>
      <c r="AC186" s="169">
        <f ca="1">IF($C186-AC$1&lt;År1,0,AB185*(1-VLOOKUP($A186,[1]Hugst!$R$5:$W$9,MATCH(ROUNDUP((AC$1)/10,0)*10,[1]Hugst!$R$4:$W$4,0))))</f>
        <v>887.82091997832697</v>
      </c>
      <c r="AD186" s="169">
        <f ca="1">IF($C186-AD$1&lt;År1,0,AC185*(1-VLOOKUP($A186,[1]Hugst!$R$5:$W$9,MATCH(ROUNDUP((AD$1)/10,0)*10,[1]Hugst!$R$4:$W$4,0))))</f>
        <v>885.91848612390811</v>
      </c>
      <c r="AE186" s="169">
        <f ca="1">IF($C186-AE$1&lt;År1,0,AD185*(1-VLOOKUP($A186,[1]Hugst!$R$5:$W$9,MATCH(ROUNDUP((AE$1)/10,0)*10,[1]Hugst!$R$4:$W$4,0))))</f>
        <v>879.01159594359649</v>
      </c>
      <c r="AF186" s="169">
        <f ca="1">IF($C186-AF$1&lt;År1,0,AE185*(1-VLOOKUP($A186,[1]Hugst!$R$5:$W$9,MATCH(ROUNDUP((AF$1)/10,0)*10,[1]Hugst!$R$4:$W$4,0))))</f>
        <v>862.08020505887032</v>
      </c>
      <c r="AG186" s="169">
        <f ca="1">IF($C186-AG$1&lt;År1,0,AF185*(1-VLOOKUP($A186,[1]Hugst!$R$5:$W$9,MATCH(ROUNDUP((AG$1)/10,0)*10,[1]Hugst!$R$4:$W$4,0))))</f>
        <v>825.08414638074498</v>
      </c>
      <c r="AH186" s="169">
        <f ca="1">IF($C186-AH$1&lt;År1,0,AG185*(1-VLOOKUP($A186,[1]Hugst!$R$5:$W$9,MATCH(ROUNDUP((AH$1)/10,0)*10,[1]Hugst!$R$4:$W$4,0))))</f>
        <v>747.9430070057391</v>
      </c>
      <c r="AI186" s="169">
        <f ca="1">IF($C186-AI$1&lt;År1,0,AH185*(1-VLOOKUP($A186,[1]Hugst!$R$5:$W$9,MATCH(ROUNDUP((AI$1)/10,0)*10,[1]Hugst!$R$4:$W$4,0))))</f>
        <v>590.49588200574033</v>
      </c>
      <c r="AJ186" s="169">
        <f>IF($C186-AJ$1&lt;År1,0,AI185*(1-VLOOKUP($A186,[1]Hugst!$R$5:$W$9,MATCH(ROUNDUP((AJ$1)/10,0)*10,[1]Hugst!$R$4:$W$4,0))))</f>
        <v>0</v>
      </c>
    </row>
    <row r="187" spans="1:36" x14ac:dyDescent="0.25">
      <c r="A187" s="169" t="s">
        <v>178</v>
      </c>
      <c r="B187" s="169" t="s">
        <v>24</v>
      </c>
      <c r="C187" s="169">
        <v>2050</v>
      </c>
      <c r="D187" s="169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550.09771350694427</v>
      </c>
      <c r="E187" s="169">
        <f t="shared" ca="1" si="3"/>
        <v>1.0736288763728226</v>
      </c>
      <c r="F187" s="169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823.59222438906147</v>
      </c>
      <c r="G187" s="169">
        <f ca="1">IF($C187-G$1&lt;År1,0,F186*(1-VLOOKUP($A187,[1]Hugst!$R$5:$W$9,MATCH(ROUNDUP((G$1)/10,0)*10,[1]Hugst!$R$4:$W$4,0))))</f>
        <v>825.28290533309121</v>
      </c>
      <c r="H187" s="169">
        <f ca="1">IF($C187-H$1&lt;År1,0,G186*(1-VLOOKUP($A187,[1]Hugst!$R$5:$W$9,MATCH(ROUNDUP((H$1)/10,0)*10,[1]Hugst!$R$4:$W$4,0))))</f>
        <v>828.0611058598912</v>
      </c>
      <c r="I187" s="169">
        <f ca="1">IF($C187-I$1&lt;År1,0,H186*(1-VLOOKUP($A187,[1]Hugst!$R$5:$W$9,MATCH(ROUNDUP((I$1)/10,0)*10,[1]Hugst!$R$4:$W$4,0))))</f>
        <v>830.85326659792975</v>
      </c>
      <c r="J187" s="169">
        <f ca="1">IF($C187-J$1&lt;År1,0,I186*(1-VLOOKUP($A187,[1]Hugst!$R$5:$W$9,MATCH(ROUNDUP((J$1)/10,0)*10,[1]Hugst!$R$4:$W$4,0))))</f>
        <v>833.65945710359267</v>
      </c>
      <c r="K187" s="169">
        <f ca="1">IF($C187-K$1&lt;År1,0,J186*(1-VLOOKUP($A187,[1]Hugst!$R$5:$W$9,MATCH(ROUNDUP((K$1)/10,0)*10,[1]Hugst!$R$4:$W$4,0))))</f>
        <v>836.47974668730023</v>
      </c>
      <c r="L187" s="169">
        <f ca="1">IF($C187-L$1&lt;År1,0,K186*(1-VLOOKUP($A187,[1]Hugst!$R$5:$W$9,MATCH(ROUNDUP((L$1)/10,0)*10,[1]Hugst!$R$4:$W$4,0))))</f>
        <v>839.31420381698865</v>
      </c>
      <c r="M187" s="169">
        <f ca="1">IF($C187-M$1&lt;År1,0,L186*(1-VLOOKUP($A187,[1]Hugst!$R$5:$W$9,MATCH(ROUNDUP((M$1)/10,0)*10,[1]Hugst!$R$4:$W$4,0))))</f>
        <v>842.16289492282488</v>
      </c>
      <c r="N187" s="169">
        <f ca="1">IF($C187-N$1&lt;År1,0,M186*(1-VLOOKUP($A187,[1]Hugst!$R$5:$W$9,MATCH(ROUNDUP((N$1)/10,0)*10,[1]Hugst!$R$4:$W$4,0))))</f>
        <v>845.02588200533739</v>
      </c>
      <c r="O187" s="169">
        <f ca="1">IF($C187-O$1&lt;År1,0,N186*(1-VLOOKUP($A187,[1]Hugst!$R$5:$W$9,MATCH(ROUNDUP((O$1)/10,0)*10,[1]Hugst!$R$4:$W$4,0))))</f>
        <v>847.90321784955415</v>
      </c>
      <c r="P187" s="169">
        <f ca="1">IF($C187-P$1&lt;År1,0,O186*(1-VLOOKUP($A187,[1]Hugst!$R$5:$W$9,MATCH(ROUNDUP((P$1)/10,0)*10,[1]Hugst!$R$4:$W$4,0))))</f>
        <v>850.79493645180776</v>
      </c>
      <c r="Q187" s="169">
        <f ca="1">IF($C187-Q$1&lt;År1,0,P186*(1-VLOOKUP($A187,[1]Hugst!$R$5:$W$9,MATCH(ROUNDUP((Q$1)/10,0)*10,[1]Hugst!$R$4:$W$4,0))))</f>
        <v>853.70103387118218</v>
      </c>
      <c r="R187" s="169">
        <f ca="1">IF($C187-R$1&lt;År1,0,Q186*(1-VLOOKUP($A187,[1]Hugst!$R$5:$W$9,MATCH(ROUNDUP((R$1)/10,0)*10,[1]Hugst!$R$4:$W$4,0))))</f>
        <v>856.6214299308964</v>
      </c>
      <c r="S187" s="169">
        <f ca="1">IF($C187-S$1&lt;År1,0,R186*(1-VLOOKUP($A187,[1]Hugst!$R$5:$W$9,MATCH(ROUNDUP((S$1)/10,0)*10,[1]Hugst!$R$4:$W$4,0))))</f>
        <v>859.55589161912542</v>
      </c>
      <c r="T187" s="169">
        <f ca="1">IF($C187-T$1&lt;År1,0,S186*(1-VLOOKUP($A187,[1]Hugst!$R$5:$W$9,MATCH(ROUNDUP((T$1)/10,0)*10,[1]Hugst!$R$4:$W$4,0))))</f>
        <v>862.50387988887144</v>
      </c>
      <c r="U187" s="169">
        <f ca="1">IF($C187-U$1&lt;År1,0,T186*(1-VLOOKUP($A187,[1]Hugst!$R$5:$W$9,MATCH(ROUNDUP((U$1)/10,0)*10,[1]Hugst!$R$4:$W$4,0))))</f>
        <v>865.46424325579903</v>
      </c>
      <c r="V187" s="169">
        <f ca="1">IF($C187-V$1&lt;År1,0,U186*(1-VLOOKUP($A187,[1]Hugst!$R$5:$W$9,MATCH(ROUNDUP((V$1)/10,0)*10,[1]Hugst!$R$4:$W$4,0))))</f>
        <v>868.43460499205833</v>
      </c>
      <c r="W187" s="169">
        <f ca="1">IF($C187-W$1&lt;År1,0,V186*(1-VLOOKUP($A187,[1]Hugst!$R$5:$W$9,MATCH(ROUNDUP((W$1)/10,0)*10,[1]Hugst!$R$4:$W$4,0))))</f>
        <v>871.41013751226785</v>
      </c>
      <c r="X187" s="169">
        <f ca="1">IF($C187-X$1&lt;År1,0,W186*(1-VLOOKUP($A187,[1]Hugst!$R$5:$W$9,MATCH(ROUNDUP((X$1)/10,0)*10,[1]Hugst!$R$4:$W$4,0))))</f>
        <v>874.38111114330798</v>
      </c>
      <c r="Y187" s="169">
        <f ca="1">IF($C187-Y$1&lt;År1,0,X186*(1-VLOOKUP($A187,[1]Hugst!$R$5:$W$9,MATCH(ROUNDUP((Y$1)/10,0)*10,[1]Hugst!$R$4:$W$4,0))))</f>
        <v>877.32799166229108</v>
      </c>
      <c r="Z187" s="169">
        <f ca="1">IF($C187-Z$1&lt;År1,0,Y186*(1-VLOOKUP($A187,[1]Hugst!$R$5:$W$9,MATCH(ROUNDUP((Z$1)/10,0)*10,[1]Hugst!$R$4:$W$4,0))))</f>
        <v>880.21163537052587</v>
      </c>
      <c r="AA187" s="169">
        <f ca="1">IF($C187-AA$1&lt;År1,0,Z186*(1-VLOOKUP($A187,[1]Hugst!$R$5:$W$9,MATCH(ROUNDUP((AA$1)/10,0)*10,[1]Hugst!$R$4:$W$4,0))))</f>
        <v>882.9536792395005</v>
      </c>
      <c r="AB187" s="169">
        <f ca="1">IF($C187-AB$1&lt;År1,0,AA186*(1-VLOOKUP($A187,[1]Hugst!$R$5:$W$9,MATCH(ROUNDUP((AB$1)/10,0)*10,[1]Hugst!$R$4:$W$4,0))))</f>
        <v>885.39732120111364</v>
      </c>
      <c r="AC187" s="169">
        <f ca="1">IF($C187-AC$1&lt;År1,0,AB186*(1-VLOOKUP($A187,[1]Hugst!$R$5:$W$9,MATCH(ROUNDUP((AC$1)/10,0)*10,[1]Hugst!$R$4:$W$4,0))))</f>
        <v>887.2288807259614</v>
      </c>
      <c r="AD187" s="169">
        <f ca="1">IF($C187-AD$1&lt;År1,0,AC186*(1-VLOOKUP($A187,[1]Hugst!$R$5:$W$9,MATCH(ROUNDUP((AD$1)/10,0)*10,[1]Hugst!$R$4:$W$4,0))))</f>
        <v>887.82091997832697</v>
      </c>
      <c r="AE187" s="169">
        <f ca="1">IF($C187-AE$1&lt;År1,0,AD186*(1-VLOOKUP($A187,[1]Hugst!$R$5:$W$9,MATCH(ROUNDUP((AE$1)/10,0)*10,[1]Hugst!$R$4:$W$4,0))))</f>
        <v>885.91848612390811</v>
      </c>
      <c r="AF187" s="169">
        <f ca="1">IF($C187-AF$1&lt;År1,0,AE186*(1-VLOOKUP($A187,[1]Hugst!$R$5:$W$9,MATCH(ROUNDUP((AF$1)/10,0)*10,[1]Hugst!$R$4:$W$4,0))))</f>
        <v>879.01159594359649</v>
      </c>
      <c r="AG187" s="169">
        <f ca="1">IF($C187-AG$1&lt;År1,0,AF186*(1-VLOOKUP($A187,[1]Hugst!$R$5:$W$9,MATCH(ROUNDUP((AG$1)/10,0)*10,[1]Hugst!$R$4:$W$4,0))))</f>
        <v>862.08020505887032</v>
      </c>
      <c r="AH187" s="169">
        <f ca="1">IF($C187-AH$1&lt;År1,0,AG186*(1-VLOOKUP($A187,[1]Hugst!$R$5:$W$9,MATCH(ROUNDUP((AH$1)/10,0)*10,[1]Hugst!$R$4:$W$4,0))))</f>
        <v>825.08414638074498</v>
      </c>
      <c r="AI187" s="169">
        <f ca="1">IF($C187-AI$1&lt;År1,0,AH186*(1-VLOOKUP($A187,[1]Hugst!$R$5:$W$9,MATCH(ROUNDUP((AI$1)/10,0)*10,[1]Hugst!$R$4:$W$4,0))))</f>
        <v>747.9430070057391</v>
      </c>
      <c r="AJ187" s="169">
        <f ca="1">IF($C187-AJ$1&lt;År1,0,AI186*(1-VLOOKUP($A187,[1]Hugst!$R$5:$W$9,MATCH(ROUNDUP((AJ$1)/10,0)*10,[1]Hugst!$R$4:$W$4,0))))</f>
        <v>589.42225312936625</v>
      </c>
    </row>
    <row r="188" spans="1:36" x14ac:dyDescent="0.25">
      <c r="A188" s="169" t="s">
        <v>179</v>
      </c>
      <c r="B188" s="169" t="s">
        <v>23</v>
      </c>
      <c r="C188" s="169">
        <v>2020</v>
      </c>
      <c r="D188" s="169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69">
        <f>IF(C188=2020,SUM(G188:AJ188),SUM(F187:AJ187)-SUM(G188:AJ188))</f>
        <v>0</v>
      </c>
      <c r="F188" s="169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9">
        <f>IF($C188-G$1&lt;År1,0,F187*(1-VLOOKUP($A188,[1]Hugst!$R$5:$W$9,MATCH(ROUNDUP((G$1)/10,0)*10,[1]Hugst!$R$4:$W$4,0))))</f>
        <v>0</v>
      </c>
      <c r="H188" s="169">
        <f>IF($C188-H$1&lt;År1,0,G187*(1-VLOOKUP($A188,[1]Hugst!$R$5:$W$9,MATCH(ROUNDUP((H$1)/10,0)*10,[1]Hugst!$R$4:$W$4,0))))</f>
        <v>0</v>
      </c>
      <c r="I188" s="169">
        <f>IF($C188-I$1&lt;År1,0,H187*(1-VLOOKUP($A188,[1]Hugst!$R$5:$W$9,MATCH(ROUNDUP((I$1)/10,0)*10,[1]Hugst!$R$4:$W$4,0))))</f>
        <v>0</v>
      </c>
      <c r="J188" s="169">
        <f>IF($C188-J$1&lt;År1,0,I187*(1-VLOOKUP($A188,[1]Hugst!$R$5:$W$9,MATCH(ROUNDUP((J$1)/10,0)*10,[1]Hugst!$R$4:$W$4,0))))</f>
        <v>0</v>
      </c>
      <c r="K188" s="169">
        <f>IF($C188-K$1&lt;År1,0,J187*(1-VLOOKUP($A188,[1]Hugst!$R$5:$W$9,MATCH(ROUNDUP((K$1)/10,0)*10,[1]Hugst!$R$4:$W$4,0))))</f>
        <v>0</v>
      </c>
      <c r="L188" s="169">
        <f>IF($C188-L$1&lt;År1,0,K187*(1-VLOOKUP($A188,[1]Hugst!$R$5:$W$9,MATCH(ROUNDUP((L$1)/10,0)*10,[1]Hugst!$R$4:$W$4,0))))</f>
        <v>0</v>
      </c>
      <c r="M188" s="169">
        <f>IF($C188-M$1&lt;År1,0,L187*(1-VLOOKUP($A188,[1]Hugst!$R$5:$W$9,MATCH(ROUNDUP((M$1)/10,0)*10,[1]Hugst!$R$4:$W$4,0))))</f>
        <v>0</v>
      </c>
      <c r="N188" s="169">
        <f>IF($C188-N$1&lt;År1,0,M187*(1-VLOOKUP($A188,[1]Hugst!$R$5:$W$9,MATCH(ROUNDUP((N$1)/10,0)*10,[1]Hugst!$R$4:$W$4,0))))</f>
        <v>0</v>
      </c>
      <c r="O188" s="169">
        <f>IF($C188-O$1&lt;År1,0,N187*(1-VLOOKUP($A188,[1]Hugst!$R$5:$W$9,MATCH(ROUNDUP((O$1)/10,0)*10,[1]Hugst!$R$4:$W$4,0))))</f>
        <v>0</v>
      </c>
      <c r="P188" s="169">
        <f>IF($C188-P$1&lt;År1,0,O187*(1-VLOOKUP($A188,[1]Hugst!$R$5:$W$9,MATCH(ROUNDUP((P$1)/10,0)*10,[1]Hugst!$R$4:$W$4,0))))</f>
        <v>0</v>
      </c>
      <c r="Q188" s="169">
        <f>IF($C188-Q$1&lt;År1,0,P187*(1-VLOOKUP($A188,[1]Hugst!$R$5:$W$9,MATCH(ROUNDUP((Q$1)/10,0)*10,[1]Hugst!$R$4:$W$4,0))))</f>
        <v>0</v>
      </c>
      <c r="R188" s="169">
        <f>IF($C188-R$1&lt;År1,0,Q187*(1-VLOOKUP($A188,[1]Hugst!$R$5:$W$9,MATCH(ROUNDUP((R$1)/10,0)*10,[1]Hugst!$R$4:$W$4,0))))</f>
        <v>0</v>
      </c>
      <c r="S188" s="169">
        <f>IF($C188-S$1&lt;År1,0,R187*(1-VLOOKUP($A188,[1]Hugst!$R$5:$W$9,MATCH(ROUNDUP((S$1)/10,0)*10,[1]Hugst!$R$4:$W$4,0))))</f>
        <v>0</v>
      </c>
      <c r="T188" s="169">
        <f>IF($C188-T$1&lt;År1,0,S187*(1-VLOOKUP($A188,[1]Hugst!$R$5:$W$9,MATCH(ROUNDUP((T$1)/10,0)*10,[1]Hugst!$R$4:$W$4,0))))</f>
        <v>0</v>
      </c>
      <c r="U188" s="169">
        <f>IF($C188-U$1&lt;År1,0,T187*(1-VLOOKUP($A188,[1]Hugst!$R$5:$W$9,MATCH(ROUNDUP((U$1)/10,0)*10,[1]Hugst!$R$4:$W$4,0))))</f>
        <v>0</v>
      </c>
      <c r="V188" s="169">
        <f>IF($C188-V$1&lt;År1,0,U187*(1-VLOOKUP($A188,[1]Hugst!$R$5:$W$9,MATCH(ROUNDUP((V$1)/10,0)*10,[1]Hugst!$R$4:$W$4,0))))</f>
        <v>0</v>
      </c>
      <c r="W188" s="169">
        <f>IF($C188-W$1&lt;År1,0,V187*(1-VLOOKUP($A188,[1]Hugst!$R$5:$W$9,MATCH(ROUNDUP((W$1)/10,0)*10,[1]Hugst!$R$4:$W$4,0))))</f>
        <v>0</v>
      </c>
      <c r="X188" s="169">
        <f>IF($C188-X$1&lt;År1,0,W187*(1-VLOOKUP($A188,[1]Hugst!$R$5:$W$9,MATCH(ROUNDUP((X$1)/10,0)*10,[1]Hugst!$R$4:$W$4,0))))</f>
        <v>0</v>
      </c>
      <c r="Y188" s="169">
        <f>IF($C188-Y$1&lt;År1,0,X187*(1-VLOOKUP($A188,[1]Hugst!$R$5:$W$9,MATCH(ROUNDUP((Y$1)/10,0)*10,[1]Hugst!$R$4:$W$4,0))))</f>
        <v>0</v>
      </c>
      <c r="Z188" s="169">
        <f>IF($C188-Z$1&lt;År1,0,Y187*(1-VLOOKUP($A188,[1]Hugst!$R$5:$W$9,MATCH(ROUNDUP((Z$1)/10,0)*10,[1]Hugst!$R$4:$W$4,0))))</f>
        <v>0</v>
      </c>
      <c r="AA188" s="169">
        <f>IF($C188-AA$1&lt;År1,0,Z187*(1-VLOOKUP($A188,[1]Hugst!$R$5:$W$9,MATCH(ROUNDUP((AA$1)/10,0)*10,[1]Hugst!$R$4:$W$4,0))))</f>
        <v>0</v>
      </c>
      <c r="AB188" s="169">
        <f>IF($C188-AB$1&lt;År1,0,AA187*(1-VLOOKUP($A188,[1]Hugst!$R$5:$W$9,MATCH(ROUNDUP((AB$1)/10,0)*10,[1]Hugst!$R$4:$W$4,0))))</f>
        <v>0</v>
      </c>
      <c r="AC188" s="169">
        <f>IF($C188-AC$1&lt;År1,0,AB187*(1-VLOOKUP($A188,[1]Hugst!$R$5:$W$9,MATCH(ROUNDUP((AC$1)/10,0)*10,[1]Hugst!$R$4:$W$4,0))))</f>
        <v>0</v>
      </c>
      <c r="AD188" s="169">
        <f>IF($C188-AD$1&lt;År1,0,AC187*(1-VLOOKUP($A188,[1]Hugst!$R$5:$W$9,MATCH(ROUNDUP((AD$1)/10,0)*10,[1]Hugst!$R$4:$W$4,0))))</f>
        <v>0</v>
      </c>
      <c r="AE188" s="169">
        <f>IF($C188-AE$1&lt;År1,0,AD187*(1-VLOOKUP($A188,[1]Hugst!$R$5:$W$9,MATCH(ROUNDUP((AE$1)/10,0)*10,[1]Hugst!$R$4:$W$4,0))))</f>
        <v>0</v>
      </c>
      <c r="AF188" s="169">
        <f>IF($C188-AF$1&lt;År1,0,AE187*(1-VLOOKUP($A188,[1]Hugst!$R$5:$W$9,MATCH(ROUNDUP((AF$1)/10,0)*10,[1]Hugst!$R$4:$W$4,0))))</f>
        <v>0</v>
      </c>
      <c r="AG188" s="169">
        <f>IF($C188-AG$1&lt;År1,0,AF187*(1-VLOOKUP($A188,[1]Hugst!$R$5:$W$9,MATCH(ROUNDUP((AG$1)/10,0)*10,[1]Hugst!$R$4:$W$4,0))))</f>
        <v>0</v>
      </c>
      <c r="AH188" s="169">
        <f>IF($C188-AH$1&lt;År1,0,AG187*(1-VLOOKUP($A188,[1]Hugst!$R$5:$W$9,MATCH(ROUNDUP((AH$1)/10,0)*10,[1]Hugst!$R$4:$W$4,0))))</f>
        <v>0</v>
      </c>
      <c r="AI188" s="169">
        <f>IF($C188-AI$1&lt;År1,0,AH187*(1-VLOOKUP($A188,[1]Hugst!$R$5:$W$9,MATCH(ROUNDUP((AI$1)/10,0)*10,[1]Hugst!$R$4:$W$4,0))))</f>
        <v>0</v>
      </c>
      <c r="AJ188" s="169">
        <f>IF($C188-AJ$1&lt;År1,0,AI187*(1-VLOOKUP($A188,[1]Hugst!$R$5:$W$9,MATCH(ROUNDUP((AJ$1)/10,0)*10,[1]Hugst!$R$4:$W$4,0))))</f>
        <v>0</v>
      </c>
    </row>
    <row r="189" spans="1:36" x14ac:dyDescent="0.25">
      <c r="A189" s="169" t="s">
        <v>179</v>
      </c>
      <c r="B189" s="169" t="s">
        <v>23</v>
      </c>
      <c r="C189" s="169">
        <v>2021</v>
      </c>
      <c r="D189" s="169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69">
        <f t="shared" ref="E189:E218" ca="1" si="4">IF(C189=2020,SUM(G189:AJ189),SUM(F188:AJ188)-SUM(G189:AJ189))</f>
        <v>0</v>
      </c>
      <c r="F189" s="169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9">
        <f ca="1">IF($C189-G$1&lt;År1,0,F188*(1-VLOOKUP($A189,[1]Hugst!$R$5:$W$9,MATCH(ROUNDUP((G$1)/10,0)*10,[1]Hugst!$R$4:$W$4,0))))</f>
        <v>0</v>
      </c>
      <c r="H189" s="169">
        <f>IF($C189-H$1&lt;År1,0,G188*(1-VLOOKUP($A189,[1]Hugst!$R$5:$W$9,MATCH(ROUNDUP((H$1)/10,0)*10,[1]Hugst!$R$4:$W$4,0))))</f>
        <v>0</v>
      </c>
      <c r="I189" s="169">
        <f>IF($C189-I$1&lt;År1,0,H188*(1-VLOOKUP($A189,[1]Hugst!$R$5:$W$9,MATCH(ROUNDUP((I$1)/10,0)*10,[1]Hugst!$R$4:$W$4,0))))</f>
        <v>0</v>
      </c>
      <c r="J189" s="169">
        <f>IF($C189-J$1&lt;År1,0,I188*(1-VLOOKUP($A189,[1]Hugst!$R$5:$W$9,MATCH(ROUNDUP((J$1)/10,0)*10,[1]Hugst!$R$4:$W$4,0))))</f>
        <v>0</v>
      </c>
      <c r="K189" s="169">
        <f>IF($C189-K$1&lt;År1,0,J188*(1-VLOOKUP($A189,[1]Hugst!$R$5:$W$9,MATCH(ROUNDUP((K$1)/10,0)*10,[1]Hugst!$R$4:$W$4,0))))</f>
        <v>0</v>
      </c>
      <c r="L189" s="169">
        <f>IF($C189-L$1&lt;År1,0,K188*(1-VLOOKUP($A189,[1]Hugst!$R$5:$W$9,MATCH(ROUNDUP((L$1)/10,0)*10,[1]Hugst!$R$4:$W$4,0))))</f>
        <v>0</v>
      </c>
      <c r="M189" s="169">
        <f>IF($C189-M$1&lt;År1,0,L188*(1-VLOOKUP($A189,[1]Hugst!$R$5:$W$9,MATCH(ROUNDUP((M$1)/10,0)*10,[1]Hugst!$R$4:$W$4,0))))</f>
        <v>0</v>
      </c>
      <c r="N189" s="169">
        <f>IF($C189-N$1&lt;År1,0,M188*(1-VLOOKUP($A189,[1]Hugst!$R$5:$W$9,MATCH(ROUNDUP((N$1)/10,0)*10,[1]Hugst!$R$4:$W$4,0))))</f>
        <v>0</v>
      </c>
      <c r="O189" s="169">
        <f>IF($C189-O$1&lt;År1,0,N188*(1-VLOOKUP($A189,[1]Hugst!$R$5:$W$9,MATCH(ROUNDUP((O$1)/10,0)*10,[1]Hugst!$R$4:$W$4,0))))</f>
        <v>0</v>
      </c>
      <c r="P189" s="169">
        <f>IF($C189-P$1&lt;År1,0,O188*(1-VLOOKUP($A189,[1]Hugst!$R$5:$W$9,MATCH(ROUNDUP((P$1)/10,0)*10,[1]Hugst!$R$4:$W$4,0))))</f>
        <v>0</v>
      </c>
      <c r="Q189" s="169">
        <f>IF($C189-Q$1&lt;År1,0,P188*(1-VLOOKUP($A189,[1]Hugst!$R$5:$W$9,MATCH(ROUNDUP((Q$1)/10,0)*10,[1]Hugst!$R$4:$W$4,0))))</f>
        <v>0</v>
      </c>
      <c r="R189" s="169">
        <f>IF($C189-R$1&lt;År1,0,Q188*(1-VLOOKUP($A189,[1]Hugst!$R$5:$W$9,MATCH(ROUNDUP((R$1)/10,0)*10,[1]Hugst!$R$4:$W$4,0))))</f>
        <v>0</v>
      </c>
      <c r="S189" s="169">
        <f>IF($C189-S$1&lt;År1,0,R188*(1-VLOOKUP($A189,[1]Hugst!$R$5:$W$9,MATCH(ROUNDUP((S$1)/10,0)*10,[1]Hugst!$R$4:$W$4,0))))</f>
        <v>0</v>
      </c>
      <c r="T189" s="169">
        <f>IF($C189-T$1&lt;År1,0,S188*(1-VLOOKUP($A189,[1]Hugst!$R$5:$W$9,MATCH(ROUNDUP((T$1)/10,0)*10,[1]Hugst!$R$4:$W$4,0))))</f>
        <v>0</v>
      </c>
      <c r="U189" s="169">
        <f>IF($C189-U$1&lt;År1,0,T188*(1-VLOOKUP($A189,[1]Hugst!$R$5:$W$9,MATCH(ROUNDUP((U$1)/10,0)*10,[1]Hugst!$R$4:$W$4,0))))</f>
        <v>0</v>
      </c>
      <c r="V189" s="169">
        <f>IF($C189-V$1&lt;År1,0,U188*(1-VLOOKUP($A189,[1]Hugst!$R$5:$W$9,MATCH(ROUNDUP((V$1)/10,0)*10,[1]Hugst!$R$4:$W$4,0))))</f>
        <v>0</v>
      </c>
      <c r="W189" s="169">
        <f>IF($C189-W$1&lt;År1,0,V188*(1-VLOOKUP($A189,[1]Hugst!$R$5:$W$9,MATCH(ROUNDUP((W$1)/10,0)*10,[1]Hugst!$R$4:$W$4,0))))</f>
        <v>0</v>
      </c>
      <c r="X189" s="169">
        <f>IF($C189-X$1&lt;År1,0,W188*(1-VLOOKUP($A189,[1]Hugst!$R$5:$W$9,MATCH(ROUNDUP((X$1)/10,0)*10,[1]Hugst!$R$4:$W$4,0))))</f>
        <v>0</v>
      </c>
      <c r="Y189" s="169">
        <f>IF($C189-Y$1&lt;År1,0,X188*(1-VLOOKUP($A189,[1]Hugst!$R$5:$W$9,MATCH(ROUNDUP((Y$1)/10,0)*10,[1]Hugst!$R$4:$W$4,0))))</f>
        <v>0</v>
      </c>
      <c r="Z189" s="169">
        <f>IF($C189-Z$1&lt;År1,0,Y188*(1-VLOOKUP($A189,[1]Hugst!$R$5:$W$9,MATCH(ROUNDUP((Z$1)/10,0)*10,[1]Hugst!$R$4:$W$4,0))))</f>
        <v>0</v>
      </c>
      <c r="AA189" s="169">
        <f>IF($C189-AA$1&lt;År1,0,Z188*(1-VLOOKUP($A189,[1]Hugst!$R$5:$W$9,MATCH(ROUNDUP((AA$1)/10,0)*10,[1]Hugst!$R$4:$W$4,0))))</f>
        <v>0</v>
      </c>
      <c r="AB189" s="169">
        <f>IF($C189-AB$1&lt;År1,0,AA188*(1-VLOOKUP($A189,[1]Hugst!$R$5:$W$9,MATCH(ROUNDUP((AB$1)/10,0)*10,[1]Hugst!$R$4:$W$4,0))))</f>
        <v>0</v>
      </c>
      <c r="AC189" s="169">
        <f>IF($C189-AC$1&lt;År1,0,AB188*(1-VLOOKUP($A189,[1]Hugst!$R$5:$W$9,MATCH(ROUNDUP((AC$1)/10,0)*10,[1]Hugst!$R$4:$W$4,0))))</f>
        <v>0</v>
      </c>
      <c r="AD189" s="169">
        <f>IF($C189-AD$1&lt;År1,0,AC188*(1-VLOOKUP($A189,[1]Hugst!$R$5:$W$9,MATCH(ROUNDUP((AD$1)/10,0)*10,[1]Hugst!$R$4:$W$4,0))))</f>
        <v>0</v>
      </c>
      <c r="AE189" s="169">
        <f>IF($C189-AE$1&lt;År1,0,AD188*(1-VLOOKUP($A189,[1]Hugst!$R$5:$W$9,MATCH(ROUNDUP((AE$1)/10,0)*10,[1]Hugst!$R$4:$W$4,0))))</f>
        <v>0</v>
      </c>
      <c r="AF189" s="169">
        <f>IF($C189-AF$1&lt;År1,0,AE188*(1-VLOOKUP($A189,[1]Hugst!$R$5:$W$9,MATCH(ROUNDUP((AF$1)/10,0)*10,[1]Hugst!$R$4:$W$4,0))))</f>
        <v>0</v>
      </c>
      <c r="AG189" s="169">
        <f>IF($C189-AG$1&lt;År1,0,AF188*(1-VLOOKUP($A189,[1]Hugst!$R$5:$W$9,MATCH(ROUNDUP((AG$1)/10,0)*10,[1]Hugst!$R$4:$W$4,0))))</f>
        <v>0</v>
      </c>
      <c r="AH189" s="169">
        <f>IF($C189-AH$1&lt;År1,0,AG188*(1-VLOOKUP($A189,[1]Hugst!$R$5:$W$9,MATCH(ROUNDUP((AH$1)/10,0)*10,[1]Hugst!$R$4:$W$4,0))))</f>
        <v>0</v>
      </c>
      <c r="AI189" s="169">
        <f>IF($C189-AI$1&lt;År1,0,AH188*(1-VLOOKUP($A189,[1]Hugst!$R$5:$W$9,MATCH(ROUNDUP((AI$1)/10,0)*10,[1]Hugst!$R$4:$W$4,0))))</f>
        <v>0</v>
      </c>
      <c r="AJ189" s="169">
        <f>IF($C189-AJ$1&lt;År1,0,AI188*(1-VLOOKUP($A189,[1]Hugst!$R$5:$W$9,MATCH(ROUNDUP((AJ$1)/10,0)*10,[1]Hugst!$R$4:$W$4,0))))</f>
        <v>0</v>
      </c>
    </row>
    <row r="190" spans="1:36" x14ac:dyDescent="0.25">
      <c r="A190" s="169" t="s">
        <v>179</v>
      </c>
      <c r="B190" s="169" t="s">
        <v>23</v>
      </c>
      <c r="C190" s="169">
        <v>2022</v>
      </c>
      <c r="D190" s="169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69">
        <f t="shared" ca="1" si="4"/>
        <v>0</v>
      </c>
      <c r="F190" s="169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9">
        <f ca="1">IF($C190-G$1&lt;År1,0,F189*(1-VLOOKUP($A190,[1]Hugst!$R$5:$W$9,MATCH(ROUNDUP((G$1)/10,0)*10,[1]Hugst!$R$4:$W$4,0))))</f>
        <v>0</v>
      </c>
      <c r="H190" s="169">
        <f ca="1">IF($C190-H$1&lt;År1,0,G189*(1-VLOOKUP($A190,[1]Hugst!$R$5:$W$9,MATCH(ROUNDUP((H$1)/10,0)*10,[1]Hugst!$R$4:$W$4,0))))</f>
        <v>0</v>
      </c>
      <c r="I190" s="169">
        <f>IF($C190-I$1&lt;År1,0,H189*(1-VLOOKUP($A190,[1]Hugst!$R$5:$W$9,MATCH(ROUNDUP((I$1)/10,0)*10,[1]Hugst!$R$4:$W$4,0))))</f>
        <v>0</v>
      </c>
      <c r="J190" s="169">
        <f>IF($C190-J$1&lt;År1,0,I189*(1-VLOOKUP($A190,[1]Hugst!$R$5:$W$9,MATCH(ROUNDUP((J$1)/10,0)*10,[1]Hugst!$R$4:$W$4,0))))</f>
        <v>0</v>
      </c>
      <c r="K190" s="169">
        <f>IF($C190-K$1&lt;År1,0,J189*(1-VLOOKUP($A190,[1]Hugst!$R$5:$W$9,MATCH(ROUNDUP((K$1)/10,0)*10,[1]Hugst!$R$4:$W$4,0))))</f>
        <v>0</v>
      </c>
      <c r="L190" s="169">
        <f>IF($C190-L$1&lt;År1,0,K189*(1-VLOOKUP($A190,[1]Hugst!$R$5:$W$9,MATCH(ROUNDUP((L$1)/10,0)*10,[1]Hugst!$R$4:$W$4,0))))</f>
        <v>0</v>
      </c>
      <c r="M190" s="169">
        <f>IF($C190-M$1&lt;År1,0,L189*(1-VLOOKUP($A190,[1]Hugst!$R$5:$W$9,MATCH(ROUNDUP((M$1)/10,0)*10,[1]Hugst!$R$4:$W$4,0))))</f>
        <v>0</v>
      </c>
      <c r="N190" s="169">
        <f>IF($C190-N$1&lt;År1,0,M189*(1-VLOOKUP($A190,[1]Hugst!$R$5:$W$9,MATCH(ROUNDUP((N$1)/10,0)*10,[1]Hugst!$R$4:$W$4,0))))</f>
        <v>0</v>
      </c>
      <c r="O190" s="169">
        <f>IF($C190-O$1&lt;År1,0,N189*(1-VLOOKUP($A190,[1]Hugst!$R$5:$W$9,MATCH(ROUNDUP((O$1)/10,0)*10,[1]Hugst!$R$4:$W$4,0))))</f>
        <v>0</v>
      </c>
      <c r="P190" s="169">
        <f>IF($C190-P$1&lt;År1,0,O189*(1-VLOOKUP($A190,[1]Hugst!$R$5:$W$9,MATCH(ROUNDUP((P$1)/10,0)*10,[1]Hugst!$R$4:$W$4,0))))</f>
        <v>0</v>
      </c>
      <c r="Q190" s="169">
        <f>IF($C190-Q$1&lt;År1,0,P189*(1-VLOOKUP($A190,[1]Hugst!$R$5:$W$9,MATCH(ROUNDUP((Q$1)/10,0)*10,[1]Hugst!$R$4:$W$4,0))))</f>
        <v>0</v>
      </c>
      <c r="R190" s="169">
        <f>IF($C190-R$1&lt;År1,0,Q189*(1-VLOOKUP($A190,[1]Hugst!$R$5:$W$9,MATCH(ROUNDUP((R$1)/10,0)*10,[1]Hugst!$R$4:$W$4,0))))</f>
        <v>0</v>
      </c>
      <c r="S190" s="169">
        <f>IF($C190-S$1&lt;År1,0,R189*(1-VLOOKUP($A190,[1]Hugst!$R$5:$W$9,MATCH(ROUNDUP((S$1)/10,0)*10,[1]Hugst!$R$4:$W$4,0))))</f>
        <v>0</v>
      </c>
      <c r="T190" s="169">
        <f>IF($C190-T$1&lt;År1,0,S189*(1-VLOOKUP($A190,[1]Hugst!$R$5:$W$9,MATCH(ROUNDUP((T$1)/10,0)*10,[1]Hugst!$R$4:$W$4,0))))</f>
        <v>0</v>
      </c>
      <c r="U190" s="169">
        <f>IF($C190-U$1&lt;År1,0,T189*(1-VLOOKUP($A190,[1]Hugst!$R$5:$W$9,MATCH(ROUNDUP((U$1)/10,0)*10,[1]Hugst!$R$4:$W$4,0))))</f>
        <v>0</v>
      </c>
      <c r="V190" s="169">
        <f>IF($C190-V$1&lt;År1,0,U189*(1-VLOOKUP($A190,[1]Hugst!$R$5:$W$9,MATCH(ROUNDUP((V$1)/10,0)*10,[1]Hugst!$R$4:$W$4,0))))</f>
        <v>0</v>
      </c>
      <c r="W190" s="169">
        <f>IF($C190-W$1&lt;År1,0,V189*(1-VLOOKUP($A190,[1]Hugst!$R$5:$W$9,MATCH(ROUNDUP((W$1)/10,0)*10,[1]Hugst!$R$4:$W$4,0))))</f>
        <v>0</v>
      </c>
      <c r="X190" s="169">
        <f>IF($C190-X$1&lt;År1,0,W189*(1-VLOOKUP($A190,[1]Hugst!$R$5:$W$9,MATCH(ROUNDUP((X$1)/10,0)*10,[1]Hugst!$R$4:$W$4,0))))</f>
        <v>0</v>
      </c>
      <c r="Y190" s="169">
        <f>IF($C190-Y$1&lt;År1,0,X189*(1-VLOOKUP($A190,[1]Hugst!$R$5:$W$9,MATCH(ROUNDUP((Y$1)/10,0)*10,[1]Hugst!$R$4:$W$4,0))))</f>
        <v>0</v>
      </c>
      <c r="Z190" s="169">
        <f>IF($C190-Z$1&lt;År1,0,Y189*(1-VLOOKUP($A190,[1]Hugst!$R$5:$W$9,MATCH(ROUNDUP((Z$1)/10,0)*10,[1]Hugst!$R$4:$W$4,0))))</f>
        <v>0</v>
      </c>
      <c r="AA190" s="169">
        <f>IF($C190-AA$1&lt;År1,0,Z189*(1-VLOOKUP($A190,[1]Hugst!$R$5:$W$9,MATCH(ROUNDUP((AA$1)/10,0)*10,[1]Hugst!$R$4:$W$4,0))))</f>
        <v>0</v>
      </c>
      <c r="AB190" s="169">
        <f>IF($C190-AB$1&lt;År1,0,AA189*(1-VLOOKUP($A190,[1]Hugst!$R$5:$W$9,MATCH(ROUNDUP((AB$1)/10,0)*10,[1]Hugst!$R$4:$W$4,0))))</f>
        <v>0</v>
      </c>
      <c r="AC190" s="169">
        <f>IF($C190-AC$1&lt;År1,0,AB189*(1-VLOOKUP($A190,[1]Hugst!$R$5:$W$9,MATCH(ROUNDUP((AC$1)/10,0)*10,[1]Hugst!$R$4:$W$4,0))))</f>
        <v>0</v>
      </c>
      <c r="AD190" s="169">
        <f>IF($C190-AD$1&lt;År1,0,AC189*(1-VLOOKUP($A190,[1]Hugst!$R$5:$W$9,MATCH(ROUNDUP((AD$1)/10,0)*10,[1]Hugst!$R$4:$W$4,0))))</f>
        <v>0</v>
      </c>
      <c r="AE190" s="169">
        <f>IF($C190-AE$1&lt;År1,0,AD189*(1-VLOOKUP($A190,[1]Hugst!$R$5:$W$9,MATCH(ROUNDUP((AE$1)/10,0)*10,[1]Hugst!$R$4:$W$4,0))))</f>
        <v>0</v>
      </c>
      <c r="AF190" s="169">
        <f>IF($C190-AF$1&lt;År1,0,AE189*(1-VLOOKUP($A190,[1]Hugst!$R$5:$W$9,MATCH(ROUNDUP((AF$1)/10,0)*10,[1]Hugst!$R$4:$W$4,0))))</f>
        <v>0</v>
      </c>
      <c r="AG190" s="169">
        <f>IF($C190-AG$1&lt;År1,0,AF189*(1-VLOOKUP($A190,[1]Hugst!$R$5:$W$9,MATCH(ROUNDUP((AG$1)/10,0)*10,[1]Hugst!$R$4:$W$4,0))))</f>
        <v>0</v>
      </c>
      <c r="AH190" s="169">
        <f>IF($C190-AH$1&lt;År1,0,AG189*(1-VLOOKUP($A190,[1]Hugst!$R$5:$W$9,MATCH(ROUNDUP((AH$1)/10,0)*10,[1]Hugst!$R$4:$W$4,0))))</f>
        <v>0</v>
      </c>
      <c r="AI190" s="169">
        <f>IF($C190-AI$1&lt;År1,0,AH189*(1-VLOOKUP($A190,[1]Hugst!$R$5:$W$9,MATCH(ROUNDUP((AI$1)/10,0)*10,[1]Hugst!$R$4:$W$4,0))))</f>
        <v>0</v>
      </c>
      <c r="AJ190" s="169">
        <f>IF($C190-AJ$1&lt;År1,0,AI189*(1-VLOOKUP($A190,[1]Hugst!$R$5:$W$9,MATCH(ROUNDUP((AJ$1)/10,0)*10,[1]Hugst!$R$4:$W$4,0))))</f>
        <v>0</v>
      </c>
    </row>
    <row r="191" spans="1:36" x14ac:dyDescent="0.25">
      <c r="A191" s="169" t="s">
        <v>179</v>
      </c>
      <c r="B191" s="169" t="s">
        <v>23</v>
      </c>
      <c r="C191" s="169">
        <v>2023</v>
      </c>
      <c r="D191" s="169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69">
        <f t="shared" ca="1" si="4"/>
        <v>0</v>
      </c>
      <c r="F191" s="169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9">
        <f ca="1">IF($C191-G$1&lt;År1,0,F190*(1-VLOOKUP($A191,[1]Hugst!$R$5:$W$9,MATCH(ROUNDUP((G$1)/10,0)*10,[1]Hugst!$R$4:$W$4,0))))</f>
        <v>0</v>
      </c>
      <c r="H191" s="169">
        <f ca="1">IF($C191-H$1&lt;År1,0,G190*(1-VLOOKUP($A191,[1]Hugst!$R$5:$W$9,MATCH(ROUNDUP((H$1)/10,0)*10,[1]Hugst!$R$4:$W$4,0))))</f>
        <v>0</v>
      </c>
      <c r="I191" s="169">
        <f ca="1">IF($C191-I$1&lt;År1,0,H190*(1-VLOOKUP($A191,[1]Hugst!$R$5:$W$9,MATCH(ROUNDUP((I$1)/10,0)*10,[1]Hugst!$R$4:$W$4,0))))</f>
        <v>0</v>
      </c>
      <c r="J191" s="169">
        <f>IF($C191-J$1&lt;År1,0,I190*(1-VLOOKUP($A191,[1]Hugst!$R$5:$W$9,MATCH(ROUNDUP((J$1)/10,0)*10,[1]Hugst!$R$4:$W$4,0))))</f>
        <v>0</v>
      </c>
      <c r="K191" s="169">
        <f>IF($C191-K$1&lt;År1,0,J190*(1-VLOOKUP($A191,[1]Hugst!$R$5:$W$9,MATCH(ROUNDUP((K$1)/10,0)*10,[1]Hugst!$R$4:$W$4,0))))</f>
        <v>0</v>
      </c>
      <c r="L191" s="169">
        <f>IF($C191-L$1&lt;År1,0,K190*(1-VLOOKUP($A191,[1]Hugst!$R$5:$W$9,MATCH(ROUNDUP((L$1)/10,0)*10,[1]Hugst!$R$4:$W$4,0))))</f>
        <v>0</v>
      </c>
      <c r="M191" s="169">
        <f>IF($C191-M$1&lt;År1,0,L190*(1-VLOOKUP($A191,[1]Hugst!$R$5:$W$9,MATCH(ROUNDUP((M$1)/10,0)*10,[1]Hugst!$R$4:$W$4,0))))</f>
        <v>0</v>
      </c>
      <c r="N191" s="169">
        <f>IF($C191-N$1&lt;År1,0,M190*(1-VLOOKUP($A191,[1]Hugst!$R$5:$W$9,MATCH(ROUNDUP((N$1)/10,0)*10,[1]Hugst!$R$4:$W$4,0))))</f>
        <v>0</v>
      </c>
      <c r="O191" s="169">
        <f>IF($C191-O$1&lt;År1,0,N190*(1-VLOOKUP($A191,[1]Hugst!$R$5:$W$9,MATCH(ROUNDUP((O$1)/10,0)*10,[1]Hugst!$R$4:$W$4,0))))</f>
        <v>0</v>
      </c>
      <c r="P191" s="169">
        <f>IF($C191-P$1&lt;År1,0,O190*(1-VLOOKUP($A191,[1]Hugst!$R$5:$W$9,MATCH(ROUNDUP((P$1)/10,0)*10,[1]Hugst!$R$4:$W$4,0))))</f>
        <v>0</v>
      </c>
      <c r="Q191" s="169">
        <f>IF($C191-Q$1&lt;År1,0,P190*(1-VLOOKUP($A191,[1]Hugst!$R$5:$W$9,MATCH(ROUNDUP((Q$1)/10,0)*10,[1]Hugst!$R$4:$W$4,0))))</f>
        <v>0</v>
      </c>
      <c r="R191" s="169">
        <f>IF($C191-R$1&lt;År1,0,Q190*(1-VLOOKUP($A191,[1]Hugst!$R$5:$W$9,MATCH(ROUNDUP((R$1)/10,0)*10,[1]Hugst!$R$4:$W$4,0))))</f>
        <v>0</v>
      </c>
      <c r="S191" s="169">
        <f>IF($C191-S$1&lt;År1,0,R190*(1-VLOOKUP($A191,[1]Hugst!$R$5:$W$9,MATCH(ROUNDUP((S$1)/10,0)*10,[1]Hugst!$R$4:$W$4,0))))</f>
        <v>0</v>
      </c>
      <c r="T191" s="169">
        <f>IF($C191-T$1&lt;År1,0,S190*(1-VLOOKUP($A191,[1]Hugst!$R$5:$W$9,MATCH(ROUNDUP((T$1)/10,0)*10,[1]Hugst!$R$4:$W$4,0))))</f>
        <v>0</v>
      </c>
      <c r="U191" s="169">
        <f>IF($C191-U$1&lt;År1,0,T190*(1-VLOOKUP($A191,[1]Hugst!$R$5:$W$9,MATCH(ROUNDUP((U$1)/10,0)*10,[1]Hugst!$R$4:$W$4,0))))</f>
        <v>0</v>
      </c>
      <c r="V191" s="169">
        <f>IF($C191-V$1&lt;År1,0,U190*(1-VLOOKUP($A191,[1]Hugst!$R$5:$W$9,MATCH(ROUNDUP((V$1)/10,0)*10,[1]Hugst!$R$4:$W$4,0))))</f>
        <v>0</v>
      </c>
      <c r="W191" s="169">
        <f>IF($C191-W$1&lt;År1,0,V190*(1-VLOOKUP($A191,[1]Hugst!$R$5:$W$9,MATCH(ROUNDUP((W$1)/10,0)*10,[1]Hugst!$R$4:$W$4,0))))</f>
        <v>0</v>
      </c>
      <c r="X191" s="169">
        <f>IF($C191-X$1&lt;År1,0,W190*(1-VLOOKUP($A191,[1]Hugst!$R$5:$W$9,MATCH(ROUNDUP((X$1)/10,0)*10,[1]Hugst!$R$4:$W$4,0))))</f>
        <v>0</v>
      </c>
      <c r="Y191" s="169">
        <f>IF($C191-Y$1&lt;År1,0,X190*(1-VLOOKUP($A191,[1]Hugst!$R$5:$W$9,MATCH(ROUNDUP((Y$1)/10,0)*10,[1]Hugst!$R$4:$W$4,0))))</f>
        <v>0</v>
      </c>
      <c r="Z191" s="169">
        <f>IF($C191-Z$1&lt;År1,0,Y190*(1-VLOOKUP($A191,[1]Hugst!$R$5:$W$9,MATCH(ROUNDUP((Z$1)/10,0)*10,[1]Hugst!$R$4:$W$4,0))))</f>
        <v>0</v>
      </c>
      <c r="AA191" s="169">
        <f>IF($C191-AA$1&lt;År1,0,Z190*(1-VLOOKUP($A191,[1]Hugst!$R$5:$W$9,MATCH(ROUNDUP((AA$1)/10,0)*10,[1]Hugst!$R$4:$W$4,0))))</f>
        <v>0</v>
      </c>
      <c r="AB191" s="169">
        <f>IF($C191-AB$1&lt;År1,0,AA190*(1-VLOOKUP($A191,[1]Hugst!$R$5:$W$9,MATCH(ROUNDUP((AB$1)/10,0)*10,[1]Hugst!$R$4:$W$4,0))))</f>
        <v>0</v>
      </c>
      <c r="AC191" s="169">
        <f>IF($C191-AC$1&lt;År1,0,AB190*(1-VLOOKUP($A191,[1]Hugst!$R$5:$W$9,MATCH(ROUNDUP((AC$1)/10,0)*10,[1]Hugst!$R$4:$W$4,0))))</f>
        <v>0</v>
      </c>
      <c r="AD191" s="169">
        <f>IF($C191-AD$1&lt;År1,0,AC190*(1-VLOOKUP($A191,[1]Hugst!$R$5:$W$9,MATCH(ROUNDUP((AD$1)/10,0)*10,[1]Hugst!$R$4:$W$4,0))))</f>
        <v>0</v>
      </c>
      <c r="AE191" s="169">
        <f>IF($C191-AE$1&lt;År1,0,AD190*(1-VLOOKUP($A191,[1]Hugst!$R$5:$W$9,MATCH(ROUNDUP((AE$1)/10,0)*10,[1]Hugst!$R$4:$W$4,0))))</f>
        <v>0</v>
      </c>
      <c r="AF191" s="169">
        <f>IF($C191-AF$1&lt;År1,0,AE190*(1-VLOOKUP($A191,[1]Hugst!$R$5:$W$9,MATCH(ROUNDUP((AF$1)/10,0)*10,[1]Hugst!$R$4:$W$4,0))))</f>
        <v>0</v>
      </c>
      <c r="AG191" s="169">
        <f>IF($C191-AG$1&lt;År1,0,AF190*(1-VLOOKUP($A191,[1]Hugst!$R$5:$W$9,MATCH(ROUNDUP((AG$1)/10,0)*10,[1]Hugst!$R$4:$W$4,0))))</f>
        <v>0</v>
      </c>
      <c r="AH191" s="169">
        <f>IF($C191-AH$1&lt;År1,0,AG190*(1-VLOOKUP($A191,[1]Hugst!$R$5:$W$9,MATCH(ROUNDUP((AH$1)/10,0)*10,[1]Hugst!$R$4:$W$4,0))))</f>
        <v>0</v>
      </c>
      <c r="AI191" s="169">
        <f>IF($C191-AI$1&lt;År1,0,AH190*(1-VLOOKUP($A191,[1]Hugst!$R$5:$W$9,MATCH(ROUNDUP((AI$1)/10,0)*10,[1]Hugst!$R$4:$W$4,0))))</f>
        <v>0</v>
      </c>
      <c r="AJ191" s="169">
        <f>IF($C191-AJ$1&lt;År1,0,AI190*(1-VLOOKUP($A191,[1]Hugst!$R$5:$W$9,MATCH(ROUNDUP((AJ$1)/10,0)*10,[1]Hugst!$R$4:$W$4,0))))</f>
        <v>0</v>
      </c>
    </row>
    <row r="192" spans="1:36" x14ac:dyDescent="0.25">
      <c r="A192" s="169" t="s">
        <v>179</v>
      </c>
      <c r="B192" s="169" t="s">
        <v>23</v>
      </c>
      <c r="C192" s="169">
        <v>2024</v>
      </c>
      <c r="D192" s="169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69">
        <f t="shared" ca="1" si="4"/>
        <v>0</v>
      </c>
      <c r="F192" s="169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9">
        <f ca="1">IF($C192-G$1&lt;År1,0,F191*(1-VLOOKUP($A192,[1]Hugst!$R$5:$W$9,MATCH(ROUNDUP((G$1)/10,0)*10,[1]Hugst!$R$4:$W$4,0))))</f>
        <v>0</v>
      </c>
      <c r="H192" s="169">
        <f ca="1">IF($C192-H$1&lt;År1,0,G191*(1-VLOOKUP($A192,[1]Hugst!$R$5:$W$9,MATCH(ROUNDUP((H$1)/10,0)*10,[1]Hugst!$R$4:$W$4,0))))</f>
        <v>0</v>
      </c>
      <c r="I192" s="169">
        <f ca="1">IF($C192-I$1&lt;År1,0,H191*(1-VLOOKUP($A192,[1]Hugst!$R$5:$W$9,MATCH(ROUNDUP((I$1)/10,0)*10,[1]Hugst!$R$4:$W$4,0))))</f>
        <v>0</v>
      </c>
      <c r="J192" s="169">
        <f ca="1">IF($C192-J$1&lt;År1,0,I191*(1-VLOOKUP($A192,[1]Hugst!$R$5:$W$9,MATCH(ROUNDUP((J$1)/10,0)*10,[1]Hugst!$R$4:$W$4,0))))</f>
        <v>0</v>
      </c>
      <c r="K192" s="169">
        <f>IF($C192-K$1&lt;År1,0,J191*(1-VLOOKUP($A192,[1]Hugst!$R$5:$W$9,MATCH(ROUNDUP((K$1)/10,0)*10,[1]Hugst!$R$4:$W$4,0))))</f>
        <v>0</v>
      </c>
      <c r="L192" s="169">
        <f>IF($C192-L$1&lt;År1,0,K191*(1-VLOOKUP($A192,[1]Hugst!$R$5:$W$9,MATCH(ROUNDUP((L$1)/10,0)*10,[1]Hugst!$R$4:$W$4,0))))</f>
        <v>0</v>
      </c>
      <c r="M192" s="169">
        <f>IF($C192-M$1&lt;År1,0,L191*(1-VLOOKUP($A192,[1]Hugst!$R$5:$W$9,MATCH(ROUNDUP((M$1)/10,0)*10,[1]Hugst!$R$4:$W$4,0))))</f>
        <v>0</v>
      </c>
      <c r="N192" s="169">
        <f>IF($C192-N$1&lt;År1,0,M191*(1-VLOOKUP($A192,[1]Hugst!$R$5:$W$9,MATCH(ROUNDUP((N$1)/10,0)*10,[1]Hugst!$R$4:$W$4,0))))</f>
        <v>0</v>
      </c>
      <c r="O192" s="169">
        <f>IF($C192-O$1&lt;År1,0,N191*(1-VLOOKUP($A192,[1]Hugst!$R$5:$W$9,MATCH(ROUNDUP((O$1)/10,0)*10,[1]Hugst!$R$4:$W$4,0))))</f>
        <v>0</v>
      </c>
      <c r="P192" s="169">
        <f>IF($C192-P$1&lt;År1,0,O191*(1-VLOOKUP($A192,[1]Hugst!$R$5:$W$9,MATCH(ROUNDUP((P$1)/10,0)*10,[1]Hugst!$R$4:$W$4,0))))</f>
        <v>0</v>
      </c>
      <c r="Q192" s="169">
        <f>IF($C192-Q$1&lt;År1,0,P191*(1-VLOOKUP($A192,[1]Hugst!$R$5:$W$9,MATCH(ROUNDUP((Q$1)/10,0)*10,[1]Hugst!$R$4:$W$4,0))))</f>
        <v>0</v>
      </c>
      <c r="R192" s="169">
        <f>IF($C192-R$1&lt;År1,0,Q191*(1-VLOOKUP($A192,[1]Hugst!$R$5:$W$9,MATCH(ROUNDUP((R$1)/10,0)*10,[1]Hugst!$R$4:$W$4,0))))</f>
        <v>0</v>
      </c>
      <c r="S192" s="169">
        <f>IF($C192-S$1&lt;År1,0,R191*(1-VLOOKUP($A192,[1]Hugst!$R$5:$W$9,MATCH(ROUNDUP((S$1)/10,0)*10,[1]Hugst!$R$4:$W$4,0))))</f>
        <v>0</v>
      </c>
      <c r="T192" s="169">
        <f>IF($C192-T$1&lt;År1,0,S191*(1-VLOOKUP($A192,[1]Hugst!$R$5:$W$9,MATCH(ROUNDUP((T$1)/10,0)*10,[1]Hugst!$R$4:$W$4,0))))</f>
        <v>0</v>
      </c>
      <c r="U192" s="169">
        <f>IF($C192-U$1&lt;År1,0,T191*(1-VLOOKUP($A192,[1]Hugst!$R$5:$W$9,MATCH(ROUNDUP((U$1)/10,0)*10,[1]Hugst!$R$4:$W$4,0))))</f>
        <v>0</v>
      </c>
      <c r="V192" s="169">
        <f>IF($C192-V$1&lt;År1,0,U191*(1-VLOOKUP($A192,[1]Hugst!$R$5:$W$9,MATCH(ROUNDUP((V$1)/10,0)*10,[1]Hugst!$R$4:$W$4,0))))</f>
        <v>0</v>
      </c>
      <c r="W192" s="169">
        <f>IF($C192-W$1&lt;År1,0,V191*(1-VLOOKUP($A192,[1]Hugst!$R$5:$W$9,MATCH(ROUNDUP((W$1)/10,0)*10,[1]Hugst!$R$4:$W$4,0))))</f>
        <v>0</v>
      </c>
      <c r="X192" s="169">
        <f>IF($C192-X$1&lt;År1,0,W191*(1-VLOOKUP($A192,[1]Hugst!$R$5:$W$9,MATCH(ROUNDUP((X$1)/10,0)*10,[1]Hugst!$R$4:$W$4,0))))</f>
        <v>0</v>
      </c>
      <c r="Y192" s="169">
        <f>IF($C192-Y$1&lt;År1,0,X191*(1-VLOOKUP($A192,[1]Hugst!$R$5:$W$9,MATCH(ROUNDUP((Y$1)/10,0)*10,[1]Hugst!$R$4:$W$4,0))))</f>
        <v>0</v>
      </c>
      <c r="Z192" s="169">
        <f>IF($C192-Z$1&lt;År1,0,Y191*(1-VLOOKUP($A192,[1]Hugst!$R$5:$W$9,MATCH(ROUNDUP((Z$1)/10,0)*10,[1]Hugst!$R$4:$W$4,0))))</f>
        <v>0</v>
      </c>
      <c r="AA192" s="169">
        <f>IF($C192-AA$1&lt;År1,0,Z191*(1-VLOOKUP($A192,[1]Hugst!$R$5:$W$9,MATCH(ROUNDUP((AA$1)/10,0)*10,[1]Hugst!$R$4:$W$4,0))))</f>
        <v>0</v>
      </c>
      <c r="AB192" s="169">
        <f>IF($C192-AB$1&lt;År1,0,AA191*(1-VLOOKUP($A192,[1]Hugst!$R$5:$W$9,MATCH(ROUNDUP((AB$1)/10,0)*10,[1]Hugst!$R$4:$W$4,0))))</f>
        <v>0</v>
      </c>
      <c r="AC192" s="169">
        <f>IF($C192-AC$1&lt;År1,0,AB191*(1-VLOOKUP($A192,[1]Hugst!$R$5:$W$9,MATCH(ROUNDUP((AC$1)/10,0)*10,[1]Hugst!$R$4:$W$4,0))))</f>
        <v>0</v>
      </c>
      <c r="AD192" s="169">
        <f>IF($C192-AD$1&lt;År1,0,AC191*(1-VLOOKUP($A192,[1]Hugst!$R$5:$W$9,MATCH(ROUNDUP((AD$1)/10,0)*10,[1]Hugst!$R$4:$W$4,0))))</f>
        <v>0</v>
      </c>
      <c r="AE192" s="169">
        <f>IF($C192-AE$1&lt;År1,0,AD191*(1-VLOOKUP($A192,[1]Hugst!$R$5:$W$9,MATCH(ROUNDUP((AE$1)/10,0)*10,[1]Hugst!$R$4:$W$4,0))))</f>
        <v>0</v>
      </c>
      <c r="AF192" s="169">
        <f>IF($C192-AF$1&lt;År1,0,AE191*(1-VLOOKUP($A192,[1]Hugst!$R$5:$W$9,MATCH(ROUNDUP((AF$1)/10,0)*10,[1]Hugst!$R$4:$W$4,0))))</f>
        <v>0</v>
      </c>
      <c r="AG192" s="169">
        <f>IF($C192-AG$1&lt;År1,0,AF191*(1-VLOOKUP($A192,[1]Hugst!$R$5:$W$9,MATCH(ROUNDUP((AG$1)/10,0)*10,[1]Hugst!$R$4:$W$4,0))))</f>
        <v>0</v>
      </c>
      <c r="AH192" s="169">
        <f>IF($C192-AH$1&lt;År1,0,AG191*(1-VLOOKUP($A192,[1]Hugst!$R$5:$W$9,MATCH(ROUNDUP((AH$1)/10,0)*10,[1]Hugst!$R$4:$W$4,0))))</f>
        <v>0</v>
      </c>
      <c r="AI192" s="169">
        <f>IF($C192-AI$1&lt;År1,0,AH191*(1-VLOOKUP($A192,[1]Hugst!$R$5:$W$9,MATCH(ROUNDUP((AI$1)/10,0)*10,[1]Hugst!$R$4:$W$4,0))))</f>
        <v>0</v>
      </c>
      <c r="AJ192" s="169">
        <f>IF($C192-AJ$1&lt;År1,0,AI191*(1-VLOOKUP($A192,[1]Hugst!$R$5:$W$9,MATCH(ROUNDUP((AJ$1)/10,0)*10,[1]Hugst!$R$4:$W$4,0))))</f>
        <v>0</v>
      </c>
    </row>
    <row r="193" spans="1:36" x14ac:dyDescent="0.25">
      <c r="A193" s="169" t="s">
        <v>179</v>
      </c>
      <c r="B193" s="169" t="s">
        <v>23</v>
      </c>
      <c r="C193" s="169">
        <v>2025</v>
      </c>
      <c r="D193" s="169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69">
        <f t="shared" ca="1" si="4"/>
        <v>0</v>
      </c>
      <c r="F193" s="169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9">
        <f ca="1">IF($C193-G$1&lt;År1,0,F192*(1-VLOOKUP($A193,[1]Hugst!$R$5:$W$9,MATCH(ROUNDUP((G$1)/10,0)*10,[1]Hugst!$R$4:$W$4,0))))</f>
        <v>0</v>
      </c>
      <c r="H193" s="169">
        <f ca="1">IF($C193-H$1&lt;År1,0,G192*(1-VLOOKUP($A193,[1]Hugst!$R$5:$W$9,MATCH(ROUNDUP((H$1)/10,0)*10,[1]Hugst!$R$4:$W$4,0))))</f>
        <v>0</v>
      </c>
      <c r="I193" s="169">
        <f ca="1">IF($C193-I$1&lt;År1,0,H192*(1-VLOOKUP($A193,[1]Hugst!$R$5:$W$9,MATCH(ROUNDUP((I$1)/10,0)*10,[1]Hugst!$R$4:$W$4,0))))</f>
        <v>0</v>
      </c>
      <c r="J193" s="169">
        <f ca="1">IF($C193-J$1&lt;År1,0,I192*(1-VLOOKUP($A193,[1]Hugst!$R$5:$W$9,MATCH(ROUNDUP((J$1)/10,0)*10,[1]Hugst!$R$4:$W$4,0))))</f>
        <v>0</v>
      </c>
      <c r="K193" s="169">
        <f ca="1">IF($C193-K$1&lt;År1,0,J192*(1-VLOOKUP($A193,[1]Hugst!$R$5:$W$9,MATCH(ROUNDUP((K$1)/10,0)*10,[1]Hugst!$R$4:$W$4,0))))</f>
        <v>0</v>
      </c>
      <c r="L193" s="169">
        <f>IF($C193-L$1&lt;År1,0,K192*(1-VLOOKUP($A193,[1]Hugst!$R$5:$W$9,MATCH(ROUNDUP((L$1)/10,0)*10,[1]Hugst!$R$4:$W$4,0))))</f>
        <v>0</v>
      </c>
      <c r="M193" s="169">
        <f>IF($C193-M$1&lt;År1,0,L192*(1-VLOOKUP($A193,[1]Hugst!$R$5:$W$9,MATCH(ROUNDUP((M$1)/10,0)*10,[1]Hugst!$R$4:$W$4,0))))</f>
        <v>0</v>
      </c>
      <c r="N193" s="169">
        <f>IF($C193-N$1&lt;År1,0,M192*(1-VLOOKUP($A193,[1]Hugst!$R$5:$W$9,MATCH(ROUNDUP((N$1)/10,0)*10,[1]Hugst!$R$4:$W$4,0))))</f>
        <v>0</v>
      </c>
      <c r="O193" s="169">
        <f>IF($C193-O$1&lt;År1,0,N192*(1-VLOOKUP($A193,[1]Hugst!$R$5:$W$9,MATCH(ROUNDUP((O$1)/10,0)*10,[1]Hugst!$R$4:$W$4,0))))</f>
        <v>0</v>
      </c>
      <c r="P193" s="169">
        <f>IF($C193-P$1&lt;År1,0,O192*(1-VLOOKUP($A193,[1]Hugst!$R$5:$W$9,MATCH(ROUNDUP((P$1)/10,0)*10,[1]Hugst!$R$4:$W$4,0))))</f>
        <v>0</v>
      </c>
      <c r="Q193" s="169">
        <f>IF($C193-Q$1&lt;År1,0,P192*(1-VLOOKUP($A193,[1]Hugst!$R$5:$W$9,MATCH(ROUNDUP((Q$1)/10,0)*10,[1]Hugst!$R$4:$W$4,0))))</f>
        <v>0</v>
      </c>
      <c r="R193" s="169">
        <f>IF($C193-R$1&lt;År1,0,Q192*(1-VLOOKUP($A193,[1]Hugst!$R$5:$W$9,MATCH(ROUNDUP((R$1)/10,0)*10,[1]Hugst!$R$4:$W$4,0))))</f>
        <v>0</v>
      </c>
      <c r="S193" s="169">
        <f>IF($C193-S$1&lt;År1,0,R192*(1-VLOOKUP($A193,[1]Hugst!$R$5:$W$9,MATCH(ROUNDUP((S$1)/10,0)*10,[1]Hugst!$R$4:$W$4,0))))</f>
        <v>0</v>
      </c>
      <c r="T193" s="169">
        <f>IF($C193-T$1&lt;År1,0,S192*(1-VLOOKUP($A193,[1]Hugst!$R$5:$W$9,MATCH(ROUNDUP((T$1)/10,0)*10,[1]Hugst!$R$4:$W$4,0))))</f>
        <v>0</v>
      </c>
      <c r="U193" s="169">
        <f>IF($C193-U$1&lt;År1,0,T192*(1-VLOOKUP($A193,[1]Hugst!$R$5:$W$9,MATCH(ROUNDUP((U$1)/10,0)*10,[1]Hugst!$R$4:$W$4,0))))</f>
        <v>0</v>
      </c>
      <c r="V193" s="169">
        <f>IF($C193-V$1&lt;År1,0,U192*(1-VLOOKUP($A193,[1]Hugst!$R$5:$W$9,MATCH(ROUNDUP((V$1)/10,0)*10,[1]Hugst!$R$4:$W$4,0))))</f>
        <v>0</v>
      </c>
      <c r="W193" s="169">
        <f>IF($C193-W$1&lt;År1,0,V192*(1-VLOOKUP($A193,[1]Hugst!$R$5:$W$9,MATCH(ROUNDUP((W$1)/10,0)*10,[1]Hugst!$R$4:$W$4,0))))</f>
        <v>0</v>
      </c>
      <c r="X193" s="169">
        <f>IF($C193-X$1&lt;År1,0,W192*(1-VLOOKUP($A193,[1]Hugst!$R$5:$W$9,MATCH(ROUNDUP((X$1)/10,0)*10,[1]Hugst!$R$4:$W$4,0))))</f>
        <v>0</v>
      </c>
      <c r="Y193" s="169">
        <f>IF($C193-Y$1&lt;År1,0,X192*(1-VLOOKUP($A193,[1]Hugst!$R$5:$W$9,MATCH(ROUNDUP((Y$1)/10,0)*10,[1]Hugst!$R$4:$W$4,0))))</f>
        <v>0</v>
      </c>
      <c r="Z193" s="169">
        <f>IF($C193-Z$1&lt;År1,0,Y192*(1-VLOOKUP($A193,[1]Hugst!$R$5:$W$9,MATCH(ROUNDUP((Z$1)/10,0)*10,[1]Hugst!$R$4:$W$4,0))))</f>
        <v>0</v>
      </c>
      <c r="AA193" s="169">
        <f>IF($C193-AA$1&lt;År1,0,Z192*(1-VLOOKUP($A193,[1]Hugst!$R$5:$W$9,MATCH(ROUNDUP((AA$1)/10,0)*10,[1]Hugst!$R$4:$W$4,0))))</f>
        <v>0</v>
      </c>
      <c r="AB193" s="169">
        <f>IF($C193-AB$1&lt;År1,0,AA192*(1-VLOOKUP($A193,[1]Hugst!$R$5:$W$9,MATCH(ROUNDUP((AB$1)/10,0)*10,[1]Hugst!$R$4:$W$4,0))))</f>
        <v>0</v>
      </c>
      <c r="AC193" s="169">
        <f>IF($C193-AC$1&lt;År1,0,AB192*(1-VLOOKUP($A193,[1]Hugst!$R$5:$W$9,MATCH(ROUNDUP((AC$1)/10,0)*10,[1]Hugst!$R$4:$W$4,0))))</f>
        <v>0</v>
      </c>
      <c r="AD193" s="169">
        <f>IF($C193-AD$1&lt;År1,0,AC192*(1-VLOOKUP($A193,[1]Hugst!$R$5:$W$9,MATCH(ROUNDUP((AD$1)/10,0)*10,[1]Hugst!$R$4:$W$4,0))))</f>
        <v>0</v>
      </c>
      <c r="AE193" s="169">
        <f>IF($C193-AE$1&lt;År1,0,AD192*(1-VLOOKUP($A193,[1]Hugst!$R$5:$W$9,MATCH(ROUNDUP((AE$1)/10,0)*10,[1]Hugst!$R$4:$W$4,0))))</f>
        <v>0</v>
      </c>
      <c r="AF193" s="169">
        <f>IF($C193-AF$1&lt;År1,0,AE192*(1-VLOOKUP($A193,[1]Hugst!$R$5:$W$9,MATCH(ROUNDUP((AF$1)/10,0)*10,[1]Hugst!$R$4:$W$4,0))))</f>
        <v>0</v>
      </c>
      <c r="AG193" s="169">
        <f>IF($C193-AG$1&lt;År1,0,AF192*(1-VLOOKUP($A193,[1]Hugst!$R$5:$W$9,MATCH(ROUNDUP((AG$1)/10,0)*10,[1]Hugst!$R$4:$W$4,0))))</f>
        <v>0</v>
      </c>
      <c r="AH193" s="169">
        <f>IF($C193-AH$1&lt;År1,0,AG192*(1-VLOOKUP($A193,[1]Hugst!$R$5:$W$9,MATCH(ROUNDUP((AH$1)/10,0)*10,[1]Hugst!$R$4:$W$4,0))))</f>
        <v>0</v>
      </c>
      <c r="AI193" s="169">
        <f>IF($C193-AI$1&lt;År1,0,AH192*(1-VLOOKUP($A193,[1]Hugst!$R$5:$W$9,MATCH(ROUNDUP((AI$1)/10,0)*10,[1]Hugst!$R$4:$W$4,0))))</f>
        <v>0</v>
      </c>
      <c r="AJ193" s="169">
        <f>IF($C193-AJ$1&lt;År1,0,AI192*(1-VLOOKUP($A193,[1]Hugst!$R$5:$W$9,MATCH(ROUNDUP((AJ$1)/10,0)*10,[1]Hugst!$R$4:$W$4,0))))</f>
        <v>0</v>
      </c>
    </row>
    <row r="194" spans="1:36" x14ac:dyDescent="0.25">
      <c r="A194" s="169" t="s">
        <v>179</v>
      </c>
      <c r="B194" s="169" t="s">
        <v>23</v>
      </c>
      <c r="C194" s="169">
        <v>2026</v>
      </c>
      <c r="D194" s="169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69">
        <f t="shared" ca="1" si="4"/>
        <v>0</v>
      </c>
      <c r="F194" s="169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9">
        <f ca="1">IF($C194-G$1&lt;År1,0,F193*(1-VLOOKUP($A194,[1]Hugst!$R$5:$W$9,MATCH(ROUNDUP((G$1)/10,0)*10,[1]Hugst!$R$4:$W$4,0))))</f>
        <v>0</v>
      </c>
      <c r="H194" s="169">
        <f ca="1">IF($C194-H$1&lt;År1,0,G193*(1-VLOOKUP($A194,[1]Hugst!$R$5:$W$9,MATCH(ROUNDUP((H$1)/10,0)*10,[1]Hugst!$R$4:$W$4,0))))</f>
        <v>0</v>
      </c>
      <c r="I194" s="169">
        <f ca="1">IF($C194-I$1&lt;År1,0,H193*(1-VLOOKUP($A194,[1]Hugst!$R$5:$W$9,MATCH(ROUNDUP((I$1)/10,0)*10,[1]Hugst!$R$4:$W$4,0))))</f>
        <v>0</v>
      </c>
      <c r="J194" s="169">
        <f ca="1">IF($C194-J$1&lt;År1,0,I193*(1-VLOOKUP($A194,[1]Hugst!$R$5:$W$9,MATCH(ROUNDUP((J$1)/10,0)*10,[1]Hugst!$R$4:$W$4,0))))</f>
        <v>0</v>
      </c>
      <c r="K194" s="169">
        <f ca="1">IF($C194-K$1&lt;År1,0,J193*(1-VLOOKUP($A194,[1]Hugst!$R$5:$W$9,MATCH(ROUNDUP((K$1)/10,0)*10,[1]Hugst!$R$4:$W$4,0))))</f>
        <v>0</v>
      </c>
      <c r="L194" s="169">
        <f ca="1">IF($C194-L$1&lt;År1,0,K193*(1-VLOOKUP($A194,[1]Hugst!$R$5:$W$9,MATCH(ROUNDUP((L$1)/10,0)*10,[1]Hugst!$R$4:$W$4,0))))</f>
        <v>0</v>
      </c>
      <c r="M194" s="169">
        <f>IF($C194-M$1&lt;År1,0,L193*(1-VLOOKUP($A194,[1]Hugst!$R$5:$W$9,MATCH(ROUNDUP((M$1)/10,0)*10,[1]Hugst!$R$4:$W$4,0))))</f>
        <v>0</v>
      </c>
      <c r="N194" s="169">
        <f>IF($C194-N$1&lt;År1,0,M193*(1-VLOOKUP($A194,[1]Hugst!$R$5:$W$9,MATCH(ROUNDUP((N$1)/10,0)*10,[1]Hugst!$R$4:$W$4,0))))</f>
        <v>0</v>
      </c>
      <c r="O194" s="169">
        <f>IF($C194-O$1&lt;År1,0,N193*(1-VLOOKUP($A194,[1]Hugst!$R$5:$W$9,MATCH(ROUNDUP((O$1)/10,0)*10,[1]Hugst!$R$4:$W$4,0))))</f>
        <v>0</v>
      </c>
      <c r="P194" s="169">
        <f>IF($C194-P$1&lt;År1,0,O193*(1-VLOOKUP($A194,[1]Hugst!$R$5:$W$9,MATCH(ROUNDUP((P$1)/10,0)*10,[1]Hugst!$R$4:$W$4,0))))</f>
        <v>0</v>
      </c>
      <c r="Q194" s="169">
        <f>IF($C194-Q$1&lt;År1,0,P193*(1-VLOOKUP($A194,[1]Hugst!$R$5:$W$9,MATCH(ROUNDUP((Q$1)/10,0)*10,[1]Hugst!$R$4:$W$4,0))))</f>
        <v>0</v>
      </c>
      <c r="R194" s="169">
        <f>IF($C194-R$1&lt;År1,0,Q193*(1-VLOOKUP($A194,[1]Hugst!$R$5:$W$9,MATCH(ROUNDUP((R$1)/10,0)*10,[1]Hugst!$R$4:$W$4,0))))</f>
        <v>0</v>
      </c>
      <c r="S194" s="169">
        <f>IF($C194-S$1&lt;År1,0,R193*(1-VLOOKUP($A194,[1]Hugst!$R$5:$W$9,MATCH(ROUNDUP((S$1)/10,0)*10,[1]Hugst!$R$4:$W$4,0))))</f>
        <v>0</v>
      </c>
      <c r="T194" s="169">
        <f>IF($C194-T$1&lt;År1,0,S193*(1-VLOOKUP($A194,[1]Hugst!$R$5:$W$9,MATCH(ROUNDUP((T$1)/10,0)*10,[1]Hugst!$R$4:$W$4,0))))</f>
        <v>0</v>
      </c>
      <c r="U194" s="169">
        <f>IF($C194-U$1&lt;År1,0,T193*(1-VLOOKUP($A194,[1]Hugst!$R$5:$W$9,MATCH(ROUNDUP((U$1)/10,0)*10,[1]Hugst!$R$4:$W$4,0))))</f>
        <v>0</v>
      </c>
      <c r="V194" s="169">
        <f>IF($C194-V$1&lt;År1,0,U193*(1-VLOOKUP($A194,[1]Hugst!$R$5:$W$9,MATCH(ROUNDUP((V$1)/10,0)*10,[1]Hugst!$R$4:$W$4,0))))</f>
        <v>0</v>
      </c>
      <c r="W194" s="169">
        <f>IF($C194-W$1&lt;År1,0,V193*(1-VLOOKUP($A194,[1]Hugst!$R$5:$W$9,MATCH(ROUNDUP((W$1)/10,0)*10,[1]Hugst!$R$4:$W$4,0))))</f>
        <v>0</v>
      </c>
      <c r="X194" s="169">
        <f>IF($C194-X$1&lt;År1,0,W193*(1-VLOOKUP($A194,[1]Hugst!$R$5:$W$9,MATCH(ROUNDUP((X$1)/10,0)*10,[1]Hugst!$R$4:$W$4,0))))</f>
        <v>0</v>
      </c>
      <c r="Y194" s="169">
        <f>IF($C194-Y$1&lt;År1,0,X193*(1-VLOOKUP($A194,[1]Hugst!$R$5:$W$9,MATCH(ROUNDUP((Y$1)/10,0)*10,[1]Hugst!$R$4:$W$4,0))))</f>
        <v>0</v>
      </c>
      <c r="Z194" s="169">
        <f>IF($C194-Z$1&lt;År1,0,Y193*(1-VLOOKUP($A194,[1]Hugst!$R$5:$W$9,MATCH(ROUNDUP((Z$1)/10,0)*10,[1]Hugst!$R$4:$W$4,0))))</f>
        <v>0</v>
      </c>
      <c r="AA194" s="169">
        <f>IF($C194-AA$1&lt;År1,0,Z193*(1-VLOOKUP($A194,[1]Hugst!$R$5:$W$9,MATCH(ROUNDUP((AA$1)/10,0)*10,[1]Hugst!$R$4:$W$4,0))))</f>
        <v>0</v>
      </c>
      <c r="AB194" s="169">
        <f>IF($C194-AB$1&lt;År1,0,AA193*(1-VLOOKUP($A194,[1]Hugst!$R$5:$W$9,MATCH(ROUNDUP((AB$1)/10,0)*10,[1]Hugst!$R$4:$W$4,0))))</f>
        <v>0</v>
      </c>
      <c r="AC194" s="169">
        <f>IF($C194-AC$1&lt;År1,0,AB193*(1-VLOOKUP($A194,[1]Hugst!$R$5:$W$9,MATCH(ROUNDUP((AC$1)/10,0)*10,[1]Hugst!$R$4:$W$4,0))))</f>
        <v>0</v>
      </c>
      <c r="AD194" s="169">
        <f>IF($C194-AD$1&lt;År1,0,AC193*(1-VLOOKUP($A194,[1]Hugst!$R$5:$W$9,MATCH(ROUNDUP((AD$1)/10,0)*10,[1]Hugst!$R$4:$W$4,0))))</f>
        <v>0</v>
      </c>
      <c r="AE194" s="169">
        <f>IF($C194-AE$1&lt;År1,0,AD193*(1-VLOOKUP($A194,[1]Hugst!$R$5:$W$9,MATCH(ROUNDUP((AE$1)/10,0)*10,[1]Hugst!$R$4:$W$4,0))))</f>
        <v>0</v>
      </c>
      <c r="AF194" s="169">
        <f>IF($C194-AF$1&lt;År1,0,AE193*(1-VLOOKUP($A194,[1]Hugst!$R$5:$W$9,MATCH(ROUNDUP((AF$1)/10,0)*10,[1]Hugst!$R$4:$W$4,0))))</f>
        <v>0</v>
      </c>
      <c r="AG194" s="169">
        <f>IF($C194-AG$1&lt;År1,0,AF193*(1-VLOOKUP($A194,[1]Hugst!$R$5:$W$9,MATCH(ROUNDUP((AG$1)/10,0)*10,[1]Hugst!$R$4:$W$4,0))))</f>
        <v>0</v>
      </c>
      <c r="AH194" s="169">
        <f>IF($C194-AH$1&lt;År1,0,AG193*(1-VLOOKUP($A194,[1]Hugst!$R$5:$W$9,MATCH(ROUNDUP((AH$1)/10,0)*10,[1]Hugst!$R$4:$W$4,0))))</f>
        <v>0</v>
      </c>
      <c r="AI194" s="169">
        <f>IF($C194-AI$1&lt;År1,0,AH193*(1-VLOOKUP($A194,[1]Hugst!$R$5:$W$9,MATCH(ROUNDUP((AI$1)/10,0)*10,[1]Hugst!$R$4:$W$4,0))))</f>
        <v>0</v>
      </c>
      <c r="AJ194" s="169">
        <f>IF($C194-AJ$1&lt;År1,0,AI193*(1-VLOOKUP($A194,[1]Hugst!$R$5:$W$9,MATCH(ROUNDUP((AJ$1)/10,0)*10,[1]Hugst!$R$4:$W$4,0))))</f>
        <v>0</v>
      </c>
    </row>
    <row r="195" spans="1:36" x14ac:dyDescent="0.25">
      <c r="A195" s="169" t="s">
        <v>179</v>
      </c>
      <c r="B195" s="169" t="s">
        <v>23</v>
      </c>
      <c r="C195" s="169">
        <v>2027</v>
      </c>
      <c r="D195" s="169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69">
        <f t="shared" ca="1" si="4"/>
        <v>0</v>
      </c>
      <c r="F195" s="169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9">
        <f ca="1">IF($C195-G$1&lt;År1,0,F194*(1-VLOOKUP($A195,[1]Hugst!$R$5:$W$9,MATCH(ROUNDUP((G$1)/10,0)*10,[1]Hugst!$R$4:$W$4,0))))</f>
        <v>0</v>
      </c>
      <c r="H195" s="169">
        <f ca="1">IF($C195-H$1&lt;År1,0,G194*(1-VLOOKUP($A195,[1]Hugst!$R$5:$W$9,MATCH(ROUNDUP((H$1)/10,0)*10,[1]Hugst!$R$4:$W$4,0))))</f>
        <v>0</v>
      </c>
      <c r="I195" s="169">
        <f ca="1">IF($C195-I$1&lt;År1,0,H194*(1-VLOOKUP($A195,[1]Hugst!$R$5:$W$9,MATCH(ROUNDUP((I$1)/10,0)*10,[1]Hugst!$R$4:$W$4,0))))</f>
        <v>0</v>
      </c>
      <c r="J195" s="169">
        <f ca="1">IF($C195-J$1&lt;År1,0,I194*(1-VLOOKUP($A195,[1]Hugst!$R$5:$W$9,MATCH(ROUNDUP((J$1)/10,0)*10,[1]Hugst!$R$4:$W$4,0))))</f>
        <v>0</v>
      </c>
      <c r="K195" s="169">
        <f ca="1">IF($C195-K$1&lt;År1,0,J194*(1-VLOOKUP($A195,[1]Hugst!$R$5:$W$9,MATCH(ROUNDUP((K$1)/10,0)*10,[1]Hugst!$R$4:$W$4,0))))</f>
        <v>0</v>
      </c>
      <c r="L195" s="169">
        <f ca="1">IF($C195-L$1&lt;År1,0,K194*(1-VLOOKUP($A195,[1]Hugst!$R$5:$W$9,MATCH(ROUNDUP((L$1)/10,0)*10,[1]Hugst!$R$4:$W$4,0))))</f>
        <v>0</v>
      </c>
      <c r="M195" s="169">
        <f ca="1">IF($C195-M$1&lt;År1,0,L194*(1-VLOOKUP($A195,[1]Hugst!$R$5:$W$9,MATCH(ROUNDUP((M$1)/10,0)*10,[1]Hugst!$R$4:$W$4,0))))</f>
        <v>0</v>
      </c>
      <c r="N195" s="169">
        <f>IF($C195-N$1&lt;År1,0,M194*(1-VLOOKUP($A195,[1]Hugst!$R$5:$W$9,MATCH(ROUNDUP((N$1)/10,0)*10,[1]Hugst!$R$4:$W$4,0))))</f>
        <v>0</v>
      </c>
      <c r="O195" s="169">
        <f>IF($C195-O$1&lt;År1,0,N194*(1-VLOOKUP($A195,[1]Hugst!$R$5:$W$9,MATCH(ROUNDUP((O$1)/10,0)*10,[1]Hugst!$R$4:$W$4,0))))</f>
        <v>0</v>
      </c>
      <c r="P195" s="169">
        <f>IF($C195-P$1&lt;År1,0,O194*(1-VLOOKUP($A195,[1]Hugst!$R$5:$W$9,MATCH(ROUNDUP((P$1)/10,0)*10,[1]Hugst!$R$4:$W$4,0))))</f>
        <v>0</v>
      </c>
      <c r="Q195" s="169">
        <f>IF($C195-Q$1&lt;År1,0,P194*(1-VLOOKUP($A195,[1]Hugst!$R$5:$W$9,MATCH(ROUNDUP((Q$1)/10,0)*10,[1]Hugst!$R$4:$W$4,0))))</f>
        <v>0</v>
      </c>
      <c r="R195" s="169">
        <f>IF($C195-R$1&lt;År1,0,Q194*(1-VLOOKUP($A195,[1]Hugst!$R$5:$W$9,MATCH(ROUNDUP((R$1)/10,0)*10,[1]Hugst!$R$4:$W$4,0))))</f>
        <v>0</v>
      </c>
      <c r="S195" s="169">
        <f>IF($C195-S$1&lt;År1,0,R194*(1-VLOOKUP($A195,[1]Hugst!$R$5:$W$9,MATCH(ROUNDUP((S$1)/10,0)*10,[1]Hugst!$R$4:$W$4,0))))</f>
        <v>0</v>
      </c>
      <c r="T195" s="169">
        <f>IF($C195-T$1&lt;År1,0,S194*(1-VLOOKUP($A195,[1]Hugst!$R$5:$W$9,MATCH(ROUNDUP((T$1)/10,0)*10,[1]Hugst!$R$4:$W$4,0))))</f>
        <v>0</v>
      </c>
      <c r="U195" s="169">
        <f>IF($C195-U$1&lt;År1,0,T194*(1-VLOOKUP($A195,[1]Hugst!$R$5:$W$9,MATCH(ROUNDUP((U$1)/10,0)*10,[1]Hugst!$R$4:$W$4,0))))</f>
        <v>0</v>
      </c>
      <c r="V195" s="169">
        <f>IF($C195-V$1&lt;År1,0,U194*(1-VLOOKUP($A195,[1]Hugst!$R$5:$W$9,MATCH(ROUNDUP((V$1)/10,0)*10,[1]Hugst!$R$4:$W$4,0))))</f>
        <v>0</v>
      </c>
      <c r="W195" s="169">
        <f>IF($C195-W$1&lt;År1,0,V194*(1-VLOOKUP($A195,[1]Hugst!$R$5:$W$9,MATCH(ROUNDUP((W$1)/10,0)*10,[1]Hugst!$R$4:$W$4,0))))</f>
        <v>0</v>
      </c>
      <c r="X195" s="169">
        <f>IF($C195-X$1&lt;År1,0,W194*(1-VLOOKUP($A195,[1]Hugst!$R$5:$W$9,MATCH(ROUNDUP((X$1)/10,0)*10,[1]Hugst!$R$4:$W$4,0))))</f>
        <v>0</v>
      </c>
      <c r="Y195" s="169">
        <f>IF($C195-Y$1&lt;År1,0,X194*(1-VLOOKUP($A195,[1]Hugst!$R$5:$W$9,MATCH(ROUNDUP((Y$1)/10,0)*10,[1]Hugst!$R$4:$W$4,0))))</f>
        <v>0</v>
      </c>
      <c r="Z195" s="169">
        <f>IF($C195-Z$1&lt;År1,0,Y194*(1-VLOOKUP($A195,[1]Hugst!$R$5:$W$9,MATCH(ROUNDUP((Z$1)/10,0)*10,[1]Hugst!$R$4:$W$4,0))))</f>
        <v>0</v>
      </c>
      <c r="AA195" s="169">
        <f>IF($C195-AA$1&lt;År1,0,Z194*(1-VLOOKUP($A195,[1]Hugst!$R$5:$W$9,MATCH(ROUNDUP((AA$1)/10,0)*10,[1]Hugst!$R$4:$W$4,0))))</f>
        <v>0</v>
      </c>
      <c r="AB195" s="169">
        <f>IF($C195-AB$1&lt;År1,0,AA194*(1-VLOOKUP($A195,[1]Hugst!$R$5:$W$9,MATCH(ROUNDUP((AB$1)/10,0)*10,[1]Hugst!$R$4:$W$4,0))))</f>
        <v>0</v>
      </c>
      <c r="AC195" s="169">
        <f>IF($C195-AC$1&lt;År1,0,AB194*(1-VLOOKUP($A195,[1]Hugst!$R$5:$W$9,MATCH(ROUNDUP((AC$1)/10,0)*10,[1]Hugst!$R$4:$W$4,0))))</f>
        <v>0</v>
      </c>
      <c r="AD195" s="169">
        <f>IF($C195-AD$1&lt;År1,0,AC194*(1-VLOOKUP($A195,[1]Hugst!$R$5:$W$9,MATCH(ROUNDUP((AD$1)/10,0)*10,[1]Hugst!$R$4:$W$4,0))))</f>
        <v>0</v>
      </c>
      <c r="AE195" s="169">
        <f>IF($C195-AE$1&lt;År1,0,AD194*(1-VLOOKUP($A195,[1]Hugst!$R$5:$W$9,MATCH(ROUNDUP((AE$1)/10,0)*10,[1]Hugst!$R$4:$W$4,0))))</f>
        <v>0</v>
      </c>
      <c r="AF195" s="169">
        <f>IF($C195-AF$1&lt;År1,0,AE194*(1-VLOOKUP($A195,[1]Hugst!$R$5:$W$9,MATCH(ROUNDUP((AF$1)/10,0)*10,[1]Hugst!$R$4:$W$4,0))))</f>
        <v>0</v>
      </c>
      <c r="AG195" s="169">
        <f>IF($C195-AG$1&lt;År1,0,AF194*(1-VLOOKUP($A195,[1]Hugst!$R$5:$W$9,MATCH(ROUNDUP((AG$1)/10,0)*10,[1]Hugst!$R$4:$W$4,0))))</f>
        <v>0</v>
      </c>
      <c r="AH195" s="169">
        <f>IF($C195-AH$1&lt;År1,0,AG194*(1-VLOOKUP($A195,[1]Hugst!$R$5:$W$9,MATCH(ROUNDUP((AH$1)/10,0)*10,[1]Hugst!$R$4:$W$4,0))))</f>
        <v>0</v>
      </c>
      <c r="AI195" s="169">
        <f>IF($C195-AI$1&lt;År1,0,AH194*(1-VLOOKUP($A195,[1]Hugst!$R$5:$W$9,MATCH(ROUNDUP((AI$1)/10,0)*10,[1]Hugst!$R$4:$W$4,0))))</f>
        <v>0</v>
      </c>
      <c r="AJ195" s="169">
        <f>IF($C195-AJ$1&lt;År1,0,AI194*(1-VLOOKUP($A195,[1]Hugst!$R$5:$W$9,MATCH(ROUNDUP((AJ$1)/10,0)*10,[1]Hugst!$R$4:$W$4,0))))</f>
        <v>0</v>
      </c>
    </row>
    <row r="196" spans="1:36" x14ac:dyDescent="0.25">
      <c r="A196" s="169" t="s">
        <v>179</v>
      </c>
      <c r="B196" s="169" t="s">
        <v>23</v>
      </c>
      <c r="C196" s="169">
        <v>2028</v>
      </c>
      <c r="D196" s="169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69">
        <f t="shared" ca="1" si="4"/>
        <v>0</v>
      </c>
      <c r="F196" s="169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9">
        <f ca="1">IF($C196-G$1&lt;År1,0,F195*(1-VLOOKUP($A196,[1]Hugst!$R$5:$W$9,MATCH(ROUNDUP((G$1)/10,0)*10,[1]Hugst!$R$4:$W$4,0))))</f>
        <v>0</v>
      </c>
      <c r="H196" s="169">
        <f ca="1">IF($C196-H$1&lt;År1,0,G195*(1-VLOOKUP($A196,[1]Hugst!$R$5:$W$9,MATCH(ROUNDUP((H$1)/10,0)*10,[1]Hugst!$R$4:$W$4,0))))</f>
        <v>0</v>
      </c>
      <c r="I196" s="169">
        <f ca="1">IF($C196-I$1&lt;År1,0,H195*(1-VLOOKUP($A196,[1]Hugst!$R$5:$W$9,MATCH(ROUNDUP((I$1)/10,0)*10,[1]Hugst!$R$4:$W$4,0))))</f>
        <v>0</v>
      </c>
      <c r="J196" s="169">
        <f ca="1">IF($C196-J$1&lt;År1,0,I195*(1-VLOOKUP($A196,[1]Hugst!$R$5:$W$9,MATCH(ROUNDUP((J$1)/10,0)*10,[1]Hugst!$R$4:$W$4,0))))</f>
        <v>0</v>
      </c>
      <c r="K196" s="169">
        <f ca="1">IF($C196-K$1&lt;År1,0,J195*(1-VLOOKUP($A196,[1]Hugst!$R$5:$W$9,MATCH(ROUNDUP((K$1)/10,0)*10,[1]Hugst!$R$4:$W$4,0))))</f>
        <v>0</v>
      </c>
      <c r="L196" s="169">
        <f ca="1">IF($C196-L$1&lt;År1,0,K195*(1-VLOOKUP($A196,[1]Hugst!$R$5:$W$9,MATCH(ROUNDUP((L$1)/10,0)*10,[1]Hugst!$R$4:$W$4,0))))</f>
        <v>0</v>
      </c>
      <c r="M196" s="169">
        <f ca="1">IF($C196-M$1&lt;År1,0,L195*(1-VLOOKUP($A196,[1]Hugst!$R$5:$W$9,MATCH(ROUNDUP((M$1)/10,0)*10,[1]Hugst!$R$4:$W$4,0))))</f>
        <v>0</v>
      </c>
      <c r="N196" s="169">
        <f ca="1">IF($C196-N$1&lt;År1,0,M195*(1-VLOOKUP($A196,[1]Hugst!$R$5:$W$9,MATCH(ROUNDUP((N$1)/10,0)*10,[1]Hugst!$R$4:$W$4,0))))</f>
        <v>0</v>
      </c>
      <c r="O196" s="169">
        <f>IF($C196-O$1&lt;År1,0,N195*(1-VLOOKUP($A196,[1]Hugst!$R$5:$W$9,MATCH(ROUNDUP((O$1)/10,0)*10,[1]Hugst!$R$4:$W$4,0))))</f>
        <v>0</v>
      </c>
      <c r="P196" s="169">
        <f>IF($C196-P$1&lt;År1,0,O195*(1-VLOOKUP($A196,[1]Hugst!$R$5:$W$9,MATCH(ROUNDUP((P$1)/10,0)*10,[1]Hugst!$R$4:$W$4,0))))</f>
        <v>0</v>
      </c>
      <c r="Q196" s="169">
        <f>IF($C196-Q$1&lt;År1,0,P195*(1-VLOOKUP($A196,[1]Hugst!$R$5:$W$9,MATCH(ROUNDUP((Q$1)/10,0)*10,[1]Hugst!$R$4:$W$4,0))))</f>
        <v>0</v>
      </c>
      <c r="R196" s="169">
        <f>IF($C196-R$1&lt;År1,0,Q195*(1-VLOOKUP($A196,[1]Hugst!$R$5:$W$9,MATCH(ROUNDUP((R$1)/10,0)*10,[1]Hugst!$R$4:$W$4,0))))</f>
        <v>0</v>
      </c>
      <c r="S196" s="169">
        <f>IF($C196-S$1&lt;År1,0,R195*(1-VLOOKUP($A196,[1]Hugst!$R$5:$W$9,MATCH(ROUNDUP((S$1)/10,0)*10,[1]Hugst!$R$4:$W$4,0))))</f>
        <v>0</v>
      </c>
      <c r="T196" s="169">
        <f>IF($C196-T$1&lt;År1,0,S195*(1-VLOOKUP($A196,[1]Hugst!$R$5:$W$9,MATCH(ROUNDUP((T$1)/10,0)*10,[1]Hugst!$R$4:$W$4,0))))</f>
        <v>0</v>
      </c>
      <c r="U196" s="169">
        <f>IF($C196-U$1&lt;År1,0,T195*(1-VLOOKUP($A196,[1]Hugst!$R$5:$W$9,MATCH(ROUNDUP((U$1)/10,0)*10,[1]Hugst!$R$4:$W$4,0))))</f>
        <v>0</v>
      </c>
      <c r="V196" s="169">
        <f>IF($C196-V$1&lt;År1,0,U195*(1-VLOOKUP($A196,[1]Hugst!$R$5:$W$9,MATCH(ROUNDUP((V$1)/10,0)*10,[1]Hugst!$R$4:$W$4,0))))</f>
        <v>0</v>
      </c>
      <c r="W196" s="169">
        <f>IF($C196-W$1&lt;År1,0,V195*(1-VLOOKUP($A196,[1]Hugst!$R$5:$W$9,MATCH(ROUNDUP((W$1)/10,0)*10,[1]Hugst!$R$4:$W$4,0))))</f>
        <v>0</v>
      </c>
      <c r="X196" s="169">
        <f>IF($C196-X$1&lt;År1,0,W195*(1-VLOOKUP($A196,[1]Hugst!$R$5:$W$9,MATCH(ROUNDUP((X$1)/10,0)*10,[1]Hugst!$R$4:$W$4,0))))</f>
        <v>0</v>
      </c>
      <c r="Y196" s="169">
        <f>IF($C196-Y$1&lt;År1,0,X195*(1-VLOOKUP($A196,[1]Hugst!$R$5:$W$9,MATCH(ROUNDUP((Y$1)/10,0)*10,[1]Hugst!$R$4:$W$4,0))))</f>
        <v>0</v>
      </c>
      <c r="Z196" s="169">
        <f>IF($C196-Z$1&lt;År1,0,Y195*(1-VLOOKUP($A196,[1]Hugst!$R$5:$W$9,MATCH(ROUNDUP((Z$1)/10,0)*10,[1]Hugst!$R$4:$W$4,0))))</f>
        <v>0</v>
      </c>
      <c r="AA196" s="169">
        <f>IF($C196-AA$1&lt;År1,0,Z195*(1-VLOOKUP($A196,[1]Hugst!$R$5:$W$9,MATCH(ROUNDUP((AA$1)/10,0)*10,[1]Hugst!$R$4:$W$4,0))))</f>
        <v>0</v>
      </c>
      <c r="AB196" s="169">
        <f>IF($C196-AB$1&lt;År1,0,AA195*(1-VLOOKUP($A196,[1]Hugst!$R$5:$W$9,MATCH(ROUNDUP((AB$1)/10,0)*10,[1]Hugst!$R$4:$W$4,0))))</f>
        <v>0</v>
      </c>
      <c r="AC196" s="169">
        <f>IF($C196-AC$1&lt;År1,0,AB195*(1-VLOOKUP($A196,[1]Hugst!$R$5:$W$9,MATCH(ROUNDUP((AC$1)/10,0)*10,[1]Hugst!$R$4:$W$4,0))))</f>
        <v>0</v>
      </c>
      <c r="AD196" s="169">
        <f>IF($C196-AD$1&lt;År1,0,AC195*(1-VLOOKUP($A196,[1]Hugst!$R$5:$W$9,MATCH(ROUNDUP((AD$1)/10,0)*10,[1]Hugst!$R$4:$W$4,0))))</f>
        <v>0</v>
      </c>
      <c r="AE196" s="169">
        <f>IF($C196-AE$1&lt;År1,0,AD195*(1-VLOOKUP($A196,[1]Hugst!$R$5:$W$9,MATCH(ROUNDUP((AE$1)/10,0)*10,[1]Hugst!$R$4:$W$4,0))))</f>
        <v>0</v>
      </c>
      <c r="AF196" s="169">
        <f>IF($C196-AF$1&lt;År1,0,AE195*(1-VLOOKUP($A196,[1]Hugst!$R$5:$W$9,MATCH(ROUNDUP((AF$1)/10,0)*10,[1]Hugst!$R$4:$W$4,0))))</f>
        <v>0</v>
      </c>
      <c r="AG196" s="169">
        <f>IF($C196-AG$1&lt;År1,0,AF195*(1-VLOOKUP($A196,[1]Hugst!$R$5:$W$9,MATCH(ROUNDUP((AG$1)/10,0)*10,[1]Hugst!$R$4:$W$4,0))))</f>
        <v>0</v>
      </c>
      <c r="AH196" s="169">
        <f>IF($C196-AH$1&lt;År1,0,AG195*(1-VLOOKUP($A196,[1]Hugst!$R$5:$W$9,MATCH(ROUNDUP((AH$1)/10,0)*10,[1]Hugst!$R$4:$W$4,0))))</f>
        <v>0</v>
      </c>
      <c r="AI196" s="169">
        <f>IF($C196-AI$1&lt;År1,0,AH195*(1-VLOOKUP($A196,[1]Hugst!$R$5:$W$9,MATCH(ROUNDUP((AI$1)/10,0)*10,[1]Hugst!$R$4:$W$4,0))))</f>
        <v>0</v>
      </c>
      <c r="AJ196" s="169">
        <f>IF($C196-AJ$1&lt;År1,0,AI195*(1-VLOOKUP($A196,[1]Hugst!$R$5:$W$9,MATCH(ROUNDUP((AJ$1)/10,0)*10,[1]Hugst!$R$4:$W$4,0))))</f>
        <v>0</v>
      </c>
    </row>
    <row r="197" spans="1:36" x14ac:dyDescent="0.25">
      <c r="A197" s="169" t="s">
        <v>179</v>
      </c>
      <c r="B197" s="169" t="s">
        <v>23</v>
      </c>
      <c r="C197" s="169">
        <v>2029</v>
      </c>
      <c r="D197" s="169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69">
        <f t="shared" ca="1" si="4"/>
        <v>0</v>
      </c>
      <c r="F197" s="169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9">
        <f ca="1">IF($C197-G$1&lt;År1,0,F196*(1-VLOOKUP($A197,[1]Hugst!$R$5:$W$9,MATCH(ROUNDUP((G$1)/10,0)*10,[1]Hugst!$R$4:$W$4,0))))</f>
        <v>0</v>
      </c>
      <c r="H197" s="169">
        <f ca="1">IF($C197-H$1&lt;År1,0,G196*(1-VLOOKUP($A197,[1]Hugst!$R$5:$W$9,MATCH(ROUNDUP((H$1)/10,0)*10,[1]Hugst!$R$4:$W$4,0))))</f>
        <v>0</v>
      </c>
      <c r="I197" s="169">
        <f ca="1">IF($C197-I$1&lt;År1,0,H196*(1-VLOOKUP($A197,[1]Hugst!$R$5:$W$9,MATCH(ROUNDUP((I$1)/10,0)*10,[1]Hugst!$R$4:$W$4,0))))</f>
        <v>0</v>
      </c>
      <c r="J197" s="169">
        <f ca="1">IF($C197-J$1&lt;År1,0,I196*(1-VLOOKUP($A197,[1]Hugst!$R$5:$W$9,MATCH(ROUNDUP((J$1)/10,0)*10,[1]Hugst!$R$4:$W$4,0))))</f>
        <v>0</v>
      </c>
      <c r="K197" s="169">
        <f ca="1">IF($C197-K$1&lt;År1,0,J196*(1-VLOOKUP($A197,[1]Hugst!$R$5:$W$9,MATCH(ROUNDUP((K$1)/10,0)*10,[1]Hugst!$R$4:$W$4,0))))</f>
        <v>0</v>
      </c>
      <c r="L197" s="169">
        <f ca="1">IF($C197-L$1&lt;År1,0,K196*(1-VLOOKUP($A197,[1]Hugst!$R$5:$W$9,MATCH(ROUNDUP((L$1)/10,0)*10,[1]Hugst!$R$4:$W$4,0))))</f>
        <v>0</v>
      </c>
      <c r="M197" s="169">
        <f ca="1">IF($C197-M$1&lt;År1,0,L196*(1-VLOOKUP($A197,[1]Hugst!$R$5:$W$9,MATCH(ROUNDUP((M$1)/10,0)*10,[1]Hugst!$R$4:$W$4,0))))</f>
        <v>0</v>
      </c>
      <c r="N197" s="169">
        <f ca="1">IF($C197-N$1&lt;År1,0,M196*(1-VLOOKUP($A197,[1]Hugst!$R$5:$W$9,MATCH(ROUNDUP((N$1)/10,0)*10,[1]Hugst!$R$4:$W$4,0))))</f>
        <v>0</v>
      </c>
      <c r="O197" s="169">
        <f ca="1">IF($C197-O$1&lt;År1,0,N196*(1-VLOOKUP($A197,[1]Hugst!$R$5:$W$9,MATCH(ROUNDUP((O$1)/10,0)*10,[1]Hugst!$R$4:$W$4,0))))</f>
        <v>0</v>
      </c>
      <c r="P197" s="169">
        <f>IF($C197-P$1&lt;År1,0,O196*(1-VLOOKUP($A197,[1]Hugst!$R$5:$W$9,MATCH(ROUNDUP((P$1)/10,0)*10,[1]Hugst!$R$4:$W$4,0))))</f>
        <v>0</v>
      </c>
      <c r="Q197" s="169">
        <f>IF($C197-Q$1&lt;År1,0,P196*(1-VLOOKUP($A197,[1]Hugst!$R$5:$W$9,MATCH(ROUNDUP((Q$1)/10,0)*10,[1]Hugst!$R$4:$W$4,0))))</f>
        <v>0</v>
      </c>
      <c r="R197" s="169">
        <f>IF($C197-R$1&lt;År1,0,Q196*(1-VLOOKUP($A197,[1]Hugst!$R$5:$W$9,MATCH(ROUNDUP((R$1)/10,0)*10,[1]Hugst!$R$4:$W$4,0))))</f>
        <v>0</v>
      </c>
      <c r="S197" s="169">
        <f>IF($C197-S$1&lt;År1,0,R196*(1-VLOOKUP($A197,[1]Hugst!$R$5:$W$9,MATCH(ROUNDUP((S$1)/10,0)*10,[1]Hugst!$R$4:$W$4,0))))</f>
        <v>0</v>
      </c>
      <c r="T197" s="169">
        <f>IF($C197-T$1&lt;År1,0,S196*(1-VLOOKUP($A197,[1]Hugst!$R$5:$W$9,MATCH(ROUNDUP((T$1)/10,0)*10,[1]Hugst!$R$4:$W$4,0))))</f>
        <v>0</v>
      </c>
      <c r="U197" s="169">
        <f>IF($C197-U$1&lt;År1,0,T196*(1-VLOOKUP($A197,[1]Hugst!$R$5:$W$9,MATCH(ROUNDUP((U$1)/10,0)*10,[1]Hugst!$R$4:$W$4,0))))</f>
        <v>0</v>
      </c>
      <c r="V197" s="169">
        <f>IF($C197-V$1&lt;År1,0,U196*(1-VLOOKUP($A197,[1]Hugst!$R$5:$W$9,MATCH(ROUNDUP((V$1)/10,0)*10,[1]Hugst!$R$4:$W$4,0))))</f>
        <v>0</v>
      </c>
      <c r="W197" s="169">
        <f>IF($C197-W$1&lt;År1,0,V196*(1-VLOOKUP($A197,[1]Hugst!$R$5:$W$9,MATCH(ROUNDUP((W$1)/10,0)*10,[1]Hugst!$R$4:$W$4,0))))</f>
        <v>0</v>
      </c>
      <c r="X197" s="169">
        <f>IF($C197-X$1&lt;År1,0,W196*(1-VLOOKUP($A197,[1]Hugst!$R$5:$W$9,MATCH(ROUNDUP((X$1)/10,0)*10,[1]Hugst!$R$4:$W$4,0))))</f>
        <v>0</v>
      </c>
      <c r="Y197" s="169">
        <f>IF($C197-Y$1&lt;År1,0,X196*(1-VLOOKUP($A197,[1]Hugst!$R$5:$W$9,MATCH(ROUNDUP((Y$1)/10,0)*10,[1]Hugst!$R$4:$W$4,0))))</f>
        <v>0</v>
      </c>
      <c r="Z197" s="169">
        <f>IF($C197-Z$1&lt;År1,0,Y196*(1-VLOOKUP($A197,[1]Hugst!$R$5:$W$9,MATCH(ROUNDUP((Z$1)/10,0)*10,[1]Hugst!$R$4:$W$4,0))))</f>
        <v>0</v>
      </c>
      <c r="AA197" s="169">
        <f>IF($C197-AA$1&lt;År1,0,Z196*(1-VLOOKUP($A197,[1]Hugst!$R$5:$W$9,MATCH(ROUNDUP((AA$1)/10,0)*10,[1]Hugst!$R$4:$W$4,0))))</f>
        <v>0</v>
      </c>
      <c r="AB197" s="169">
        <f>IF($C197-AB$1&lt;År1,0,AA196*(1-VLOOKUP($A197,[1]Hugst!$R$5:$W$9,MATCH(ROUNDUP((AB$1)/10,0)*10,[1]Hugst!$R$4:$W$4,0))))</f>
        <v>0</v>
      </c>
      <c r="AC197" s="169">
        <f>IF($C197-AC$1&lt;År1,0,AB196*(1-VLOOKUP($A197,[1]Hugst!$R$5:$W$9,MATCH(ROUNDUP((AC$1)/10,0)*10,[1]Hugst!$R$4:$W$4,0))))</f>
        <v>0</v>
      </c>
      <c r="AD197" s="169">
        <f>IF($C197-AD$1&lt;År1,0,AC196*(1-VLOOKUP($A197,[1]Hugst!$R$5:$W$9,MATCH(ROUNDUP((AD$1)/10,0)*10,[1]Hugst!$R$4:$W$4,0))))</f>
        <v>0</v>
      </c>
      <c r="AE197" s="169">
        <f>IF($C197-AE$1&lt;År1,0,AD196*(1-VLOOKUP($A197,[1]Hugst!$R$5:$W$9,MATCH(ROUNDUP((AE$1)/10,0)*10,[1]Hugst!$R$4:$W$4,0))))</f>
        <v>0</v>
      </c>
      <c r="AF197" s="169">
        <f>IF($C197-AF$1&lt;År1,0,AE196*(1-VLOOKUP($A197,[1]Hugst!$R$5:$W$9,MATCH(ROUNDUP((AF$1)/10,0)*10,[1]Hugst!$R$4:$W$4,0))))</f>
        <v>0</v>
      </c>
      <c r="AG197" s="169">
        <f>IF($C197-AG$1&lt;År1,0,AF196*(1-VLOOKUP($A197,[1]Hugst!$R$5:$W$9,MATCH(ROUNDUP((AG$1)/10,0)*10,[1]Hugst!$R$4:$W$4,0))))</f>
        <v>0</v>
      </c>
      <c r="AH197" s="169">
        <f>IF($C197-AH$1&lt;År1,0,AG196*(1-VLOOKUP($A197,[1]Hugst!$R$5:$W$9,MATCH(ROUNDUP((AH$1)/10,0)*10,[1]Hugst!$R$4:$W$4,0))))</f>
        <v>0</v>
      </c>
      <c r="AI197" s="169">
        <f>IF($C197-AI$1&lt;År1,0,AH196*(1-VLOOKUP($A197,[1]Hugst!$R$5:$W$9,MATCH(ROUNDUP((AI$1)/10,0)*10,[1]Hugst!$R$4:$W$4,0))))</f>
        <v>0</v>
      </c>
      <c r="AJ197" s="169">
        <f>IF($C197-AJ$1&lt;År1,0,AI196*(1-VLOOKUP($A197,[1]Hugst!$R$5:$W$9,MATCH(ROUNDUP((AJ$1)/10,0)*10,[1]Hugst!$R$4:$W$4,0))))</f>
        <v>0</v>
      </c>
    </row>
    <row r="198" spans="1:36" x14ac:dyDescent="0.25">
      <c r="A198" s="169" t="s">
        <v>179</v>
      </c>
      <c r="B198" s="169" t="s">
        <v>23</v>
      </c>
      <c r="C198" s="169">
        <v>2030</v>
      </c>
      <c r="D198" s="169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69">
        <f t="shared" ca="1" si="4"/>
        <v>0</v>
      </c>
      <c r="F198" s="169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9">
        <f ca="1">IF($C198-G$1&lt;År1,0,F197*(1-VLOOKUP($A198,[1]Hugst!$R$5:$W$9,MATCH(ROUNDUP((G$1)/10,0)*10,[1]Hugst!$R$4:$W$4,0))))</f>
        <v>0</v>
      </c>
      <c r="H198" s="169">
        <f ca="1">IF($C198-H$1&lt;År1,0,G197*(1-VLOOKUP($A198,[1]Hugst!$R$5:$W$9,MATCH(ROUNDUP((H$1)/10,0)*10,[1]Hugst!$R$4:$W$4,0))))</f>
        <v>0</v>
      </c>
      <c r="I198" s="169">
        <f ca="1">IF($C198-I$1&lt;År1,0,H197*(1-VLOOKUP($A198,[1]Hugst!$R$5:$W$9,MATCH(ROUNDUP((I$1)/10,0)*10,[1]Hugst!$R$4:$W$4,0))))</f>
        <v>0</v>
      </c>
      <c r="J198" s="169">
        <f ca="1">IF($C198-J$1&lt;År1,0,I197*(1-VLOOKUP($A198,[1]Hugst!$R$5:$W$9,MATCH(ROUNDUP((J$1)/10,0)*10,[1]Hugst!$R$4:$W$4,0))))</f>
        <v>0</v>
      </c>
      <c r="K198" s="169">
        <f ca="1">IF($C198-K$1&lt;År1,0,J197*(1-VLOOKUP($A198,[1]Hugst!$R$5:$W$9,MATCH(ROUNDUP((K$1)/10,0)*10,[1]Hugst!$R$4:$W$4,0))))</f>
        <v>0</v>
      </c>
      <c r="L198" s="169">
        <f ca="1">IF($C198-L$1&lt;År1,0,K197*(1-VLOOKUP($A198,[1]Hugst!$R$5:$W$9,MATCH(ROUNDUP((L$1)/10,0)*10,[1]Hugst!$R$4:$W$4,0))))</f>
        <v>0</v>
      </c>
      <c r="M198" s="169">
        <f ca="1">IF($C198-M$1&lt;År1,0,L197*(1-VLOOKUP($A198,[1]Hugst!$R$5:$W$9,MATCH(ROUNDUP((M$1)/10,0)*10,[1]Hugst!$R$4:$W$4,0))))</f>
        <v>0</v>
      </c>
      <c r="N198" s="169">
        <f ca="1">IF($C198-N$1&lt;År1,0,M197*(1-VLOOKUP($A198,[1]Hugst!$R$5:$W$9,MATCH(ROUNDUP((N$1)/10,0)*10,[1]Hugst!$R$4:$W$4,0))))</f>
        <v>0</v>
      </c>
      <c r="O198" s="169">
        <f ca="1">IF($C198-O$1&lt;År1,0,N197*(1-VLOOKUP($A198,[1]Hugst!$R$5:$W$9,MATCH(ROUNDUP((O$1)/10,0)*10,[1]Hugst!$R$4:$W$4,0))))</f>
        <v>0</v>
      </c>
      <c r="P198" s="169">
        <f ca="1">IF($C198-P$1&lt;År1,0,O197*(1-VLOOKUP($A198,[1]Hugst!$R$5:$W$9,MATCH(ROUNDUP((P$1)/10,0)*10,[1]Hugst!$R$4:$W$4,0))))</f>
        <v>0</v>
      </c>
      <c r="Q198" s="169">
        <f>IF($C198-Q$1&lt;År1,0,P197*(1-VLOOKUP($A198,[1]Hugst!$R$5:$W$9,MATCH(ROUNDUP((Q$1)/10,0)*10,[1]Hugst!$R$4:$W$4,0))))</f>
        <v>0</v>
      </c>
      <c r="R198" s="169">
        <f>IF($C198-R$1&lt;År1,0,Q197*(1-VLOOKUP($A198,[1]Hugst!$R$5:$W$9,MATCH(ROUNDUP((R$1)/10,0)*10,[1]Hugst!$R$4:$W$4,0))))</f>
        <v>0</v>
      </c>
      <c r="S198" s="169">
        <f>IF($C198-S$1&lt;År1,0,R197*(1-VLOOKUP($A198,[1]Hugst!$R$5:$W$9,MATCH(ROUNDUP((S$1)/10,0)*10,[1]Hugst!$R$4:$W$4,0))))</f>
        <v>0</v>
      </c>
      <c r="T198" s="169">
        <f>IF($C198-T$1&lt;År1,0,S197*(1-VLOOKUP($A198,[1]Hugst!$R$5:$W$9,MATCH(ROUNDUP((T$1)/10,0)*10,[1]Hugst!$R$4:$W$4,0))))</f>
        <v>0</v>
      </c>
      <c r="U198" s="169">
        <f>IF($C198-U$1&lt;År1,0,T197*(1-VLOOKUP($A198,[1]Hugst!$R$5:$W$9,MATCH(ROUNDUP((U$1)/10,0)*10,[1]Hugst!$R$4:$W$4,0))))</f>
        <v>0</v>
      </c>
      <c r="V198" s="169">
        <f>IF($C198-V$1&lt;År1,0,U197*(1-VLOOKUP($A198,[1]Hugst!$R$5:$W$9,MATCH(ROUNDUP((V$1)/10,0)*10,[1]Hugst!$R$4:$W$4,0))))</f>
        <v>0</v>
      </c>
      <c r="W198" s="169">
        <f>IF($C198-W$1&lt;År1,0,V197*(1-VLOOKUP($A198,[1]Hugst!$R$5:$W$9,MATCH(ROUNDUP((W$1)/10,0)*10,[1]Hugst!$R$4:$W$4,0))))</f>
        <v>0</v>
      </c>
      <c r="X198" s="169">
        <f>IF($C198-X$1&lt;År1,0,W197*(1-VLOOKUP($A198,[1]Hugst!$R$5:$W$9,MATCH(ROUNDUP((X$1)/10,0)*10,[1]Hugst!$R$4:$W$4,0))))</f>
        <v>0</v>
      </c>
      <c r="Y198" s="169">
        <f>IF($C198-Y$1&lt;År1,0,X197*(1-VLOOKUP($A198,[1]Hugst!$R$5:$W$9,MATCH(ROUNDUP((Y$1)/10,0)*10,[1]Hugst!$R$4:$W$4,0))))</f>
        <v>0</v>
      </c>
      <c r="Z198" s="169">
        <f>IF($C198-Z$1&lt;År1,0,Y197*(1-VLOOKUP($A198,[1]Hugst!$R$5:$W$9,MATCH(ROUNDUP((Z$1)/10,0)*10,[1]Hugst!$R$4:$W$4,0))))</f>
        <v>0</v>
      </c>
      <c r="AA198" s="169">
        <f>IF($C198-AA$1&lt;År1,0,Z197*(1-VLOOKUP($A198,[1]Hugst!$R$5:$W$9,MATCH(ROUNDUP((AA$1)/10,0)*10,[1]Hugst!$R$4:$W$4,0))))</f>
        <v>0</v>
      </c>
      <c r="AB198" s="169">
        <f>IF($C198-AB$1&lt;År1,0,AA197*(1-VLOOKUP($A198,[1]Hugst!$R$5:$W$9,MATCH(ROUNDUP((AB$1)/10,0)*10,[1]Hugst!$R$4:$W$4,0))))</f>
        <v>0</v>
      </c>
      <c r="AC198" s="169">
        <f>IF($C198-AC$1&lt;År1,0,AB197*(1-VLOOKUP($A198,[1]Hugst!$R$5:$W$9,MATCH(ROUNDUP((AC$1)/10,0)*10,[1]Hugst!$R$4:$W$4,0))))</f>
        <v>0</v>
      </c>
      <c r="AD198" s="169">
        <f>IF($C198-AD$1&lt;År1,0,AC197*(1-VLOOKUP($A198,[1]Hugst!$R$5:$W$9,MATCH(ROUNDUP((AD$1)/10,0)*10,[1]Hugst!$R$4:$W$4,0))))</f>
        <v>0</v>
      </c>
      <c r="AE198" s="169">
        <f>IF($C198-AE$1&lt;År1,0,AD197*(1-VLOOKUP($A198,[1]Hugst!$R$5:$W$9,MATCH(ROUNDUP((AE$1)/10,0)*10,[1]Hugst!$R$4:$W$4,0))))</f>
        <v>0</v>
      </c>
      <c r="AF198" s="169">
        <f>IF($C198-AF$1&lt;År1,0,AE197*(1-VLOOKUP($A198,[1]Hugst!$R$5:$W$9,MATCH(ROUNDUP((AF$1)/10,0)*10,[1]Hugst!$R$4:$W$4,0))))</f>
        <v>0</v>
      </c>
      <c r="AG198" s="169">
        <f>IF($C198-AG$1&lt;År1,0,AF197*(1-VLOOKUP($A198,[1]Hugst!$R$5:$W$9,MATCH(ROUNDUP((AG$1)/10,0)*10,[1]Hugst!$R$4:$W$4,0))))</f>
        <v>0</v>
      </c>
      <c r="AH198" s="169">
        <f>IF($C198-AH$1&lt;År1,0,AG197*(1-VLOOKUP($A198,[1]Hugst!$R$5:$W$9,MATCH(ROUNDUP((AH$1)/10,0)*10,[1]Hugst!$R$4:$W$4,0))))</f>
        <v>0</v>
      </c>
      <c r="AI198" s="169">
        <f>IF($C198-AI$1&lt;År1,0,AH197*(1-VLOOKUP($A198,[1]Hugst!$R$5:$W$9,MATCH(ROUNDUP((AI$1)/10,0)*10,[1]Hugst!$R$4:$W$4,0))))</f>
        <v>0</v>
      </c>
      <c r="AJ198" s="169">
        <f>IF($C198-AJ$1&lt;År1,0,AI197*(1-VLOOKUP($A198,[1]Hugst!$R$5:$W$9,MATCH(ROUNDUP((AJ$1)/10,0)*10,[1]Hugst!$R$4:$W$4,0))))</f>
        <v>0</v>
      </c>
    </row>
    <row r="199" spans="1:36" x14ac:dyDescent="0.25">
      <c r="A199" s="169" t="s">
        <v>179</v>
      </c>
      <c r="B199" s="169" t="s">
        <v>23</v>
      </c>
      <c r="C199" s="169">
        <v>2031</v>
      </c>
      <c r="D199" s="169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69">
        <f t="shared" ca="1" si="4"/>
        <v>0</v>
      </c>
      <c r="F199" s="169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9">
        <f ca="1">IF($C199-G$1&lt;År1,0,F198*(1-VLOOKUP($A199,[1]Hugst!$R$5:$W$9,MATCH(ROUNDUP((G$1)/10,0)*10,[1]Hugst!$R$4:$W$4,0))))</f>
        <v>0</v>
      </c>
      <c r="H199" s="169">
        <f ca="1">IF($C199-H$1&lt;År1,0,G198*(1-VLOOKUP($A199,[1]Hugst!$R$5:$W$9,MATCH(ROUNDUP((H$1)/10,0)*10,[1]Hugst!$R$4:$W$4,0))))</f>
        <v>0</v>
      </c>
      <c r="I199" s="169">
        <f ca="1">IF($C199-I$1&lt;År1,0,H198*(1-VLOOKUP($A199,[1]Hugst!$R$5:$W$9,MATCH(ROUNDUP((I$1)/10,0)*10,[1]Hugst!$R$4:$W$4,0))))</f>
        <v>0</v>
      </c>
      <c r="J199" s="169">
        <f ca="1">IF($C199-J$1&lt;År1,0,I198*(1-VLOOKUP($A199,[1]Hugst!$R$5:$W$9,MATCH(ROUNDUP((J$1)/10,0)*10,[1]Hugst!$R$4:$W$4,0))))</f>
        <v>0</v>
      </c>
      <c r="K199" s="169">
        <f ca="1">IF($C199-K$1&lt;År1,0,J198*(1-VLOOKUP($A199,[1]Hugst!$R$5:$W$9,MATCH(ROUNDUP((K$1)/10,0)*10,[1]Hugst!$R$4:$W$4,0))))</f>
        <v>0</v>
      </c>
      <c r="L199" s="169">
        <f ca="1">IF($C199-L$1&lt;År1,0,K198*(1-VLOOKUP($A199,[1]Hugst!$R$5:$W$9,MATCH(ROUNDUP((L$1)/10,0)*10,[1]Hugst!$R$4:$W$4,0))))</f>
        <v>0</v>
      </c>
      <c r="M199" s="169">
        <f ca="1">IF($C199-M$1&lt;År1,0,L198*(1-VLOOKUP($A199,[1]Hugst!$R$5:$W$9,MATCH(ROUNDUP((M$1)/10,0)*10,[1]Hugst!$R$4:$W$4,0))))</f>
        <v>0</v>
      </c>
      <c r="N199" s="169">
        <f ca="1">IF($C199-N$1&lt;År1,0,M198*(1-VLOOKUP($A199,[1]Hugst!$R$5:$W$9,MATCH(ROUNDUP((N$1)/10,0)*10,[1]Hugst!$R$4:$W$4,0))))</f>
        <v>0</v>
      </c>
      <c r="O199" s="169">
        <f ca="1">IF($C199-O$1&lt;År1,0,N198*(1-VLOOKUP($A199,[1]Hugst!$R$5:$W$9,MATCH(ROUNDUP((O$1)/10,0)*10,[1]Hugst!$R$4:$W$4,0))))</f>
        <v>0</v>
      </c>
      <c r="P199" s="169">
        <f ca="1">IF($C199-P$1&lt;År1,0,O198*(1-VLOOKUP($A199,[1]Hugst!$R$5:$W$9,MATCH(ROUNDUP((P$1)/10,0)*10,[1]Hugst!$R$4:$W$4,0))))</f>
        <v>0</v>
      </c>
      <c r="Q199" s="169">
        <f ca="1">IF($C199-Q$1&lt;År1,0,P198*(1-VLOOKUP($A199,[1]Hugst!$R$5:$W$9,MATCH(ROUNDUP((Q$1)/10,0)*10,[1]Hugst!$R$4:$W$4,0))))</f>
        <v>0</v>
      </c>
      <c r="R199" s="169">
        <f>IF($C199-R$1&lt;År1,0,Q198*(1-VLOOKUP($A199,[1]Hugst!$R$5:$W$9,MATCH(ROUNDUP((R$1)/10,0)*10,[1]Hugst!$R$4:$W$4,0))))</f>
        <v>0</v>
      </c>
      <c r="S199" s="169">
        <f>IF($C199-S$1&lt;År1,0,R198*(1-VLOOKUP($A199,[1]Hugst!$R$5:$W$9,MATCH(ROUNDUP((S$1)/10,0)*10,[1]Hugst!$R$4:$W$4,0))))</f>
        <v>0</v>
      </c>
      <c r="T199" s="169">
        <f>IF($C199-T$1&lt;År1,0,S198*(1-VLOOKUP($A199,[1]Hugst!$R$5:$W$9,MATCH(ROUNDUP((T$1)/10,0)*10,[1]Hugst!$R$4:$W$4,0))))</f>
        <v>0</v>
      </c>
      <c r="U199" s="169">
        <f>IF($C199-U$1&lt;År1,0,T198*(1-VLOOKUP($A199,[1]Hugst!$R$5:$W$9,MATCH(ROUNDUP((U$1)/10,0)*10,[1]Hugst!$R$4:$W$4,0))))</f>
        <v>0</v>
      </c>
      <c r="V199" s="169">
        <f>IF($C199-V$1&lt;År1,0,U198*(1-VLOOKUP($A199,[1]Hugst!$R$5:$W$9,MATCH(ROUNDUP((V$1)/10,0)*10,[1]Hugst!$R$4:$W$4,0))))</f>
        <v>0</v>
      </c>
      <c r="W199" s="169">
        <f>IF($C199-W$1&lt;År1,0,V198*(1-VLOOKUP($A199,[1]Hugst!$R$5:$W$9,MATCH(ROUNDUP((W$1)/10,0)*10,[1]Hugst!$R$4:$W$4,0))))</f>
        <v>0</v>
      </c>
      <c r="X199" s="169">
        <f>IF($C199-X$1&lt;År1,0,W198*(1-VLOOKUP($A199,[1]Hugst!$R$5:$W$9,MATCH(ROUNDUP((X$1)/10,0)*10,[1]Hugst!$R$4:$W$4,0))))</f>
        <v>0</v>
      </c>
      <c r="Y199" s="169">
        <f>IF($C199-Y$1&lt;År1,0,X198*(1-VLOOKUP($A199,[1]Hugst!$R$5:$W$9,MATCH(ROUNDUP((Y$1)/10,0)*10,[1]Hugst!$R$4:$W$4,0))))</f>
        <v>0</v>
      </c>
      <c r="Z199" s="169">
        <f>IF($C199-Z$1&lt;År1,0,Y198*(1-VLOOKUP($A199,[1]Hugst!$R$5:$W$9,MATCH(ROUNDUP((Z$1)/10,0)*10,[1]Hugst!$R$4:$W$4,0))))</f>
        <v>0</v>
      </c>
      <c r="AA199" s="169">
        <f>IF($C199-AA$1&lt;År1,0,Z198*(1-VLOOKUP($A199,[1]Hugst!$R$5:$W$9,MATCH(ROUNDUP((AA$1)/10,0)*10,[1]Hugst!$R$4:$W$4,0))))</f>
        <v>0</v>
      </c>
      <c r="AB199" s="169">
        <f>IF($C199-AB$1&lt;År1,0,AA198*(1-VLOOKUP($A199,[1]Hugst!$R$5:$W$9,MATCH(ROUNDUP((AB$1)/10,0)*10,[1]Hugst!$R$4:$W$4,0))))</f>
        <v>0</v>
      </c>
      <c r="AC199" s="169">
        <f>IF($C199-AC$1&lt;År1,0,AB198*(1-VLOOKUP($A199,[1]Hugst!$R$5:$W$9,MATCH(ROUNDUP((AC$1)/10,0)*10,[1]Hugst!$R$4:$W$4,0))))</f>
        <v>0</v>
      </c>
      <c r="AD199" s="169">
        <f>IF($C199-AD$1&lt;År1,0,AC198*(1-VLOOKUP($A199,[1]Hugst!$R$5:$W$9,MATCH(ROUNDUP((AD$1)/10,0)*10,[1]Hugst!$R$4:$W$4,0))))</f>
        <v>0</v>
      </c>
      <c r="AE199" s="169">
        <f>IF($C199-AE$1&lt;År1,0,AD198*(1-VLOOKUP($A199,[1]Hugst!$R$5:$W$9,MATCH(ROUNDUP((AE$1)/10,0)*10,[1]Hugst!$R$4:$W$4,0))))</f>
        <v>0</v>
      </c>
      <c r="AF199" s="169">
        <f>IF($C199-AF$1&lt;År1,0,AE198*(1-VLOOKUP($A199,[1]Hugst!$R$5:$W$9,MATCH(ROUNDUP((AF$1)/10,0)*10,[1]Hugst!$R$4:$W$4,0))))</f>
        <v>0</v>
      </c>
      <c r="AG199" s="169">
        <f>IF($C199-AG$1&lt;År1,0,AF198*(1-VLOOKUP($A199,[1]Hugst!$R$5:$W$9,MATCH(ROUNDUP((AG$1)/10,0)*10,[1]Hugst!$R$4:$W$4,0))))</f>
        <v>0</v>
      </c>
      <c r="AH199" s="169">
        <f>IF($C199-AH$1&lt;År1,0,AG198*(1-VLOOKUP($A199,[1]Hugst!$R$5:$W$9,MATCH(ROUNDUP((AH$1)/10,0)*10,[1]Hugst!$R$4:$W$4,0))))</f>
        <v>0</v>
      </c>
      <c r="AI199" s="169">
        <f>IF($C199-AI$1&lt;År1,0,AH198*(1-VLOOKUP($A199,[1]Hugst!$R$5:$W$9,MATCH(ROUNDUP((AI$1)/10,0)*10,[1]Hugst!$R$4:$W$4,0))))</f>
        <v>0</v>
      </c>
      <c r="AJ199" s="169">
        <f>IF($C199-AJ$1&lt;År1,0,AI198*(1-VLOOKUP($A199,[1]Hugst!$R$5:$W$9,MATCH(ROUNDUP((AJ$1)/10,0)*10,[1]Hugst!$R$4:$W$4,0))))</f>
        <v>0</v>
      </c>
    </row>
    <row r="200" spans="1:36" x14ac:dyDescent="0.25">
      <c r="A200" s="169" t="s">
        <v>179</v>
      </c>
      <c r="B200" s="169" t="s">
        <v>23</v>
      </c>
      <c r="C200" s="169">
        <v>2032</v>
      </c>
      <c r="D200" s="169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69">
        <f t="shared" ca="1" si="4"/>
        <v>0</v>
      </c>
      <c r="F200" s="169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9">
        <f ca="1">IF($C200-G$1&lt;År1,0,F199*(1-VLOOKUP($A200,[1]Hugst!$R$5:$W$9,MATCH(ROUNDUP((G$1)/10,0)*10,[1]Hugst!$R$4:$W$4,0))))</f>
        <v>0</v>
      </c>
      <c r="H200" s="169">
        <f ca="1">IF($C200-H$1&lt;År1,0,G199*(1-VLOOKUP($A200,[1]Hugst!$R$5:$W$9,MATCH(ROUNDUP((H$1)/10,0)*10,[1]Hugst!$R$4:$W$4,0))))</f>
        <v>0</v>
      </c>
      <c r="I200" s="169">
        <f ca="1">IF($C200-I$1&lt;År1,0,H199*(1-VLOOKUP($A200,[1]Hugst!$R$5:$W$9,MATCH(ROUNDUP((I$1)/10,0)*10,[1]Hugst!$R$4:$W$4,0))))</f>
        <v>0</v>
      </c>
      <c r="J200" s="169">
        <f ca="1">IF($C200-J$1&lt;År1,0,I199*(1-VLOOKUP($A200,[1]Hugst!$R$5:$W$9,MATCH(ROUNDUP((J$1)/10,0)*10,[1]Hugst!$R$4:$W$4,0))))</f>
        <v>0</v>
      </c>
      <c r="K200" s="169">
        <f ca="1">IF($C200-K$1&lt;År1,0,J199*(1-VLOOKUP($A200,[1]Hugst!$R$5:$W$9,MATCH(ROUNDUP((K$1)/10,0)*10,[1]Hugst!$R$4:$W$4,0))))</f>
        <v>0</v>
      </c>
      <c r="L200" s="169">
        <f ca="1">IF($C200-L$1&lt;År1,0,K199*(1-VLOOKUP($A200,[1]Hugst!$R$5:$W$9,MATCH(ROUNDUP((L$1)/10,0)*10,[1]Hugst!$R$4:$W$4,0))))</f>
        <v>0</v>
      </c>
      <c r="M200" s="169">
        <f ca="1">IF($C200-M$1&lt;År1,0,L199*(1-VLOOKUP($A200,[1]Hugst!$R$5:$W$9,MATCH(ROUNDUP((M$1)/10,0)*10,[1]Hugst!$R$4:$W$4,0))))</f>
        <v>0</v>
      </c>
      <c r="N200" s="169">
        <f ca="1">IF($C200-N$1&lt;År1,0,M199*(1-VLOOKUP($A200,[1]Hugst!$R$5:$W$9,MATCH(ROUNDUP((N$1)/10,0)*10,[1]Hugst!$R$4:$W$4,0))))</f>
        <v>0</v>
      </c>
      <c r="O200" s="169">
        <f ca="1">IF($C200-O$1&lt;År1,0,N199*(1-VLOOKUP($A200,[1]Hugst!$R$5:$W$9,MATCH(ROUNDUP((O$1)/10,0)*10,[1]Hugst!$R$4:$W$4,0))))</f>
        <v>0</v>
      </c>
      <c r="P200" s="169">
        <f ca="1">IF($C200-P$1&lt;År1,0,O199*(1-VLOOKUP($A200,[1]Hugst!$R$5:$W$9,MATCH(ROUNDUP((P$1)/10,0)*10,[1]Hugst!$R$4:$W$4,0))))</f>
        <v>0</v>
      </c>
      <c r="Q200" s="169">
        <f ca="1">IF($C200-Q$1&lt;År1,0,P199*(1-VLOOKUP($A200,[1]Hugst!$R$5:$W$9,MATCH(ROUNDUP((Q$1)/10,0)*10,[1]Hugst!$R$4:$W$4,0))))</f>
        <v>0</v>
      </c>
      <c r="R200" s="169">
        <f ca="1">IF($C200-R$1&lt;År1,0,Q199*(1-VLOOKUP($A200,[1]Hugst!$R$5:$W$9,MATCH(ROUNDUP((R$1)/10,0)*10,[1]Hugst!$R$4:$W$4,0))))</f>
        <v>0</v>
      </c>
      <c r="S200" s="169">
        <f>IF($C200-S$1&lt;År1,0,R199*(1-VLOOKUP($A200,[1]Hugst!$R$5:$W$9,MATCH(ROUNDUP((S$1)/10,0)*10,[1]Hugst!$R$4:$W$4,0))))</f>
        <v>0</v>
      </c>
      <c r="T200" s="169">
        <f>IF($C200-T$1&lt;År1,0,S199*(1-VLOOKUP($A200,[1]Hugst!$R$5:$W$9,MATCH(ROUNDUP((T$1)/10,0)*10,[1]Hugst!$R$4:$W$4,0))))</f>
        <v>0</v>
      </c>
      <c r="U200" s="169">
        <f>IF($C200-U$1&lt;År1,0,T199*(1-VLOOKUP($A200,[1]Hugst!$R$5:$W$9,MATCH(ROUNDUP((U$1)/10,0)*10,[1]Hugst!$R$4:$W$4,0))))</f>
        <v>0</v>
      </c>
      <c r="V200" s="169">
        <f>IF($C200-V$1&lt;År1,0,U199*(1-VLOOKUP($A200,[1]Hugst!$R$5:$W$9,MATCH(ROUNDUP((V$1)/10,0)*10,[1]Hugst!$R$4:$W$4,0))))</f>
        <v>0</v>
      </c>
      <c r="W200" s="169">
        <f>IF($C200-W$1&lt;År1,0,V199*(1-VLOOKUP($A200,[1]Hugst!$R$5:$W$9,MATCH(ROUNDUP((W$1)/10,0)*10,[1]Hugst!$R$4:$W$4,0))))</f>
        <v>0</v>
      </c>
      <c r="X200" s="169">
        <f>IF($C200-X$1&lt;År1,0,W199*(1-VLOOKUP($A200,[1]Hugst!$R$5:$W$9,MATCH(ROUNDUP((X$1)/10,0)*10,[1]Hugst!$R$4:$W$4,0))))</f>
        <v>0</v>
      </c>
      <c r="Y200" s="169">
        <f>IF($C200-Y$1&lt;År1,0,X199*(1-VLOOKUP($A200,[1]Hugst!$R$5:$W$9,MATCH(ROUNDUP((Y$1)/10,0)*10,[1]Hugst!$R$4:$W$4,0))))</f>
        <v>0</v>
      </c>
      <c r="Z200" s="169">
        <f>IF($C200-Z$1&lt;År1,0,Y199*(1-VLOOKUP($A200,[1]Hugst!$R$5:$W$9,MATCH(ROUNDUP((Z$1)/10,0)*10,[1]Hugst!$R$4:$W$4,0))))</f>
        <v>0</v>
      </c>
      <c r="AA200" s="169">
        <f>IF($C200-AA$1&lt;År1,0,Z199*(1-VLOOKUP($A200,[1]Hugst!$R$5:$W$9,MATCH(ROUNDUP((AA$1)/10,0)*10,[1]Hugst!$R$4:$W$4,0))))</f>
        <v>0</v>
      </c>
      <c r="AB200" s="169">
        <f>IF($C200-AB$1&lt;År1,0,AA199*(1-VLOOKUP($A200,[1]Hugst!$R$5:$W$9,MATCH(ROUNDUP((AB$1)/10,0)*10,[1]Hugst!$R$4:$W$4,0))))</f>
        <v>0</v>
      </c>
      <c r="AC200" s="169">
        <f>IF($C200-AC$1&lt;År1,0,AB199*(1-VLOOKUP($A200,[1]Hugst!$R$5:$W$9,MATCH(ROUNDUP((AC$1)/10,0)*10,[1]Hugst!$R$4:$W$4,0))))</f>
        <v>0</v>
      </c>
      <c r="AD200" s="169">
        <f>IF($C200-AD$1&lt;År1,0,AC199*(1-VLOOKUP($A200,[1]Hugst!$R$5:$W$9,MATCH(ROUNDUP((AD$1)/10,0)*10,[1]Hugst!$R$4:$W$4,0))))</f>
        <v>0</v>
      </c>
      <c r="AE200" s="169">
        <f>IF($C200-AE$1&lt;År1,0,AD199*(1-VLOOKUP($A200,[1]Hugst!$R$5:$W$9,MATCH(ROUNDUP((AE$1)/10,0)*10,[1]Hugst!$R$4:$W$4,0))))</f>
        <v>0</v>
      </c>
      <c r="AF200" s="169">
        <f>IF($C200-AF$1&lt;År1,0,AE199*(1-VLOOKUP($A200,[1]Hugst!$R$5:$W$9,MATCH(ROUNDUP((AF$1)/10,0)*10,[1]Hugst!$R$4:$W$4,0))))</f>
        <v>0</v>
      </c>
      <c r="AG200" s="169">
        <f>IF($C200-AG$1&lt;År1,0,AF199*(1-VLOOKUP($A200,[1]Hugst!$R$5:$W$9,MATCH(ROUNDUP((AG$1)/10,0)*10,[1]Hugst!$R$4:$W$4,0))))</f>
        <v>0</v>
      </c>
      <c r="AH200" s="169">
        <f>IF($C200-AH$1&lt;År1,0,AG199*(1-VLOOKUP($A200,[1]Hugst!$R$5:$W$9,MATCH(ROUNDUP((AH$1)/10,0)*10,[1]Hugst!$R$4:$W$4,0))))</f>
        <v>0</v>
      </c>
      <c r="AI200" s="169">
        <f>IF($C200-AI$1&lt;År1,0,AH199*(1-VLOOKUP($A200,[1]Hugst!$R$5:$W$9,MATCH(ROUNDUP((AI$1)/10,0)*10,[1]Hugst!$R$4:$W$4,0))))</f>
        <v>0</v>
      </c>
      <c r="AJ200" s="169">
        <f>IF($C200-AJ$1&lt;År1,0,AI199*(1-VLOOKUP($A200,[1]Hugst!$R$5:$W$9,MATCH(ROUNDUP((AJ$1)/10,0)*10,[1]Hugst!$R$4:$W$4,0))))</f>
        <v>0</v>
      </c>
    </row>
    <row r="201" spans="1:36" x14ac:dyDescent="0.25">
      <c r="A201" s="169" t="s">
        <v>179</v>
      </c>
      <c r="B201" s="169" t="s">
        <v>23</v>
      </c>
      <c r="C201" s="169">
        <v>2033</v>
      </c>
      <c r="D201" s="169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69">
        <f t="shared" ca="1" si="4"/>
        <v>0</v>
      </c>
      <c r="F201" s="169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9">
        <f ca="1">IF($C201-G$1&lt;År1,0,F200*(1-VLOOKUP($A201,[1]Hugst!$R$5:$W$9,MATCH(ROUNDUP((G$1)/10,0)*10,[1]Hugst!$R$4:$W$4,0))))</f>
        <v>0</v>
      </c>
      <c r="H201" s="169">
        <f ca="1">IF($C201-H$1&lt;År1,0,G200*(1-VLOOKUP($A201,[1]Hugst!$R$5:$W$9,MATCH(ROUNDUP((H$1)/10,0)*10,[1]Hugst!$R$4:$W$4,0))))</f>
        <v>0</v>
      </c>
      <c r="I201" s="169">
        <f ca="1">IF($C201-I$1&lt;År1,0,H200*(1-VLOOKUP($A201,[1]Hugst!$R$5:$W$9,MATCH(ROUNDUP((I$1)/10,0)*10,[1]Hugst!$R$4:$W$4,0))))</f>
        <v>0</v>
      </c>
      <c r="J201" s="169">
        <f ca="1">IF($C201-J$1&lt;År1,0,I200*(1-VLOOKUP($A201,[1]Hugst!$R$5:$W$9,MATCH(ROUNDUP((J$1)/10,0)*10,[1]Hugst!$R$4:$W$4,0))))</f>
        <v>0</v>
      </c>
      <c r="K201" s="169">
        <f ca="1">IF($C201-K$1&lt;År1,0,J200*(1-VLOOKUP($A201,[1]Hugst!$R$5:$W$9,MATCH(ROUNDUP((K$1)/10,0)*10,[1]Hugst!$R$4:$W$4,0))))</f>
        <v>0</v>
      </c>
      <c r="L201" s="169">
        <f ca="1">IF($C201-L$1&lt;År1,0,K200*(1-VLOOKUP($A201,[1]Hugst!$R$5:$W$9,MATCH(ROUNDUP((L$1)/10,0)*10,[1]Hugst!$R$4:$W$4,0))))</f>
        <v>0</v>
      </c>
      <c r="M201" s="169">
        <f ca="1">IF($C201-M$1&lt;År1,0,L200*(1-VLOOKUP($A201,[1]Hugst!$R$5:$W$9,MATCH(ROUNDUP((M$1)/10,0)*10,[1]Hugst!$R$4:$W$4,0))))</f>
        <v>0</v>
      </c>
      <c r="N201" s="169">
        <f ca="1">IF($C201-N$1&lt;År1,0,M200*(1-VLOOKUP($A201,[1]Hugst!$R$5:$W$9,MATCH(ROUNDUP((N$1)/10,0)*10,[1]Hugst!$R$4:$W$4,0))))</f>
        <v>0</v>
      </c>
      <c r="O201" s="169">
        <f ca="1">IF($C201-O$1&lt;År1,0,N200*(1-VLOOKUP($A201,[1]Hugst!$R$5:$W$9,MATCH(ROUNDUP((O$1)/10,0)*10,[1]Hugst!$R$4:$W$4,0))))</f>
        <v>0</v>
      </c>
      <c r="P201" s="169">
        <f ca="1">IF($C201-P$1&lt;År1,0,O200*(1-VLOOKUP($A201,[1]Hugst!$R$5:$W$9,MATCH(ROUNDUP((P$1)/10,0)*10,[1]Hugst!$R$4:$W$4,0))))</f>
        <v>0</v>
      </c>
      <c r="Q201" s="169">
        <f ca="1">IF($C201-Q$1&lt;År1,0,P200*(1-VLOOKUP($A201,[1]Hugst!$R$5:$W$9,MATCH(ROUNDUP((Q$1)/10,0)*10,[1]Hugst!$R$4:$W$4,0))))</f>
        <v>0</v>
      </c>
      <c r="R201" s="169">
        <f ca="1">IF($C201-R$1&lt;År1,0,Q200*(1-VLOOKUP($A201,[1]Hugst!$R$5:$W$9,MATCH(ROUNDUP((R$1)/10,0)*10,[1]Hugst!$R$4:$W$4,0))))</f>
        <v>0</v>
      </c>
      <c r="S201" s="169">
        <f ca="1">IF($C201-S$1&lt;År1,0,R200*(1-VLOOKUP($A201,[1]Hugst!$R$5:$W$9,MATCH(ROUNDUP((S$1)/10,0)*10,[1]Hugst!$R$4:$W$4,0))))</f>
        <v>0</v>
      </c>
      <c r="T201" s="169">
        <f>IF($C201-T$1&lt;År1,0,S200*(1-VLOOKUP($A201,[1]Hugst!$R$5:$W$9,MATCH(ROUNDUP((T$1)/10,0)*10,[1]Hugst!$R$4:$W$4,0))))</f>
        <v>0</v>
      </c>
      <c r="U201" s="169">
        <f>IF($C201-U$1&lt;År1,0,T200*(1-VLOOKUP($A201,[1]Hugst!$R$5:$W$9,MATCH(ROUNDUP((U$1)/10,0)*10,[1]Hugst!$R$4:$W$4,0))))</f>
        <v>0</v>
      </c>
      <c r="V201" s="169">
        <f>IF($C201-V$1&lt;År1,0,U200*(1-VLOOKUP($A201,[1]Hugst!$R$5:$W$9,MATCH(ROUNDUP((V$1)/10,0)*10,[1]Hugst!$R$4:$W$4,0))))</f>
        <v>0</v>
      </c>
      <c r="W201" s="169">
        <f>IF($C201-W$1&lt;År1,0,V200*(1-VLOOKUP($A201,[1]Hugst!$R$5:$W$9,MATCH(ROUNDUP((W$1)/10,0)*10,[1]Hugst!$R$4:$W$4,0))))</f>
        <v>0</v>
      </c>
      <c r="X201" s="169">
        <f>IF($C201-X$1&lt;År1,0,W200*(1-VLOOKUP($A201,[1]Hugst!$R$5:$W$9,MATCH(ROUNDUP((X$1)/10,0)*10,[1]Hugst!$R$4:$W$4,0))))</f>
        <v>0</v>
      </c>
      <c r="Y201" s="169">
        <f>IF($C201-Y$1&lt;År1,0,X200*(1-VLOOKUP($A201,[1]Hugst!$R$5:$W$9,MATCH(ROUNDUP((Y$1)/10,0)*10,[1]Hugst!$R$4:$W$4,0))))</f>
        <v>0</v>
      </c>
      <c r="Z201" s="169">
        <f>IF($C201-Z$1&lt;År1,0,Y200*(1-VLOOKUP($A201,[1]Hugst!$R$5:$W$9,MATCH(ROUNDUP((Z$1)/10,0)*10,[1]Hugst!$R$4:$W$4,0))))</f>
        <v>0</v>
      </c>
      <c r="AA201" s="169">
        <f>IF($C201-AA$1&lt;År1,0,Z200*(1-VLOOKUP($A201,[1]Hugst!$R$5:$W$9,MATCH(ROUNDUP((AA$1)/10,0)*10,[1]Hugst!$R$4:$W$4,0))))</f>
        <v>0</v>
      </c>
      <c r="AB201" s="169">
        <f>IF($C201-AB$1&lt;År1,0,AA200*(1-VLOOKUP($A201,[1]Hugst!$R$5:$W$9,MATCH(ROUNDUP((AB$1)/10,0)*10,[1]Hugst!$R$4:$W$4,0))))</f>
        <v>0</v>
      </c>
      <c r="AC201" s="169">
        <f>IF($C201-AC$1&lt;År1,0,AB200*(1-VLOOKUP($A201,[1]Hugst!$R$5:$W$9,MATCH(ROUNDUP((AC$1)/10,0)*10,[1]Hugst!$R$4:$W$4,0))))</f>
        <v>0</v>
      </c>
      <c r="AD201" s="169">
        <f>IF($C201-AD$1&lt;År1,0,AC200*(1-VLOOKUP($A201,[1]Hugst!$R$5:$W$9,MATCH(ROUNDUP((AD$1)/10,0)*10,[1]Hugst!$R$4:$W$4,0))))</f>
        <v>0</v>
      </c>
      <c r="AE201" s="169">
        <f>IF($C201-AE$1&lt;År1,0,AD200*(1-VLOOKUP($A201,[1]Hugst!$R$5:$W$9,MATCH(ROUNDUP((AE$1)/10,0)*10,[1]Hugst!$R$4:$W$4,0))))</f>
        <v>0</v>
      </c>
      <c r="AF201" s="169">
        <f>IF($C201-AF$1&lt;År1,0,AE200*(1-VLOOKUP($A201,[1]Hugst!$R$5:$W$9,MATCH(ROUNDUP((AF$1)/10,0)*10,[1]Hugst!$R$4:$W$4,0))))</f>
        <v>0</v>
      </c>
      <c r="AG201" s="169">
        <f>IF($C201-AG$1&lt;År1,0,AF200*(1-VLOOKUP($A201,[1]Hugst!$R$5:$W$9,MATCH(ROUNDUP((AG$1)/10,0)*10,[1]Hugst!$R$4:$W$4,0))))</f>
        <v>0</v>
      </c>
      <c r="AH201" s="169">
        <f>IF($C201-AH$1&lt;År1,0,AG200*(1-VLOOKUP($A201,[1]Hugst!$R$5:$W$9,MATCH(ROUNDUP((AH$1)/10,0)*10,[1]Hugst!$R$4:$W$4,0))))</f>
        <v>0</v>
      </c>
      <c r="AI201" s="169">
        <f>IF($C201-AI$1&lt;År1,0,AH200*(1-VLOOKUP($A201,[1]Hugst!$R$5:$W$9,MATCH(ROUNDUP((AI$1)/10,0)*10,[1]Hugst!$R$4:$W$4,0))))</f>
        <v>0</v>
      </c>
      <c r="AJ201" s="169">
        <f>IF($C201-AJ$1&lt;År1,0,AI200*(1-VLOOKUP($A201,[1]Hugst!$R$5:$W$9,MATCH(ROUNDUP((AJ$1)/10,0)*10,[1]Hugst!$R$4:$W$4,0))))</f>
        <v>0</v>
      </c>
    </row>
    <row r="202" spans="1:36" x14ac:dyDescent="0.25">
      <c r="A202" s="169" t="s">
        <v>179</v>
      </c>
      <c r="B202" s="169" t="s">
        <v>23</v>
      </c>
      <c r="C202" s="169">
        <v>2034</v>
      </c>
      <c r="D202" s="169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69">
        <f t="shared" ca="1" si="4"/>
        <v>0</v>
      </c>
      <c r="F202" s="169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9">
        <f ca="1">IF($C202-G$1&lt;År1,0,F201*(1-VLOOKUP($A202,[1]Hugst!$R$5:$W$9,MATCH(ROUNDUP((G$1)/10,0)*10,[1]Hugst!$R$4:$W$4,0))))</f>
        <v>0</v>
      </c>
      <c r="H202" s="169">
        <f ca="1">IF($C202-H$1&lt;År1,0,G201*(1-VLOOKUP($A202,[1]Hugst!$R$5:$W$9,MATCH(ROUNDUP((H$1)/10,0)*10,[1]Hugst!$R$4:$W$4,0))))</f>
        <v>0</v>
      </c>
      <c r="I202" s="169">
        <f ca="1">IF($C202-I$1&lt;År1,0,H201*(1-VLOOKUP($A202,[1]Hugst!$R$5:$W$9,MATCH(ROUNDUP((I$1)/10,0)*10,[1]Hugst!$R$4:$W$4,0))))</f>
        <v>0</v>
      </c>
      <c r="J202" s="169">
        <f ca="1">IF($C202-J$1&lt;År1,0,I201*(1-VLOOKUP($A202,[1]Hugst!$R$5:$W$9,MATCH(ROUNDUP((J$1)/10,0)*10,[1]Hugst!$R$4:$W$4,0))))</f>
        <v>0</v>
      </c>
      <c r="K202" s="169">
        <f ca="1">IF($C202-K$1&lt;År1,0,J201*(1-VLOOKUP($A202,[1]Hugst!$R$5:$W$9,MATCH(ROUNDUP((K$1)/10,0)*10,[1]Hugst!$R$4:$W$4,0))))</f>
        <v>0</v>
      </c>
      <c r="L202" s="169">
        <f ca="1">IF($C202-L$1&lt;År1,0,K201*(1-VLOOKUP($A202,[1]Hugst!$R$5:$W$9,MATCH(ROUNDUP((L$1)/10,0)*10,[1]Hugst!$R$4:$W$4,0))))</f>
        <v>0</v>
      </c>
      <c r="M202" s="169">
        <f ca="1">IF($C202-M$1&lt;År1,0,L201*(1-VLOOKUP($A202,[1]Hugst!$R$5:$W$9,MATCH(ROUNDUP((M$1)/10,0)*10,[1]Hugst!$R$4:$W$4,0))))</f>
        <v>0</v>
      </c>
      <c r="N202" s="169">
        <f ca="1">IF($C202-N$1&lt;År1,0,M201*(1-VLOOKUP($A202,[1]Hugst!$R$5:$W$9,MATCH(ROUNDUP((N$1)/10,0)*10,[1]Hugst!$R$4:$W$4,0))))</f>
        <v>0</v>
      </c>
      <c r="O202" s="169">
        <f ca="1">IF($C202-O$1&lt;År1,0,N201*(1-VLOOKUP($A202,[1]Hugst!$R$5:$W$9,MATCH(ROUNDUP((O$1)/10,0)*10,[1]Hugst!$R$4:$W$4,0))))</f>
        <v>0</v>
      </c>
      <c r="P202" s="169">
        <f ca="1">IF($C202-P$1&lt;År1,0,O201*(1-VLOOKUP($A202,[1]Hugst!$R$5:$W$9,MATCH(ROUNDUP((P$1)/10,0)*10,[1]Hugst!$R$4:$W$4,0))))</f>
        <v>0</v>
      </c>
      <c r="Q202" s="169">
        <f ca="1">IF($C202-Q$1&lt;År1,0,P201*(1-VLOOKUP($A202,[1]Hugst!$R$5:$W$9,MATCH(ROUNDUP((Q$1)/10,0)*10,[1]Hugst!$R$4:$W$4,0))))</f>
        <v>0</v>
      </c>
      <c r="R202" s="169">
        <f ca="1">IF($C202-R$1&lt;År1,0,Q201*(1-VLOOKUP($A202,[1]Hugst!$R$5:$W$9,MATCH(ROUNDUP((R$1)/10,0)*10,[1]Hugst!$R$4:$W$4,0))))</f>
        <v>0</v>
      </c>
      <c r="S202" s="169">
        <f ca="1">IF($C202-S$1&lt;År1,0,R201*(1-VLOOKUP($A202,[1]Hugst!$R$5:$W$9,MATCH(ROUNDUP((S$1)/10,0)*10,[1]Hugst!$R$4:$W$4,0))))</f>
        <v>0</v>
      </c>
      <c r="T202" s="169">
        <f ca="1">IF($C202-T$1&lt;År1,0,S201*(1-VLOOKUP($A202,[1]Hugst!$R$5:$W$9,MATCH(ROUNDUP((T$1)/10,0)*10,[1]Hugst!$R$4:$W$4,0))))</f>
        <v>0</v>
      </c>
      <c r="U202" s="169">
        <f>IF($C202-U$1&lt;År1,0,T201*(1-VLOOKUP($A202,[1]Hugst!$R$5:$W$9,MATCH(ROUNDUP((U$1)/10,0)*10,[1]Hugst!$R$4:$W$4,0))))</f>
        <v>0</v>
      </c>
      <c r="V202" s="169">
        <f>IF($C202-V$1&lt;År1,0,U201*(1-VLOOKUP($A202,[1]Hugst!$R$5:$W$9,MATCH(ROUNDUP((V$1)/10,0)*10,[1]Hugst!$R$4:$W$4,0))))</f>
        <v>0</v>
      </c>
      <c r="W202" s="169">
        <f>IF($C202-W$1&lt;År1,0,V201*(1-VLOOKUP($A202,[1]Hugst!$R$5:$W$9,MATCH(ROUNDUP((W$1)/10,0)*10,[1]Hugst!$R$4:$W$4,0))))</f>
        <v>0</v>
      </c>
      <c r="X202" s="169">
        <f>IF($C202-X$1&lt;År1,0,W201*(1-VLOOKUP($A202,[1]Hugst!$R$5:$W$9,MATCH(ROUNDUP((X$1)/10,0)*10,[1]Hugst!$R$4:$W$4,0))))</f>
        <v>0</v>
      </c>
      <c r="Y202" s="169">
        <f>IF($C202-Y$1&lt;År1,0,X201*(1-VLOOKUP($A202,[1]Hugst!$R$5:$W$9,MATCH(ROUNDUP((Y$1)/10,0)*10,[1]Hugst!$R$4:$W$4,0))))</f>
        <v>0</v>
      </c>
      <c r="Z202" s="169">
        <f>IF($C202-Z$1&lt;År1,0,Y201*(1-VLOOKUP($A202,[1]Hugst!$R$5:$W$9,MATCH(ROUNDUP((Z$1)/10,0)*10,[1]Hugst!$R$4:$W$4,0))))</f>
        <v>0</v>
      </c>
      <c r="AA202" s="169">
        <f>IF($C202-AA$1&lt;År1,0,Z201*(1-VLOOKUP($A202,[1]Hugst!$R$5:$W$9,MATCH(ROUNDUP((AA$1)/10,0)*10,[1]Hugst!$R$4:$W$4,0))))</f>
        <v>0</v>
      </c>
      <c r="AB202" s="169">
        <f>IF($C202-AB$1&lt;År1,0,AA201*(1-VLOOKUP($A202,[1]Hugst!$R$5:$W$9,MATCH(ROUNDUP((AB$1)/10,0)*10,[1]Hugst!$R$4:$W$4,0))))</f>
        <v>0</v>
      </c>
      <c r="AC202" s="169">
        <f>IF($C202-AC$1&lt;År1,0,AB201*(1-VLOOKUP($A202,[1]Hugst!$R$5:$W$9,MATCH(ROUNDUP((AC$1)/10,0)*10,[1]Hugst!$R$4:$W$4,0))))</f>
        <v>0</v>
      </c>
      <c r="AD202" s="169">
        <f>IF($C202-AD$1&lt;År1,0,AC201*(1-VLOOKUP($A202,[1]Hugst!$R$5:$W$9,MATCH(ROUNDUP((AD$1)/10,0)*10,[1]Hugst!$R$4:$W$4,0))))</f>
        <v>0</v>
      </c>
      <c r="AE202" s="169">
        <f>IF($C202-AE$1&lt;År1,0,AD201*(1-VLOOKUP($A202,[1]Hugst!$R$5:$W$9,MATCH(ROUNDUP((AE$1)/10,0)*10,[1]Hugst!$R$4:$W$4,0))))</f>
        <v>0</v>
      </c>
      <c r="AF202" s="169">
        <f>IF($C202-AF$1&lt;År1,0,AE201*(1-VLOOKUP($A202,[1]Hugst!$R$5:$W$9,MATCH(ROUNDUP((AF$1)/10,0)*10,[1]Hugst!$R$4:$W$4,0))))</f>
        <v>0</v>
      </c>
      <c r="AG202" s="169">
        <f>IF($C202-AG$1&lt;År1,0,AF201*(1-VLOOKUP($A202,[1]Hugst!$R$5:$W$9,MATCH(ROUNDUP((AG$1)/10,0)*10,[1]Hugst!$R$4:$W$4,0))))</f>
        <v>0</v>
      </c>
      <c r="AH202" s="169">
        <f>IF($C202-AH$1&lt;År1,0,AG201*(1-VLOOKUP($A202,[1]Hugst!$R$5:$W$9,MATCH(ROUNDUP((AH$1)/10,0)*10,[1]Hugst!$R$4:$W$4,0))))</f>
        <v>0</v>
      </c>
      <c r="AI202" s="169">
        <f>IF($C202-AI$1&lt;År1,0,AH201*(1-VLOOKUP($A202,[1]Hugst!$R$5:$W$9,MATCH(ROUNDUP((AI$1)/10,0)*10,[1]Hugst!$R$4:$W$4,0))))</f>
        <v>0</v>
      </c>
      <c r="AJ202" s="169">
        <f>IF($C202-AJ$1&lt;År1,0,AI201*(1-VLOOKUP($A202,[1]Hugst!$R$5:$W$9,MATCH(ROUNDUP((AJ$1)/10,0)*10,[1]Hugst!$R$4:$W$4,0))))</f>
        <v>0</v>
      </c>
    </row>
    <row r="203" spans="1:36" x14ac:dyDescent="0.25">
      <c r="A203" s="169" t="s">
        <v>179</v>
      </c>
      <c r="B203" s="169" t="s">
        <v>23</v>
      </c>
      <c r="C203" s="169">
        <v>2035</v>
      </c>
      <c r="D203" s="169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69">
        <f t="shared" ca="1" si="4"/>
        <v>0</v>
      </c>
      <c r="F203" s="169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9">
        <f ca="1">IF($C203-G$1&lt;År1,0,F202*(1-VLOOKUP($A203,[1]Hugst!$R$5:$W$9,MATCH(ROUNDUP((G$1)/10,0)*10,[1]Hugst!$R$4:$W$4,0))))</f>
        <v>0</v>
      </c>
      <c r="H203" s="169">
        <f ca="1">IF($C203-H$1&lt;År1,0,G202*(1-VLOOKUP($A203,[1]Hugst!$R$5:$W$9,MATCH(ROUNDUP((H$1)/10,0)*10,[1]Hugst!$R$4:$W$4,0))))</f>
        <v>0</v>
      </c>
      <c r="I203" s="169">
        <f ca="1">IF($C203-I$1&lt;År1,0,H202*(1-VLOOKUP($A203,[1]Hugst!$R$5:$W$9,MATCH(ROUNDUP((I$1)/10,0)*10,[1]Hugst!$R$4:$W$4,0))))</f>
        <v>0</v>
      </c>
      <c r="J203" s="169">
        <f ca="1">IF($C203-J$1&lt;År1,0,I202*(1-VLOOKUP($A203,[1]Hugst!$R$5:$W$9,MATCH(ROUNDUP((J$1)/10,0)*10,[1]Hugst!$R$4:$W$4,0))))</f>
        <v>0</v>
      </c>
      <c r="K203" s="169">
        <f ca="1">IF($C203-K$1&lt;År1,0,J202*(1-VLOOKUP($A203,[1]Hugst!$R$5:$W$9,MATCH(ROUNDUP((K$1)/10,0)*10,[1]Hugst!$R$4:$W$4,0))))</f>
        <v>0</v>
      </c>
      <c r="L203" s="169">
        <f ca="1">IF($C203-L$1&lt;År1,0,K202*(1-VLOOKUP($A203,[1]Hugst!$R$5:$W$9,MATCH(ROUNDUP((L$1)/10,0)*10,[1]Hugst!$R$4:$W$4,0))))</f>
        <v>0</v>
      </c>
      <c r="M203" s="169">
        <f ca="1">IF($C203-M$1&lt;År1,0,L202*(1-VLOOKUP($A203,[1]Hugst!$R$5:$W$9,MATCH(ROUNDUP((M$1)/10,0)*10,[1]Hugst!$R$4:$W$4,0))))</f>
        <v>0</v>
      </c>
      <c r="N203" s="169">
        <f ca="1">IF($C203-N$1&lt;År1,0,M202*(1-VLOOKUP($A203,[1]Hugst!$R$5:$W$9,MATCH(ROUNDUP((N$1)/10,0)*10,[1]Hugst!$R$4:$W$4,0))))</f>
        <v>0</v>
      </c>
      <c r="O203" s="169">
        <f ca="1">IF($C203-O$1&lt;År1,0,N202*(1-VLOOKUP($A203,[1]Hugst!$R$5:$W$9,MATCH(ROUNDUP((O$1)/10,0)*10,[1]Hugst!$R$4:$W$4,0))))</f>
        <v>0</v>
      </c>
      <c r="P203" s="169">
        <f ca="1">IF($C203-P$1&lt;År1,0,O202*(1-VLOOKUP($A203,[1]Hugst!$R$5:$W$9,MATCH(ROUNDUP((P$1)/10,0)*10,[1]Hugst!$R$4:$W$4,0))))</f>
        <v>0</v>
      </c>
      <c r="Q203" s="169">
        <f ca="1">IF($C203-Q$1&lt;År1,0,P202*(1-VLOOKUP($A203,[1]Hugst!$R$5:$W$9,MATCH(ROUNDUP((Q$1)/10,0)*10,[1]Hugst!$R$4:$W$4,0))))</f>
        <v>0</v>
      </c>
      <c r="R203" s="169">
        <f ca="1">IF($C203-R$1&lt;År1,0,Q202*(1-VLOOKUP($A203,[1]Hugst!$R$5:$W$9,MATCH(ROUNDUP((R$1)/10,0)*10,[1]Hugst!$R$4:$W$4,0))))</f>
        <v>0</v>
      </c>
      <c r="S203" s="169">
        <f ca="1">IF($C203-S$1&lt;År1,0,R202*(1-VLOOKUP($A203,[1]Hugst!$R$5:$W$9,MATCH(ROUNDUP((S$1)/10,0)*10,[1]Hugst!$R$4:$W$4,0))))</f>
        <v>0</v>
      </c>
      <c r="T203" s="169">
        <f ca="1">IF($C203-T$1&lt;År1,0,S202*(1-VLOOKUP($A203,[1]Hugst!$R$5:$W$9,MATCH(ROUNDUP((T$1)/10,0)*10,[1]Hugst!$R$4:$W$4,0))))</f>
        <v>0</v>
      </c>
      <c r="U203" s="169">
        <f ca="1">IF($C203-U$1&lt;År1,0,T202*(1-VLOOKUP($A203,[1]Hugst!$R$5:$W$9,MATCH(ROUNDUP((U$1)/10,0)*10,[1]Hugst!$R$4:$W$4,0))))</f>
        <v>0</v>
      </c>
      <c r="V203" s="169">
        <f>IF($C203-V$1&lt;År1,0,U202*(1-VLOOKUP($A203,[1]Hugst!$R$5:$W$9,MATCH(ROUNDUP((V$1)/10,0)*10,[1]Hugst!$R$4:$W$4,0))))</f>
        <v>0</v>
      </c>
      <c r="W203" s="169">
        <f>IF($C203-W$1&lt;År1,0,V202*(1-VLOOKUP($A203,[1]Hugst!$R$5:$W$9,MATCH(ROUNDUP((W$1)/10,0)*10,[1]Hugst!$R$4:$W$4,0))))</f>
        <v>0</v>
      </c>
      <c r="X203" s="169">
        <f>IF($C203-X$1&lt;År1,0,W202*(1-VLOOKUP($A203,[1]Hugst!$R$5:$W$9,MATCH(ROUNDUP((X$1)/10,0)*10,[1]Hugst!$R$4:$W$4,0))))</f>
        <v>0</v>
      </c>
      <c r="Y203" s="169">
        <f>IF($C203-Y$1&lt;År1,0,X202*(1-VLOOKUP($A203,[1]Hugst!$R$5:$W$9,MATCH(ROUNDUP((Y$1)/10,0)*10,[1]Hugst!$R$4:$W$4,0))))</f>
        <v>0</v>
      </c>
      <c r="Z203" s="169">
        <f>IF($C203-Z$1&lt;År1,0,Y202*(1-VLOOKUP($A203,[1]Hugst!$R$5:$W$9,MATCH(ROUNDUP((Z$1)/10,0)*10,[1]Hugst!$R$4:$W$4,0))))</f>
        <v>0</v>
      </c>
      <c r="AA203" s="169">
        <f>IF($C203-AA$1&lt;År1,0,Z202*(1-VLOOKUP($A203,[1]Hugst!$R$5:$W$9,MATCH(ROUNDUP((AA$1)/10,0)*10,[1]Hugst!$R$4:$W$4,0))))</f>
        <v>0</v>
      </c>
      <c r="AB203" s="169">
        <f>IF($C203-AB$1&lt;År1,0,AA202*(1-VLOOKUP($A203,[1]Hugst!$R$5:$W$9,MATCH(ROUNDUP((AB$1)/10,0)*10,[1]Hugst!$R$4:$W$4,0))))</f>
        <v>0</v>
      </c>
      <c r="AC203" s="169">
        <f>IF($C203-AC$1&lt;År1,0,AB202*(1-VLOOKUP($A203,[1]Hugst!$R$5:$W$9,MATCH(ROUNDUP((AC$1)/10,0)*10,[1]Hugst!$R$4:$W$4,0))))</f>
        <v>0</v>
      </c>
      <c r="AD203" s="169">
        <f>IF($C203-AD$1&lt;År1,0,AC202*(1-VLOOKUP($A203,[1]Hugst!$R$5:$W$9,MATCH(ROUNDUP((AD$1)/10,0)*10,[1]Hugst!$R$4:$W$4,0))))</f>
        <v>0</v>
      </c>
      <c r="AE203" s="169">
        <f>IF($C203-AE$1&lt;År1,0,AD202*(1-VLOOKUP($A203,[1]Hugst!$R$5:$W$9,MATCH(ROUNDUP((AE$1)/10,0)*10,[1]Hugst!$R$4:$W$4,0))))</f>
        <v>0</v>
      </c>
      <c r="AF203" s="169">
        <f>IF($C203-AF$1&lt;År1,0,AE202*(1-VLOOKUP($A203,[1]Hugst!$R$5:$W$9,MATCH(ROUNDUP((AF$1)/10,0)*10,[1]Hugst!$R$4:$W$4,0))))</f>
        <v>0</v>
      </c>
      <c r="AG203" s="169">
        <f>IF($C203-AG$1&lt;År1,0,AF202*(1-VLOOKUP($A203,[1]Hugst!$R$5:$W$9,MATCH(ROUNDUP((AG$1)/10,0)*10,[1]Hugst!$R$4:$W$4,0))))</f>
        <v>0</v>
      </c>
      <c r="AH203" s="169">
        <f>IF($C203-AH$1&lt;År1,0,AG202*(1-VLOOKUP($A203,[1]Hugst!$R$5:$W$9,MATCH(ROUNDUP((AH$1)/10,0)*10,[1]Hugst!$R$4:$W$4,0))))</f>
        <v>0</v>
      </c>
      <c r="AI203" s="169">
        <f>IF($C203-AI$1&lt;År1,0,AH202*(1-VLOOKUP($A203,[1]Hugst!$R$5:$W$9,MATCH(ROUNDUP((AI$1)/10,0)*10,[1]Hugst!$R$4:$W$4,0))))</f>
        <v>0</v>
      </c>
      <c r="AJ203" s="169">
        <f>IF($C203-AJ$1&lt;År1,0,AI202*(1-VLOOKUP($A203,[1]Hugst!$R$5:$W$9,MATCH(ROUNDUP((AJ$1)/10,0)*10,[1]Hugst!$R$4:$W$4,0))))</f>
        <v>0</v>
      </c>
    </row>
    <row r="204" spans="1:36" x14ac:dyDescent="0.25">
      <c r="A204" s="169" t="s">
        <v>179</v>
      </c>
      <c r="B204" s="169" t="s">
        <v>23</v>
      </c>
      <c r="C204" s="169">
        <v>2036</v>
      </c>
      <c r="D204" s="169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69">
        <f t="shared" ca="1" si="4"/>
        <v>0</v>
      </c>
      <c r="F204" s="169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9">
        <f ca="1">IF($C204-G$1&lt;År1,0,F203*(1-VLOOKUP($A204,[1]Hugst!$R$5:$W$9,MATCH(ROUNDUP((G$1)/10,0)*10,[1]Hugst!$R$4:$W$4,0))))</f>
        <v>0</v>
      </c>
      <c r="H204" s="169">
        <f ca="1">IF($C204-H$1&lt;År1,0,G203*(1-VLOOKUP($A204,[1]Hugst!$R$5:$W$9,MATCH(ROUNDUP((H$1)/10,0)*10,[1]Hugst!$R$4:$W$4,0))))</f>
        <v>0</v>
      </c>
      <c r="I204" s="169">
        <f ca="1">IF($C204-I$1&lt;År1,0,H203*(1-VLOOKUP($A204,[1]Hugst!$R$5:$W$9,MATCH(ROUNDUP((I$1)/10,0)*10,[1]Hugst!$R$4:$W$4,0))))</f>
        <v>0</v>
      </c>
      <c r="J204" s="169">
        <f ca="1">IF($C204-J$1&lt;År1,0,I203*(1-VLOOKUP($A204,[1]Hugst!$R$5:$W$9,MATCH(ROUNDUP((J$1)/10,0)*10,[1]Hugst!$R$4:$W$4,0))))</f>
        <v>0</v>
      </c>
      <c r="K204" s="169">
        <f ca="1">IF($C204-K$1&lt;År1,0,J203*(1-VLOOKUP($A204,[1]Hugst!$R$5:$W$9,MATCH(ROUNDUP((K$1)/10,0)*10,[1]Hugst!$R$4:$W$4,0))))</f>
        <v>0</v>
      </c>
      <c r="L204" s="169">
        <f ca="1">IF($C204-L$1&lt;År1,0,K203*(1-VLOOKUP($A204,[1]Hugst!$R$5:$W$9,MATCH(ROUNDUP((L$1)/10,0)*10,[1]Hugst!$R$4:$W$4,0))))</f>
        <v>0</v>
      </c>
      <c r="M204" s="169">
        <f ca="1">IF($C204-M$1&lt;År1,0,L203*(1-VLOOKUP($A204,[1]Hugst!$R$5:$W$9,MATCH(ROUNDUP((M$1)/10,0)*10,[1]Hugst!$R$4:$W$4,0))))</f>
        <v>0</v>
      </c>
      <c r="N204" s="169">
        <f ca="1">IF($C204-N$1&lt;År1,0,M203*(1-VLOOKUP($A204,[1]Hugst!$R$5:$W$9,MATCH(ROUNDUP((N$1)/10,0)*10,[1]Hugst!$R$4:$W$4,0))))</f>
        <v>0</v>
      </c>
      <c r="O204" s="169">
        <f ca="1">IF($C204-O$1&lt;År1,0,N203*(1-VLOOKUP($A204,[1]Hugst!$R$5:$W$9,MATCH(ROUNDUP((O$1)/10,0)*10,[1]Hugst!$R$4:$W$4,0))))</f>
        <v>0</v>
      </c>
      <c r="P204" s="169">
        <f ca="1">IF($C204-P$1&lt;År1,0,O203*(1-VLOOKUP($A204,[1]Hugst!$R$5:$W$9,MATCH(ROUNDUP((P$1)/10,0)*10,[1]Hugst!$R$4:$W$4,0))))</f>
        <v>0</v>
      </c>
      <c r="Q204" s="169">
        <f ca="1">IF($C204-Q$1&lt;År1,0,P203*(1-VLOOKUP($A204,[1]Hugst!$R$5:$W$9,MATCH(ROUNDUP((Q$1)/10,0)*10,[1]Hugst!$R$4:$W$4,0))))</f>
        <v>0</v>
      </c>
      <c r="R204" s="169">
        <f ca="1">IF($C204-R$1&lt;År1,0,Q203*(1-VLOOKUP($A204,[1]Hugst!$R$5:$W$9,MATCH(ROUNDUP((R$1)/10,0)*10,[1]Hugst!$R$4:$W$4,0))))</f>
        <v>0</v>
      </c>
      <c r="S204" s="169">
        <f ca="1">IF($C204-S$1&lt;År1,0,R203*(1-VLOOKUP($A204,[1]Hugst!$R$5:$W$9,MATCH(ROUNDUP((S$1)/10,0)*10,[1]Hugst!$R$4:$W$4,0))))</f>
        <v>0</v>
      </c>
      <c r="T204" s="169">
        <f ca="1">IF($C204-T$1&lt;År1,0,S203*(1-VLOOKUP($A204,[1]Hugst!$R$5:$W$9,MATCH(ROUNDUP((T$1)/10,0)*10,[1]Hugst!$R$4:$W$4,0))))</f>
        <v>0</v>
      </c>
      <c r="U204" s="169">
        <f ca="1">IF($C204-U$1&lt;År1,0,T203*(1-VLOOKUP($A204,[1]Hugst!$R$5:$W$9,MATCH(ROUNDUP((U$1)/10,0)*10,[1]Hugst!$R$4:$W$4,0))))</f>
        <v>0</v>
      </c>
      <c r="V204" s="169">
        <f ca="1">IF($C204-V$1&lt;År1,0,U203*(1-VLOOKUP($A204,[1]Hugst!$R$5:$W$9,MATCH(ROUNDUP((V$1)/10,0)*10,[1]Hugst!$R$4:$W$4,0))))</f>
        <v>0</v>
      </c>
      <c r="W204" s="169">
        <f>IF($C204-W$1&lt;År1,0,V203*(1-VLOOKUP($A204,[1]Hugst!$R$5:$W$9,MATCH(ROUNDUP((W$1)/10,0)*10,[1]Hugst!$R$4:$W$4,0))))</f>
        <v>0</v>
      </c>
      <c r="X204" s="169">
        <f>IF($C204-X$1&lt;År1,0,W203*(1-VLOOKUP($A204,[1]Hugst!$R$5:$W$9,MATCH(ROUNDUP((X$1)/10,0)*10,[1]Hugst!$R$4:$W$4,0))))</f>
        <v>0</v>
      </c>
      <c r="Y204" s="169">
        <f>IF($C204-Y$1&lt;År1,0,X203*(1-VLOOKUP($A204,[1]Hugst!$R$5:$W$9,MATCH(ROUNDUP((Y$1)/10,0)*10,[1]Hugst!$R$4:$W$4,0))))</f>
        <v>0</v>
      </c>
      <c r="Z204" s="169">
        <f>IF($C204-Z$1&lt;År1,0,Y203*(1-VLOOKUP($A204,[1]Hugst!$R$5:$W$9,MATCH(ROUNDUP((Z$1)/10,0)*10,[1]Hugst!$R$4:$W$4,0))))</f>
        <v>0</v>
      </c>
      <c r="AA204" s="169">
        <f>IF($C204-AA$1&lt;År1,0,Z203*(1-VLOOKUP($A204,[1]Hugst!$R$5:$W$9,MATCH(ROUNDUP((AA$1)/10,0)*10,[1]Hugst!$R$4:$W$4,0))))</f>
        <v>0</v>
      </c>
      <c r="AB204" s="169">
        <f>IF($C204-AB$1&lt;År1,0,AA203*(1-VLOOKUP($A204,[1]Hugst!$R$5:$W$9,MATCH(ROUNDUP((AB$1)/10,0)*10,[1]Hugst!$R$4:$W$4,0))))</f>
        <v>0</v>
      </c>
      <c r="AC204" s="169">
        <f>IF($C204-AC$1&lt;År1,0,AB203*(1-VLOOKUP($A204,[1]Hugst!$R$5:$W$9,MATCH(ROUNDUP((AC$1)/10,0)*10,[1]Hugst!$R$4:$W$4,0))))</f>
        <v>0</v>
      </c>
      <c r="AD204" s="169">
        <f>IF($C204-AD$1&lt;År1,0,AC203*(1-VLOOKUP($A204,[1]Hugst!$R$5:$W$9,MATCH(ROUNDUP((AD$1)/10,0)*10,[1]Hugst!$R$4:$W$4,0))))</f>
        <v>0</v>
      </c>
      <c r="AE204" s="169">
        <f>IF($C204-AE$1&lt;År1,0,AD203*(1-VLOOKUP($A204,[1]Hugst!$R$5:$W$9,MATCH(ROUNDUP((AE$1)/10,0)*10,[1]Hugst!$R$4:$W$4,0))))</f>
        <v>0</v>
      </c>
      <c r="AF204" s="169">
        <f>IF($C204-AF$1&lt;År1,0,AE203*(1-VLOOKUP($A204,[1]Hugst!$R$5:$W$9,MATCH(ROUNDUP((AF$1)/10,0)*10,[1]Hugst!$R$4:$W$4,0))))</f>
        <v>0</v>
      </c>
      <c r="AG204" s="169">
        <f>IF($C204-AG$1&lt;År1,0,AF203*(1-VLOOKUP($A204,[1]Hugst!$R$5:$W$9,MATCH(ROUNDUP((AG$1)/10,0)*10,[1]Hugst!$R$4:$W$4,0))))</f>
        <v>0</v>
      </c>
      <c r="AH204" s="169">
        <f>IF($C204-AH$1&lt;År1,0,AG203*(1-VLOOKUP($A204,[1]Hugst!$R$5:$W$9,MATCH(ROUNDUP((AH$1)/10,0)*10,[1]Hugst!$R$4:$W$4,0))))</f>
        <v>0</v>
      </c>
      <c r="AI204" s="169">
        <f>IF($C204-AI$1&lt;År1,0,AH203*(1-VLOOKUP($A204,[1]Hugst!$R$5:$W$9,MATCH(ROUNDUP((AI$1)/10,0)*10,[1]Hugst!$R$4:$W$4,0))))</f>
        <v>0</v>
      </c>
      <c r="AJ204" s="169">
        <f>IF($C204-AJ$1&lt;År1,0,AI203*(1-VLOOKUP($A204,[1]Hugst!$R$5:$W$9,MATCH(ROUNDUP((AJ$1)/10,0)*10,[1]Hugst!$R$4:$W$4,0))))</f>
        <v>0</v>
      </c>
    </row>
    <row r="205" spans="1:36" x14ac:dyDescent="0.25">
      <c r="A205" s="169" t="s">
        <v>179</v>
      </c>
      <c r="B205" s="169" t="s">
        <v>23</v>
      </c>
      <c r="C205" s="169">
        <v>2037</v>
      </c>
      <c r="D205" s="169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69">
        <f t="shared" ca="1" si="4"/>
        <v>0</v>
      </c>
      <c r="F205" s="169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9">
        <f ca="1">IF($C205-G$1&lt;År1,0,F204*(1-VLOOKUP($A205,[1]Hugst!$R$5:$W$9,MATCH(ROUNDUP((G$1)/10,0)*10,[1]Hugst!$R$4:$W$4,0))))</f>
        <v>0</v>
      </c>
      <c r="H205" s="169">
        <f ca="1">IF($C205-H$1&lt;År1,0,G204*(1-VLOOKUP($A205,[1]Hugst!$R$5:$W$9,MATCH(ROUNDUP((H$1)/10,0)*10,[1]Hugst!$R$4:$W$4,0))))</f>
        <v>0</v>
      </c>
      <c r="I205" s="169">
        <f ca="1">IF($C205-I$1&lt;År1,0,H204*(1-VLOOKUP($A205,[1]Hugst!$R$5:$W$9,MATCH(ROUNDUP((I$1)/10,0)*10,[1]Hugst!$R$4:$W$4,0))))</f>
        <v>0</v>
      </c>
      <c r="J205" s="169">
        <f ca="1">IF($C205-J$1&lt;År1,0,I204*(1-VLOOKUP($A205,[1]Hugst!$R$5:$W$9,MATCH(ROUNDUP((J$1)/10,0)*10,[1]Hugst!$R$4:$W$4,0))))</f>
        <v>0</v>
      </c>
      <c r="K205" s="169">
        <f ca="1">IF($C205-K$1&lt;År1,0,J204*(1-VLOOKUP($A205,[1]Hugst!$R$5:$W$9,MATCH(ROUNDUP((K$1)/10,0)*10,[1]Hugst!$R$4:$W$4,0))))</f>
        <v>0</v>
      </c>
      <c r="L205" s="169">
        <f ca="1">IF($C205-L$1&lt;År1,0,K204*(1-VLOOKUP($A205,[1]Hugst!$R$5:$W$9,MATCH(ROUNDUP((L$1)/10,0)*10,[1]Hugst!$R$4:$W$4,0))))</f>
        <v>0</v>
      </c>
      <c r="M205" s="169">
        <f ca="1">IF($C205-M$1&lt;År1,0,L204*(1-VLOOKUP($A205,[1]Hugst!$R$5:$W$9,MATCH(ROUNDUP((M$1)/10,0)*10,[1]Hugst!$R$4:$W$4,0))))</f>
        <v>0</v>
      </c>
      <c r="N205" s="169">
        <f ca="1">IF($C205-N$1&lt;År1,0,M204*(1-VLOOKUP($A205,[1]Hugst!$R$5:$W$9,MATCH(ROUNDUP((N$1)/10,0)*10,[1]Hugst!$R$4:$W$4,0))))</f>
        <v>0</v>
      </c>
      <c r="O205" s="169">
        <f ca="1">IF($C205-O$1&lt;År1,0,N204*(1-VLOOKUP($A205,[1]Hugst!$R$5:$W$9,MATCH(ROUNDUP((O$1)/10,0)*10,[1]Hugst!$R$4:$W$4,0))))</f>
        <v>0</v>
      </c>
      <c r="P205" s="169">
        <f ca="1">IF($C205-P$1&lt;År1,0,O204*(1-VLOOKUP($A205,[1]Hugst!$R$5:$W$9,MATCH(ROUNDUP((P$1)/10,0)*10,[1]Hugst!$R$4:$W$4,0))))</f>
        <v>0</v>
      </c>
      <c r="Q205" s="169">
        <f ca="1">IF($C205-Q$1&lt;År1,0,P204*(1-VLOOKUP($A205,[1]Hugst!$R$5:$W$9,MATCH(ROUNDUP((Q$1)/10,0)*10,[1]Hugst!$R$4:$W$4,0))))</f>
        <v>0</v>
      </c>
      <c r="R205" s="169">
        <f ca="1">IF($C205-R$1&lt;År1,0,Q204*(1-VLOOKUP($A205,[1]Hugst!$R$5:$W$9,MATCH(ROUNDUP((R$1)/10,0)*10,[1]Hugst!$R$4:$W$4,0))))</f>
        <v>0</v>
      </c>
      <c r="S205" s="169">
        <f ca="1">IF($C205-S$1&lt;År1,0,R204*(1-VLOOKUP($A205,[1]Hugst!$R$5:$W$9,MATCH(ROUNDUP((S$1)/10,0)*10,[1]Hugst!$R$4:$W$4,0))))</f>
        <v>0</v>
      </c>
      <c r="T205" s="169">
        <f ca="1">IF($C205-T$1&lt;År1,0,S204*(1-VLOOKUP($A205,[1]Hugst!$R$5:$W$9,MATCH(ROUNDUP((T$1)/10,0)*10,[1]Hugst!$R$4:$W$4,0))))</f>
        <v>0</v>
      </c>
      <c r="U205" s="169">
        <f ca="1">IF($C205-U$1&lt;År1,0,T204*(1-VLOOKUP($A205,[1]Hugst!$R$5:$W$9,MATCH(ROUNDUP((U$1)/10,0)*10,[1]Hugst!$R$4:$W$4,0))))</f>
        <v>0</v>
      </c>
      <c r="V205" s="169">
        <f ca="1">IF($C205-V$1&lt;År1,0,U204*(1-VLOOKUP($A205,[1]Hugst!$R$5:$W$9,MATCH(ROUNDUP((V$1)/10,0)*10,[1]Hugst!$R$4:$W$4,0))))</f>
        <v>0</v>
      </c>
      <c r="W205" s="169">
        <f ca="1">IF($C205-W$1&lt;År1,0,V204*(1-VLOOKUP($A205,[1]Hugst!$R$5:$W$9,MATCH(ROUNDUP((W$1)/10,0)*10,[1]Hugst!$R$4:$W$4,0))))</f>
        <v>0</v>
      </c>
      <c r="X205" s="169">
        <f>IF($C205-X$1&lt;År1,0,W204*(1-VLOOKUP($A205,[1]Hugst!$R$5:$W$9,MATCH(ROUNDUP((X$1)/10,0)*10,[1]Hugst!$R$4:$W$4,0))))</f>
        <v>0</v>
      </c>
      <c r="Y205" s="169">
        <f>IF($C205-Y$1&lt;År1,0,X204*(1-VLOOKUP($A205,[1]Hugst!$R$5:$W$9,MATCH(ROUNDUP((Y$1)/10,0)*10,[1]Hugst!$R$4:$W$4,0))))</f>
        <v>0</v>
      </c>
      <c r="Z205" s="169">
        <f>IF($C205-Z$1&lt;År1,0,Y204*(1-VLOOKUP($A205,[1]Hugst!$R$5:$W$9,MATCH(ROUNDUP((Z$1)/10,0)*10,[1]Hugst!$R$4:$W$4,0))))</f>
        <v>0</v>
      </c>
      <c r="AA205" s="169">
        <f>IF($C205-AA$1&lt;År1,0,Z204*(1-VLOOKUP($A205,[1]Hugst!$R$5:$W$9,MATCH(ROUNDUP((AA$1)/10,0)*10,[1]Hugst!$R$4:$W$4,0))))</f>
        <v>0</v>
      </c>
      <c r="AB205" s="169">
        <f>IF($C205-AB$1&lt;År1,0,AA204*(1-VLOOKUP($A205,[1]Hugst!$R$5:$W$9,MATCH(ROUNDUP((AB$1)/10,0)*10,[1]Hugst!$R$4:$W$4,0))))</f>
        <v>0</v>
      </c>
      <c r="AC205" s="169">
        <f>IF($C205-AC$1&lt;År1,0,AB204*(1-VLOOKUP($A205,[1]Hugst!$R$5:$W$9,MATCH(ROUNDUP((AC$1)/10,0)*10,[1]Hugst!$R$4:$W$4,0))))</f>
        <v>0</v>
      </c>
      <c r="AD205" s="169">
        <f>IF($C205-AD$1&lt;År1,0,AC204*(1-VLOOKUP($A205,[1]Hugst!$R$5:$W$9,MATCH(ROUNDUP((AD$1)/10,0)*10,[1]Hugst!$R$4:$W$4,0))))</f>
        <v>0</v>
      </c>
      <c r="AE205" s="169">
        <f>IF($C205-AE$1&lt;År1,0,AD204*(1-VLOOKUP($A205,[1]Hugst!$R$5:$W$9,MATCH(ROUNDUP((AE$1)/10,0)*10,[1]Hugst!$R$4:$W$4,0))))</f>
        <v>0</v>
      </c>
      <c r="AF205" s="169">
        <f>IF($C205-AF$1&lt;År1,0,AE204*(1-VLOOKUP($A205,[1]Hugst!$R$5:$W$9,MATCH(ROUNDUP((AF$1)/10,0)*10,[1]Hugst!$R$4:$W$4,0))))</f>
        <v>0</v>
      </c>
      <c r="AG205" s="169">
        <f>IF($C205-AG$1&lt;År1,0,AF204*(1-VLOOKUP($A205,[1]Hugst!$R$5:$W$9,MATCH(ROUNDUP((AG$1)/10,0)*10,[1]Hugst!$R$4:$W$4,0))))</f>
        <v>0</v>
      </c>
      <c r="AH205" s="169">
        <f>IF($C205-AH$1&lt;År1,0,AG204*(1-VLOOKUP($A205,[1]Hugst!$R$5:$W$9,MATCH(ROUNDUP((AH$1)/10,0)*10,[1]Hugst!$R$4:$W$4,0))))</f>
        <v>0</v>
      </c>
      <c r="AI205" s="169">
        <f>IF($C205-AI$1&lt;År1,0,AH204*(1-VLOOKUP($A205,[1]Hugst!$R$5:$W$9,MATCH(ROUNDUP((AI$1)/10,0)*10,[1]Hugst!$R$4:$W$4,0))))</f>
        <v>0</v>
      </c>
      <c r="AJ205" s="169">
        <f>IF($C205-AJ$1&lt;År1,0,AI204*(1-VLOOKUP($A205,[1]Hugst!$R$5:$W$9,MATCH(ROUNDUP((AJ$1)/10,0)*10,[1]Hugst!$R$4:$W$4,0))))</f>
        <v>0</v>
      </c>
    </row>
    <row r="206" spans="1:36" x14ac:dyDescent="0.25">
      <c r="A206" s="169" t="s">
        <v>179</v>
      </c>
      <c r="B206" s="169" t="s">
        <v>23</v>
      </c>
      <c r="C206" s="169">
        <v>2038</v>
      </c>
      <c r="D206" s="169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69">
        <f t="shared" ca="1" si="4"/>
        <v>0</v>
      </c>
      <c r="F206" s="169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9">
        <f ca="1">IF($C206-G$1&lt;År1,0,F205*(1-VLOOKUP($A206,[1]Hugst!$R$5:$W$9,MATCH(ROUNDUP((G$1)/10,0)*10,[1]Hugst!$R$4:$W$4,0))))</f>
        <v>0</v>
      </c>
      <c r="H206" s="169">
        <f ca="1">IF($C206-H$1&lt;År1,0,G205*(1-VLOOKUP($A206,[1]Hugst!$R$5:$W$9,MATCH(ROUNDUP((H$1)/10,0)*10,[1]Hugst!$R$4:$W$4,0))))</f>
        <v>0</v>
      </c>
      <c r="I206" s="169">
        <f ca="1">IF($C206-I$1&lt;År1,0,H205*(1-VLOOKUP($A206,[1]Hugst!$R$5:$W$9,MATCH(ROUNDUP((I$1)/10,0)*10,[1]Hugst!$R$4:$W$4,0))))</f>
        <v>0</v>
      </c>
      <c r="J206" s="169">
        <f ca="1">IF($C206-J$1&lt;År1,0,I205*(1-VLOOKUP($A206,[1]Hugst!$R$5:$W$9,MATCH(ROUNDUP((J$1)/10,0)*10,[1]Hugst!$R$4:$W$4,0))))</f>
        <v>0</v>
      </c>
      <c r="K206" s="169">
        <f ca="1">IF($C206-K$1&lt;År1,0,J205*(1-VLOOKUP($A206,[1]Hugst!$R$5:$W$9,MATCH(ROUNDUP((K$1)/10,0)*10,[1]Hugst!$R$4:$W$4,0))))</f>
        <v>0</v>
      </c>
      <c r="L206" s="169">
        <f ca="1">IF($C206-L$1&lt;År1,0,K205*(1-VLOOKUP($A206,[1]Hugst!$R$5:$W$9,MATCH(ROUNDUP((L$1)/10,0)*10,[1]Hugst!$R$4:$W$4,0))))</f>
        <v>0</v>
      </c>
      <c r="M206" s="169">
        <f ca="1">IF($C206-M$1&lt;År1,0,L205*(1-VLOOKUP($A206,[1]Hugst!$R$5:$W$9,MATCH(ROUNDUP((M$1)/10,0)*10,[1]Hugst!$R$4:$W$4,0))))</f>
        <v>0</v>
      </c>
      <c r="N206" s="169">
        <f ca="1">IF($C206-N$1&lt;År1,0,M205*(1-VLOOKUP($A206,[1]Hugst!$R$5:$W$9,MATCH(ROUNDUP((N$1)/10,0)*10,[1]Hugst!$R$4:$W$4,0))))</f>
        <v>0</v>
      </c>
      <c r="O206" s="169">
        <f ca="1">IF($C206-O$1&lt;År1,0,N205*(1-VLOOKUP($A206,[1]Hugst!$R$5:$W$9,MATCH(ROUNDUP((O$1)/10,0)*10,[1]Hugst!$R$4:$W$4,0))))</f>
        <v>0</v>
      </c>
      <c r="P206" s="169">
        <f ca="1">IF($C206-P$1&lt;År1,0,O205*(1-VLOOKUP($A206,[1]Hugst!$R$5:$W$9,MATCH(ROUNDUP((P$1)/10,0)*10,[1]Hugst!$R$4:$W$4,0))))</f>
        <v>0</v>
      </c>
      <c r="Q206" s="169">
        <f ca="1">IF($C206-Q$1&lt;År1,0,P205*(1-VLOOKUP($A206,[1]Hugst!$R$5:$W$9,MATCH(ROUNDUP((Q$1)/10,0)*10,[1]Hugst!$R$4:$W$4,0))))</f>
        <v>0</v>
      </c>
      <c r="R206" s="169">
        <f ca="1">IF($C206-R$1&lt;År1,0,Q205*(1-VLOOKUP($A206,[1]Hugst!$R$5:$W$9,MATCH(ROUNDUP((R$1)/10,0)*10,[1]Hugst!$R$4:$W$4,0))))</f>
        <v>0</v>
      </c>
      <c r="S206" s="169">
        <f ca="1">IF($C206-S$1&lt;År1,0,R205*(1-VLOOKUP($A206,[1]Hugst!$R$5:$W$9,MATCH(ROUNDUP((S$1)/10,0)*10,[1]Hugst!$R$4:$W$4,0))))</f>
        <v>0</v>
      </c>
      <c r="T206" s="169">
        <f ca="1">IF($C206-T$1&lt;År1,0,S205*(1-VLOOKUP($A206,[1]Hugst!$R$5:$W$9,MATCH(ROUNDUP((T$1)/10,0)*10,[1]Hugst!$R$4:$W$4,0))))</f>
        <v>0</v>
      </c>
      <c r="U206" s="169">
        <f ca="1">IF($C206-U$1&lt;År1,0,T205*(1-VLOOKUP($A206,[1]Hugst!$R$5:$W$9,MATCH(ROUNDUP((U$1)/10,0)*10,[1]Hugst!$R$4:$W$4,0))))</f>
        <v>0</v>
      </c>
      <c r="V206" s="169">
        <f ca="1">IF($C206-V$1&lt;År1,0,U205*(1-VLOOKUP($A206,[1]Hugst!$R$5:$W$9,MATCH(ROUNDUP((V$1)/10,0)*10,[1]Hugst!$R$4:$W$4,0))))</f>
        <v>0</v>
      </c>
      <c r="W206" s="169">
        <f ca="1">IF($C206-W$1&lt;År1,0,V205*(1-VLOOKUP($A206,[1]Hugst!$R$5:$W$9,MATCH(ROUNDUP((W$1)/10,0)*10,[1]Hugst!$R$4:$W$4,0))))</f>
        <v>0</v>
      </c>
      <c r="X206" s="169">
        <f ca="1">IF($C206-X$1&lt;År1,0,W205*(1-VLOOKUP($A206,[1]Hugst!$R$5:$W$9,MATCH(ROUNDUP((X$1)/10,0)*10,[1]Hugst!$R$4:$W$4,0))))</f>
        <v>0</v>
      </c>
      <c r="Y206" s="169">
        <f>IF($C206-Y$1&lt;År1,0,X205*(1-VLOOKUP($A206,[1]Hugst!$R$5:$W$9,MATCH(ROUNDUP((Y$1)/10,0)*10,[1]Hugst!$R$4:$W$4,0))))</f>
        <v>0</v>
      </c>
      <c r="Z206" s="169">
        <f>IF($C206-Z$1&lt;År1,0,Y205*(1-VLOOKUP($A206,[1]Hugst!$R$5:$W$9,MATCH(ROUNDUP((Z$1)/10,0)*10,[1]Hugst!$R$4:$W$4,0))))</f>
        <v>0</v>
      </c>
      <c r="AA206" s="169">
        <f>IF($C206-AA$1&lt;År1,0,Z205*(1-VLOOKUP($A206,[1]Hugst!$R$5:$W$9,MATCH(ROUNDUP((AA$1)/10,0)*10,[1]Hugst!$R$4:$W$4,0))))</f>
        <v>0</v>
      </c>
      <c r="AB206" s="169">
        <f>IF($C206-AB$1&lt;År1,0,AA205*(1-VLOOKUP($A206,[1]Hugst!$R$5:$W$9,MATCH(ROUNDUP((AB$1)/10,0)*10,[1]Hugst!$R$4:$W$4,0))))</f>
        <v>0</v>
      </c>
      <c r="AC206" s="169">
        <f>IF($C206-AC$1&lt;År1,0,AB205*(1-VLOOKUP($A206,[1]Hugst!$R$5:$W$9,MATCH(ROUNDUP((AC$1)/10,0)*10,[1]Hugst!$R$4:$W$4,0))))</f>
        <v>0</v>
      </c>
      <c r="AD206" s="169">
        <f>IF($C206-AD$1&lt;År1,0,AC205*(1-VLOOKUP($A206,[1]Hugst!$R$5:$W$9,MATCH(ROUNDUP((AD$1)/10,0)*10,[1]Hugst!$R$4:$W$4,0))))</f>
        <v>0</v>
      </c>
      <c r="AE206" s="169">
        <f>IF($C206-AE$1&lt;År1,0,AD205*(1-VLOOKUP($A206,[1]Hugst!$R$5:$W$9,MATCH(ROUNDUP((AE$1)/10,0)*10,[1]Hugst!$R$4:$W$4,0))))</f>
        <v>0</v>
      </c>
      <c r="AF206" s="169">
        <f>IF($C206-AF$1&lt;År1,0,AE205*(1-VLOOKUP($A206,[1]Hugst!$R$5:$W$9,MATCH(ROUNDUP((AF$1)/10,0)*10,[1]Hugst!$R$4:$W$4,0))))</f>
        <v>0</v>
      </c>
      <c r="AG206" s="169">
        <f>IF($C206-AG$1&lt;År1,0,AF205*(1-VLOOKUP($A206,[1]Hugst!$R$5:$W$9,MATCH(ROUNDUP((AG$1)/10,0)*10,[1]Hugst!$R$4:$W$4,0))))</f>
        <v>0</v>
      </c>
      <c r="AH206" s="169">
        <f>IF($C206-AH$1&lt;År1,0,AG205*(1-VLOOKUP($A206,[1]Hugst!$R$5:$W$9,MATCH(ROUNDUP((AH$1)/10,0)*10,[1]Hugst!$R$4:$W$4,0))))</f>
        <v>0</v>
      </c>
      <c r="AI206" s="169">
        <f>IF($C206-AI$1&lt;År1,0,AH205*(1-VLOOKUP($A206,[1]Hugst!$R$5:$W$9,MATCH(ROUNDUP((AI$1)/10,0)*10,[1]Hugst!$R$4:$W$4,0))))</f>
        <v>0</v>
      </c>
      <c r="AJ206" s="169">
        <f>IF($C206-AJ$1&lt;År1,0,AI205*(1-VLOOKUP($A206,[1]Hugst!$R$5:$W$9,MATCH(ROUNDUP((AJ$1)/10,0)*10,[1]Hugst!$R$4:$W$4,0))))</f>
        <v>0</v>
      </c>
    </row>
    <row r="207" spans="1:36" x14ac:dyDescent="0.25">
      <c r="A207" s="169" t="s">
        <v>179</v>
      </c>
      <c r="B207" s="169" t="s">
        <v>23</v>
      </c>
      <c r="C207" s="169">
        <v>2039</v>
      </c>
      <c r="D207" s="169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69">
        <f t="shared" ca="1" si="4"/>
        <v>0</v>
      </c>
      <c r="F207" s="169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9">
        <f ca="1">IF($C207-G$1&lt;År1,0,F206*(1-VLOOKUP($A207,[1]Hugst!$R$5:$W$9,MATCH(ROUNDUP((G$1)/10,0)*10,[1]Hugst!$R$4:$W$4,0))))</f>
        <v>0</v>
      </c>
      <c r="H207" s="169">
        <f ca="1">IF($C207-H$1&lt;År1,0,G206*(1-VLOOKUP($A207,[1]Hugst!$R$5:$W$9,MATCH(ROUNDUP((H$1)/10,0)*10,[1]Hugst!$R$4:$W$4,0))))</f>
        <v>0</v>
      </c>
      <c r="I207" s="169">
        <f ca="1">IF($C207-I$1&lt;År1,0,H206*(1-VLOOKUP($A207,[1]Hugst!$R$5:$W$9,MATCH(ROUNDUP((I$1)/10,0)*10,[1]Hugst!$R$4:$W$4,0))))</f>
        <v>0</v>
      </c>
      <c r="J207" s="169">
        <f ca="1">IF($C207-J$1&lt;År1,0,I206*(1-VLOOKUP($A207,[1]Hugst!$R$5:$W$9,MATCH(ROUNDUP((J$1)/10,0)*10,[1]Hugst!$R$4:$W$4,0))))</f>
        <v>0</v>
      </c>
      <c r="K207" s="169">
        <f ca="1">IF($C207-K$1&lt;År1,0,J206*(1-VLOOKUP($A207,[1]Hugst!$R$5:$W$9,MATCH(ROUNDUP((K$1)/10,0)*10,[1]Hugst!$R$4:$W$4,0))))</f>
        <v>0</v>
      </c>
      <c r="L207" s="169">
        <f ca="1">IF($C207-L$1&lt;År1,0,K206*(1-VLOOKUP($A207,[1]Hugst!$R$5:$W$9,MATCH(ROUNDUP((L$1)/10,0)*10,[1]Hugst!$R$4:$W$4,0))))</f>
        <v>0</v>
      </c>
      <c r="M207" s="169">
        <f ca="1">IF($C207-M$1&lt;År1,0,L206*(1-VLOOKUP($A207,[1]Hugst!$R$5:$W$9,MATCH(ROUNDUP((M$1)/10,0)*10,[1]Hugst!$R$4:$W$4,0))))</f>
        <v>0</v>
      </c>
      <c r="N207" s="169">
        <f ca="1">IF($C207-N$1&lt;År1,0,M206*(1-VLOOKUP($A207,[1]Hugst!$R$5:$W$9,MATCH(ROUNDUP((N$1)/10,0)*10,[1]Hugst!$R$4:$W$4,0))))</f>
        <v>0</v>
      </c>
      <c r="O207" s="169">
        <f ca="1">IF($C207-O$1&lt;År1,0,N206*(1-VLOOKUP($A207,[1]Hugst!$R$5:$W$9,MATCH(ROUNDUP((O$1)/10,0)*10,[1]Hugst!$R$4:$W$4,0))))</f>
        <v>0</v>
      </c>
      <c r="P207" s="169">
        <f ca="1">IF($C207-P$1&lt;År1,0,O206*(1-VLOOKUP($A207,[1]Hugst!$R$5:$W$9,MATCH(ROUNDUP((P$1)/10,0)*10,[1]Hugst!$R$4:$W$4,0))))</f>
        <v>0</v>
      </c>
      <c r="Q207" s="169">
        <f ca="1">IF($C207-Q$1&lt;År1,0,P206*(1-VLOOKUP($A207,[1]Hugst!$R$5:$W$9,MATCH(ROUNDUP((Q$1)/10,0)*10,[1]Hugst!$R$4:$W$4,0))))</f>
        <v>0</v>
      </c>
      <c r="R207" s="169">
        <f ca="1">IF($C207-R$1&lt;År1,0,Q206*(1-VLOOKUP($A207,[1]Hugst!$R$5:$W$9,MATCH(ROUNDUP((R$1)/10,0)*10,[1]Hugst!$R$4:$W$4,0))))</f>
        <v>0</v>
      </c>
      <c r="S207" s="169">
        <f ca="1">IF($C207-S$1&lt;År1,0,R206*(1-VLOOKUP($A207,[1]Hugst!$R$5:$W$9,MATCH(ROUNDUP((S$1)/10,0)*10,[1]Hugst!$R$4:$W$4,0))))</f>
        <v>0</v>
      </c>
      <c r="T207" s="169">
        <f ca="1">IF($C207-T$1&lt;År1,0,S206*(1-VLOOKUP($A207,[1]Hugst!$R$5:$W$9,MATCH(ROUNDUP((T$1)/10,0)*10,[1]Hugst!$R$4:$W$4,0))))</f>
        <v>0</v>
      </c>
      <c r="U207" s="169">
        <f ca="1">IF($C207-U$1&lt;År1,0,T206*(1-VLOOKUP($A207,[1]Hugst!$R$5:$W$9,MATCH(ROUNDUP((U$1)/10,0)*10,[1]Hugst!$R$4:$W$4,0))))</f>
        <v>0</v>
      </c>
      <c r="V207" s="169">
        <f ca="1">IF($C207-V$1&lt;År1,0,U206*(1-VLOOKUP($A207,[1]Hugst!$R$5:$W$9,MATCH(ROUNDUP((V$1)/10,0)*10,[1]Hugst!$R$4:$W$4,0))))</f>
        <v>0</v>
      </c>
      <c r="W207" s="169">
        <f ca="1">IF($C207-W$1&lt;År1,0,V206*(1-VLOOKUP($A207,[1]Hugst!$R$5:$W$9,MATCH(ROUNDUP((W$1)/10,0)*10,[1]Hugst!$R$4:$W$4,0))))</f>
        <v>0</v>
      </c>
      <c r="X207" s="169">
        <f ca="1">IF($C207-X$1&lt;År1,0,W206*(1-VLOOKUP($A207,[1]Hugst!$R$5:$W$9,MATCH(ROUNDUP((X$1)/10,0)*10,[1]Hugst!$R$4:$W$4,0))))</f>
        <v>0</v>
      </c>
      <c r="Y207" s="169">
        <f ca="1">IF($C207-Y$1&lt;År1,0,X206*(1-VLOOKUP($A207,[1]Hugst!$R$5:$W$9,MATCH(ROUNDUP((Y$1)/10,0)*10,[1]Hugst!$R$4:$W$4,0))))</f>
        <v>0</v>
      </c>
      <c r="Z207" s="169">
        <f>IF($C207-Z$1&lt;År1,0,Y206*(1-VLOOKUP($A207,[1]Hugst!$R$5:$W$9,MATCH(ROUNDUP((Z$1)/10,0)*10,[1]Hugst!$R$4:$W$4,0))))</f>
        <v>0</v>
      </c>
      <c r="AA207" s="169">
        <f>IF($C207-AA$1&lt;År1,0,Z206*(1-VLOOKUP($A207,[1]Hugst!$R$5:$W$9,MATCH(ROUNDUP((AA$1)/10,0)*10,[1]Hugst!$R$4:$W$4,0))))</f>
        <v>0</v>
      </c>
      <c r="AB207" s="169">
        <f>IF($C207-AB$1&lt;År1,0,AA206*(1-VLOOKUP($A207,[1]Hugst!$R$5:$W$9,MATCH(ROUNDUP((AB$1)/10,0)*10,[1]Hugst!$R$4:$W$4,0))))</f>
        <v>0</v>
      </c>
      <c r="AC207" s="169">
        <f>IF($C207-AC$1&lt;År1,0,AB206*(1-VLOOKUP($A207,[1]Hugst!$R$5:$W$9,MATCH(ROUNDUP((AC$1)/10,0)*10,[1]Hugst!$R$4:$W$4,0))))</f>
        <v>0</v>
      </c>
      <c r="AD207" s="169">
        <f>IF($C207-AD$1&lt;År1,0,AC206*(1-VLOOKUP($A207,[1]Hugst!$R$5:$W$9,MATCH(ROUNDUP((AD$1)/10,0)*10,[1]Hugst!$R$4:$W$4,0))))</f>
        <v>0</v>
      </c>
      <c r="AE207" s="169">
        <f>IF($C207-AE$1&lt;År1,0,AD206*(1-VLOOKUP($A207,[1]Hugst!$R$5:$W$9,MATCH(ROUNDUP((AE$1)/10,0)*10,[1]Hugst!$R$4:$W$4,0))))</f>
        <v>0</v>
      </c>
      <c r="AF207" s="169">
        <f>IF($C207-AF$1&lt;År1,0,AE206*(1-VLOOKUP($A207,[1]Hugst!$R$5:$W$9,MATCH(ROUNDUP((AF$1)/10,0)*10,[1]Hugst!$R$4:$W$4,0))))</f>
        <v>0</v>
      </c>
      <c r="AG207" s="169">
        <f>IF($C207-AG$1&lt;År1,0,AF206*(1-VLOOKUP($A207,[1]Hugst!$R$5:$W$9,MATCH(ROUNDUP((AG$1)/10,0)*10,[1]Hugst!$R$4:$W$4,0))))</f>
        <v>0</v>
      </c>
      <c r="AH207" s="169">
        <f>IF($C207-AH$1&lt;År1,0,AG206*(1-VLOOKUP($A207,[1]Hugst!$R$5:$W$9,MATCH(ROUNDUP((AH$1)/10,0)*10,[1]Hugst!$R$4:$W$4,0))))</f>
        <v>0</v>
      </c>
      <c r="AI207" s="169">
        <f>IF($C207-AI$1&lt;År1,0,AH206*(1-VLOOKUP($A207,[1]Hugst!$R$5:$W$9,MATCH(ROUNDUP((AI$1)/10,0)*10,[1]Hugst!$R$4:$W$4,0))))</f>
        <v>0</v>
      </c>
      <c r="AJ207" s="169">
        <f>IF($C207-AJ$1&lt;År1,0,AI206*(1-VLOOKUP($A207,[1]Hugst!$R$5:$W$9,MATCH(ROUNDUP((AJ$1)/10,0)*10,[1]Hugst!$R$4:$W$4,0))))</f>
        <v>0</v>
      </c>
    </row>
    <row r="208" spans="1:36" x14ac:dyDescent="0.25">
      <c r="A208" s="169" t="s">
        <v>179</v>
      </c>
      <c r="B208" s="169" t="s">
        <v>23</v>
      </c>
      <c r="C208" s="169">
        <v>2040</v>
      </c>
      <c r="D208" s="169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69">
        <f t="shared" ca="1" si="4"/>
        <v>0</v>
      </c>
      <c r="F208" s="169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9">
        <f ca="1">IF($C208-G$1&lt;År1,0,F207*(1-VLOOKUP($A208,[1]Hugst!$R$5:$W$9,MATCH(ROUNDUP((G$1)/10,0)*10,[1]Hugst!$R$4:$W$4,0))))</f>
        <v>0</v>
      </c>
      <c r="H208" s="169">
        <f ca="1">IF($C208-H$1&lt;År1,0,G207*(1-VLOOKUP($A208,[1]Hugst!$R$5:$W$9,MATCH(ROUNDUP((H$1)/10,0)*10,[1]Hugst!$R$4:$W$4,0))))</f>
        <v>0</v>
      </c>
      <c r="I208" s="169">
        <f ca="1">IF($C208-I$1&lt;År1,0,H207*(1-VLOOKUP($A208,[1]Hugst!$R$5:$W$9,MATCH(ROUNDUP((I$1)/10,0)*10,[1]Hugst!$R$4:$W$4,0))))</f>
        <v>0</v>
      </c>
      <c r="J208" s="169">
        <f ca="1">IF($C208-J$1&lt;År1,0,I207*(1-VLOOKUP($A208,[1]Hugst!$R$5:$W$9,MATCH(ROUNDUP((J$1)/10,0)*10,[1]Hugst!$R$4:$W$4,0))))</f>
        <v>0</v>
      </c>
      <c r="K208" s="169">
        <f ca="1">IF($C208-K$1&lt;År1,0,J207*(1-VLOOKUP($A208,[1]Hugst!$R$5:$W$9,MATCH(ROUNDUP((K$1)/10,0)*10,[1]Hugst!$R$4:$W$4,0))))</f>
        <v>0</v>
      </c>
      <c r="L208" s="169">
        <f ca="1">IF($C208-L$1&lt;År1,0,K207*(1-VLOOKUP($A208,[1]Hugst!$R$5:$W$9,MATCH(ROUNDUP((L$1)/10,0)*10,[1]Hugst!$R$4:$W$4,0))))</f>
        <v>0</v>
      </c>
      <c r="M208" s="169">
        <f ca="1">IF($C208-M$1&lt;År1,0,L207*(1-VLOOKUP($A208,[1]Hugst!$R$5:$W$9,MATCH(ROUNDUP((M$1)/10,0)*10,[1]Hugst!$R$4:$W$4,0))))</f>
        <v>0</v>
      </c>
      <c r="N208" s="169">
        <f ca="1">IF($C208-N$1&lt;År1,0,M207*(1-VLOOKUP($A208,[1]Hugst!$R$5:$W$9,MATCH(ROUNDUP((N$1)/10,0)*10,[1]Hugst!$R$4:$W$4,0))))</f>
        <v>0</v>
      </c>
      <c r="O208" s="169">
        <f ca="1">IF($C208-O$1&lt;År1,0,N207*(1-VLOOKUP($A208,[1]Hugst!$R$5:$W$9,MATCH(ROUNDUP((O$1)/10,0)*10,[1]Hugst!$R$4:$W$4,0))))</f>
        <v>0</v>
      </c>
      <c r="P208" s="169">
        <f ca="1">IF($C208-P$1&lt;År1,0,O207*(1-VLOOKUP($A208,[1]Hugst!$R$5:$W$9,MATCH(ROUNDUP((P$1)/10,0)*10,[1]Hugst!$R$4:$W$4,0))))</f>
        <v>0</v>
      </c>
      <c r="Q208" s="169">
        <f ca="1">IF($C208-Q$1&lt;År1,0,P207*(1-VLOOKUP($A208,[1]Hugst!$R$5:$W$9,MATCH(ROUNDUP((Q$1)/10,0)*10,[1]Hugst!$R$4:$W$4,0))))</f>
        <v>0</v>
      </c>
      <c r="R208" s="169">
        <f ca="1">IF($C208-R$1&lt;År1,0,Q207*(1-VLOOKUP($A208,[1]Hugst!$R$5:$W$9,MATCH(ROUNDUP((R$1)/10,0)*10,[1]Hugst!$R$4:$W$4,0))))</f>
        <v>0</v>
      </c>
      <c r="S208" s="169">
        <f ca="1">IF($C208-S$1&lt;År1,0,R207*(1-VLOOKUP($A208,[1]Hugst!$R$5:$W$9,MATCH(ROUNDUP((S$1)/10,0)*10,[1]Hugst!$R$4:$W$4,0))))</f>
        <v>0</v>
      </c>
      <c r="T208" s="169">
        <f ca="1">IF($C208-T$1&lt;År1,0,S207*(1-VLOOKUP($A208,[1]Hugst!$R$5:$W$9,MATCH(ROUNDUP((T$1)/10,0)*10,[1]Hugst!$R$4:$W$4,0))))</f>
        <v>0</v>
      </c>
      <c r="U208" s="169">
        <f ca="1">IF($C208-U$1&lt;År1,0,T207*(1-VLOOKUP($A208,[1]Hugst!$R$5:$W$9,MATCH(ROUNDUP((U$1)/10,0)*10,[1]Hugst!$R$4:$W$4,0))))</f>
        <v>0</v>
      </c>
      <c r="V208" s="169">
        <f ca="1">IF($C208-V$1&lt;År1,0,U207*(1-VLOOKUP($A208,[1]Hugst!$R$5:$W$9,MATCH(ROUNDUP((V$1)/10,0)*10,[1]Hugst!$R$4:$W$4,0))))</f>
        <v>0</v>
      </c>
      <c r="W208" s="169">
        <f ca="1">IF($C208-W$1&lt;År1,0,V207*(1-VLOOKUP($A208,[1]Hugst!$R$5:$W$9,MATCH(ROUNDUP((W$1)/10,0)*10,[1]Hugst!$R$4:$W$4,0))))</f>
        <v>0</v>
      </c>
      <c r="X208" s="169">
        <f ca="1">IF($C208-X$1&lt;År1,0,W207*(1-VLOOKUP($A208,[1]Hugst!$R$5:$W$9,MATCH(ROUNDUP((X$1)/10,0)*10,[1]Hugst!$R$4:$W$4,0))))</f>
        <v>0</v>
      </c>
      <c r="Y208" s="169">
        <f ca="1">IF($C208-Y$1&lt;År1,0,X207*(1-VLOOKUP($A208,[1]Hugst!$R$5:$W$9,MATCH(ROUNDUP((Y$1)/10,0)*10,[1]Hugst!$R$4:$W$4,0))))</f>
        <v>0</v>
      </c>
      <c r="Z208" s="169">
        <f ca="1">IF($C208-Z$1&lt;År1,0,Y207*(1-VLOOKUP($A208,[1]Hugst!$R$5:$W$9,MATCH(ROUNDUP((Z$1)/10,0)*10,[1]Hugst!$R$4:$W$4,0))))</f>
        <v>0</v>
      </c>
      <c r="AA208" s="169">
        <f>IF($C208-AA$1&lt;År1,0,Z207*(1-VLOOKUP($A208,[1]Hugst!$R$5:$W$9,MATCH(ROUNDUP((AA$1)/10,0)*10,[1]Hugst!$R$4:$W$4,0))))</f>
        <v>0</v>
      </c>
      <c r="AB208" s="169">
        <f>IF($C208-AB$1&lt;År1,0,AA207*(1-VLOOKUP($A208,[1]Hugst!$R$5:$W$9,MATCH(ROUNDUP((AB$1)/10,0)*10,[1]Hugst!$R$4:$W$4,0))))</f>
        <v>0</v>
      </c>
      <c r="AC208" s="169">
        <f>IF($C208-AC$1&lt;År1,0,AB207*(1-VLOOKUP($A208,[1]Hugst!$R$5:$W$9,MATCH(ROUNDUP((AC$1)/10,0)*10,[1]Hugst!$R$4:$W$4,0))))</f>
        <v>0</v>
      </c>
      <c r="AD208" s="169">
        <f>IF($C208-AD$1&lt;År1,0,AC207*(1-VLOOKUP($A208,[1]Hugst!$R$5:$W$9,MATCH(ROUNDUP((AD$1)/10,0)*10,[1]Hugst!$R$4:$W$4,0))))</f>
        <v>0</v>
      </c>
      <c r="AE208" s="169">
        <f>IF($C208-AE$1&lt;År1,0,AD207*(1-VLOOKUP($A208,[1]Hugst!$R$5:$W$9,MATCH(ROUNDUP((AE$1)/10,0)*10,[1]Hugst!$R$4:$W$4,0))))</f>
        <v>0</v>
      </c>
      <c r="AF208" s="169">
        <f>IF($C208-AF$1&lt;År1,0,AE207*(1-VLOOKUP($A208,[1]Hugst!$R$5:$W$9,MATCH(ROUNDUP((AF$1)/10,0)*10,[1]Hugst!$R$4:$W$4,0))))</f>
        <v>0</v>
      </c>
      <c r="AG208" s="169">
        <f>IF($C208-AG$1&lt;År1,0,AF207*(1-VLOOKUP($A208,[1]Hugst!$R$5:$W$9,MATCH(ROUNDUP((AG$1)/10,0)*10,[1]Hugst!$R$4:$W$4,0))))</f>
        <v>0</v>
      </c>
      <c r="AH208" s="169">
        <f>IF($C208-AH$1&lt;År1,0,AG207*(1-VLOOKUP($A208,[1]Hugst!$R$5:$W$9,MATCH(ROUNDUP((AH$1)/10,0)*10,[1]Hugst!$R$4:$W$4,0))))</f>
        <v>0</v>
      </c>
      <c r="AI208" s="169">
        <f>IF($C208-AI$1&lt;År1,0,AH207*(1-VLOOKUP($A208,[1]Hugst!$R$5:$W$9,MATCH(ROUNDUP((AI$1)/10,0)*10,[1]Hugst!$R$4:$W$4,0))))</f>
        <v>0</v>
      </c>
      <c r="AJ208" s="169">
        <f>IF($C208-AJ$1&lt;År1,0,AI207*(1-VLOOKUP($A208,[1]Hugst!$R$5:$W$9,MATCH(ROUNDUP((AJ$1)/10,0)*10,[1]Hugst!$R$4:$W$4,0))))</f>
        <v>0</v>
      </c>
    </row>
    <row r="209" spans="1:36" x14ac:dyDescent="0.25">
      <c r="A209" s="169" t="s">
        <v>179</v>
      </c>
      <c r="B209" s="169" t="s">
        <v>23</v>
      </c>
      <c r="C209" s="169">
        <v>2041</v>
      </c>
      <c r="D209" s="169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69">
        <f t="shared" ca="1" si="4"/>
        <v>0</v>
      </c>
      <c r="F209" s="169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9">
        <f ca="1">IF($C209-G$1&lt;År1,0,F208*(1-VLOOKUP($A209,[1]Hugst!$R$5:$W$9,MATCH(ROUNDUP((G$1)/10,0)*10,[1]Hugst!$R$4:$W$4,0))))</f>
        <v>0</v>
      </c>
      <c r="H209" s="169">
        <f ca="1">IF($C209-H$1&lt;År1,0,G208*(1-VLOOKUP($A209,[1]Hugst!$R$5:$W$9,MATCH(ROUNDUP((H$1)/10,0)*10,[1]Hugst!$R$4:$W$4,0))))</f>
        <v>0</v>
      </c>
      <c r="I209" s="169">
        <f ca="1">IF($C209-I$1&lt;År1,0,H208*(1-VLOOKUP($A209,[1]Hugst!$R$5:$W$9,MATCH(ROUNDUP((I$1)/10,0)*10,[1]Hugst!$R$4:$W$4,0))))</f>
        <v>0</v>
      </c>
      <c r="J209" s="169">
        <f ca="1">IF($C209-J$1&lt;År1,0,I208*(1-VLOOKUP($A209,[1]Hugst!$R$5:$W$9,MATCH(ROUNDUP((J$1)/10,0)*10,[1]Hugst!$R$4:$W$4,0))))</f>
        <v>0</v>
      </c>
      <c r="K209" s="169">
        <f ca="1">IF($C209-K$1&lt;År1,0,J208*(1-VLOOKUP($A209,[1]Hugst!$R$5:$W$9,MATCH(ROUNDUP((K$1)/10,0)*10,[1]Hugst!$R$4:$W$4,0))))</f>
        <v>0</v>
      </c>
      <c r="L209" s="169">
        <f ca="1">IF($C209-L$1&lt;År1,0,K208*(1-VLOOKUP($A209,[1]Hugst!$R$5:$W$9,MATCH(ROUNDUP((L$1)/10,0)*10,[1]Hugst!$R$4:$W$4,0))))</f>
        <v>0</v>
      </c>
      <c r="M209" s="169">
        <f ca="1">IF($C209-M$1&lt;År1,0,L208*(1-VLOOKUP($A209,[1]Hugst!$R$5:$W$9,MATCH(ROUNDUP((M$1)/10,0)*10,[1]Hugst!$R$4:$W$4,0))))</f>
        <v>0</v>
      </c>
      <c r="N209" s="169">
        <f ca="1">IF($C209-N$1&lt;År1,0,M208*(1-VLOOKUP($A209,[1]Hugst!$R$5:$W$9,MATCH(ROUNDUP((N$1)/10,0)*10,[1]Hugst!$R$4:$W$4,0))))</f>
        <v>0</v>
      </c>
      <c r="O209" s="169">
        <f ca="1">IF($C209-O$1&lt;År1,0,N208*(1-VLOOKUP($A209,[1]Hugst!$R$5:$W$9,MATCH(ROUNDUP((O$1)/10,0)*10,[1]Hugst!$R$4:$W$4,0))))</f>
        <v>0</v>
      </c>
      <c r="P209" s="169">
        <f ca="1">IF($C209-P$1&lt;År1,0,O208*(1-VLOOKUP($A209,[1]Hugst!$R$5:$W$9,MATCH(ROUNDUP((P$1)/10,0)*10,[1]Hugst!$R$4:$W$4,0))))</f>
        <v>0</v>
      </c>
      <c r="Q209" s="169">
        <f ca="1">IF($C209-Q$1&lt;År1,0,P208*(1-VLOOKUP($A209,[1]Hugst!$R$5:$W$9,MATCH(ROUNDUP((Q$1)/10,0)*10,[1]Hugst!$R$4:$W$4,0))))</f>
        <v>0</v>
      </c>
      <c r="R209" s="169">
        <f ca="1">IF($C209-R$1&lt;År1,0,Q208*(1-VLOOKUP($A209,[1]Hugst!$R$5:$W$9,MATCH(ROUNDUP((R$1)/10,0)*10,[1]Hugst!$R$4:$W$4,0))))</f>
        <v>0</v>
      </c>
      <c r="S209" s="169">
        <f ca="1">IF($C209-S$1&lt;År1,0,R208*(1-VLOOKUP($A209,[1]Hugst!$R$5:$W$9,MATCH(ROUNDUP((S$1)/10,0)*10,[1]Hugst!$R$4:$W$4,0))))</f>
        <v>0</v>
      </c>
      <c r="T209" s="169">
        <f ca="1">IF($C209-T$1&lt;År1,0,S208*(1-VLOOKUP($A209,[1]Hugst!$R$5:$W$9,MATCH(ROUNDUP((T$1)/10,0)*10,[1]Hugst!$R$4:$W$4,0))))</f>
        <v>0</v>
      </c>
      <c r="U209" s="169">
        <f ca="1">IF($C209-U$1&lt;År1,0,T208*(1-VLOOKUP($A209,[1]Hugst!$R$5:$W$9,MATCH(ROUNDUP((U$1)/10,0)*10,[1]Hugst!$R$4:$W$4,0))))</f>
        <v>0</v>
      </c>
      <c r="V209" s="169">
        <f ca="1">IF($C209-V$1&lt;År1,0,U208*(1-VLOOKUP($A209,[1]Hugst!$R$5:$W$9,MATCH(ROUNDUP((V$1)/10,0)*10,[1]Hugst!$R$4:$W$4,0))))</f>
        <v>0</v>
      </c>
      <c r="W209" s="169">
        <f ca="1">IF($C209-W$1&lt;År1,0,V208*(1-VLOOKUP($A209,[1]Hugst!$R$5:$W$9,MATCH(ROUNDUP((W$1)/10,0)*10,[1]Hugst!$R$4:$W$4,0))))</f>
        <v>0</v>
      </c>
      <c r="X209" s="169">
        <f ca="1">IF($C209-X$1&lt;År1,0,W208*(1-VLOOKUP($A209,[1]Hugst!$R$5:$W$9,MATCH(ROUNDUP((X$1)/10,0)*10,[1]Hugst!$R$4:$W$4,0))))</f>
        <v>0</v>
      </c>
      <c r="Y209" s="169">
        <f ca="1">IF($C209-Y$1&lt;År1,0,X208*(1-VLOOKUP($A209,[1]Hugst!$R$5:$W$9,MATCH(ROUNDUP((Y$1)/10,0)*10,[1]Hugst!$R$4:$W$4,0))))</f>
        <v>0</v>
      </c>
      <c r="Z209" s="169">
        <f ca="1">IF($C209-Z$1&lt;År1,0,Y208*(1-VLOOKUP($A209,[1]Hugst!$R$5:$W$9,MATCH(ROUNDUP((Z$1)/10,0)*10,[1]Hugst!$R$4:$W$4,0))))</f>
        <v>0</v>
      </c>
      <c r="AA209" s="169">
        <f ca="1">IF($C209-AA$1&lt;År1,0,Z208*(1-VLOOKUP($A209,[1]Hugst!$R$5:$W$9,MATCH(ROUNDUP((AA$1)/10,0)*10,[1]Hugst!$R$4:$W$4,0))))</f>
        <v>0</v>
      </c>
      <c r="AB209" s="169">
        <f>IF($C209-AB$1&lt;År1,0,AA208*(1-VLOOKUP($A209,[1]Hugst!$R$5:$W$9,MATCH(ROUNDUP((AB$1)/10,0)*10,[1]Hugst!$R$4:$W$4,0))))</f>
        <v>0</v>
      </c>
      <c r="AC209" s="169">
        <f>IF($C209-AC$1&lt;År1,0,AB208*(1-VLOOKUP($A209,[1]Hugst!$R$5:$W$9,MATCH(ROUNDUP((AC$1)/10,0)*10,[1]Hugst!$R$4:$W$4,0))))</f>
        <v>0</v>
      </c>
      <c r="AD209" s="169">
        <f>IF($C209-AD$1&lt;År1,0,AC208*(1-VLOOKUP($A209,[1]Hugst!$R$5:$W$9,MATCH(ROUNDUP((AD$1)/10,0)*10,[1]Hugst!$R$4:$W$4,0))))</f>
        <v>0</v>
      </c>
      <c r="AE209" s="169">
        <f>IF($C209-AE$1&lt;År1,0,AD208*(1-VLOOKUP($A209,[1]Hugst!$R$5:$W$9,MATCH(ROUNDUP((AE$1)/10,0)*10,[1]Hugst!$R$4:$W$4,0))))</f>
        <v>0</v>
      </c>
      <c r="AF209" s="169">
        <f>IF($C209-AF$1&lt;År1,0,AE208*(1-VLOOKUP($A209,[1]Hugst!$R$5:$W$9,MATCH(ROUNDUP((AF$1)/10,0)*10,[1]Hugst!$R$4:$W$4,0))))</f>
        <v>0</v>
      </c>
      <c r="AG209" s="169">
        <f>IF($C209-AG$1&lt;År1,0,AF208*(1-VLOOKUP($A209,[1]Hugst!$R$5:$W$9,MATCH(ROUNDUP((AG$1)/10,0)*10,[1]Hugst!$R$4:$W$4,0))))</f>
        <v>0</v>
      </c>
      <c r="AH209" s="169">
        <f>IF($C209-AH$1&lt;År1,0,AG208*(1-VLOOKUP($A209,[1]Hugst!$R$5:$W$9,MATCH(ROUNDUP((AH$1)/10,0)*10,[1]Hugst!$R$4:$W$4,0))))</f>
        <v>0</v>
      </c>
      <c r="AI209" s="169">
        <f>IF($C209-AI$1&lt;År1,0,AH208*(1-VLOOKUP($A209,[1]Hugst!$R$5:$W$9,MATCH(ROUNDUP((AI$1)/10,0)*10,[1]Hugst!$R$4:$W$4,0))))</f>
        <v>0</v>
      </c>
      <c r="AJ209" s="169">
        <f>IF($C209-AJ$1&lt;År1,0,AI208*(1-VLOOKUP($A209,[1]Hugst!$R$5:$W$9,MATCH(ROUNDUP((AJ$1)/10,0)*10,[1]Hugst!$R$4:$W$4,0))))</f>
        <v>0</v>
      </c>
    </row>
    <row r="210" spans="1:36" x14ac:dyDescent="0.25">
      <c r="A210" s="169" t="s">
        <v>179</v>
      </c>
      <c r="B210" s="169" t="s">
        <v>23</v>
      </c>
      <c r="C210" s="169">
        <v>2042</v>
      </c>
      <c r="D210" s="169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69">
        <f t="shared" ca="1" si="4"/>
        <v>0</v>
      </c>
      <c r="F210" s="169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9">
        <f ca="1">IF($C210-G$1&lt;År1,0,F209*(1-VLOOKUP($A210,[1]Hugst!$R$5:$W$9,MATCH(ROUNDUP((G$1)/10,0)*10,[1]Hugst!$R$4:$W$4,0))))</f>
        <v>0</v>
      </c>
      <c r="H210" s="169">
        <f ca="1">IF($C210-H$1&lt;År1,0,G209*(1-VLOOKUP($A210,[1]Hugst!$R$5:$W$9,MATCH(ROUNDUP((H$1)/10,0)*10,[1]Hugst!$R$4:$W$4,0))))</f>
        <v>0</v>
      </c>
      <c r="I210" s="169">
        <f ca="1">IF($C210-I$1&lt;År1,0,H209*(1-VLOOKUP($A210,[1]Hugst!$R$5:$W$9,MATCH(ROUNDUP((I$1)/10,0)*10,[1]Hugst!$R$4:$W$4,0))))</f>
        <v>0</v>
      </c>
      <c r="J210" s="169">
        <f ca="1">IF($C210-J$1&lt;År1,0,I209*(1-VLOOKUP($A210,[1]Hugst!$R$5:$W$9,MATCH(ROUNDUP((J$1)/10,0)*10,[1]Hugst!$R$4:$W$4,0))))</f>
        <v>0</v>
      </c>
      <c r="K210" s="169">
        <f ca="1">IF($C210-K$1&lt;År1,0,J209*(1-VLOOKUP($A210,[1]Hugst!$R$5:$W$9,MATCH(ROUNDUP((K$1)/10,0)*10,[1]Hugst!$R$4:$W$4,0))))</f>
        <v>0</v>
      </c>
      <c r="L210" s="169">
        <f ca="1">IF($C210-L$1&lt;År1,0,K209*(1-VLOOKUP($A210,[1]Hugst!$R$5:$W$9,MATCH(ROUNDUP((L$1)/10,0)*10,[1]Hugst!$R$4:$W$4,0))))</f>
        <v>0</v>
      </c>
      <c r="M210" s="169">
        <f ca="1">IF($C210-M$1&lt;År1,0,L209*(1-VLOOKUP($A210,[1]Hugst!$R$5:$W$9,MATCH(ROUNDUP((M$1)/10,0)*10,[1]Hugst!$R$4:$W$4,0))))</f>
        <v>0</v>
      </c>
      <c r="N210" s="169">
        <f ca="1">IF($C210-N$1&lt;År1,0,M209*(1-VLOOKUP($A210,[1]Hugst!$R$5:$W$9,MATCH(ROUNDUP((N$1)/10,0)*10,[1]Hugst!$R$4:$W$4,0))))</f>
        <v>0</v>
      </c>
      <c r="O210" s="169">
        <f ca="1">IF($C210-O$1&lt;År1,0,N209*(1-VLOOKUP($A210,[1]Hugst!$R$5:$W$9,MATCH(ROUNDUP((O$1)/10,0)*10,[1]Hugst!$R$4:$W$4,0))))</f>
        <v>0</v>
      </c>
      <c r="P210" s="169">
        <f ca="1">IF($C210-P$1&lt;År1,0,O209*(1-VLOOKUP($A210,[1]Hugst!$R$5:$W$9,MATCH(ROUNDUP((P$1)/10,0)*10,[1]Hugst!$R$4:$W$4,0))))</f>
        <v>0</v>
      </c>
      <c r="Q210" s="169">
        <f ca="1">IF($C210-Q$1&lt;År1,0,P209*(1-VLOOKUP($A210,[1]Hugst!$R$5:$W$9,MATCH(ROUNDUP((Q$1)/10,0)*10,[1]Hugst!$R$4:$W$4,0))))</f>
        <v>0</v>
      </c>
      <c r="R210" s="169">
        <f ca="1">IF($C210-R$1&lt;År1,0,Q209*(1-VLOOKUP($A210,[1]Hugst!$R$5:$W$9,MATCH(ROUNDUP((R$1)/10,0)*10,[1]Hugst!$R$4:$W$4,0))))</f>
        <v>0</v>
      </c>
      <c r="S210" s="169">
        <f ca="1">IF($C210-S$1&lt;År1,0,R209*(1-VLOOKUP($A210,[1]Hugst!$R$5:$W$9,MATCH(ROUNDUP((S$1)/10,0)*10,[1]Hugst!$R$4:$W$4,0))))</f>
        <v>0</v>
      </c>
      <c r="T210" s="169">
        <f ca="1">IF($C210-T$1&lt;År1,0,S209*(1-VLOOKUP($A210,[1]Hugst!$R$5:$W$9,MATCH(ROUNDUP((T$1)/10,0)*10,[1]Hugst!$R$4:$W$4,0))))</f>
        <v>0</v>
      </c>
      <c r="U210" s="169">
        <f ca="1">IF($C210-U$1&lt;År1,0,T209*(1-VLOOKUP($A210,[1]Hugst!$R$5:$W$9,MATCH(ROUNDUP((U$1)/10,0)*10,[1]Hugst!$R$4:$W$4,0))))</f>
        <v>0</v>
      </c>
      <c r="V210" s="169">
        <f ca="1">IF($C210-V$1&lt;År1,0,U209*(1-VLOOKUP($A210,[1]Hugst!$R$5:$W$9,MATCH(ROUNDUP((V$1)/10,0)*10,[1]Hugst!$R$4:$W$4,0))))</f>
        <v>0</v>
      </c>
      <c r="W210" s="169">
        <f ca="1">IF($C210-W$1&lt;År1,0,V209*(1-VLOOKUP($A210,[1]Hugst!$R$5:$W$9,MATCH(ROUNDUP((W$1)/10,0)*10,[1]Hugst!$R$4:$W$4,0))))</f>
        <v>0</v>
      </c>
      <c r="X210" s="169">
        <f ca="1">IF($C210-X$1&lt;År1,0,W209*(1-VLOOKUP($A210,[1]Hugst!$R$5:$W$9,MATCH(ROUNDUP((X$1)/10,0)*10,[1]Hugst!$R$4:$W$4,0))))</f>
        <v>0</v>
      </c>
      <c r="Y210" s="169">
        <f ca="1">IF($C210-Y$1&lt;År1,0,X209*(1-VLOOKUP($A210,[1]Hugst!$R$5:$W$9,MATCH(ROUNDUP((Y$1)/10,0)*10,[1]Hugst!$R$4:$W$4,0))))</f>
        <v>0</v>
      </c>
      <c r="Z210" s="169">
        <f ca="1">IF($C210-Z$1&lt;År1,0,Y209*(1-VLOOKUP($A210,[1]Hugst!$R$5:$W$9,MATCH(ROUNDUP((Z$1)/10,0)*10,[1]Hugst!$R$4:$W$4,0))))</f>
        <v>0</v>
      </c>
      <c r="AA210" s="169">
        <f ca="1">IF($C210-AA$1&lt;År1,0,Z209*(1-VLOOKUP($A210,[1]Hugst!$R$5:$W$9,MATCH(ROUNDUP((AA$1)/10,0)*10,[1]Hugst!$R$4:$W$4,0))))</f>
        <v>0</v>
      </c>
      <c r="AB210" s="169">
        <f ca="1">IF($C210-AB$1&lt;År1,0,AA209*(1-VLOOKUP($A210,[1]Hugst!$R$5:$W$9,MATCH(ROUNDUP((AB$1)/10,0)*10,[1]Hugst!$R$4:$W$4,0))))</f>
        <v>0</v>
      </c>
      <c r="AC210" s="169">
        <f>IF($C210-AC$1&lt;År1,0,AB209*(1-VLOOKUP($A210,[1]Hugst!$R$5:$W$9,MATCH(ROUNDUP((AC$1)/10,0)*10,[1]Hugst!$R$4:$W$4,0))))</f>
        <v>0</v>
      </c>
      <c r="AD210" s="169">
        <f>IF($C210-AD$1&lt;År1,0,AC209*(1-VLOOKUP($A210,[1]Hugst!$R$5:$W$9,MATCH(ROUNDUP((AD$1)/10,0)*10,[1]Hugst!$R$4:$W$4,0))))</f>
        <v>0</v>
      </c>
      <c r="AE210" s="169">
        <f>IF($C210-AE$1&lt;År1,0,AD209*(1-VLOOKUP($A210,[1]Hugst!$R$5:$W$9,MATCH(ROUNDUP((AE$1)/10,0)*10,[1]Hugst!$R$4:$W$4,0))))</f>
        <v>0</v>
      </c>
      <c r="AF210" s="169">
        <f>IF($C210-AF$1&lt;År1,0,AE209*(1-VLOOKUP($A210,[1]Hugst!$R$5:$W$9,MATCH(ROUNDUP((AF$1)/10,0)*10,[1]Hugst!$R$4:$W$4,0))))</f>
        <v>0</v>
      </c>
      <c r="AG210" s="169">
        <f>IF($C210-AG$1&lt;År1,0,AF209*(1-VLOOKUP($A210,[1]Hugst!$R$5:$W$9,MATCH(ROUNDUP((AG$1)/10,0)*10,[1]Hugst!$R$4:$W$4,0))))</f>
        <v>0</v>
      </c>
      <c r="AH210" s="169">
        <f>IF($C210-AH$1&lt;År1,0,AG209*(1-VLOOKUP($A210,[1]Hugst!$R$5:$W$9,MATCH(ROUNDUP((AH$1)/10,0)*10,[1]Hugst!$R$4:$W$4,0))))</f>
        <v>0</v>
      </c>
      <c r="AI210" s="169">
        <f>IF($C210-AI$1&lt;År1,0,AH209*(1-VLOOKUP($A210,[1]Hugst!$R$5:$W$9,MATCH(ROUNDUP((AI$1)/10,0)*10,[1]Hugst!$R$4:$W$4,0))))</f>
        <v>0</v>
      </c>
      <c r="AJ210" s="169">
        <f>IF($C210-AJ$1&lt;År1,0,AI209*(1-VLOOKUP($A210,[1]Hugst!$R$5:$W$9,MATCH(ROUNDUP((AJ$1)/10,0)*10,[1]Hugst!$R$4:$W$4,0))))</f>
        <v>0</v>
      </c>
    </row>
    <row r="211" spans="1:36" x14ac:dyDescent="0.25">
      <c r="A211" s="169" t="s">
        <v>179</v>
      </c>
      <c r="B211" s="169" t="s">
        <v>23</v>
      </c>
      <c r="C211" s="169">
        <v>2043</v>
      </c>
      <c r="D211" s="169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69">
        <f t="shared" ca="1" si="4"/>
        <v>0</v>
      </c>
      <c r="F211" s="169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9">
        <f ca="1">IF($C211-G$1&lt;År1,0,F210*(1-VLOOKUP($A211,[1]Hugst!$R$5:$W$9,MATCH(ROUNDUP((G$1)/10,0)*10,[1]Hugst!$R$4:$W$4,0))))</f>
        <v>0</v>
      </c>
      <c r="H211" s="169">
        <f ca="1">IF($C211-H$1&lt;År1,0,G210*(1-VLOOKUP($A211,[1]Hugst!$R$5:$W$9,MATCH(ROUNDUP((H$1)/10,0)*10,[1]Hugst!$R$4:$W$4,0))))</f>
        <v>0</v>
      </c>
      <c r="I211" s="169">
        <f ca="1">IF($C211-I$1&lt;År1,0,H210*(1-VLOOKUP($A211,[1]Hugst!$R$5:$W$9,MATCH(ROUNDUP((I$1)/10,0)*10,[1]Hugst!$R$4:$W$4,0))))</f>
        <v>0</v>
      </c>
      <c r="J211" s="169">
        <f ca="1">IF($C211-J$1&lt;År1,0,I210*(1-VLOOKUP($A211,[1]Hugst!$R$5:$W$9,MATCH(ROUNDUP((J$1)/10,0)*10,[1]Hugst!$R$4:$W$4,0))))</f>
        <v>0</v>
      </c>
      <c r="K211" s="169">
        <f ca="1">IF($C211-K$1&lt;År1,0,J210*(1-VLOOKUP($A211,[1]Hugst!$R$5:$W$9,MATCH(ROUNDUP((K$1)/10,0)*10,[1]Hugst!$R$4:$W$4,0))))</f>
        <v>0</v>
      </c>
      <c r="L211" s="169">
        <f ca="1">IF($C211-L$1&lt;År1,0,K210*(1-VLOOKUP($A211,[1]Hugst!$R$5:$W$9,MATCH(ROUNDUP((L$1)/10,0)*10,[1]Hugst!$R$4:$W$4,0))))</f>
        <v>0</v>
      </c>
      <c r="M211" s="169">
        <f ca="1">IF($C211-M$1&lt;År1,0,L210*(1-VLOOKUP($A211,[1]Hugst!$R$5:$W$9,MATCH(ROUNDUP((M$1)/10,0)*10,[1]Hugst!$R$4:$W$4,0))))</f>
        <v>0</v>
      </c>
      <c r="N211" s="169">
        <f ca="1">IF($C211-N$1&lt;År1,0,M210*(1-VLOOKUP($A211,[1]Hugst!$R$5:$W$9,MATCH(ROUNDUP((N$1)/10,0)*10,[1]Hugst!$R$4:$W$4,0))))</f>
        <v>0</v>
      </c>
      <c r="O211" s="169">
        <f ca="1">IF($C211-O$1&lt;År1,0,N210*(1-VLOOKUP($A211,[1]Hugst!$R$5:$W$9,MATCH(ROUNDUP((O$1)/10,0)*10,[1]Hugst!$R$4:$W$4,0))))</f>
        <v>0</v>
      </c>
      <c r="P211" s="169">
        <f ca="1">IF($C211-P$1&lt;År1,0,O210*(1-VLOOKUP($A211,[1]Hugst!$R$5:$W$9,MATCH(ROUNDUP((P$1)/10,0)*10,[1]Hugst!$R$4:$W$4,0))))</f>
        <v>0</v>
      </c>
      <c r="Q211" s="169">
        <f ca="1">IF($C211-Q$1&lt;År1,0,P210*(1-VLOOKUP($A211,[1]Hugst!$R$5:$W$9,MATCH(ROUNDUP((Q$1)/10,0)*10,[1]Hugst!$R$4:$W$4,0))))</f>
        <v>0</v>
      </c>
      <c r="R211" s="169">
        <f ca="1">IF($C211-R$1&lt;År1,0,Q210*(1-VLOOKUP($A211,[1]Hugst!$R$5:$W$9,MATCH(ROUNDUP((R$1)/10,0)*10,[1]Hugst!$R$4:$W$4,0))))</f>
        <v>0</v>
      </c>
      <c r="S211" s="169">
        <f ca="1">IF($C211-S$1&lt;År1,0,R210*(1-VLOOKUP($A211,[1]Hugst!$R$5:$W$9,MATCH(ROUNDUP((S$1)/10,0)*10,[1]Hugst!$R$4:$W$4,0))))</f>
        <v>0</v>
      </c>
      <c r="T211" s="169">
        <f ca="1">IF($C211-T$1&lt;År1,0,S210*(1-VLOOKUP($A211,[1]Hugst!$R$5:$W$9,MATCH(ROUNDUP((T$1)/10,0)*10,[1]Hugst!$R$4:$W$4,0))))</f>
        <v>0</v>
      </c>
      <c r="U211" s="169">
        <f ca="1">IF($C211-U$1&lt;År1,0,T210*(1-VLOOKUP($A211,[1]Hugst!$R$5:$W$9,MATCH(ROUNDUP((U$1)/10,0)*10,[1]Hugst!$R$4:$W$4,0))))</f>
        <v>0</v>
      </c>
      <c r="V211" s="169">
        <f ca="1">IF($C211-V$1&lt;År1,0,U210*(1-VLOOKUP($A211,[1]Hugst!$R$5:$W$9,MATCH(ROUNDUP((V$1)/10,0)*10,[1]Hugst!$R$4:$W$4,0))))</f>
        <v>0</v>
      </c>
      <c r="W211" s="169">
        <f ca="1">IF($C211-W$1&lt;År1,0,V210*(1-VLOOKUP($A211,[1]Hugst!$R$5:$W$9,MATCH(ROUNDUP((W$1)/10,0)*10,[1]Hugst!$R$4:$W$4,0))))</f>
        <v>0</v>
      </c>
      <c r="X211" s="169">
        <f ca="1">IF($C211-X$1&lt;År1,0,W210*(1-VLOOKUP($A211,[1]Hugst!$R$5:$W$9,MATCH(ROUNDUP((X$1)/10,0)*10,[1]Hugst!$R$4:$W$4,0))))</f>
        <v>0</v>
      </c>
      <c r="Y211" s="169">
        <f ca="1">IF($C211-Y$1&lt;År1,0,X210*(1-VLOOKUP($A211,[1]Hugst!$R$5:$W$9,MATCH(ROUNDUP((Y$1)/10,0)*10,[1]Hugst!$R$4:$W$4,0))))</f>
        <v>0</v>
      </c>
      <c r="Z211" s="169">
        <f ca="1">IF($C211-Z$1&lt;År1,0,Y210*(1-VLOOKUP($A211,[1]Hugst!$R$5:$W$9,MATCH(ROUNDUP((Z$1)/10,0)*10,[1]Hugst!$R$4:$W$4,0))))</f>
        <v>0</v>
      </c>
      <c r="AA211" s="169">
        <f ca="1">IF($C211-AA$1&lt;År1,0,Z210*(1-VLOOKUP($A211,[1]Hugst!$R$5:$W$9,MATCH(ROUNDUP((AA$1)/10,0)*10,[1]Hugst!$R$4:$W$4,0))))</f>
        <v>0</v>
      </c>
      <c r="AB211" s="169">
        <f ca="1">IF($C211-AB$1&lt;År1,0,AA210*(1-VLOOKUP($A211,[1]Hugst!$R$5:$W$9,MATCH(ROUNDUP((AB$1)/10,0)*10,[1]Hugst!$R$4:$W$4,0))))</f>
        <v>0</v>
      </c>
      <c r="AC211" s="169">
        <f ca="1">IF($C211-AC$1&lt;År1,0,AB210*(1-VLOOKUP($A211,[1]Hugst!$R$5:$W$9,MATCH(ROUNDUP((AC$1)/10,0)*10,[1]Hugst!$R$4:$W$4,0))))</f>
        <v>0</v>
      </c>
      <c r="AD211" s="169">
        <f>IF($C211-AD$1&lt;År1,0,AC210*(1-VLOOKUP($A211,[1]Hugst!$R$5:$W$9,MATCH(ROUNDUP((AD$1)/10,0)*10,[1]Hugst!$R$4:$W$4,0))))</f>
        <v>0</v>
      </c>
      <c r="AE211" s="169">
        <f>IF($C211-AE$1&lt;År1,0,AD210*(1-VLOOKUP($A211,[1]Hugst!$R$5:$W$9,MATCH(ROUNDUP((AE$1)/10,0)*10,[1]Hugst!$R$4:$W$4,0))))</f>
        <v>0</v>
      </c>
      <c r="AF211" s="169">
        <f>IF($C211-AF$1&lt;År1,0,AE210*(1-VLOOKUP($A211,[1]Hugst!$R$5:$W$9,MATCH(ROUNDUP((AF$1)/10,0)*10,[1]Hugst!$R$4:$W$4,0))))</f>
        <v>0</v>
      </c>
      <c r="AG211" s="169">
        <f>IF($C211-AG$1&lt;År1,0,AF210*(1-VLOOKUP($A211,[1]Hugst!$R$5:$W$9,MATCH(ROUNDUP((AG$1)/10,0)*10,[1]Hugst!$R$4:$W$4,0))))</f>
        <v>0</v>
      </c>
      <c r="AH211" s="169">
        <f>IF($C211-AH$1&lt;År1,0,AG210*(1-VLOOKUP($A211,[1]Hugst!$R$5:$W$9,MATCH(ROUNDUP((AH$1)/10,0)*10,[1]Hugst!$R$4:$W$4,0))))</f>
        <v>0</v>
      </c>
      <c r="AI211" s="169">
        <f>IF($C211-AI$1&lt;År1,0,AH210*(1-VLOOKUP($A211,[1]Hugst!$R$5:$W$9,MATCH(ROUNDUP((AI$1)/10,0)*10,[1]Hugst!$R$4:$W$4,0))))</f>
        <v>0</v>
      </c>
      <c r="AJ211" s="169">
        <f>IF($C211-AJ$1&lt;År1,0,AI210*(1-VLOOKUP($A211,[1]Hugst!$R$5:$W$9,MATCH(ROUNDUP((AJ$1)/10,0)*10,[1]Hugst!$R$4:$W$4,0))))</f>
        <v>0</v>
      </c>
    </row>
    <row r="212" spans="1:36" x14ac:dyDescent="0.25">
      <c r="A212" s="169" t="s">
        <v>179</v>
      </c>
      <c r="B212" s="169" t="s">
        <v>23</v>
      </c>
      <c r="C212" s="169">
        <v>2044</v>
      </c>
      <c r="D212" s="169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69">
        <f t="shared" ca="1" si="4"/>
        <v>0</v>
      </c>
      <c r="F212" s="169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9">
        <f ca="1">IF($C212-G$1&lt;År1,0,F211*(1-VLOOKUP($A212,[1]Hugst!$R$5:$W$9,MATCH(ROUNDUP((G$1)/10,0)*10,[1]Hugst!$R$4:$W$4,0))))</f>
        <v>0</v>
      </c>
      <c r="H212" s="169">
        <f ca="1">IF($C212-H$1&lt;År1,0,G211*(1-VLOOKUP($A212,[1]Hugst!$R$5:$W$9,MATCH(ROUNDUP((H$1)/10,0)*10,[1]Hugst!$R$4:$W$4,0))))</f>
        <v>0</v>
      </c>
      <c r="I212" s="169">
        <f ca="1">IF($C212-I$1&lt;År1,0,H211*(1-VLOOKUP($A212,[1]Hugst!$R$5:$W$9,MATCH(ROUNDUP((I$1)/10,0)*10,[1]Hugst!$R$4:$W$4,0))))</f>
        <v>0</v>
      </c>
      <c r="J212" s="169">
        <f ca="1">IF($C212-J$1&lt;År1,0,I211*(1-VLOOKUP($A212,[1]Hugst!$R$5:$W$9,MATCH(ROUNDUP((J$1)/10,0)*10,[1]Hugst!$R$4:$W$4,0))))</f>
        <v>0</v>
      </c>
      <c r="K212" s="169">
        <f ca="1">IF($C212-K$1&lt;År1,0,J211*(1-VLOOKUP($A212,[1]Hugst!$R$5:$W$9,MATCH(ROUNDUP((K$1)/10,0)*10,[1]Hugst!$R$4:$W$4,0))))</f>
        <v>0</v>
      </c>
      <c r="L212" s="169">
        <f ca="1">IF($C212-L$1&lt;År1,0,K211*(1-VLOOKUP($A212,[1]Hugst!$R$5:$W$9,MATCH(ROUNDUP((L$1)/10,0)*10,[1]Hugst!$R$4:$W$4,0))))</f>
        <v>0</v>
      </c>
      <c r="M212" s="169">
        <f ca="1">IF($C212-M$1&lt;År1,0,L211*(1-VLOOKUP($A212,[1]Hugst!$R$5:$W$9,MATCH(ROUNDUP((M$1)/10,0)*10,[1]Hugst!$R$4:$W$4,0))))</f>
        <v>0</v>
      </c>
      <c r="N212" s="169">
        <f ca="1">IF($C212-N$1&lt;År1,0,M211*(1-VLOOKUP($A212,[1]Hugst!$R$5:$W$9,MATCH(ROUNDUP((N$1)/10,0)*10,[1]Hugst!$R$4:$W$4,0))))</f>
        <v>0</v>
      </c>
      <c r="O212" s="169">
        <f ca="1">IF($C212-O$1&lt;År1,0,N211*(1-VLOOKUP($A212,[1]Hugst!$R$5:$W$9,MATCH(ROUNDUP((O$1)/10,0)*10,[1]Hugst!$R$4:$W$4,0))))</f>
        <v>0</v>
      </c>
      <c r="P212" s="169">
        <f ca="1">IF($C212-P$1&lt;År1,0,O211*(1-VLOOKUP($A212,[1]Hugst!$R$5:$W$9,MATCH(ROUNDUP((P$1)/10,0)*10,[1]Hugst!$R$4:$W$4,0))))</f>
        <v>0</v>
      </c>
      <c r="Q212" s="169">
        <f ca="1">IF($C212-Q$1&lt;År1,0,P211*(1-VLOOKUP($A212,[1]Hugst!$R$5:$W$9,MATCH(ROUNDUP((Q$1)/10,0)*10,[1]Hugst!$R$4:$W$4,0))))</f>
        <v>0</v>
      </c>
      <c r="R212" s="169">
        <f ca="1">IF($C212-R$1&lt;År1,0,Q211*(1-VLOOKUP($A212,[1]Hugst!$R$5:$W$9,MATCH(ROUNDUP((R$1)/10,0)*10,[1]Hugst!$R$4:$W$4,0))))</f>
        <v>0</v>
      </c>
      <c r="S212" s="169">
        <f ca="1">IF($C212-S$1&lt;År1,0,R211*(1-VLOOKUP($A212,[1]Hugst!$R$5:$W$9,MATCH(ROUNDUP((S$1)/10,0)*10,[1]Hugst!$R$4:$W$4,0))))</f>
        <v>0</v>
      </c>
      <c r="T212" s="169">
        <f ca="1">IF($C212-T$1&lt;År1,0,S211*(1-VLOOKUP($A212,[1]Hugst!$R$5:$W$9,MATCH(ROUNDUP((T$1)/10,0)*10,[1]Hugst!$R$4:$W$4,0))))</f>
        <v>0</v>
      </c>
      <c r="U212" s="169">
        <f ca="1">IF($C212-U$1&lt;År1,0,T211*(1-VLOOKUP($A212,[1]Hugst!$R$5:$W$9,MATCH(ROUNDUP((U$1)/10,0)*10,[1]Hugst!$R$4:$W$4,0))))</f>
        <v>0</v>
      </c>
      <c r="V212" s="169">
        <f ca="1">IF($C212-V$1&lt;År1,0,U211*(1-VLOOKUP($A212,[1]Hugst!$R$5:$W$9,MATCH(ROUNDUP((V$1)/10,0)*10,[1]Hugst!$R$4:$W$4,0))))</f>
        <v>0</v>
      </c>
      <c r="W212" s="169">
        <f ca="1">IF($C212-W$1&lt;År1,0,V211*(1-VLOOKUP($A212,[1]Hugst!$R$5:$W$9,MATCH(ROUNDUP((W$1)/10,0)*10,[1]Hugst!$R$4:$W$4,0))))</f>
        <v>0</v>
      </c>
      <c r="X212" s="169">
        <f ca="1">IF($C212-X$1&lt;År1,0,W211*(1-VLOOKUP($A212,[1]Hugst!$R$5:$W$9,MATCH(ROUNDUP((X$1)/10,0)*10,[1]Hugst!$R$4:$W$4,0))))</f>
        <v>0</v>
      </c>
      <c r="Y212" s="169">
        <f ca="1">IF($C212-Y$1&lt;År1,0,X211*(1-VLOOKUP($A212,[1]Hugst!$R$5:$W$9,MATCH(ROUNDUP((Y$1)/10,0)*10,[1]Hugst!$R$4:$W$4,0))))</f>
        <v>0</v>
      </c>
      <c r="Z212" s="169">
        <f ca="1">IF($C212-Z$1&lt;År1,0,Y211*(1-VLOOKUP($A212,[1]Hugst!$R$5:$W$9,MATCH(ROUNDUP((Z$1)/10,0)*10,[1]Hugst!$R$4:$W$4,0))))</f>
        <v>0</v>
      </c>
      <c r="AA212" s="169">
        <f ca="1">IF($C212-AA$1&lt;År1,0,Z211*(1-VLOOKUP($A212,[1]Hugst!$R$5:$W$9,MATCH(ROUNDUP((AA$1)/10,0)*10,[1]Hugst!$R$4:$W$4,0))))</f>
        <v>0</v>
      </c>
      <c r="AB212" s="169">
        <f ca="1">IF($C212-AB$1&lt;År1,0,AA211*(1-VLOOKUP($A212,[1]Hugst!$R$5:$W$9,MATCH(ROUNDUP((AB$1)/10,0)*10,[1]Hugst!$R$4:$W$4,0))))</f>
        <v>0</v>
      </c>
      <c r="AC212" s="169">
        <f ca="1">IF($C212-AC$1&lt;År1,0,AB211*(1-VLOOKUP($A212,[1]Hugst!$R$5:$W$9,MATCH(ROUNDUP((AC$1)/10,0)*10,[1]Hugst!$R$4:$W$4,0))))</f>
        <v>0</v>
      </c>
      <c r="AD212" s="169">
        <f ca="1">IF($C212-AD$1&lt;År1,0,AC211*(1-VLOOKUP($A212,[1]Hugst!$R$5:$W$9,MATCH(ROUNDUP((AD$1)/10,0)*10,[1]Hugst!$R$4:$W$4,0))))</f>
        <v>0</v>
      </c>
      <c r="AE212" s="169">
        <f>IF($C212-AE$1&lt;År1,0,AD211*(1-VLOOKUP($A212,[1]Hugst!$R$5:$W$9,MATCH(ROUNDUP((AE$1)/10,0)*10,[1]Hugst!$R$4:$W$4,0))))</f>
        <v>0</v>
      </c>
      <c r="AF212" s="169">
        <f>IF($C212-AF$1&lt;År1,0,AE211*(1-VLOOKUP($A212,[1]Hugst!$R$5:$W$9,MATCH(ROUNDUP((AF$1)/10,0)*10,[1]Hugst!$R$4:$W$4,0))))</f>
        <v>0</v>
      </c>
      <c r="AG212" s="169">
        <f>IF($C212-AG$1&lt;År1,0,AF211*(1-VLOOKUP($A212,[1]Hugst!$R$5:$W$9,MATCH(ROUNDUP((AG$1)/10,0)*10,[1]Hugst!$R$4:$W$4,0))))</f>
        <v>0</v>
      </c>
      <c r="AH212" s="169">
        <f>IF($C212-AH$1&lt;År1,0,AG211*(1-VLOOKUP($A212,[1]Hugst!$R$5:$W$9,MATCH(ROUNDUP((AH$1)/10,0)*10,[1]Hugst!$R$4:$W$4,0))))</f>
        <v>0</v>
      </c>
      <c r="AI212" s="169">
        <f>IF($C212-AI$1&lt;År1,0,AH211*(1-VLOOKUP($A212,[1]Hugst!$R$5:$W$9,MATCH(ROUNDUP((AI$1)/10,0)*10,[1]Hugst!$R$4:$W$4,0))))</f>
        <v>0</v>
      </c>
      <c r="AJ212" s="169">
        <f>IF($C212-AJ$1&lt;År1,0,AI211*(1-VLOOKUP($A212,[1]Hugst!$R$5:$W$9,MATCH(ROUNDUP((AJ$1)/10,0)*10,[1]Hugst!$R$4:$W$4,0))))</f>
        <v>0</v>
      </c>
    </row>
    <row r="213" spans="1:36" x14ac:dyDescent="0.25">
      <c r="A213" s="169" t="s">
        <v>179</v>
      </c>
      <c r="B213" s="169" t="s">
        <v>23</v>
      </c>
      <c r="C213" s="169">
        <v>2045</v>
      </c>
      <c r="D213" s="169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69">
        <f t="shared" ca="1" si="4"/>
        <v>0</v>
      </c>
      <c r="F213" s="169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9">
        <f ca="1">IF($C213-G$1&lt;År1,0,F212*(1-VLOOKUP($A213,[1]Hugst!$R$5:$W$9,MATCH(ROUNDUP((G$1)/10,0)*10,[1]Hugst!$R$4:$W$4,0))))</f>
        <v>0</v>
      </c>
      <c r="H213" s="169">
        <f ca="1">IF($C213-H$1&lt;År1,0,G212*(1-VLOOKUP($A213,[1]Hugst!$R$5:$W$9,MATCH(ROUNDUP((H$1)/10,0)*10,[1]Hugst!$R$4:$W$4,0))))</f>
        <v>0</v>
      </c>
      <c r="I213" s="169">
        <f ca="1">IF($C213-I$1&lt;År1,0,H212*(1-VLOOKUP($A213,[1]Hugst!$R$5:$W$9,MATCH(ROUNDUP((I$1)/10,0)*10,[1]Hugst!$R$4:$W$4,0))))</f>
        <v>0</v>
      </c>
      <c r="J213" s="169">
        <f ca="1">IF($C213-J$1&lt;År1,0,I212*(1-VLOOKUP($A213,[1]Hugst!$R$5:$W$9,MATCH(ROUNDUP((J$1)/10,0)*10,[1]Hugst!$R$4:$W$4,0))))</f>
        <v>0</v>
      </c>
      <c r="K213" s="169">
        <f ca="1">IF($C213-K$1&lt;År1,0,J212*(1-VLOOKUP($A213,[1]Hugst!$R$5:$W$9,MATCH(ROUNDUP((K$1)/10,0)*10,[1]Hugst!$R$4:$W$4,0))))</f>
        <v>0</v>
      </c>
      <c r="L213" s="169">
        <f ca="1">IF($C213-L$1&lt;År1,0,K212*(1-VLOOKUP($A213,[1]Hugst!$R$5:$W$9,MATCH(ROUNDUP((L$1)/10,0)*10,[1]Hugst!$R$4:$W$4,0))))</f>
        <v>0</v>
      </c>
      <c r="M213" s="169">
        <f ca="1">IF($C213-M$1&lt;År1,0,L212*(1-VLOOKUP($A213,[1]Hugst!$R$5:$W$9,MATCH(ROUNDUP((M$1)/10,0)*10,[1]Hugst!$R$4:$W$4,0))))</f>
        <v>0</v>
      </c>
      <c r="N213" s="169">
        <f ca="1">IF($C213-N$1&lt;År1,0,M212*(1-VLOOKUP($A213,[1]Hugst!$R$5:$W$9,MATCH(ROUNDUP((N$1)/10,0)*10,[1]Hugst!$R$4:$W$4,0))))</f>
        <v>0</v>
      </c>
      <c r="O213" s="169">
        <f ca="1">IF($C213-O$1&lt;År1,0,N212*(1-VLOOKUP($A213,[1]Hugst!$R$5:$W$9,MATCH(ROUNDUP((O$1)/10,0)*10,[1]Hugst!$R$4:$W$4,0))))</f>
        <v>0</v>
      </c>
      <c r="P213" s="169">
        <f ca="1">IF($C213-P$1&lt;År1,0,O212*(1-VLOOKUP($A213,[1]Hugst!$R$5:$W$9,MATCH(ROUNDUP((P$1)/10,0)*10,[1]Hugst!$R$4:$W$4,0))))</f>
        <v>0</v>
      </c>
      <c r="Q213" s="169">
        <f ca="1">IF($C213-Q$1&lt;År1,0,P212*(1-VLOOKUP($A213,[1]Hugst!$R$5:$W$9,MATCH(ROUNDUP((Q$1)/10,0)*10,[1]Hugst!$R$4:$W$4,0))))</f>
        <v>0</v>
      </c>
      <c r="R213" s="169">
        <f ca="1">IF($C213-R$1&lt;År1,0,Q212*(1-VLOOKUP($A213,[1]Hugst!$R$5:$W$9,MATCH(ROUNDUP((R$1)/10,0)*10,[1]Hugst!$R$4:$W$4,0))))</f>
        <v>0</v>
      </c>
      <c r="S213" s="169">
        <f ca="1">IF($C213-S$1&lt;År1,0,R212*(1-VLOOKUP($A213,[1]Hugst!$R$5:$W$9,MATCH(ROUNDUP((S$1)/10,0)*10,[1]Hugst!$R$4:$W$4,0))))</f>
        <v>0</v>
      </c>
      <c r="T213" s="169">
        <f ca="1">IF($C213-T$1&lt;År1,0,S212*(1-VLOOKUP($A213,[1]Hugst!$R$5:$W$9,MATCH(ROUNDUP((T$1)/10,0)*10,[1]Hugst!$R$4:$W$4,0))))</f>
        <v>0</v>
      </c>
      <c r="U213" s="169">
        <f ca="1">IF($C213-U$1&lt;År1,0,T212*(1-VLOOKUP($A213,[1]Hugst!$R$5:$W$9,MATCH(ROUNDUP((U$1)/10,0)*10,[1]Hugst!$R$4:$W$4,0))))</f>
        <v>0</v>
      </c>
      <c r="V213" s="169">
        <f ca="1">IF($C213-V$1&lt;År1,0,U212*(1-VLOOKUP($A213,[1]Hugst!$R$5:$W$9,MATCH(ROUNDUP((V$1)/10,0)*10,[1]Hugst!$R$4:$W$4,0))))</f>
        <v>0</v>
      </c>
      <c r="W213" s="169">
        <f ca="1">IF($C213-W$1&lt;År1,0,V212*(1-VLOOKUP($A213,[1]Hugst!$R$5:$W$9,MATCH(ROUNDUP((W$1)/10,0)*10,[1]Hugst!$R$4:$W$4,0))))</f>
        <v>0</v>
      </c>
      <c r="X213" s="169">
        <f ca="1">IF($C213-X$1&lt;År1,0,W212*(1-VLOOKUP($A213,[1]Hugst!$R$5:$W$9,MATCH(ROUNDUP((X$1)/10,0)*10,[1]Hugst!$R$4:$W$4,0))))</f>
        <v>0</v>
      </c>
      <c r="Y213" s="169">
        <f ca="1">IF($C213-Y$1&lt;År1,0,X212*(1-VLOOKUP($A213,[1]Hugst!$R$5:$W$9,MATCH(ROUNDUP((Y$1)/10,0)*10,[1]Hugst!$R$4:$W$4,0))))</f>
        <v>0</v>
      </c>
      <c r="Z213" s="169">
        <f ca="1">IF($C213-Z$1&lt;År1,0,Y212*(1-VLOOKUP($A213,[1]Hugst!$R$5:$W$9,MATCH(ROUNDUP((Z$1)/10,0)*10,[1]Hugst!$R$4:$W$4,0))))</f>
        <v>0</v>
      </c>
      <c r="AA213" s="169">
        <f ca="1">IF($C213-AA$1&lt;År1,0,Z212*(1-VLOOKUP($A213,[1]Hugst!$R$5:$W$9,MATCH(ROUNDUP((AA$1)/10,0)*10,[1]Hugst!$R$4:$W$4,0))))</f>
        <v>0</v>
      </c>
      <c r="AB213" s="169">
        <f ca="1">IF($C213-AB$1&lt;År1,0,AA212*(1-VLOOKUP($A213,[1]Hugst!$R$5:$W$9,MATCH(ROUNDUP((AB$1)/10,0)*10,[1]Hugst!$R$4:$W$4,0))))</f>
        <v>0</v>
      </c>
      <c r="AC213" s="169">
        <f ca="1">IF($C213-AC$1&lt;År1,0,AB212*(1-VLOOKUP($A213,[1]Hugst!$R$5:$W$9,MATCH(ROUNDUP((AC$1)/10,0)*10,[1]Hugst!$R$4:$W$4,0))))</f>
        <v>0</v>
      </c>
      <c r="AD213" s="169">
        <f ca="1">IF($C213-AD$1&lt;År1,0,AC212*(1-VLOOKUP($A213,[1]Hugst!$R$5:$W$9,MATCH(ROUNDUP((AD$1)/10,0)*10,[1]Hugst!$R$4:$W$4,0))))</f>
        <v>0</v>
      </c>
      <c r="AE213" s="169">
        <f ca="1">IF($C213-AE$1&lt;År1,0,AD212*(1-VLOOKUP($A213,[1]Hugst!$R$5:$W$9,MATCH(ROUNDUP((AE$1)/10,0)*10,[1]Hugst!$R$4:$W$4,0))))</f>
        <v>0</v>
      </c>
      <c r="AF213" s="169">
        <f>IF($C213-AF$1&lt;År1,0,AE212*(1-VLOOKUP($A213,[1]Hugst!$R$5:$W$9,MATCH(ROUNDUP((AF$1)/10,0)*10,[1]Hugst!$R$4:$W$4,0))))</f>
        <v>0</v>
      </c>
      <c r="AG213" s="169">
        <f>IF($C213-AG$1&lt;År1,0,AF212*(1-VLOOKUP($A213,[1]Hugst!$R$5:$W$9,MATCH(ROUNDUP((AG$1)/10,0)*10,[1]Hugst!$R$4:$W$4,0))))</f>
        <v>0</v>
      </c>
      <c r="AH213" s="169">
        <f>IF($C213-AH$1&lt;År1,0,AG212*(1-VLOOKUP($A213,[1]Hugst!$R$5:$W$9,MATCH(ROUNDUP((AH$1)/10,0)*10,[1]Hugst!$R$4:$W$4,0))))</f>
        <v>0</v>
      </c>
      <c r="AI213" s="169">
        <f>IF($C213-AI$1&lt;År1,0,AH212*(1-VLOOKUP($A213,[1]Hugst!$R$5:$W$9,MATCH(ROUNDUP((AI$1)/10,0)*10,[1]Hugst!$R$4:$W$4,0))))</f>
        <v>0</v>
      </c>
      <c r="AJ213" s="169">
        <f>IF($C213-AJ$1&lt;År1,0,AI212*(1-VLOOKUP($A213,[1]Hugst!$R$5:$W$9,MATCH(ROUNDUP((AJ$1)/10,0)*10,[1]Hugst!$R$4:$W$4,0))))</f>
        <v>0</v>
      </c>
    </row>
    <row r="214" spans="1:36" x14ac:dyDescent="0.25">
      <c r="A214" s="169" t="s">
        <v>179</v>
      </c>
      <c r="B214" s="169" t="s">
        <v>23</v>
      </c>
      <c r="C214" s="169">
        <v>2046</v>
      </c>
      <c r="D214" s="169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69">
        <f t="shared" ca="1" si="4"/>
        <v>0</v>
      </c>
      <c r="F214" s="169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9">
        <f ca="1">IF($C214-G$1&lt;År1,0,F213*(1-VLOOKUP($A214,[1]Hugst!$R$5:$W$9,MATCH(ROUNDUP((G$1)/10,0)*10,[1]Hugst!$R$4:$W$4,0))))</f>
        <v>0</v>
      </c>
      <c r="H214" s="169">
        <f ca="1">IF($C214-H$1&lt;År1,0,G213*(1-VLOOKUP($A214,[1]Hugst!$R$5:$W$9,MATCH(ROUNDUP((H$1)/10,0)*10,[1]Hugst!$R$4:$W$4,0))))</f>
        <v>0</v>
      </c>
      <c r="I214" s="169">
        <f ca="1">IF($C214-I$1&lt;År1,0,H213*(1-VLOOKUP($A214,[1]Hugst!$R$5:$W$9,MATCH(ROUNDUP((I$1)/10,0)*10,[1]Hugst!$R$4:$W$4,0))))</f>
        <v>0</v>
      </c>
      <c r="J214" s="169">
        <f ca="1">IF($C214-J$1&lt;År1,0,I213*(1-VLOOKUP($A214,[1]Hugst!$R$5:$W$9,MATCH(ROUNDUP((J$1)/10,0)*10,[1]Hugst!$R$4:$W$4,0))))</f>
        <v>0</v>
      </c>
      <c r="K214" s="169">
        <f ca="1">IF($C214-K$1&lt;År1,0,J213*(1-VLOOKUP($A214,[1]Hugst!$R$5:$W$9,MATCH(ROUNDUP((K$1)/10,0)*10,[1]Hugst!$R$4:$W$4,0))))</f>
        <v>0</v>
      </c>
      <c r="L214" s="169">
        <f ca="1">IF($C214-L$1&lt;År1,0,K213*(1-VLOOKUP($A214,[1]Hugst!$R$5:$W$9,MATCH(ROUNDUP((L$1)/10,0)*10,[1]Hugst!$R$4:$W$4,0))))</f>
        <v>0</v>
      </c>
      <c r="M214" s="169">
        <f ca="1">IF($C214-M$1&lt;År1,0,L213*(1-VLOOKUP($A214,[1]Hugst!$R$5:$W$9,MATCH(ROUNDUP((M$1)/10,0)*10,[1]Hugst!$R$4:$W$4,0))))</f>
        <v>0</v>
      </c>
      <c r="N214" s="169">
        <f ca="1">IF($C214-N$1&lt;År1,0,M213*(1-VLOOKUP($A214,[1]Hugst!$R$5:$W$9,MATCH(ROUNDUP((N$1)/10,0)*10,[1]Hugst!$R$4:$W$4,0))))</f>
        <v>0</v>
      </c>
      <c r="O214" s="169">
        <f ca="1">IF($C214-O$1&lt;År1,0,N213*(1-VLOOKUP($A214,[1]Hugst!$R$5:$W$9,MATCH(ROUNDUP((O$1)/10,0)*10,[1]Hugst!$R$4:$W$4,0))))</f>
        <v>0</v>
      </c>
      <c r="P214" s="169">
        <f ca="1">IF($C214-P$1&lt;År1,0,O213*(1-VLOOKUP($A214,[1]Hugst!$R$5:$W$9,MATCH(ROUNDUP((P$1)/10,0)*10,[1]Hugst!$R$4:$W$4,0))))</f>
        <v>0</v>
      </c>
      <c r="Q214" s="169">
        <f ca="1">IF($C214-Q$1&lt;År1,0,P213*(1-VLOOKUP($A214,[1]Hugst!$R$5:$W$9,MATCH(ROUNDUP((Q$1)/10,0)*10,[1]Hugst!$R$4:$W$4,0))))</f>
        <v>0</v>
      </c>
      <c r="R214" s="169">
        <f ca="1">IF($C214-R$1&lt;År1,0,Q213*(1-VLOOKUP($A214,[1]Hugst!$R$5:$W$9,MATCH(ROUNDUP((R$1)/10,0)*10,[1]Hugst!$R$4:$W$4,0))))</f>
        <v>0</v>
      </c>
      <c r="S214" s="169">
        <f ca="1">IF($C214-S$1&lt;År1,0,R213*(1-VLOOKUP($A214,[1]Hugst!$R$5:$W$9,MATCH(ROUNDUP((S$1)/10,0)*10,[1]Hugst!$R$4:$W$4,0))))</f>
        <v>0</v>
      </c>
      <c r="T214" s="169">
        <f ca="1">IF($C214-T$1&lt;År1,0,S213*(1-VLOOKUP($A214,[1]Hugst!$R$5:$W$9,MATCH(ROUNDUP((T$1)/10,0)*10,[1]Hugst!$R$4:$W$4,0))))</f>
        <v>0</v>
      </c>
      <c r="U214" s="169">
        <f ca="1">IF($C214-U$1&lt;År1,0,T213*(1-VLOOKUP($A214,[1]Hugst!$R$5:$W$9,MATCH(ROUNDUP((U$1)/10,0)*10,[1]Hugst!$R$4:$W$4,0))))</f>
        <v>0</v>
      </c>
      <c r="V214" s="169">
        <f ca="1">IF($C214-V$1&lt;År1,0,U213*(1-VLOOKUP($A214,[1]Hugst!$R$5:$W$9,MATCH(ROUNDUP((V$1)/10,0)*10,[1]Hugst!$R$4:$W$4,0))))</f>
        <v>0</v>
      </c>
      <c r="W214" s="169">
        <f ca="1">IF($C214-W$1&lt;År1,0,V213*(1-VLOOKUP($A214,[1]Hugst!$R$5:$W$9,MATCH(ROUNDUP((W$1)/10,0)*10,[1]Hugst!$R$4:$W$4,0))))</f>
        <v>0</v>
      </c>
      <c r="X214" s="169">
        <f ca="1">IF($C214-X$1&lt;År1,0,W213*(1-VLOOKUP($A214,[1]Hugst!$R$5:$W$9,MATCH(ROUNDUP((X$1)/10,0)*10,[1]Hugst!$R$4:$W$4,0))))</f>
        <v>0</v>
      </c>
      <c r="Y214" s="169">
        <f ca="1">IF($C214-Y$1&lt;År1,0,X213*(1-VLOOKUP($A214,[1]Hugst!$R$5:$W$9,MATCH(ROUNDUP((Y$1)/10,0)*10,[1]Hugst!$R$4:$W$4,0))))</f>
        <v>0</v>
      </c>
      <c r="Z214" s="169">
        <f ca="1">IF($C214-Z$1&lt;År1,0,Y213*(1-VLOOKUP($A214,[1]Hugst!$R$5:$W$9,MATCH(ROUNDUP((Z$1)/10,0)*10,[1]Hugst!$R$4:$W$4,0))))</f>
        <v>0</v>
      </c>
      <c r="AA214" s="169">
        <f ca="1">IF($C214-AA$1&lt;År1,0,Z213*(1-VLOOKUP($A214,[1]Hugst!$R$5:$W$9,MATCH(ROUNDUP((AA$1)/10,0)*10,[1]Hugst!$R$4:$W$4,0))))</f>
        <v>0</v>
      </c>
      <c r="AB214" s="169">
        <f ca="1">IF($C214-AB$1&lt;År1,0,AA213*(1-VLOOKUP($A214,[1]Hugst!$R$5:$W$9,MATCH(ROUNDUP((AB$1)/10,0)*10,[1]Hugst!$R$4:$W$4,0))))</f>
        <v>0</v>
      </c>
      <c r="AC214" s="169">
        <f ca="1">IF($C214-AC$1&lt;År1,0,AB213*(1-VLOOKUP($A214,[1]Hugst!$R$5:$W$9,MATCH(ROUNDUP((AC$1)/10,0)*10,[1]Hugst!$R$4:$W$4,0))))</f>
        <v>0</v>
      </c>
      <c r="AD214" s="169">
        <f ca="1">IF($C214-AD$1&lt;År1,0,AC213*(1-VLOOKUP($A214,[1]Hugst!$R$5:$W$9,MATCH(ROUNDUP((AD$1)/10,0)*10,[1]Hugst!$R$4:$W$4,0))))</f>
        <v>0</v>
      </c>
      <c r="AE214" s="169">
        <f ca="1">IF($C214-AE$1&lt;År1,0,AD213*(1-VLOOKUP($A214,[1]Hugst!$R$5:$W$9,MATCH(ROUNDUP((AE$1)/10,0)*10,[1]Hugst!$R$4:$W$4,0))))</f>
        <v>0</v>
      </c>
      <c r="AF214" s="169">
        <f ca="1">IF($C214-AF$1&lt;År1,0,AE213*(1-VLOOKUP($A214,[1]Hugst!$R$5:$W$9,MATCH(ROUNDUP((AF$1)/10,0)*10,[1]Hugst!$R$4:$W$4,0))))</f>
        <v>0</v>
      </c>
      <c r="AG214" s="169">
        <f>IF($C214-AG$1&lt;År1,0,AF213*(1-VLOOKUP($A214,[1]Hugst!$R$5:$W$9,MATCH(ROUNDUP((AG$1)/10,0)*10,[1]Hugst!$R$4:$W$4,0))))</f>
        <v>0</v>
      </c>
      <c r="AH214" s="169">
        <f>IF($C214-AH$1&lt;År1,0,AG213*(1-VLOOKUP($A214,[1]Hugst!$R$5:$W$9,MATCH(ROUNDUP((AH$1)/10,0)*10,[1]Hugst!$R$4:$W$4,0))))</f>
        <v>0</v>
      </c>
      <c r="AI214" s="169">
        <f>IF($C214-AI$1&lt;År1,0,AH213*(1-VLOOKUP($A214,[1]Hugst!$R$5:$W$9,MATCH(ROUNDUP((AI$1)/10,0)*10,[1]Hugst!$R$4:$W$4,0))))</f>
        <v>0</v>
      </c>
      <c r="AJ214" s="169">
        <f>IF($C214-AJ$1&lt;År1,0,AI213*(1-VLOOKUP($A214,[1]Hugst!$R$5:$W$9,MATCH(ROUNDUP((AJ$1)/10,0)*10,[1]Hugst!$R$4:$W$4,0))))</f>
        <v>0</v>
      </c>
    </row>
    <row r="215" spans="1:36" x14ac:dyDescent="0.25">
      <c r="A215" s="169" t="s">
        <v>179</v>
      </c>
      <c r="B215" s="169" t="s">
        <v>23</v>
      </c>
      <c r="C215" s="169">
        <v>2047</v>
      </c>
      <c r="D215" s="169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69">
        <f t="shared" ca="1" si="4"/>
        <v>0</v>
      </c>
      <c r="F215" s="169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9">
        <f ca="1">IF($C215-G$1&lt;År1,0,F214*(1-VLOOKUP($A215,[1]Hugst!$R$5:$W$9,MATCH(ROUNDUP((G$1)/10,0)*10,[1]Hugst!$R$4:$W$4,0))))</f>
        <v>0</v>
      </c>
      <c r="H215" s="169">
        <f ca="1">IF($C215-H$1&lt;År1,0,G214*(1-VLOOKUP($A215,[1]Hugst!$R$5:$W$9,MATCH(ROUNDUP((H$1)/10,0)*10,[1]Hugst!$R$4:$W$4,0))))</f>
        <v>0</v>
      </c>
      <c r="I215" s="169">
        <f ca="1">IF($C215-I$1&lt;År1,0,H214*(1-VLOOKUP($A215,[1]Hugst!$R$5:$W$9,MATCH(ROUNDUP((I$1)/10,0)*10,[1]Hugst!$R$4:$W$4,0))))</f>
        <v>0</v>
      </c>
      <c r="J215" s="169">
        <f ca="1">IF($C215-J$1&lt;År1,0,I214*(1-VLOOKUP($A215,[1]Hugst!$R$5:$W$9,MATCH(ROUNDUP((J$1)/10,0)*10,[1]Hugst!$R$4:$W$4,0))))</f>
        <v>0</v>
      </c>
      <c r="K215" s="169">
        <f ca="1">IF($C215-K$1&lt;År1,0,J214*(1-VLOOKUP($A215,[1]Hugst!$R$5:$W$9,MATCH(ROUNDUP((K$1)/10,0)*10,[1]Hugst!$R$4:$W$4,0))))</f>
        <v>0</v>
      </c>
      <c r="L215" s="169">
        <f ca="1">IF($C215-L$1&lt;År1,0,K214*(1-VLOOKUP($A215,[1]Hugst!$R$5:$W$9,MATCH(ROUNDUP((L$1)/10,0)*10,[1]Hugst!$R$4:$W$4,0))))</f>
        <v>0</v>
      </c>
      <c r="M215" s="169">
        <f ca="1">IF($C215-M$1&lt;År1,0,L214*(1-VLOOKUP($A215,[1]Hugst!$R$5:$W$9,MATCH(ROUNDUP((M$1)/10,0)*10,[1]Hugst!$R$4:$W$4,0))))</f>
        <v>0</v>
      </c>
      <c r="N215" s="169">
        <f ca="1">IF($C215-N$1&lt;År1,0,M214*(1-VLOOKUP($A215,[1]Hugst!$R$5:$W$9,MATCH(ROUNDUP((N$1)/10,0)*10,[1]Hugst!$R$4:$W$4,0))))</f>
        <v>0</v>
      </c>
      <c r="O215" s="169">
        <f ca="1">IF($C215-O$1&lt;År1,0,N214*(1-VLOOKUP($A215,[1]Hugst!$R$5:$W$9,MATCH(ROUNDUP((O$1)/10,0)*10,[1]Hugst!$R$4:$W$4,0))))</f>
        <v>0</v>
      </c>
      <c r="P215" s="169">
        <f ca="1">IF($C215-P$1&lt;År1,0,O214*(1-VLOOKUP($A215,[1]Hugst!$R$5:$W$9,MATCH(ROUNDUP((P$1)/10,0)*10,[1]Hugst!$R$4:$W$4,0))))</f>
        <v>0</v>
      </c>
      <c r="Q215" s="169">
        <f ca="1">IF($C215-Q$1&lt;År1,0,P214*(1-VLOOKUP($A215,[1]Hugst!$R$5:$W$9,MATCH(ROUNDUP((Q$1)/10,0)*10,[1]Hugst!$R$4:$W$4,0))))</f>
        <v>0</v>
      </c>
      <c r="R215" s="169">
        <f ca="1">IF($C215-R$1&lt;År1,0,Q214*(1-VLOOKUP($A215,[1]Hugst!$R$5:$W$9,MATCH(ROUNDUP((R$1)/10,0)*10,[1]Hugst!$R$4:$W$4,0))))</f>
        <v>0</v>
      </c>
      <c r="S215" s="169">
        <f ca="1">IF($C215-S$1&lt;År1,0,R214*(1-VLOOKUP($A215,[1]Hugst!$R$5:$W$9,MATCH(ROUNDUP((S$1)/10,0)*10,[1]Hugst!$R$4:$W$4,0))))</f>
        <v>0</v>
      </c>
      <c r="T215" s="169">
        <f ca="1">IF($C215-T$1&lt;År1,0,S214*(1-VLOOKUP($A215,[1]Hugst!$R$5:$W$9,MATCH(ROUNDUP((T$1)/10,0)*10,[1]Hugst!$R$4:$W$4,0))))</f>
        <v>0</v>
      </c>
      <c r="U215" s="169">
        <f ca="1">IF($C215-U$1&lt;År1,0,T214*(1-VLOOKUP($A215,[1]Hugst!$R$5:$W$9,MATCH(ROUNDUP((U$1)/10,0)*10,[1]Hugst!$R$4:$W$4,0))))</f>
        <v>0</v>
      </c>
      <c r="V215" s="169">
        <f ca="1">IF($C215-V$1&lt;År1,0,U214*(1-VLOOKUP($A215,[1]Hugst!$R$5:$W$9,MATCH(ROUNDUP((V$1)/10,0)*10,[1]Hugst!$R$4:$W$4,0))))</f>
        <v>0</v>
      </c>
      <c r="W215" s="169">
        <f ca="1">IF($C215-W$1&lt;År1,0,V214*(1-VLOOKUP($A215,[1]Hugst!$R$5:$W$9,MATCH(ROUNDUP((W$1)/10,0)*10,[1]Hugst!$R$4:$W$4,0))))</f>
        <v>0</v>
      </c>
      <c r="X215" s="169">
        <f ca="1">IF($C215-X$1&lt;År1,0,W214*(1-VLOOKUP($A215,[1]Hugst!$R$5:$W$9,MATCH(ROUNDUP((X$1)/10,0)*10,[1]Hugst!$R$4:$W$4,0))))</f>
        <v>0</v>
      </c>
      <c r="Y215" s="169">
        <f ca="1">IF($C215-Y$1&lt;År1,0,X214*(1-VLOOKUP($A215,[1]Hugst!$R$5:$W$9,MATCH(ROUNDUP((Y$1)/10,0)*10,[1]Hugst!$R$4:$W$4,0))))</f>
        <v>0</v>
      </c>
      <c r="Z215" s="169">
        <f ca="1">IF($C215-Z$1&lt;År1,0,Y214*(1-VLOOKUP($A215,[1]Hugst!$R$5:$W$9,MATCH(ROUNDUP((Z$1)/10,0)*10,[1]Hugst!$R$4:$W$4,0))))</f>
        <v>0</v>
      </c>
      <c r="AA215" s="169">
        <f ca="1">IF($C215-AA$1&lt;År1,0,Z214*(1-VLOOKUP($A215,[1]Hugst!$R$5:$W$9,MATCH(ROUNDUP((AA$1)/10,0)*10,[1]Hugst!$R$4:$W$4,0))))</f>
        <v>0</v>
      </c>
      <c r="AB215" s="169">
        <f ca="1">IF($C215-AB$1&lt;År1,0,AA214*(1-VLOOKUP($A215,[1]Hugst!$R$5:$W$9,MATCH(ROUNDUP((AB$1)/10,0)*10,[1]Hugst!$R$4:$W$4,0))))</f>
        <v>0</v>
      </c>
      <c r="AC215" s="169">
        <f ca="1">IF($C215-AC$1&lt;År1,0,AB214*(1-VLOOKUP($A215,[1]Hugst!$R$5:$W$9,MATCH(ROUNDUP((AC$1)/10,0)*10,[1]Hugst!$R$4:$W$4,0))))</f>
        <v>0</v>
      </c>
      <c r="AD215" s="169">
        <f ca="1">IF($C215-AD$1&lt;År1,0,AC214*(1-VLOOKUP($A215,[1]Hugst!$R$5:$W$9,MATCH(ROUNDUP((AD$1)/10,0)*10,[1]Hugst!$R$4:$W$4,0))))</f>
        <v>0</v>
      </c>
      <c r="AE215" s="169">
        <f ca="1">IF($C215-AE$1&lt;År1,0,AD214*(1-VLOOKUP($A215,[1]Hugst!$R$5:$W$9,MATCH(ROUNDUP((AE$1)/10,0)*10,[1]Hugst!$R$4:$W$4,0))))</f>
        <v>0</v>
      </c>
      <c r="AF215" s="169">
        <f ca="1">IF($C215-AF$1&lt;År1,0,AE214*(1-VLOOKUP($A215,[1]Hugst!$R$5:$W$9,MATCH(ROUNDUP((AF$1)/10,0)*10,[1]Hugst!$R$4:$W$4,0))))</f>
        <v>0</v>
      </c>
      <c r="AG215" s="169">
        <f ca="1">IF($C215-AG$1&lt;År1,0,AF214*(1-VLOOKUP($A215,[1]Hugst!$R$5:$W$9,MATCH(ROUNDUP((AG$1)/10,0)*10,[1]Hugst!$R$4:$W$4,0))))</f>
        <v>0</v>
      </c>
      <c r="AH215" s="169">
        <f>IF($C215-AH$1&lt;År1,0,AG214*(1-VLOOKUP($A215,[1]Hugst!$R$5:$W$9,MATCH(ROUNDUP((AH$1)/10,0)*10,[1]Hugst!$R$4:$W$4,0))))</f>
        <v>0</v>
      </c>
      <c r="AI215" s="169">
        <f>IF($C215-AI$1&lt;År1,0,AH214*(1-VLOOKUP($A215,[1]Hugst!$R$5:$W$9,MATCH(ROUNDUP((AI$1)/10,0)*10,[1]Hugst!$R$4:$W$4,0))))</f>
        <v>0</v>
      </c>
      <c r="AJ215" s="169">
        <f>IF($C215-AJ$1&lt;År1,0,AI214*(1-VLOOKUP($A215,[1]Hugst!$R$5:$W$9,MATCH(ROUNDUP((AJ$1)/10,0)*10,[1]Hugst!$R$4:$W$4,0))))</f>
        <v>0</v>
      </c>
    </row>
    <row r="216" spans="1:36" x14ac:dyDescent="0.25">
      <c r="A216" s="169" t="s">
        <v>179</v>
      </c>
      <c r="B216" s="169" t="s">
        <v>23</v>
      </c>
      <c r="C216" s="169">
        <v>2048</v>
      </c>
      <c r="D216" s="169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69">
        <f t="shared" ca="1" si="4"/>
        <v>0</v>
      </c>
      <c r="F216" s="169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9">
        <f ca="1">IF($C216-G$1&lt;År1,0,F215*(1-VLOOKUP($A216,[1]Hugst!$R$5:$W$9,MATCH(ROUNDUP((G$1)/10,0)*10,[1]Hugst!$R$4:$W$4,0))))</f>
        <v>0</v>
      </c>
      <c r="H216" s="169">
        <f ca="1">IF($C216-H$1&lt;År1,0,G215*(1-VLOOKUP($A216,[1]Hugst!$R$5:$W$9,MATCH(ROUNDUP((H$1)/10,0)*10,[1]Hugst!$R$4:$W$4,0))))</f>
        <v>0</v>
      </c>
      <c r="I216" s="169">
        <f ca="1">IF($C216-I$1&lt;År1,0,H215*(1-VLOOKUP($A216,[1]Hugst!$R$5:$W$9,MATCH(ROUNDUP((I$1)/10,0)*10,[1]Hugst!$R$4:$W$4,0))))</f>
        <v>0</v>
      </c>
      <c r="J216" s="169">
        <f ca="1">IF($C216-J$1&lt;År1,0,I215*(1-VLOOKUP($A216,[1]Hugst!$R$5:$W$9,MATCH(ROUNDUP((J$1)/10,0)*10,[1]Hugst!$R$4:$W$4,0))))</f>
        <v>0</v>
      </c>
      <c r="K216" s="169">
        <f ca="1">IF($C216-K$1&lt;År1,0,J215*(1-VLOOKUP($A216,[1]Hugst!$R$5:$W$9,MATCH(ROUNDUP((K$1)/10,0)*10,[1]Hugst!$R$4:$W$4,0))))</f>
        <v>0</v>
      </c>
      <c r="L216" s="169">
        <f ca="1">IF($C216-L$1&lt;År1,0,K215*(1-VLOOKUP($A216,[1]Hugst!$R$5:$W$9,MATCH(ROUNDUP((L$1)/10,0)*10,[1]Hugst!$R$4:$W$4,0))))</f>
        <v>0</v>
      </c>
      <c r="M216" s="169">
        <f ca="1">IF($C216-M$1&lt;År1,0,L215*(1-VLOOKUP($A216,[1]Hugst!$R$5:$W$9,MATCH(ROUNDUP((M$1)/10,0)*10,[1]Hugst!$R$4:$W$4,0))))</f>
        <v>0</v>
      </c>
      <c r="N216" s="169">
        <f ca="1">IF($C216-N$1&lt;År1,0,M215*(1-VLOOKUP($A216,[1]Hugst!$R$5:$W$9,MATCH(ROUNDUP((N$1)/10,0)*10,[1]Hugst!$R$4:$W$4,0))))</f>
        <v>0</v>
      </c>
      <c r="O216" s="169">
        <f ca="1">IF($C216-O$1&lt;År1,0,N215*(1-VLOOKUP($A216,[1]Hugst!$R$5:$W$9,MATCH(ROUNDUP((O$1)/10,0)*10,[1]Hugst!$R$4:$W$4,0))))</f>
        <v>0</v>
      </c>
      <c r="P216" s="169">
        <f ca="1">IF($C216-P$1&lt;År1,0,O215*(1-VLOOKUP($A216,[1]Hugst!$R$5:$W$9,MATCH(ROUNDUP((P$1)/10,0)*10,[1]Hugst!$R$4:$W$4,0))))</f>
        <v>0</v>
      </c>
      <c r="Q216" s="169">
        <f ca="1">IF($C216-Q$1&lt;År1,0,P215*(1-VLOOKUP($A216,[1]Hugst!$R$5:$W$9,MATCH(ROUNDUP((Q$1)/10,0)*10,[1]Hugst!$R$4:$W$4,0))))</f>
        <v>0</v>
      </c>
      <c r="R216" s="169">
        <f ca="1">IF($C216-R$1&lt;År1,0,Q215*(1-VLOOKUP($A216,[1]Hugst!$R$5:$W$9,MATCH(ROUNDUP((R$1)/10,0)*10,[1]Hugst!$R$4:$W$4,0))))</f>
        <v>0</v>
      </c>
      <c r="S216" s="169">
        <f ca="1">IF($C216-S$1&lt;År1,0,R215*(1-VLOOKUP($A216,[1]Hugst!$R$5:$W$9,MATCH(ROUNDUP((S$1)/10,0)*10,[1]Hugst!$R$4:$W$4,0))))</f>
        <v>0</v>
      </c>
      <c r="T216" s="169">
        <f ca="1">IF($C216-T$1&lt;År1,0,S215*(1-VLOOKUP($A216,[1]Hugst!$R$5:$W$9,MATCH(ROUNDUP((T$1)/10,0)*10,[1]Hugst!$R$4:$W$4,0))))</f>
        <v>0</v>
      </c>
      <c r="U216" s="169">
        <f ca="1">IF($C216-U$1&lt;År1,0,T215*(1-VLOOKUP($A216,[1]Hugst!$R$5:$W$9,MATCH(ROUNDUP((U$1)/10,0)*10,[1]Hugst!$R$4:$W$4,0))))</f>
        <v>0</v>
      </c>
      <c r="V216" s="169">
        <f ca="1">IF($C216-V$1&lt;År1,0,U215*(1-VLOOKUP($A216,[1]Hugst!$R$5:$W$9,MATCH(ROUNDUP((V$1)/10,0)*10,[1]Hugst!$R$4:$W$4,0))))</f>
        <v>0</v>
      </c>
      <c r="W216" s="169">
        <f ca="1">IF($C216-W$1&lt;År1,0,V215*(1-VLOOKUP($A216,[1]Hugst!$R$5:$W$9,MATCH(ROUNDUP((W$1)/10,0)*10,[1]Hugst!$R$4:$W$4,0))))</f>
        <v>0</v>
      </c>
      <c r="X216" s="169">
        <f ca="1">IF($C216-X$1&lt;År1,0,W215*(1-VLOOKUP($A216,[1]Hugst!$R$5:$W$9,MATCH(ROUNDUP((X$1)/10,0)*10,[1]Hugst!$R$4:$W$4,0))))</f>
        <v>0</v>
      </c>
      <c r="Y216" s="169">
        <f ca="1">IF($C216-Y$1&lt;År1,0,X215*(1-VLOOKUP($A216,[1]Hugst!$R$5:$W$9,MATCH(ROUNDUP((Y$1)/10,0)*10,[1]Hugst!$R$4:$W$4,0))))</f>
        <v>0</v>
      </c>
      <c r="Z216" s="169">
        <f ca="1">IF($C216-Z$1&lt;År1,0,Y215*(1-VLOOKUP($A216,[1]Hugst!$R$5:$W$9,MATCH(ROUNDUP((Z$1)/10,0)*10,[1]Hugst!$R$4:$W$4,0))))</f>
        <v>0</v>
      </c>
      <c r="AA216" s="169">
        <f ca="1">IF($C216-AA$1&lt;År1,0,Z215*(1-VLOOKUP($A216,[1]Hugst!$R$5:$W$9,MATCH(ROUNDUP((AA$1)/10,0)*10,[1]Hugst!$R$4:$W$4,0))))</f>
        <v>0</v>
      </c>
      <c r="AB216" s="169">
        <f ca="1">IF($C216-AB$1&lt;År1,0,AA215*(1-VLOOKUP($A216,[1]Hugst!$R$5:$W$9,MATCH(ROUNDUP((AB$1)/10,0)*10,[1]Hugst!$R$4:$W$4,0))))</f>
        <v>0</v>
      </c>
      <c r="AC216" s="169">
        <f ca="1">IF($C216-AC$1&lt;År1,0,AB215*(1-VLOOKUP($A216,[1]Hugst!$R$5:$W$9,MATCH(ROUNDUP((AC$1)/10,0)*10,[1]Hugst!$R$4:$W$4,0))))</f>
        <v>0</v>
      </c>
      <c r="AD216" s="169">
        <f ca="1">IF($C216-AD$1&lt;År1,0,AC215*(1-VLOOKUP($A216,[1]Hugst!$R$5:$W$9,MATCH(ROUNDUP((AD$1)/10,0)*10,[1]Hugst!$R$4:$W$4,0))))</f>
        <v>0</v>
      </c>
      <c r="AE216" s="169">
        <f ca="1">IF($C216-AE$1&lt;År1,0,AD215*(1-VLOOKUP($A216,[1]Hugst!$R$5:$W$9,MATCH(ROUNDUP((AE$1)/10,0)*10,[1]Hugst!$R$4:$W$4,0))))</f>
        <v>0</v>
      </c>
      <c r="AF216" s="169">
        <f ca="1">IF($C216-AF$1&lt;År1,0,AE215*(1-VLOOKUP($A216,[1]Hugst!$R$5:$W$9,MATCH(ROUNDUP((AF$1)/10,0)*10,[1]Hugst!$R$4:$W$4,0))))</f>
        <v>0</v>
      </c>
      <c r="AG216" s="169">
        <f ca="1">IF($C216-AG$1&lt;År1,0,AF215*(1-VLOOKUP($A216,[1]Hugst!$R$5:$W$9,MATCH(ROUNDUP((AG$1)/10,0)*10,[1]Hugst!$R$4:$W$4,0))))</f>
        <v>0</v>
      </c>
      <c r="AH216" s="169">
        <f ca="1">IF($C216-AH$1&lt;År1,0,AG215*(1-VLOOKUP($A216,[1]Hugst!$R$5:$W$9,MATCH(ROUNDUP((AH$1)/10,0)*10,[1]Hugst!$R$4:$W$4,0))))</f>
        <v>0</v>
      </c>
      <c r="AI216" s="169">
        <f>IF($C216-AI$1&lt;År1,0,AH215*(1-VLOOKUP($A216,[1]Hugst!$R$5:$W$9,MATCH(ROUNDUP((AI$1)/10,0)*10,[1]Hugst!$R$4:$W$4,0))))</f>
        <v>0</v>
      </c>
      <c r="AJ216" s="169">
        <f>IF($C216-AJ$1&lt;År1,0,AI215*(1-VLOOKUP($A216,[1]Hugst!$R$5:$W$9,MATCH(ROUNDUP((AJ$1)/10,0)*10,[1]Hugst!$R$4:$W$4,0))))</f>
        <v>0</v>
      </c>
    </row>
    <row r="217" spans="1:36" x14ac:dyDescent="0.25">
      <c r="A217" s="169" t="s">
        <v>179</v>
      </c>
      <c r="B217" s="169" t="s">
        <v>23</v>
      </c>
      <c r="C217" s="169">
        <v>2049</v>
      </c>
      <c r="D217" s="169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69">
        <f t="shared" ca="1" si="4"/>
        <v>0</v>
      </c>
      <c r="F217" s="169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9">
        <f ca="1">IF($C217-G$1&lt;År1,0,F216*(1-VLOOKUP($A217,[1]Hugst!$R$5:$W$9,MATCH(ROUNDUP((G$1)/10,0)*10,[1]Hugst!$R$4:$W$4,0))))</f>
        <v>0</v>
      </c>
      <c r="H217" s="169">
        <f ca="1">IF($C217-H$1&lt;År1,0,G216*(1-VLOOKUP($A217,[1]Hugst!$R$5:$W$9,MATCH(ROUNDUP((H$1)/10,0)*10,[1]Hugst!$R$4:$W$4,0))))</f>
        <v>0</v>
      </c>
      <c r="I217" s="169">
        <f ca="1">IF($C217-I$1&lt;År1,0,H216*(1-VLOOKUP($A217,[1]Hugst!$R$5:$W$9,MATCH(ROUNDUP((I$1)/10,0)*10,[1]Hugst!$R$4:$W$4,0))))</f>
        <v>0</v>
      </c>
      <c r="J217" s="169">
        <f ca="1">IF($C217-J$1&lt;År1,0,I216*(1-VLOOKUP($A217,[1]Hugst!$R$5:$W$9,MATCH(ROUNDUP((J$1)/10,0)*10,[1]Hugst!$R$4:$W$4,0))))</f>
        <v>0</v>
      </c>
      <c r="K217" s="169">
        <f ca="1">IF($C217-K$1&lt;År1,0,J216*(1-VLOOKUP($A217,[1]Hugst!$R$5:$W$9,MATCH(ROUNDUP((K$1)/10,0)*10,[1]Hugst!$R$4:$W$4,0))))</f>
        <v>0</v>
      </c>
      <c r="L217" s="169">
        <f ca="1">IF($C217-L$1&lt;År1,0,K216*(1-VLOOKUP($A217,[1]Hugst!$R$5:$W$9,MATCH(ROUNDUP((L$1)/10,0)*10,[1]Hugst!$R$4:$W$4,0))))</f>
        <v>0</v>
      </c>
      <c r="M217" s="169">
        <f ca="1">IF($C217-M$1&lt;År1,0,L216*(1-VLOOKUP($A217,[1]Hugst!$R$5:$W$9,MATCH(ROUNDUP((M$1)/10,0)*10,[1]Hugst!$R$4:$W$4,0))))</f>
        <v>0</v>
      </c>
      <c r="N217" s="169">
        <f ca="1">IF($C217-N$1&lt;År1,0,M216*(1-VLOOKUP($A217,[1]Hugst!$R$5:$W$9,MATCH(ROUNDUP((N$1)/10,0)*10,[1]Hugst!$R$4:$W$4,0))))</f>
        <v>0</v>
      </c>
      <c r="O217" s="169">
        <f ca="1">IF($C217-O$1&lt;År1,0,N216*(1-VLOOKUP($A217,[1]Hugst!$R$5:$W$9,MATCH(ROUNDUP((O$1)/10,0)*10,[1]Hugst!$R$4:$W$4,0))))</f>
        <v>0</v>
      </c>
      <c r="P217" s="169">
        <f ca="1">IF($C217-P$1&lt;År1,0,O216*(1-VLOOKUP($A217,[1]Hugst!$R$5:$W$9,MATCH(ROUNDUP((P$1)/10,0)*10,[1]Hugst!$R$4:$W$4,0))))</f>
        <v>0</v>
      </c>
      <c r="Q217" s="169">
        <f ca="1">IF($C217-Q$1&lt;År1,0,P216*(1-VLOOKUP($A217,[1]Hugst!$R$5:$W$9,MATCH(ROUNDUP((Q$1)/10,0)*10,[1]Hugst!$R$4:$W$4,0))))</f>
        <v>0</v>
      </c>
      <c r="R217" s="169">
        <f ca="1">IF($C217-R$1&lt;År1,0,Q216*(1-VLOOKUP($A217,[1]Hugst!$R$5:$W$9,MATCH(ROUNDUP((R$1)/10,0)*10,[1]Hugst!$R$4:$W$4,0))))</f>
        <v>0</v>
      </c>
      <c r="S217" s="169">
        <f ca="1">IF($C217-S$1&lt;År1,0,R216*(1-VLOOKUP($A217,[1]Hugst!$R$5:$W$9,MATCH(ROUNDUP((S$1)/10,0)*10,[1]Hugst!$R$4:$W$4,0))))</f>
        <v>0</v>
      </c>
      <c r="T217" s="169">
        <f ca="1">IF($C217-T$1&lt;År1,0,S216*(1-VLOOKUP($A217,[1]Hugst!$R$5:$W$9,MATCH(ROUNDUP((T$1)/10,0)*10,[1]Hugst!$R$4:$W$4,0))))</f>
        <v>0</v>
      </c>
      <c r="U217" s="169">
        <f ca="1">IF($C217-U$1&lt;År1,0,T216*(1-VLOOKUP($A217,[1]Hugst!$R$5:$W$9,MATCH(ROUNDUP((U$1)/10,0)*10,[1]Hugst!$R$4:$W$4,0))))</f>
        <v>0</v>
      </c>
      <c r="V217" s="169">
        <f ca="1">IF($C217-V$1&lt;År1,0,U216*(1-VLOOKUP($A217,[1]Hugst!$R$5:$W$9,MATCH(ROUNDUP((V$1)/10,0)*10,[1]Hugst!$R$4:$W$4,0))))</f>
        <v>0</v>
      </c>
      <c r="W217" s="169">
        <f ca="1">IF($C217-W$1&lt;År1,0,V216*(1-VLOOKUP($A217,[1]Hugst!$R$5:$W$9,MATCH(ROUNDUP((W$1)/10,0)*10,[1]Hugst!$R$4:$W$4,0))))</f>
        <v>0</v>
      </c>
      <c r="X217" s="169">
        <f ca="1">IF($C217-X$1&lt;År1,0,W216*(1-VLOOKUP($A217,[1]Hugst!$R$5:$W$9,MATCH(ROUNDUP((X$1)/10,0)*10,[1]Hugst!$R$4:$W$4,0))))</f>
        <v>0</v>
      </c>
      <c r="Y217" s="169">
        <f ca="1">IF($C217-Y$1&lt;År1,0,X216*(1-VLOOKUP($A217,[1]Hugst!$R$5:$W$9,MATCH(ROUNDUP((Y$1)/10,0)*10,[1]Hugst!$R$4:$W$4,0))))</f>
        <v>0</v>
      </c>
      <c r="Z217" s="169">
        <f ca="1">IF($C217-Z$1&lt;År1,0,Y216*(1-VLOOKUP($A217,[1]Hugst!$R$5:$W$9,MATCH(ROUNDUP((Z$1)/10,0)*10,[1]Hugst!$R$4:$W$4,0))))</f>
        <v>0</v>
      </c>
      <c r="AA217" s="169">
        <f ca="1">IF($C217-AA$1&lt;År1,0,Z216*(1-VLOOKUP($A217,[1]Hugst!$R$5:$W$9,MATCH(ROUNDUP((AA$1)/10,0)*10,[1]Hugst!$R$4:$W$4,0))))</f>
        <v>0</v>
      </c>
      <c r="AB217" s="169">
        <f ca="1">IF($C217-AB$1&lt;År1,0,AA216*(1-VLOOKUP($A217,[1]Hugst!$R$5:$W$9,MATCH(ROUNDUP((AB$1)/10,0)*10,[1]Hugst!$R$4:$W$4,0))))</f>
        <v>0</v>
      </c>
      <c r="AC217" s="169">
        <f ca="1">IF($C217-AC$1&lt;År1,0,AB216*(1-VLOOKUP($A217,[1]Hugst!$R$5:$W$9,MATCH(ROUNDUP((AC$1)/10,0)*10,[1]Hugst!$R$4:$W$4,0))))</f>
        <v>0</v>
      </c>
      <c r="AD217" s="169">
        <f ca="1">IF($C217-AD$1&lt;År1,0,AC216*(1-VLOOKUP($A217,[1]Hugst!$R$5:$W$9,MATCH(ROUNDUP((AD$1)/10,0)*10,[1]Hugst!$R$4:$W$4,0))))</f>
        <v>0</v>
      </c>
      <c r="AE217" s="169">
        <f ca="1">IF($C217-AE$1&lt;År1,0,AD216*(1-VLOOKUP($A217,[1]Hugst!$R$5:$W$9,MATCH(ROUNDUP((AE$1)/10,0)*10,[1]Hugst!$R$4:$W$4,0))))</f>
        <v>0</v>
      </c>
      <c r="AF217" s="169">
        <f ca="1">IF($C217-AF$1&lt;År1,0,AE216*(1-VLOOKUP($A217,[1]Hugst!$R$5:$W$9,MATCH(ROUNDUP((AF$1)/10,0)*10,[1]Hugst!$R$4:$W$4,0))))</f>
        <v>0</v>
      </c>
      <c r="AG217" s="169">
        <f ca="1">IF($C217-AG$1&lt;År1,0,AF216*(1-VLOOKUP($A217,[1]Hugst!$R$5:$W$9,MATCH(ROUNDUP((AG$1)/10,0)*10,[1]Hugst!$R$4:$W$4,0))))</f>
        <v>0</v>
      </c>
      <c r="AH217" s="169">
        <f ca="1">IF($C217-AH$1&lt;År1,0,AG216*(1-VLOOKUP($A217,[1]Hugst!$R$5:$W$9,MATCH(ROUNDUP((AH$1)/10,0)*10,[1]Hugst!$R$4:$W$4,0))))</f>
        <v>0</v>
      </c>
      <c r="AI217" s="169">
        <f ca="1">IF($C217-AI$1&lt;År1,0,AH216*(1-VLOOKUP($A217,[1]Hugst!$R$5:$W$9,MATCH(ROUNDUP((AI$1)/10,0)*10,[1]Hugst!$R$4:$W$4,0))))</f>
        <v>0</v>
      </c>
      <c r="AJ217" s="169">
        <f>IF($C217-AJ$1&lt;År1,0,AI216*(1-VLOOKUP($A217,[1]Hugst!$R$5:$W$9,MATCH(ROUNDUP((AJ$1)/10,0)*10,[1]Hugst!$R$4:$W$4,0))))</f>
        <v>0</v>
      </c>
    </row>
    <row r="218" spans="1:36" x14ac:dyDescent="0.25">
      <c r="A218" s="169" t="s">
        <v>179</v>
      </c>
      <c r="B218" s="169" t="s">
        <v>23</v>
      </c>
      <c r="C218" s="169">
        <v>2050</v>
      </c>
      <c r="D218" s="169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69">
        <f t="shared" ca="1" si="4"/>
        <v>0</v>
      </c>
      <c r="F218" s="169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9">
        <f ca="1">IF($C218-G$1&lt;År1,0,F217*(1-VLOOKUP($A218,[1]Hugst!$R$5:$W$9,MATCH(ROUNDUP((G$1)/10,0)*10,[1]Hugst!$R$4:$W$4,0))))</f>
        <v>0</v>
      </c>
      <c r="H218" s="169">
        <f ca="1">IF($C218-H$1&lt;År1,0,G217*(1-VLOOKUP($A218,[1]Hugst!$R$5:$W$9,MATCH(ROUNDUP((H$1)/10,0)*10,[1]Hugst!$R$4:$W$4,0))))</f>
        <v>0</v>
      </c>
      <c r="I218" s="169">
        <f ca="1">IF($C218-I$1&lt;År1,0,H217*(1-VLOOKUP($A218,[1]Hugst!$R$5:$W$9,MATCH(ROUNDUP((I$1)/10,0)*10,[1]Hugst!$R$4:$W$4,0))))</f>
        <v>0</v>
      </c>
      <c r="J218" s="169">
        <f ca="1">IF($C218-J$1&lt;År1,0,I217*(1-VLOOKUP($A218,[1]Hugst!$R$5:$W$9,MATCH(ROUNDUP((J$1)/10,0)*10,[1]Hugst!$R$4:$W$4,0))))</f>
        <v>0</v>
      </c>
      <c r="K218" s="169">
        <f ca="1">IF($C218-K$1&lt;År1,0,J217*(1-VLOOKUP($A218,[1]Hugst!$R$5:$W$9,MATCH(ROUNDUP((K$1)/10,0)*10,[1]Hugst!$R$4:$W$4,0))))</f>
        <v>0</v>
      </c>
      <c r="L218" s="169">
        <f ca="1">IF($C218-L$1&lt;År1,0,K217*(1-VLOOKUP($A218,[1]Hugst!$R$5:$W$9,MATCH(ROUNDUP((L$1)/10,0)*10,[1]Hugst!$R$4:$W$4,0))))</f>
        <v>0</v>
      </c>
      <c r="M218" s="169">
        <f ca="1">IF($C218-M$1&lt;År1,0,L217*(1-VLOOKUP($A218,[1]Hugst!$R$5:$W$9,MATCH(ROUNDUP((M$1)/10,0)*10,[1]Hugst!$R$4:$W$4,0))))</f>
        <v>0</v>
      </c>
      <c r="N218" s="169">
        <f ca="1">IF($C218-N$1&lt;År1,0,M217*(1-VLOOKUP($A218,[1]Hugst!$R$5:$W$9,MATCH(ROUNDUP((N$1)/10,0)*10,[1]Hugst!$R$4:$W$4,0))))</f>
        <v>0</v>
      </c>
      <c r="O218" s="169">
        <f ca="1">IF($C218-O$1&lt;År1,0,N217*(1-VLOOKUP($A218,[1]Hugst!$R$5:$W$9,MATCH(ROUNDUP((O$1)/10,0)*10,[1]Hugst!$R$4:$W$4,0))))</f>
        <v>0</v>
      </c>
      <c r="P218" s="169">
        <f ca="1">IF($C218-P$1&lt;År1,0,O217*(1-VLOOKUP($A218,[1]Hugst!$R$5:$W$9,MATCH(ROUNDUP((P$1)/10,0)*10,[1]Hugst!$R$4:$W$4,0))))</f>
        <v>0</v>
      </c>
      <c r="Q218" s="169">
        <f ca="1">IF($C218-Q$1&lt;År1,0,P217*(1-VLOOKUP($A218,[1]Hugst!$R$5:$W$9,MATCH(ROUNDUP((Q$1)/10,0)*10,[1]Hugst!$R$4:$W$4,0))))</f>
        <v>0</v>
      </c>
      <c r="R218" s="169">
        <f ca="1">IF($C218-R$1&lt;År1,0,Q217*(1-VLOOKUP($A218,[1]Hugst!$R$5:$W$9,MATCH(ROUNDUP((R$1)/10,0)*10,[1]Hugst!$R$4:$W$4,0))))</f>
        <v>0</v>
      </c>
      <c r="S218" s="169">
        <f ca="1">IF($C218-S$1&lt;År1,0,R217*(1-VLOOKUP($A218,[1]Hugst!$R$5:$W$9,MATCH(ROUNDUP((S$1)/10,0)*10,[1]Hugst!$R$4:$W$4,0))))</f>
        <v>0</v>
      </c>
      <c r="T218" s="169">
        <f ca="1">IF($C218-T$1&lt;År1,0,S217*(1-VLOOKUP($A218,[1]Hugst!$R$5:$W$9,MATCH(ROUNDUP((T$1)/10,0)*10,[1]Hugst!$R$4:$W$4,0))))</f>
        <v>0</v>
      </c>
      <c r="U218" s="169">
        <f ca="1">IF($C218-U$1&lt;År1,0,T217*(1-VLOOKUP($A218,[1]Hugst!$R$5:$W$9,MATCH(ROUNDUP((U$1)/10,0)*10,[1]Hugst!$R$4:$W$4,0))))</f>
        <v>0</v>
      </c>
      <c r="V218" s="169">
        <f ca="1">IF($C218-V$1&lt;År1,0,U217*(1-VLOOKUP($A218,[1]Hugst!$R$5:$W$9,MATCH(ROUNDUP((V$1)/10,0)*10,[1]Hugst!$R$4:$W$4,0))))</f>
        <v>0</v>
      </c>
      <c r="W218" s="169">
        <f ca="1">IF($C218-W$1&lt;År1,0,V217*(1-VLOOKUP($A218,[1]Hugst!$R$5:$W$9,MATCH(ROUNDUP((W$1)/10,0)*10,[1]Hugst!$R$4:$W$4,0))))</f>
        <v>0</v>
      </c>
      <c r="X218" s="169">
        <f ca="1">IF($C218-X$1&lt;År1,0,W217*(1-VLOOKUP($A218,[1]Hugst!$R$5:$W$9,MATCH(ROUNDUP((X$1)/10,0)*10,[1]Hugst!$R$4:$W$4,0))))</f>
        <v>0</v>
      </c>
      <c r="Y218" s="169">
        <f ca="1">IF($C218-Y$1&lt;År1,0,X217*(1-VLOOKUP($A218,[1]Hugst!$R$5:$W$9,MATCH(ROUNDUP((Y$1)/10,0)*10,[1]Hugst!$R$4:$W$4,0))))</f>
        <v>0</v>
      </c>
      <c r="Z218" s="169">
        <f ca="1">IF($C218-Z$1&lt;År1,0,Y217*(1-VLOOKUP($A218,[1]Hugst!$R$5:$W$9,MATCH(ROUNDUP((Z$1)/10,0)*10,[1]Hugst!$R$4:$W$4,0))))</f>
        <v>0</v>
      </c>
      <c r="AA218" s="169">
        <f ca="1">IF($C218-AA$1&lt;År1,0,Z217*(1-VLOOKUP($A218,[1]Hugst!$R$5:$W$9,MATCH(ROUNDUP((AA$1)/10,0)*10,[1]Hugst!$R$4:$W$4,0))))</f>
        <v>0</v>
      </c>
      <c r="AB218" s="169">
        <f ca="1">IF($C218-AB$1&lt;År1,0,AA217*(1-VLOOKUP($A218,[1]Hugst!$R$5:$W$9,MATCH(ROUNDUP((AB$1)/10,0)*10,[1]Hugst!$R$4:$W$4,0))))</f>
        <v>0</v>
      </c>
      <c r="AC218" s="169">
        <f ca="1">IF($C218-AC$1&lt;År1,0,AB217*(1-VLOOKUP($A218,[1]Hugst!$R$5:$W$9,MATCH(ROUNDUP((AC$1)/10,0)*10,[1]Hugst!$R$4:$W$4,0))))</f>
        <v>0</v>
      </c>
      <c r="AD218" s="169">
        <f ca="1">IF($C218-AD$1&lt;År1,0,AC217*(1-VLOOKUP($A218,[1]Hugst!$R$5:$W$9,MATCH(ROUNDUP((AD$1)/10,0)*10,[1]Hugst!$R$4:$W$4,0))))</f>
        <v>0</v>
      </c>
      <c r="AE218" s="169">
        <f ca="1">IF($C218-AE$1&lt;År1,0,AD217*(1-VLOOKUP($A218,[1]Hugst!$R$5:$W$9,MATCH(ROUNDUP((AE$1)/10,0)*10,[1]Hugst!$R$4:$W$4,0))))</f>
        <v>0</v>
      </c>
      <c r="AF218" s="169">
        <f ca="1">IF($C218-AF$1&lt;År1,0,AE217*(1-VLOOKUP($A218,[1]Hugst!$R$5:$W$9,MATCH(ROUNDUP((AF$1)/10,0)*10,[1]Hugst!$R$4:$W$4,0))))</f>
        <v>0</v>
      </c>
      <c r="AG218" s="169">
        <f ca="1">IF($C218-AG$1&lt;År1,0,AF217*(1-VLOOKUP($A218,[1]Hugst!$R$5:$W$9,MATCH(ROUNDUP((AG$1)/10,0)*10,[1]Hugst!$R$4:$W$4,0))))</f>
        <v>0</v>
      </c>
      <c r="AH218" s="169">
        <f ca="1">IF($C218-AH$1&lt;År1,0,AG217*(1-VLOOKUP($A218,[1]Hugst!$R$5:$W$9,MATCH(ROUNDUP((AH$1)/10,0)*10,[1]Hugst!$R$4:$W$4,0))))</f>
        <v>0</v>
      </c>
      <c r="AI218" s="169">
        <f ca="1">IF($C218-AI$1&lt;År1,0,AH217*(1-VLOOKUP($A218,[1]Hugst!$R$5:$W$9,MATCH(ROUNDUP((AI$1)/10,0)*10,[1]Hugst!$R$4:$W$4,0))))</f>
        <v>0</v>
      </c>
      <c r="AJ218" s="169">
        <f ca="1">IF($C218-AJ$1&lt;År1,0,AI217*(1-VLOOKUP($A218,[1]Hugst!$R$5:$W$9,MATCH(ROUNDUP((AJ$1)/10,0)*10,[1]Hugst!$R$4:$W$4,0))))</f>
        <v>0</v>
      </c>
    </row>
    <row r="219" spans="1:36" x14ac:dyDescent="0.25">
      <c r="A219" s="169" t="s">
        <v>179</v>
      </c>
      <c r="B219" s="169" t="s">
        <v>24</v>
      </c>
      <c r="C219" s="169">
        <v>2020</v>
      </c>
      <c r="D219" s="169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69">
        <f>IF(C219=2020,SUM(G219:AJ219),SUM(F218:AJ218)-SUM(G219:AJ219))</f>
        <v>0</v>
      </c>
      <c r="F219" s="16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9">
        <f>IF($C219-G$1&lt;År1,0,F218*(1-VLOOKUP($A219,[1]Hugst!$R$5:$W$9,MATCH(ROUNDUP((G$1)/10,0)*10,[1]Hugst!$R$4:$W$4,0))))</f>
        <v>0</v>
      </c>
      <c r="H219" s="169">
        <f>IF($C219-H$1&lt;År1,0,G218*(1-VLOOKUP($A219,[1]Hugst!$R$5:$W$9,MATCH(ROUNDUP((H$1)/10,0)*10,[1]Hugst!$R$4:$W$4,0))))</f>
        <v>0</v>
      </c>
      <c r="I219" s="169">
        <f>IF($C219-I$1&lt;År1,0,H218*(1-VLOOKUP($A219,[1]Hugst!$R$5:$W$9,MATCH(ROUNDUP((I$1)/10,0)*10,[1]Hugst!$R$4:$W$4,0))))</f>
        <v>0</v>
      </c>
      <c r="J219" s="169">
        <f>IF($C219-J$1&lt;År1,0,I218*(1-VLOOKUP($A219,[1]Hugst!$R$5:$W$9,MATCH(ROUNDUP((J$1)/10,0)*10,[1]Hugst!$R$4:$W$4,0))))</f>
        <v>0</v>
      </c>
      <c r="K219" s="169">
        <f>IF($C219-K$1&lt;År1,0,J218*(1-VLOOKUP($A219,[1]Hugst!$R$5:$W$9,MATCH(ROUNDUP((K$1)/10,0)*10,[1]Hugst!$R$4:$W$4,0))))</f>
        <v>0</v>
      </c>
      <c r="L219" s="169">
        <f>IF($C219-L$1&lt;År1,0,K218*(1-VLOOKUP($A219,[1]Hugst!$R$5:$W$9,MATCH(ROUNDUP((L$1)/10,0)*10,[1]Hugst!$R$4:$W$4,0))))</f>
        <v>0</v>
      </c>
      <c r="M219" s="169">
        <f>IF($C219-M$1&lt;År1,0,L218*(1-VLOOKUP($A219,[1]Hugst!$R$5:$W$9,MATCH(ROUNDUP((M$1)/10,0)*10,[1]Hugst!$R$4:$W$4,0))))</f>
        <v>0</v>
      </c>
      <c r="N219" s="169">
        <f>IF($C219-N$1&lt;År1,0,M218*(1-VLOOKUP($A219,[1]Hugst!$R$5:$W$9,MATCH(ROUNDUP((N$1)/10,0)*10,[1]Hugst!$R$4:$W$4,0))))</f>
        <v>0</v>
      </c>
      <c r="O219" s="169">
        <f>IF($C219-O$1&lt;År1,0,N218*(1-VLOOKUP($A219,[1]Hugst!$R$5:$W$9,MATCH(ROUNDUP((O$1)/10,0)*10,[1]Hugst!$R$4:$W$4,0))))</f>
        <v>0</v>
      </c>
      <c r="P219" s="169">
        <f>IF($C219-P$1&lt;År1,0,O218*(1-VLOOKUP($A219,[1]Hugst!$R$5:$W$9,MATCH(ROUNDUP((P$1)/10,0)*10,[1]Hugst!$R$4:$W$4,0))))</f>
        <v>0</v>
      </c>
      <c r="Q219" s="169">
        <f>IF($C219-Q$1&lt;År1,0,P218*(1-VLOOKUP($A219,[1]Hugst!$R$5:$W$9,MATCH(ROUNDUP((Q$1)/10,0)*10,[1]Hugst!$R$4:$W$4,0))))</f>
        <v>0</v>
      </c>
      <c r="R219" s="169">
        <f>IF($C219-R$1&lt;År1,0,Q218*(1-VLOOKUP($A219,[1]Hugst!$R$5:$W$9,MATCH(ROUNDUP((R$1)/10,0)*10,[1]Hugst!$R$4:$W$4,0))))</f>
        <v>0</v>
      </c>
      <c r="S219" s="169">
        <f>IF($C219-S$1&lt;År1,0,R218*(1-VLOOKUP($A219,[1]Hugst!$R$5:$W$9,MATCH(ROUNDUP((S$1)/10,0)*10,[1]Hugst!$R$4:$W$4,0))))</f>
        <v>0</v>
      </c>
      <c r="T219" s="169">
        <f>IF($C219-T$1&lt;År1,0,S218*(1-VLOOKUP($A219,[1]Hugst!$R$5:$W$9,MATCH(ROUNDUP((T$1)/10,0)*10,[1]Hugst!$R$4:$W$4,0))))</f>
        <v>0</v>
      </c>
      <c r="U219" s="169">
        <f>IF($C219-U$1&lt;År1,0,T218*(1-VLOOKUP($A219,[1]Hugst!$R$5:$W$9,MATCH(ROUNDUP((U$1)/10,0)*10,[1]Hugst!$R$4:$W$4,0))))</f>
        <v>0</v>
      </c>
      <c r="V219" s="169">
        <f>IF($C219-V$1&lt;År1,0,U218*(1-VLOOKUP($A219,[1]Hugst!$R$5:$W$9,MATCH(ROUNDUP((V$1)/10,0)*10,[1]Hugst!$R$4:$W$4,0))))</f>
        <v>0</v>
      </c>
      <c r="W219" s="169">
        <f>IF($C219-W$1&lt;År1,0,V218*(1-VLOOKUP($A219,[1]Hugst!$R$5:$W$9,MATCH(ROUNDUP((W$1)/10,0)*10,[1]Hugst!$R$4:$W$4,0))))</f>
        <v>0</v>
      </c>
      <c r="X219" s="169">
        <f>IF($C219-X$1&lt;År1,0,W218*(1-VLOOKUP($A219,[1]Hugst!$R$5:$W$9,MATCH(ROUNDUP((X$1)/10,0)*10,[1]Hugst!$R$4:$W$4,0))))</f>
        <v>0</v>
      </c>
      <c r="Y219" s="169">
        <f>IF($C219-Y$1&lt;År1,0,X218*(1-VLOOKUP($A219,[1]Hugst!$R$5:$W$9,MATCH(ROUNDUP((Y$1)/10,0)*10,[1]Hugst!$R$4:$W$4,0))))</f>
        <v>0</v>
      </c>
      <c r="Z219" s="169">
        <f>IF($C219-Z$1&lt;År1,0,Y218*(1-VLOOKUP($A219,[1]Hugst!$R$5:$W$9,MATCH(ROUNDUP((Z$1)/10,0)*10,[1]Hugst!$R$4:$W$4,0))))</f>
        <v>0</v>
      </c>
      <c r="AA219" s="169">
        <f>IF($C219-AA$1&lt;År1,0,Z218*(1-VLOOKUP($A219,[1]Hugst!$R$5:$W$9,MATCH(ROUNDUP((AA$1)/10,0)*10,[1]Hugst!$R$4:$W$4,0))))</f>
        <v>0</v>
      </c>
      <c r="AB219" s="169">
        <f>IF($C219-AB$1&lt;År1,0,AA218*(1-VLOOKUP($A219,[1]Hugst!$R$5:$W$9,MATCH(ROUNDUP((AB$1)/10,0)*10,[1]Hugst!$R$4:$W$4,0))))</f>
        <v>0</v>
      </c>
      <c r="AC219" s="169">
        <f>IF($C219-AC$1&lt;År1,0,AB218*(1-VLOOKUP($A219,[1]Hugst!$R$5:$W$9,MATCH(ROUNDUP((AC$1)/10,0)*10,[1]Hugst!$R$4:$W$4,0))))</f>
        <v>0</v>
      </c>
      <c r="AD219" s="169">
        <f>IF($C219-AD$1&lt;År1,0,AC218*(1-VLOOKUP($A219,[1]Hugst!$R$5:$W$9,MATCH(ROUNDUP((AD$1)/10,0)*10,[1]Hugst!$R$4:$W$4,0))))</f>
        <v>0</v>
      </c>
      <c r="AE219" s="169">
        <f>IF($C219-AE$1&lt;År1,0,AD218*(1-VLOOKUP($A219,[1]Hugst!$R$5:$W$9,MATCH(ROUNDUP((AE$1)/10,0)*10,[1]Hugst!$R$4:$W$4,0))))</f>
        <v>0</v>
      </c>
      <c r="AF219" s="169">
        <f>IF($C219-AF$1&lt;År1,0,AE218*(1-VLOOKUP($A219,[1]Hugst!$R$5:$W$9,MATCH(ROUNDUP((AF$1)/10,0)*10,[1]Hugst!$R$4:$W$4,0))))</f>
        <v>0</v>
      </c>
      <c r="AG219" s="169">
        <f>IF($C219-AG$1&lt;År1,0,AF218*(1-VLOOKUP($A219,[1]Hugst!$R$5:$W$9,MATCH(ROUNDUP((AG$1)/10,0)*10,[1]Hugst!$R$4:$W$4,0))))</f>
        <v>0</v>
      </c>
      <c r="AH219" s="169">
        <f>IF($C219-AH$1&lt;År1,0,AG218*(1-VLOOKUP($A219,[1]Hugst!$R$5:$W$9,MATCH(ROUNDUP((AH$1)/10,0)*10,[1]Hugst!$R$4:$W$4,0))))</f>
        <v>0</v>
      </c>
      <c r="AI219" s="169">
        <f>IF($C219-AI$1&lt;År1,0,AH218*(1-VLOOKUP($A219,[1]Hugst!$R$5:$W$9,MATCH(ROUNDUP((AI$1)/10,0)*10,[1]Hugst!$R$4:$W$4,0))))</f>
        <v>0</v>
      </c>
      <c r="AJ219" s="169">
        <f>IF($C219-AJ$1&lt;År1,0,AI218*(1-VLOOKUP($A219,[1]Hugst!$R$5:$W$9,MATCH(ROUNDUP((AJ$1)/10,0)*10,[1]Hugst!$R$4:$W$4,0))))</f>
        <v>0</v>
      </c>
    </row>
    <row r="220" spans="1:36" x14ac:dyDescent="0.25">
      <c r="A220" s="169" t="s">
        <v>179</v>
      </c>
      <c r="B220" s="169" t="s">
        <v>24</v>
      </c>
      <c r="C220" s="169">
        <v>2021</v>
      </c>
      <c r="D220" s="169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69">
        <f t="shared" ref="E220:E248" ca="1" si="5">IF(C220=2020,SUM(G220:AJ220),SUM(F219:AJ219)-SUM(G220:AJ220))</f>
        <v>0</v>
      </c>
      <c r="F220" s="169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9">
        <f ca="1">IF($C220-G$1&lt;År1,0,F219*(1-VLOOKUP($A220,[1]Hugst!$R$5:$W$9,MATCH(ROUNDUP((G$1)/10,0)*10,[1]Hugst!$R$4:$W$4,0))))</f>
        <v>0</v>
      </c>
      <c r="H220" s="169">
        <f>IF($C220-H$1&lt;År1,0,G219*(1-VLOOKUP($A220,[1]Hugst!$R$5:$W$9,MATCH(ROUNDUP((H$1)/10,0)*10,[1]Hugst!$R$4:$W$4,0))))</f>
        <v>0</v>
      </c>
      <c r="I220" s="169">
        <f>IF($C220-I$1&lt;År1,0,H219*(1-VLOOKUP($A220,[1]Hugst!$R$5:$W$9,MATCH(ROUNDUP((I$1)/10,0)*10,[1]Hugst!$R$4:$W$4,0))))</f>
        <v>0</v>
      </c>
      <c r="J220" s="169">
        <f>IF($C220-J$1&lt;År1,0,I219*(1-VLOOKUP($A220,[1]Hugst!$R$5:$W$9,MATCH(ROUNDUP((J$1)/10,0)*10,[1]Hugst!$R$4:$W$4,0))))</f>
        <v>0</v>
      </c>
      <c r="K220" s="169">
        <f>IF($C220-K$1&lt;År1,0,J219*(1-VLOOKUP($A220,[1]Hugst!$R$5:$W$9,MATCH(ROUNDUP((K$1)/10,0)*10,[1]Hugst!$R$4:$W$4,0))))</f>
        <v>0</v>
      </c>
      <c r="L220" s="169">
        <f>IF($C220-L$1&lt;År1,0,K219*(1-VLOOKUP($A220,[1]Hugst!$R$5:$W$9,MATCH(ROUNDUP((L$1)/10,0)*10,[1]Hugst!$R$4:$W$4,0))))</f>
        <v>0</v>
      </c>
      <c r="M220" s="169">
        <f>IF($C220-M$1&lt;År1,0,L219*(1-VLOOKUP($A220,[1]Hugst!$R$5:$W$9,MATCH(ROUNDUP((M$1)/10,0)*10,[1]Hugst!$R$4:$W$4,0))))</f>
        <v>0</v>
      </c>
      <c r="N220" s="169">
        <f>IF($C220-N$1&lt;År1,0,M219*(1-VLOOKUP($A220,[1]Hugst!$R$5:$W$9,MATCH(ROUNDUP((N$1)/10,0)*10,[1]Hugst!$R$4:$W$4,0))))</f>
        <v>0</v>
      </c>
      <c r="O220" s="169">
        <f>IF($C220-O$1&lt;År1,0,N219*(1-VLOOKUP($A220,[1]Hugst!$R$5:$W$9,MATCH(ROUNDUP((O$1)/10,0)*10,[1]Hugst!$R$4:$W$4,0))))</f>
        <v>0</v>
      </c>
      <c r="P220" s="169">
        <f>IF($C220-P$1&lt;År1,0,O219*(1-VLOOKUP($A220,[1]Hugst!$R$5:$W$9,MATCH(ROUNDUP((P$1)/10,0)*10,[1]Hugst!$R$4:$W$4,0))))</f>
        <v>0</v>
      </c>
      <c r="Q220" s="169">
        <f>IF($C220-Q$1&lt;År1,0,P219*(1-VLOOKUP($A220,[1]Hugst!$R$5:$W$9,MATCH(ROUNDUP((Q$1)/10,0)*10,[1]Hugst!$R$4:$W$4,0))))</f>
        <v>0</v>
      </c>
      <c r="R220" s="169">
        <f>IF($C220-R$1&lt;År1,0,Q219*(1-VLOOKUP($A220,[1]Hugst!$R$5:$W$9,MATCH(ROUNDUP((R$1)/10,0)*10,[1]Hugst!$R$4:$W$4,0))))</f>
        <v>0</v>
      </c>
      <c r="S220" s="169">
        <f>IF($C220-S$1&lt;År1,0,R219*(1-VLOOKUP($A220,[1]Hugst!$R$5:$W$9,MATCH(ROUNDUP((S$1)/10,0)*10,[1]Hugst!$R$4:$W$4,0))))</f>
        <v>0</v>
      </c>
      <c r="T220" s="169">
        <f>IF($C220-T$1&lt;År1,0,S219*(1-VLOOKUP($A220,[1]Hugst!$R$5:$W$9,MATCH(ROUNDUP((T$1)/10,0)*10,[1]Hugst!$R$4:$W$4,0))))</f>
        <v>0</v>
      </c>
      <c r="U220" s="169">
        <f>IF($C220-U$1&lt;År1,0,T219*(1-VLOOKUP($A220,[1]Hugst!$R$5:$W$9,MATCH(ROUNDUP((U$1)/10,0)*10,[1]Hugst!$R$4:$W$4,0))))</f>
        <v>0</v>
      </c>
      <c r="V220" s="169">
        <f>IF($C220-V$1&lt;År1,0,U219*(1-VLOOKUP($A220,[1]Hugst!$R$5:$W$9,MATCH(ROUNDUP((V$1)/10,0)*10,[1]Hugst!$R$4:$W$4,0))))</f>
        <v>0</v>
      </c>
      <c r="W220" s="169">
        <f>IF($C220-W$1&lt;År1,0,V219*(1-VLOOKUP($A220,[1]Hugst!$R$5:$W$9,MATCH(ROUNDUP((W$1)/10,0)*10,[1]Hugst!$R$4:$W$4,0))))</f>
        <v>0</v>
      </c>
      <c r="X220" s="169">
        <f>IF($C220-X$1&lt;År1,0,W219*(1-VLOOKUP($A220,[1]Hugst!$R$5:$W$9,MATCH(ROUNDUP((X$1)/10,0)*10,[1]Hugst!$R$4:$W$4,0))))</f>
        <v>0</v>
      </c>
      <c r="Y220" s="169">
        <f>IF($C220-Y$1&lt;År1,0,X219*(1-VLOOKUP($A220,[1]Hugst!$R$5:$W$9,MATCH(ROUNDUP((Y$1)/10,0)*10,[1]Hugst!$R$4:$W$4,0))))</f>
        <v>0</v>
      </c>
      <c r="Z220" s="169">
        <f>IF($C220-Z$1&lt;År1,0,Y219*(1-VLOOKUP($A220,[1]Hugst!$R$5:$W$9,MATCH(ROUNDUP((Z$1)/10,0)*10,[1]Hugst!$R$4:$W$4,0))))</f>
        <v>0</v>
      </c>
      <c r="AA220" s="169">
        <f>IF($C220-AA$1&lt;År1,0,Z219*(1-VLOOKUP($A220,[1]Hugst!$R$5:$W$9,MATCH(ROUNDUP((AA$1)/10,0)*10,[1]Hugst!$R$4:$W$4,0))))</f>
        <v>0</v>
      </c>
      <c r="AB220" s="169">
        <f>IF($C220-AB$1&lt;År1,0,AA219*(1-VLOOKUP($A220,[1]Hugst!$R$5:$W$9,MATCH(ROUNDUP((AB$1)/10,0)*10,[1]Hugst!$R$4:$W$4,0))))</f>
        <v>0</v>
      </c>
      <c r="AC220" s="169">
        <f>IF($C220-AC$1&lt;År1,0,AB219*(1-VLOOKUP($A220,[1]Hugst!$R$5:$W$9,MATCH(ROUNDUP((AC$1)/10,0)*10,[1]Hugst!$R$4:$W$4,0))))</f>
        <v>0</v>
      </c>
      <c r="AD220" s="169">
        <f>IF($C220-AD$1&lt;År1,0,AC219*(1-VLOOKUP($A220,[1]Hugst!$R$5:$W$9,MATCH(ROUNDUP((AD$1)/10,0)*10,[1]Hugst!$R$4:$W$4,0))))</f>
        <v>0</v>
      </c>
      <c r="AE220" s="169">
        <f>IF($C220-AE$1&lt;År1,0,AD219*(1-VLOOKUP($A220,[1]Hugst!$R$5:$W$9,MATCH(ROUNDUP((AE$1)/10,0)*10,[1]Hugst!$R$4:$W$4,0))))</f>
        <v>0</v>
      </c>
      <c r="AF220" s="169">
        <f>IF($C220-AF$1&lt;År1,0,AE219*(1-VLOOKUP($A220,[1]Hugst!$R$5:$W$9,MATCH(ROUNDUP((AF$1)/10,0)*10,[1]Hugst!$R$4:$W$4,0))))</f>
        <v>0</v>
      </c>
      <c r="AG220" s="169">
        <f>IF($C220-AG$1&lt;År1,0,AF219*(1-VLOOKUP($A220,[1]Hugst!$R$5:$W$9,MATCH(ROUNDUP((AG$1)/10,0)*10,[1]Hugst!$R$4:$W$4,0))))</f>
        <v>0</v>
      </c>
      <c r="AH220" s="169">
        <f>IF($C220-AH$1&lt;År1,0,AG219*(1-VLOOKUP($A220,[1]Hugst!$R$5:$W$9,MATCH(ROUNDUP((AH$1)/10,0)*10,[1]Hugst!$R$4:$W$4,0))))</f>
        <v>0</v>
      </c>
      <c r="AI220" s="169">
        <f>IF($C220-AI$1&lt;År1,0,AH219*(1-VLOOKUP($A220,[1]Hugst!$R$5:$W$9,MATCH(ROUNDUP((AI$1)/10,0)*10,[1]Hugst!$R$4:$W$4,0))))</f>
        <v>0</v>
      </c>
      <c r="AJ220" s="169">
        <f>IF($C220-AJ$1&lt;År1,0,AI219*(1-VLOOKUP($A220,[1]Hugst!$R$5:$W$9,MATCH(ROUNDUP((AJ$1)/10,0)*10,[1]Hugst!$R$4:$W$4,0))))</f>
        <v>0</v>
      </c>
    </row>
    <row r="221" spans="1:36" x14ac:dyDescent="0.25">
      <c r="A221" s="169" t="s">
        <v>179</v>
      </c>
      <c r="B221" s="169" t="s">
        <v>24</v>
      </c>
      <c r="C221" s="169">
        <v>2022</v>
      </c>
      <c r="D221" s="169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69">
        <f t="shared" ca="1" si="5"/>
        <v>0</v>
      </c>
      <c r="F221" s="169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9">
        <f ca="1">IF($C221-G$1&lt;År1,0,F220*(1-VLOOKUP($A221,[1]Hugst!$R$5:$W$9,MATCH(ROUNDUP((G$1)/10,0)*10,[1]Hugst!$R$4:$W$4,0))))</f>
        <v>0</v>
      </c>
      <c r="H221" s="169">
        <f ca="1">IF($C221-H$1&lt;År1,0,G220*(1-VLOOKUP($A221,[1]Hugst!$R$5:$W$9,MATCH(ROUNDUP((H$1)/10,0)*10,[1]Hugst!$R$4:$W$4,0))))</f>
        <v>0</v>
      </c>
      <c r="I221" s="169">
        <f>IF($C221-I$1&lt;År1,0,H220*(1-VLOOKUP($A221,[1]Hugst!$R$5:$W$9,MATCH(ROUNDUP((I$1)/10,0)*10,[1]Hugst!$R$4:$W$4,0))))</f>
        <v>0</v>
      </c>
      <c r="J221" s="169">
        <f>IF($C221-J$1&lt;År1,0,I220*(1-VLOOKUP($A221,[1]Hugst!$R$5:$W$9,MATCH(ROUNDUP((J$1)/10,0)*10,[1]Hugst!$R$4:$W$4,0))))</f>
        <v>0</v>
      </c>
      <c r="K221" s="169">
        <f>IF($C221-K$1&lt;År1,0,J220*(1-VLOOKUP($A221,[1]Hugst!$R$5:$W$9,MATCH(ROUNDUP((K$1)/10,0)*10,[1]Hugst!$R$4:$W$4,0))))</f>
        <v>0</v>
      </c>
      <c r="L221" s="169">
        <f>IF($C221-L$1&lt;År1,0,K220*(1-VLOOKUP($A221,[1]Hugst!$R$5:$W$9,MATCH(ROUNDUP((L$1)/10,0)*10,[1]Hugst!$R$4:$W$4,0))))</f>
        <v>0</v>
      </c>
      <c r="M221" s="169">
        <f>IF($C221-M$1&lt;År1,0,L220*(1-VLOOKUP($A221,[1]Hugst!$R$5:$W$9,MATCH(ROUNDUP((M$1)/10,0)*10,[1]Hugst!$R$4:$W$4,0))))</f>
        <v>0</v>
      </c>
      <c r="N221" s="169">
        <f>IF($C221-N$1&lt;År1,0,M220*(1-VLOOKUP($A221,[1]Hugst!$R$5:$W$9,MATCH(ROUNDUP((N$1)/10,0)*10,[1]Hugst!$R$4:$W$4,0))))</f>
        <v>0</v>
      </c>
      <c r="O221" s="169">
        <f>IF($C221-O$1&lt;År1,0,N220*(1-VLOOKUP($A221,[1]Hugst!$R$5:$W$9,MATCH(ROUNDUP((O$1)/10,0)*10,[1]Hugst!$R$4:$W$4,0))))</f>
        <v>0</v>
      </c>
      <c r="P221" s="169">
        <f>IF($C221-P$1&lt;År1,0,O220*(1-VLOOKUP($A221,[1]Hugst!$R$5:$W$9,MATCH(ROUNDUP((P$1)/10,0)*10,[1]Hugst!$R$4:$W$4,0))))</f>
        <v>0</v>
      </c>
      <c r="Q221" s="169">
        <f>IF($C221-Q$1&lt;År1,0,P220*(1-VLOOKUP($A221,[1]Hugst!$R$5:$W$9,MATCH(ROUNDUP((Q$1)/10,0)*10,[1]Hugst!$R$4:$W$4,0))))</f>
        <v>0</v>
      </c>
      <c r="R221" s="169">
        <f>IF($C221-R$1&lt;År1,0,Q220*(1-VLOOKUP($A221,[1]Hugst!$R$5:$W$9,MATCH(ROUNDUP((R$1)/10,0)*10,[1]Hugst!$R$4:$W$4,0))))</f>
        <v>0</v>
      </c>
      <c r="S221" s="169">
        <f>IF($C221-S$1&lt;År1,0,R220*(1-VLOOKUP($A221,[1]Hugst!$R$5:$W$9,MATCH(ROUNDUP((S$1)/10,0)*10,[1]Hugst!$R$4:$W$4,0))))</f>
        <v>0</v>
      </c>
      <c r="T221" s="169">
        <f>IF($C221-T$1&lt;År1,0,S220*(1-VLOOKUP($A221,[1]Hugst!$R$5:$W$9,MATCH(ROUNDUP((T$1)/10,0)*10,[1]Hugst!$R$4:$W$4,0))))</f>
        <v>0</v>
      </c>
      <c r="U221" s="169">
        <f>IF($C221-U$1&lt;År1,0,T220*(1-VLOOKUP($A221,[1]Hugst!$R$5:$W$9,MATCH(ROUNDUP((U$1)/10,0)*10,[1]Hugst!$R$4:$W$4,0))))</f>
        <v>0</v>
      </c>
      <c r="V221" s="169">
        <f>IF($C221-V$1&lt;År1,0,U220*(1-VLOOKUP($A221,[1]Hugst!$R$5:$W$9,MATCH(ROUNDUP((V$1)/10,0)*10,[1]Hugst!$R$4:$W$4,0))))</f>
        <v>0</v>
      </c>
      <c r="W221" s="169">
        <f>IF($C221-W$1&lt;År1,0,V220*(1-VLOOKUP($A221,[1]Hugst!$R$5:$W$9,MATCH(ROUNDUP((W$1)/10,0)*10,[1]Hugst!$R$4:$W$4,0))))</f>
        <v>0</v>
      </c>
      <c r="X221" s="169">
        <f>IF($C221-X$1&lt;År1,0,W220*(1-VLOOKUP($A221,[1]Hugst!$R$5:$W$9,MATCH(ROUNDUP((X$1)/10,0)*10,[1]Hugst!$R$4:$W$4,0))))</f>
        <v>0</v>
      </c>
      <c r="Y221" s="169">
        <f>IF($C221-Y$1&lt;År1,0,X220*(1-VLOOKUP($A221,[1]Hugst!$R$5:$W$9,MATCH(ROUNDUP((Y$1)/10,0)*10,[1]Hugst!$R$4:$W$4,0))))</f>
        <v>0</v>
      </c>
      <c r="Z221" s="169">
        <f>IF($C221-Z$1&lt;År1,0,Y220*(1-VLOOKUP($A221,[1]Hugst!$R$5:$W$9,MATCH(ROUNDUP((Z$1)/10,0)*10,[1]Hugst!$R$4:$W$4,0))))</f>
        <v>0</v>
      </c>
      <c r="AA221" s="169">
        <f>IF($C221-AA$1&lt;År1,0,Z220*(1-VLOOKUP($A221,[1]Hugst!$R$5:$W$9,MATCH(ROUNDUP((AA$1)/10,0)*10,[1]Hugst!$R$4:$W$4,0))))</f>
        <v>0</v>
      </c>
      <c r="AB221" s="169">
        <f>IF($C221-AB$1&lt;År1,0,AA220*(1-VLOOKUP($A221,[1]Hugst!$R$5:$W$9,MATCH(ROUNDUP((AB$1)/10,0)*10,[1]Hugst!$R$4:$W$4,0))))</f>
        <v>0</v>
      </c>
      <c r="AC221" s="169">
        <f>IF($C221-AC$1&lt;År1,0,AB220*(1-VLOOKUP($A221,[1]Hugst!$R$5:$W$9,MATCH(ROUNDUP((AC$1)/10,0)*10,[1]Hugst!$R$4:$W$4,0))))</f>
        <v>0</v>
      </c>
      <c r="AD221" s="169">
        <f>IF($C221-AD$1&lt;År1,0,AC220*(1-VLOOKUP($A221,[1]Hugst!$R$5:$W$9,MATCH(ROUNDUP((AD$1)/10,0)*10,[1]Hugst!$R$4:$W$4,0))))</f>
        <v>0</v>
      </c>
      <c r="AE221" s="169">
        <f>IF($C221-AE$1&lt;År1,0,AD220*(1-VLOOKUP($A221,[1]Hugst!$R$5:$W$9,MATCH(ROUNDUP((AE$1)/10,0)*10,[1]Hugst!$R$4:$W$4,0))))</f>
        <v>0</v>
      </c>
      <c r="AF221" s="169">
        <f>IF($C221-AF$1&lt;År1,0,AE220*(1-VLOOKUP($A221,[1]Hugst!$R$5:$W$9,MATCH(ROUNDUP((AF$1)/10,0)*10,[1]Hugst!$R$4:$W$4,0))))</f>
        <v>0</v>
      </c>
      <c r="AG221" s="169">
        <f>IF($C221-AG$1&lt;År1,0,AF220*(1-VLOOKUP($A221,[1]Hugst!$R$5:$W$9,MATCH(ROUNDUP((AG$1)/10,0)*10,[1]Hugst!$R$4:$W$4,0))))</f>
        <v>0</v>
      </c>
      <c r="AH221" s="169">
        <f>IF($C221-AH$1&lt;År1,0,AG220*(1-VLOOKUP($A221,[1]Hugst!$R$5:$W$9,MATCH(ROUNDUP((AH$1)/10,0)*10,[1]Hugst!$R$4:$W$4,0))))</f>
        <v>0</v>
      </c>
      <c r="AI221" s="169">
        <f>IF($C221-AI$1&lt;År1,0,AH220*(1-VLOOKUP($A221,[1]Hugst!$R$5:$W$9,MATCH(ROUNDUP((AI$1)/10,0)*10,[1]Hugst!$R$4:$W$4,0))))</f>
        <v>0</v>
      </c>
      <c r="AJ221" s="169">
        <f>IF($C221-AJ$1&lt;År1,0,AI220*(1-VLOOKUP($A221,[1]Hugst!$R$5:$W$9,MATCH(ROUNDUP((AJ$1)/10,0)*10,[1]Hugst!$R$4:$W$4,0))))</f>
        <v>0</v>
      </c>
    </row>
    <row r="222" spans="1:36" x14ac:dyDescent="0.25">
      <c r="A222" s="169" t="s">
        <v>179</v>
      </c>
      <c r="B222" s="169" t="s">
        <v>24</v>
      </c>
      <c r="C222" s="169">
        <v>2023</v>
      </c>
      <c r="D222" s="169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69">
        <f t="shared" ca="1" si="5"/>
        <v>0</v>
      </c>
      <c r="F222" s="169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9">
        <f ca="1">IF($C222-G$1&lt;År1,0,F221*(1-VLOOKUP($A222,[1]Hugst!$R$5:$W$9,MATCH(ROUNDUP((G$1)/10,0)*10,[1]Hugst!$R$4:$W$4,0))))</f>
        <v>0</v>
      </c>
      <c r="H222" s="169">
        <f ca="1">IF($C222-H$1&lt;År1,0,G221*(1-VLOOKUP($A222,[1]Hugst!$R$5:$W$9,MATCH(ROUNDUP((H$1)/10,0)*10,[1]Hugst!$R$4:$W$4,0))))</f>
        <v>0</v>
      </c>
      <c r="I222" s="169">
        <f ca="1">IF($C222-I$1&lt;År1,0,H221*(1-VLOOKUP($A222,[1]Hugst!$R$5:$W$9,MATCH(ROUNDUP((I$1)/10,0)*10,[1]Hugst!$R$4:$W$4,0))))</f>
        <v>0</v>
      </c>
      <c r="J222" s="169">
        <f>IF($C222-J$1&lt;År1,0,I221*(1-VLOOKUP($A222,[1]Hugst!$R$5:$W$9,MATCH(ROUNDUP((J$1)/10,0)*10,[1]Hugst!$R$4:$W$4,0))))</f>
        <v>0</v>
      </c>
      <c r="K222" s="169">
        <f>IF($C222-K$1&lt;År1,0,J221*(1-VLOOKUP($A222,[1]Hugst!$R$5:$W$9,MATCH(ROUNDUP((K$1)/10,0)*10,[1]Hugst!$R$4:$W$4,0))))</f>
        <v>0</v>
      </c>
      <c r="L222" s="169">
        <f>IF($C222-L$1&lt;År1,0,K221*(1-VLOOKUP($A222,[1]Hugst!$R$5:$W$9,MATCH(ROUNDUP((L$1)/10,0)*10,[1]Hugst!$R$4:$W$4,0))))</f>
        <v>0</v>
      </c>
      <c r="M222" s="169">
        <f>IF($C222-M$1&lt;År1,0,L221*(1-VLOOKUP($A222,[1]Hugst!$R$5:$W$9,MATCH(ROUNDUP((M$1)/10,0)*10,[1]Hugst!$R$4:$W$4,0))))</f>
        <v>0</v>
      </c>
      <c r="N222" s="169">
        <f>IF($C222-N$1&lt;År1,0,M221*(1-VLOOKUP($A222,[1]Hugst!$R$5:$W$9,MATCH(ROUNDUP((N$1)/10,0)*10,[1]Hugst!$R$4:$W$4,0))))</f>
        <v>0</v>
      </c>
      <c r="O222" s="169">
        <f>IF($C222-O$1&lt;År1,0,N221*(1-VLOOKUP($A222,[1]Hugst!$R$5:$W$9,MATCH(ROUNDUP((O$1)/10,0)*10,[1]Hugst!$R$4:$W$4,0))))</f>
        <v>0</v>
      </c>
      <c r="P222" s="169">
        <f>IF($C222-P$1&lt;År1,0,O221*(1-VLOOKUP($A222,[1]Hugst!$R$5:$W$9,MATCH(ROUNDUP((P$1)/10,0)*10,[1]Hugst!$R$4:$W$4,0))))</f>
        <v>0</v>
      </c>
      <c r="Q222" s="169">
        <f>IF($C222-Q$1&lt;År1,0,P221*(1-VLOOKUP($A222,[1]Hugst!$R$5:$W$9,MATCH(ROUNDUP((Q$1)/10,0)*10,[1]Hugst!$R$4:$W$4,0))))</f>
        <v>0</v>
      </c>
      <c r="R222" s="169">
        <f>IF($C222-R$1&lt;År1,0,Q221*(1-VLOOKUP($A222,[1]Hugst!$R$5:$W$9,MATCH(ROUNDUP((R$1)/10,0)*10,[1]Hugst!$R$4:$W$4,0))))</f>
        <v>0</v>
      </c>
      <c r="S222" s="169">
        <f>IF($C222-S$1&lt;År1,0,R221*(1-VLOOKUP($A222,[1]Hugst!$R$5:$W$9,MATCH(ROUNDUP((S$1)/10,0)*10,[1]Hugst!$R$4:$W$4,0))))</f>
        <v>0</v>
      </c>
      <c r="T222" s="169">
        <f>IF($C222-T$1&lt;År1,0,S221*(1-VLOOKUP($A222,[1]Hugst!$R$5:$W$9,MATCH(ROUNDUP((T$1)/10,0)*10,[1]Hugst!$R$4:$W$4,0))))</f>
        <v>0</v>
      </c>
      <c r="U222" s="169">
        <f>IF($C222-U$1&lt;År1,0,T221*(1-VLOOKUP($A222,[1]Hugst!$R$5:$W$9,MATCH(ROUNDUP((U$1)/10,0)*10,[1]Hugst!$R$4:$W$4,0))))</f>
        <v>0</v>
      </c>
      <c r="V222" s="169">
        <f>IF($C222-V$1&lt;År1,0,U221*(1-VLOOKUP($A222,[1]Hugst!$R$5:$W$9,MATCH(ROUNDUP((V$1)/10,0)*10,[1]Hugst!$R$4:$W$4,0))))</f>
        <v>0</v>
      </c>
      <c r="W222" s="169">
        <f>IF($C222-W$1&lt;År1,0,V221*(1-VLOOKUP($A222,[1]Hugst!$R$5:$W$9,MATCH(ROUNDUP((W$1)/10,0)*10,[1]Hugst!$R$4:$W$4,0))))</f>
        <v>0</v>
      </c>
      <c r="X222" s="169">
        <f>IF($C222-X$1&lt;År1,0,W221*(1-VLOOKUP($A222,[1]Hugst!$R$5:$W$9,MATCH(ROUNDUP((X$1)/10,0)*10,[1]Hugst!$R$4:$W$4,0))))</f>
        <v>0</v>
      </c>
      <c r="Y222" s="169">
        <f>IF($C222-Y$1&lt;År1,0,X221*(1-VLOOKUP($A222,[1]Hugst!$R$5:$W$9,MATCH(ROUNDUP((Y$1)/10,0)*10,[1]Hugst!$R$4:$W$4,0))))</f>
        <v>0</v>
      </c>
      <c r="Z222" s="169">
        <f>IF($C222-Z$1&lt;År1,0,Y221*(1-VLOOKUP($A222,[1]Hugst!$R$5:$W$9,MATCH(ROUNDUP((Z$1)/10,0)*10,[1]Hugst!$R$4:$W$4,0))))</f>
        <v>0</v>
      </c>
      <c r="AA222" s="169">
        <f>IF($C222-AA$1&lt;År1,0,Z221*(1-VLOOKUP($A222,[1]Hugst!$R$5:$W$9,MATCH(ROUNDUP((AA$1)/10,0)*10,[1]Hugst!$R$4:$W$4,0))))</f>
        <v>0</v>
      </c>
      <c r="AB222" s="169">
        <f>IF($C222-AB$1&lt;År1,0,AA221*(1-VLOOKUP($A222,[1]Hugst!$R$5:$W$9,MATCH(ROUNDUP((AB$1)/10,0)*10,[1]Hugst!$R$4:$W$4,0))))</f>
        <v>0</v>
      </c>
      <c r="AC222" s="169">
        <f>IF($C222-AC$1&lt;År1,0,AB221*(1-VLOOKUP($A222,[1]Hugst!$R$5:$W$9,MATCH(ROUNDUP((AC$1)/10,0)*10,[1]Hugst!$R$4:$W$4,0))))</f>
        <v>0</v>
      </c>
      <c r="AD222" s="169">
        <f>IF($C222-AD$1&lt;År1,0,AC221*(1-VLOOKUP($A222,[1]Hugst!$R$5:$W$9,MATCH(ROUNDUP((AD$1)/10,0)*10,[1]Hugst!$R$4:$W$4,0))))</f>
        <v>0</v>
      </c>
      <c r="AE222" s="169">
        <f>IF($C222-AE$1&lt;År1,0,AD221*(1-VLOOKUP($A222,[1]Hugst!$R$5:$W$9,MATCH(ROUNDUP((AE$1)/10,0)*10,[1]Hugst!$R$4:$W$4,0))))</f>
        <v>0</v>
      </c>
      <c r="AF222" s="169">
        <f>IF($C222-AF$1&lt;År1,0,AE221*(1-VLOOKUP($A222,[1]Hugst!$R$5:$W$9,MATCH(ROUNDUP((AF$1)/10,0)*10,[1]Hugst!$R$4:$W$4,0))))</f>
        <v>0</v>
      </c>
      <c r="AG222" s="169">
        <f>IF($C222-AG$1&lt;År1,0,AF221*(1-VLOOKUP($A222,[1]Hugst!$R$5:$W$9,MATCH(ROUNDUP((AG$1)/10,0)*10,[1]Hugst!$R$4:$W$4,0))))</f>
        <v>0</v>
      </c>
      <c r="AH222" s="169">
        <f>IF($C222-AH$1&lt;År1,0,AG221*(1-VLOOKUP($A222,[1]Hugst!$R$5:$W$9,MATCH(ROUNDUP((AH$1)/10,0)*10,[1]Hugst!$R$4:$W$4,0))))</f>
        <v>0</v>
      </c>
      <c r="AI222" s="169">
        <f>IF($C222-AI$1&lt;År1,0,AH221*(1-VLOOKUP($A222,[1]Hugst!$R$5:$W$9,MATCH(ROUNDUP((AI$1)/10,0)*10,[1]Hugst!$R$4:$W$4,0))))</f>
        <v>0</v>
      </c>
      <c r="AJ222" s="169">
        <f>IF($C222-AJ$1&lt;År1,0,AI221*(1-VLOOKUP($A222,[1]Hugst!$R$5:$W$9,MATCH(ROUNDUP((AJ$1)/10,0)*10,[1]Hugst!$R$4:$W$4,0))))</f>
        <v>0</v>
      </c>
    </row>
    <row r="223" spans="1:36" x14ac:dyDescent="0.25">
      <c r="A223" s="169" t="s">
        <v>179</v>
      </c>
      <c r="B223" s="169" t="s">
        <v>24</v>
      </c>
      <c r="C223" s="169">
        <v>2024</v>
      </c>
      <c r="D223" s="169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69">
        <f t="shared" ca="1" si="5"/>
        <v>0</v>
      </c>
      <c r="F223" s="169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9">
        <f ca="1">IF($C223-G$1&lt;År1,0,F222*(1-VLOOKUP($A223,[1]Hugst!$R$5:$W$9,MATCH(ROUNDUP((G$1)/10,0)*10,[1]Hugst!$R$4:$W$4,0))))</f>
        <v>0</v>
      </c>
      <c r="H223" s="169">
        <f ca="1">IF($C223-H$1&lt;År1,0,G222*(1-VLOOKUP($A223,[1]Hugst!$R$5:$W$9,MATCH(ROUNDUP((H$1)/10,0)*10,[1]Hugst!$R$4:$W$4,0))))</f>
        <v>0</v>
      </c>
      <c r="I223" s="169">
        <f ca="1">IF($C223-I$1&lt;År1,0,H222*(1-VLOOKUP($A223,[1]Hugst!$R$5:$W$9,MATCH(ROUNDUP((I$1)/10,0)*10,[1]Hugst!$R$4:$W$4,0))))</f>
        <v>0</v>
      </c>
      <c r="J223" s="169">
        <f ca="1">IF($C223-J$1&lt;År1,0,I222*(1-VLOOKUP($A223,[1]Hugst!$R$5:$W$9,MATCH(ROUNDUP((J$1)/10,0)*10,[1]Hugst!$R$4:$W$4,0))))</f>
        <v>0</v>
      </c>
      <c r="K223" s="169">
        <f>IF($C223-K$1&lt;År1,0,J222*(1-VLOOKUP($A223,[1]Hugst!$R$5:$W$9,MATCH(ROUNDUP((K$1)/10,0)*10,[1]Hugst!$R$4:$W$4,0))))</f>
        <v>0</v>
      </c>
      <c r="L223" s="169">
        <f>IF($C223-L$1&lt;År1,0,K222*(1-VLOOKUP($A223,[1]Hugst!$R$5:$W$9,MATCH(ROUNDUP((L$1)/10,0)*10,[1]Hugst!$R$4:$W$4,0))))</f>
        <v>0</v>
      </c>
      <c r="M223" s="169">
        <f>IF($C223-M$1&lt;År1,0,L222*(1-VLOOKUP($A223,[1]Hugst!$R$5:$W$9,MATCH(ROUNDUP((M$1)/10,0)*10,[1]Hugst!$R$4:$W$4,0))))</f>
        <v>0</v>
      </c>
      <c r="N223" s="169">
        <f>IF($C223-N$1&lt;År1,0,M222*(1-VLOOKUP($A223,[1]Hugst!$R$5:$W$9,MATCH(ROUNDUP((N$1)/10,0)*10,[1]Hugst!$R$4:$W$4,0))))</f>
        <v>0</v>
      </c>
      <c r="O223" s="169">
        <f>IF($C223-O$1&lt;År1,0,N222*(1-VLOOKUP($A223,[1]Hugst!$R$5:$W$9,MATCH(ROUNDUP((O$1)/10,0)*10,[1]Hugst!$R$4:$W$4,0))))</f>
        <v>0</v>
      </c>
      <c r="P223" s="169">
        <f>IF($C223-P$1&lt;År1,0,O222*(1-VLOOKUP($A223,[1]Hugst!$R$5:$W$9,MATCH(ROUNDUP((P$1)/10,0)*10,[1]Hugst!$R$4:$W$4,0))))</f>
        <v>0</v>
      </c>
      <c r="Q223" s="169">
        <f>IF($C223-Q$1&lt;År1,0,P222*(1-VLOOKUP($A223,[1]Hugst!$R$5:$W$9,MATCH(ROUNDUP((Q$1)/10,0)*10,[1]Hugst!$R$4:$W$4,0))))</f>
        <v>0</v>
      </c>
      <c r="R223" s="169">
        <f>IF($C223-R$1&lt;År1,0,Q222*(1-VLOOKUP($A223,[1]Hugst!$R$5:$W$9,MATCH(ROUNDUP((R$1)/10,0)*10,[1]Hugst!$R$4:$W$4,0))))</f>
        <v>0</v>
      </c>
      <c r="S223" s="169">
        <f>IF($C223-S$1&lt;År1,0,R222*(1-VLOOKUP($A223,[1]Hugst!$R$5:$W$9,MATCH(ROUNDUP((S$1)/10,0)*10,[1]Hugst!$R$4:$W$4,0))))</f>
        <v>0</v>
      </c>
      <c r="T223" s="169">
        <f>IF($C223-T$1&lt;År1,0,S222*(1-VLOOKUP($A223,[1]Hugst!$R$5:$W$9,MATCH(ROUNDUP((T$1)/10,0)*10,[1]Hugst!$R$4:$W$4,0))))</f>
        <v>0</v>
      </c>
      <c r="U223" s="169">
        <f>IF($C223-U$1&lt;År1,0,T222*(1-VLOOKUP($A223,[1]Hugst!$R$5:$W$9,MATCH(ROUNDUP((U$1)/10,0)*10,[1]Hugst!$R$4:$W$4,0))))</f>
        <v>0</v>
      </c>
      <c r="V223" s="169">
        <f>IF($C223-V$1&lt;År1,0,U222*(1-VLOOKUP($A223,[1]Hugst!$R$5:$W$9,MATCH(ROUNDUP((V$1)/10,0)*10,[1]Hugst!$R$4:$W$4,0))))</f>
        <v>0</v>
      </c>
      <c r="W223" s="169">
        <f>IF($C223-W$1&lt;År1,0,V222*(1-VLOOKUP($A223,[1]Hugst!$R$5:$W$9,MATCH(ROUNDUP((W$1)/10,0)*10,[1]Hugst!$R$4:$W$4,0))))</f>
        <v>0</v>
      </c>
      <c r="X223" s="169">
        <f>IF($C223-X$1&lt;År1,0,W222*(1-VLOOKUP($A223,[1]Hugst!$R$5:$W$9,MATCH(ROUNDUP((X$1)/10,0)*10,[1]Hugst!$R$4:$W$4,0))))</f>
        <v>0</v>
      </c>
      <c r="Y223" s="169">
        <f>IF($C223-Y$1&lt;År1,0,X222*(1-VLOOKUP($A223,[1]Hugst!$R$5:$W$9,MATCH(ROUNDUP((Y$1)/10,0)*10,[1]Hugst!$R$4:$W$4,0))))</f>
        <v>0</v>
      </c>
      <c r="Z223" s="169">
        <f>IF($C223-Z$1&lt;År1,0,Y222*(1-VLOOKUP($A223,[1]Hugst!$R$5:$W$9,MATCH(ROUNDUP((Z$1)/10,0)*10,[1]Hugst!$R$4:$W$4,0))))</f>
        <v>0</v>
      </c>
      <c r="AA223" s="169">
        <f>IF($C223-AA$1&lt;År1,0,Z222*(1-VLOOKUP($A223,[1]Hugst!$R$5:$W$9,MATCH(ROUNDUP((AA$1)/10,0)*10,[1]Hugst!$R$4:$W$4,0))))</f>
        <v>0</v>
      </c>
      <c r="AB223" s="169">
        <f>IF($C223-AB$1&lt;År1,0,AA222*(1-VLOOKUP($A223,[1]Hugst!$R$5:$W$9,MATCH(ROUNDUP((AB$1)/10,0)*10,[1]Hugst!$R$4:$W$4,0))))</f>
        <v>0</v>
      </c>
      <c r="AC223" s="169">
        <f>IF($C223-AC$1&lt;År1,0,AB222*(1-VLOOKUP($A223,[1]Hugst!$R$5:$W$9,MATCH(ROUNDUP((AC$1)/10,0)*10,[1]Hugst!$R$4:$W$4,0))))</f>
        <v>0</v>
      </c>
      <c r="AD223" s="169">
        <f>IF($C223-AD$1&lt;År1,0,AC222*(1-VLOOKUP($A223,[1]Hugst!$R$5:$W$9,MATCH(ROUNDUP((AD$1)/10,0)*10,[1]Hugst!$R$4:$W$4,0))))</f>
        <v>0</v>
      </c>
      <c r="AE223" s="169">
        <f>IF($C223-AE$1&lt;År1,0,AD222*(1-VLOOKUP($A223,[1]Hugst!$R$5:$W$9,MATCH(ROUNDUP((AE$1)/10,0)*10,[1]Hugst!$R$4:$W$4,0))))</f>
        <v>0</v>
      </c>
      <c r="AF223" s="169">
        <f>IF($C223-AF$1&lt;År1,0,AE222*(1-VLOOKUP($A223,[1]Hugst!$R$5:$W$9,MATCH(ROUNDUP((AF$1)/10,0)*10,[1]Hugst!$R$4:$W$4,0))))</f>
        <v>0</v>
      </c>
      <c r="AG223" s="169">
        <f>IF($C223-AG$1&lt;År1,0,AF222*(1-VLOOKUP($A223,[1]Hugst!$R$5:$W$9,MATCH(ROUNDUP((AG$1)/10,0)*10,[1]Hugst!$R$4:$W$4,0))))</f>
        <v>0</v>
      </c>
      <c r="AH223" s="169">
        <f>IF($C223-AH$1&lt;År1,0,AG222*(1-VLOOKUP($A223,[1]Hugst!$R$5:$W$9,MATCH(ROUNDUP((AH$1)/10,0)*10,[1]Hugst!$R$4:$W$4,0))))</f>
        <v>0</v>
      </c>
      <c r="AI223" s="169">
        <f>IF($C223-AI$1&lt;År1,0,AH222*(1-VLOOKUP($A223,[1]Hugst!$R$5:$W$9,MATCH(ROUNDUP((AI$1)/10,0)*10,[1]Hugst!$R$4:$W$4,0))))</f>
        <v>0</v>
      </c>
      <c r="AJ223" s="169">
        <f>IF($C223-AJ$1&lt;År1,0,AI222*(1-VLOOKUP($A223,[1]Hugst!$R$5:$W$9,MATCH(ROUNDUP((AJ$1)/10,0)*10,[1]Hugst!$R$4:$W$4,0))))</f>
        <v>0</v>
      </c>
    </row>
    <row r="224" spans="1:36" x14ac:dyDescent="0.25">
      <c r="A224" s="169" t="s">
        <v>179</v>
      </c>
      <c r="B224" s="169" t="s">
        <v>24</v>
      </c>
      <c r="C224" s="169">
        <v>2025</v>
      </c>
      <c r="D224" s="169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69">
        <f t="shared" ca="1" si="5"/>
        <v>0</v>
      </c>
      <c r="F224" s="169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9">
        <f ca="1">IF($C224-G$1&lt;År1,0,F223*(1-VLOOKUP($A224,[1]Hugst!$R$5:$W$9,MATCH(ROUNDUP((G$1)/10,0)*10,[1]Hugst!$R$4:$W$4,0))))</f>
        <v>0</v>
      </c>
      <c r="H224" s="169">
        <f ca="1">IF($C224-H$1&lt;År1,0,G223*(1-VLOOKUP($A224,[1]Hugst!$R$5:$W$9,MATCH(ROUNDUP((H$1)/10,0)*10,[1]Hugst!$R$4:$W$4,0))))</f>
        <v>0</v>
      </c>
      <c r="I224" s="169">
        <f ca="1">IF($C224-I$1&lt;År1,0,H223*(1-VLOOKUP($A224,[1]Hugst!$R$5:$W$9,MATCH(ROUNDUP((I$1)/10,0)*10,[1]Hugst!$R$4:$W$4,0))))</f>
        <v>0</v>
      </c>
      <c r="J224" s="169">
        <f ca="1">IF($C224-J$1&lt;År1,0,I223*(1-VLOOKUP($A224,[1]Hugst!$R$5:$W$9,MATCH(ROUNDUP((J$1)/10,0)*10,[1]Hugst!$R$4:$W$4,0))))</f>
        <v>0</v>
      </c>
      <c r="K224" s="169">
        <f ca="1">IF($C224-K$1&lt;År1,0,J223*(1-VLOOKUP($A224,[1]Hugst!$R$5:$W$9,MATCH(ROUNDUP((K$1)/10,0)*10,[1]Hugst!$R$4:$W$4,0))))</f>
        <v>0</v>
      </c>
      <c r="L224" s="169">
        <f>IF($C224-L$1&lt;År1,0,K223*(1-VLOOKUP($A224,[1]Hugst!$R$5:$W$9,MATCH(ROUNDUP((L$1)/10,0)*10,[1]Hugst!$R$4:$W$4,0))))</f>
        <v>0</v>
      </c>
      <c r="M224" s="169">
        <f>IF($C224-M$1&lt;År1,0,L223*(1-VLOOKUP($A224,[1]Hugst!$R$5:$W$9,MATCH(ROUNDUP((M$1)/10,0)*10,[1]Hugst!$R$4:$W$4,0))))</f>
        <v>0</v>
      </c>
      <c r="N224" s="169">
        <f>IF($C224-N$1&lt;År1,0,M223*(1-VLOOKUP($A224,[1]Hugst!$R$5:$W$9,MATCH(ROUNDUP((N$1)/10,0)*10,[1]Hugst!$R$4:$W$4,0))))</f>
        <v>0</v>
      </c>
      <c r="O224" s="169">
        <f>IF($C224-O$1&lt;År1,0,N223*(1-VLOOKUP($A224,[1]Hugst!$R$5:$W$9,MATCH(ROUNDUP((O$1)/10,0)*10,[1]Hugst!$R$4:$W$4,0))))</f>
        <v>0</v>
      </c>
      <c r="P224" s="169">
        <f>IF($C224-P$1&lt;År1,0,O223*(1-VLOOKUP($A224,[1]Hugst!$R$5:$W$9,MATCH(ROUNDUP((P$1)/10,0)*10,[1]Hugst!$R$4:$W$4,0))))</f>
        <v>0</v>
      </c>
      <c r="Q224" s="169">
        <f>IF($C224-Q$1&lt;År1,0,P223*(1-VLOOKUP($A224,[1]Hugst!$R$5:$W$9,MATCH(ROUNDUP((Q$1)/10,0)*10,[1]Hugst!$R$4:$W$4,0))))</f>
        <v>0</v>
      </c>
      <c r="R224" s="169">
        <f>IF($C224-R$1&lt;År1,0,Q223*(1-VLOOKUP($A224,[1]Hugst!$R$5:$W$9,MATCH(ROUNDUP((R$1)/10,0)*10,[1]Hugst!$R$4:$W$4,0))))</f>
        <v>0</v>
      </c>
      <c r="S224" s="169">
        <f>IF($C224-S$1&lt;År1,0,R223*(1-VLOOKUP($A224,[1]Hugst!$R$5:$W$9,MATCH(ROUNDUP((S$1)/10,0)*10,[1]Hugst!$R$4:$W$4,0))))</f>
        <v>0</v>
      </c>
      <c r="T224" s="169">
        <f>IF($C224-T$1&lt;År1,0,S223*(1-VLOOKUP($A224,[1]Hugst!$R$5:$W$9,MATCH(ROUNDUP((T$1)/10,0)*10,[1]Hugst!$R$4:$W$4,0))))</f>
        <v>0</v>
      </c>
      <c r="U224" s="169">
        <f>IF($C224-U$1&lt;År1,0,T223*(1-VLOOKUP($A224,[1]Hugst!$R$5:$W$9,MATCH(ROUNDUP((U$1)/10,0)*10,[1]Hugst!$R$4:$W$4,0))))</f>
        <v>0</v>
      </c>
      <c r="V224" s="169">
        <f>IF($C224-V$1&lt;År1,0,U223*(1-VLOOKUP($A224,[1]Hugst!$R$5:$W$9,MATCH(ROUNDUP((V$1)/10,0)*10,[1]Hugst!$R$4:$W$4,0))))</f>
        <v>0</v>
      </c>
      <c r="W224" s="169">
        <f>IF($C224-W$1&lt;År1,0,V223*(1-VLOOKUP($A224,[1]Hugst!$R$5:$W$9,MATCH(ROUNDUP((W$1)/10,0)*10,[1]Hugst!$R$4:$W$4,0))))</f>
        <v>0</v>
      </c>
      <c r="X224" s="169">
        <f>IF($C224-X$1&lt;År1,0,W223*(1-VLOOKUP($A224,[1]Hugst!$R$5:$W$9,MATCH(ROUNDUP((X$1)/10,0)*10,[1]Hugst!$R$4:$W$4,0))))</f>
        <v>0</v>
      </c>
      <c r="Y224" s="169">
        <f>IF($C224-Y$1&lt;År1,0,X223*(1-VLOOKUP($A224,[1]Hugst!$R$5:$W$9,MATCH(ROUNDUP((Y$1)/10,0)*10,[1]Hugst!$R$4:$W$4,0))))</f>
        <v>0</v>
      </c>
      <c r="Z224" s="169">
        <f>IF($C224-Z$1&lt;År1,0,Y223*(1-VLOOKUP($A224,[1]Hugst!$R$5:$W$9,MATCH(ROUNDUP((Z$1)/10,0)*10,[1]Hugst!$R$4:$W$4,0))))</f>
        <v>0</v>
      </c>
      <c r="AA224" s="169">
        <f>IF($C224-AA$1&lt;År1,0,Z223*(1-VLOOKUP($A224,[1]Hugst!$R$5:$W$9,MATCH(ROUNDUP((AA$1)/10,0)*10,[1]Hugst!$R$4:$W$4,0))))</f>
        <v>0</v>
      </c>
      <c r="AB224" s="169">
        <f>IF($C224-AB$1&lt;År1,0,AA223*(1-VLOOKUP($A224,[1]Hugst!$R$5:$W$9,MATCH(ROUNDUP((AB$1)/10,0)*10,[1]Hugst!$R$4:$W$4,0))))</f>
        <v>0</v>
      </c>
      <c r="AC224" s="169">
        <f>IF($C224-AC$1&lt;År1,0,AB223*(1-VLOOKUP($A224,[1]Hugst!$R$5:$W$9,MATCH(ROUNDUP((AC$1)/10,0)*10,[1]Hugst!$R$4:$W$4,0))))</f>
        <v>0</v>
      </c>
      <c r="AD224" s="169">
        <f>IF($C224-AD$1&lt;År1,0,AC223*(1-VLOOKUP($A224,[1]Hugst!$R$5:$W$9,MATCH(ROUNDUP((AD$1)/10,0)*10,[1]Hugst!$R$4:$W$4,0))))</f>
        <v>0</v>
      </c>
      <c r="AE224" s="169">
        <f>IF($C224-AE$1&lt;År1,0,AD223*(1-VLOOKUP($A224,[1]Hugst!$R$5:$W$9,MATCH(ROUNDUP((AE$1)/10,0)*10,[1]Hugst!$R$4:$W$4,0))))</f>
        <v>0</v>
      </c>
      <c r="AF224" s="169">
        <f>IF($C224-AF$1&lt;År1,0,AE223*(1-VLOOKUP($A224,[1]Hugst!$R$5:$W$9,MATCH(ROUNDUP((AF$1)/10,0)*10,[1]Hugst!$R$4:$W$4,0))))</f>
        <v>0</v>
      </c>
      <c r="AG224" s="169">
        <f>IF($C224-AG$1&lt;År1,0,AF223*(1-VLOOKUP($A224,[1]Hugst!$R$5:$W$9,MATCH(ROUNDUP((AG$1)/10,0)*10,[1]Hugst!$R$4:$W$4,0))))</f>
        <v>0</v>
      </c>
      <c r="AH224" s="169">
        <f>IF($C224-AH$1&lt;År1,0,AG223*(1-VLOOKUP($A224,[1]Hugst!$R$5:$W$9,MATCH(ROUNDUP((AH$1)/10,0)*10,[1]Hugst!$R$4:$W$4,0))))</f>
        <v>0</v>
      </c>
      <c r="AI224" s="169">
        <f>IF($C224-AI$1&lt;År1,0,AH223*(1-VLOOKUP($A224,[1]Hugst!$R$5:$W$9,MATCH(ROUNDUP((AI$1)/10,0)*10,[1]Hugst!$R$4:$W$4,0))))</f>
        <v>0</v>
      </c>
      <c r="AJ224" s="169">
        <f>IF($C224-AJ$1&lt;År1,0,AI223*(1-VLOOKUP($A224,[1]Hugst!$R$5:$W$9,MATCH(ROUNDUP((AJ$1)/10,0)*10,[1]Hugst!$R$4:$W$4,0))))</f>
        <v>0</v>
      </c>
    </row>
    <row r="225" spans="1:36" x14ac:dyDescent="0.25">
      <c r="A225" s="169" t="s">
        <v>179</v>
      </c>
      <c r="B225" s="169" t="s">
        <v>24</v>
      </c>
      <c r="C225" s="169">
        <v>2026</v>
      </c>
      <c r="D225" s="169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69">
        <f t="shared" ca="1" si="5"/>
        <v>0</v>
      </c>
      <c r="F225" s="169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9">
        <f ca="1">IF($C225-G$1&lt;År1,0,F224*(1-VLOOKUP($A225,[1]Hugst!$R$5:$W$9,MATCH(ROUNDUP((G$1)/10,0)*10,[1]Hugst!$R$4:$W$4,0))))</f>
        <v>0</v>
      </c>
      <c r="H225" s="169">
        <f ca="1">IF($C225-H$1&lt;År1,0,G224*(1-VLOOKUP($A225,[1]Hugst!$R$5:$W$9,MATCH(ROUNDUP((H$1)/10,0)*10,[1]Hugst!$R$4:$W$4,0))))</f>
        <v>0</v>
      </c>
      <c r="I225" s="169">
        <f ca="1">IF($C225-I$1&lt;År1,0,H224*(1-VLOOKUP($A225,[1]Hugst!$R$5:$W$9,MATCH(ROUNDUP((I$1)/10,0)*10,[1]Hugst!$R$4:$W$4,0))))</f>
        <v>0</v>
      </c>
      <c r="J225" s="169">
        <f ca="1">IF($C225-J$1&lt;År1,0,I224*(1-VLOOKUP($A225,[1]Hugst!$R$5:$W$9,MATCH(ROUNDUP((J$1)/10,0)*10,[1]Hugst!$R$4:$W$4,0))))</f>
        <v>0</v>
      </c>
      <c r="K225" s="169">
        <f ca="1">IF($C225-K$1&lt;År1,0,J224*(1-VLOOKUP($A225,[1]Hugst!$R$5:$W$9,MATCH(ROUNDUP((K$1)/10,0)*10,[1]Hugst!$R$4:$W$4,0))))</f>
        <v>0</v>
      </c>
      <c r="L225" s="169">
        <f ca="1">IF($C225-L$1&lt;År1,0,K224*(1-VLOOKUP($A225,[1]Hugst!$R$5:$W$9,MATCH(ROUNDUP((L$1)/10,0)*10,[1]Hugst!$R$4:$W$4,0))))</f>
        <v>0</v>
      </c>
      <c r="M225" s="169">
        <f>IF($C225-M$1&lt;År1,0,L224*(1-VLOOKUP($A225,[1]Hugst!$R$5:$W$9,MATCH(ROUNDUP((M$1)/10,0)*10,[1]Hugst!$R$4:$W$4,0))))</f>
        <v>0</v>
      </c>
      <c r="N225" s="169">
        <f>IF($C225-N$1&lt;År1,0,M224*(1-VLOOKUP($A225,[1]Hugst!$R$5:$W$9,MATCH(ROUNDUP((N$1)/10,0)*10,[1]Hugst!$R$4:$W$4,0))))</f>
        <v>0</v>
      </c>
      <c r="O225" s="169">
        <f>IF($C225-O$1&lt;År1,0,N224*(1-VLOOKUP($A225,[1]Hugst!$R$5:$W$9,MATCH(ROUNDUP((O$1)/10,0)*10,[1]Hugst!$R$4:$W$4,0))))</f>
        <v>0</v>
      </c>
      <c r="P225" s="169">
        <f>IF($C225-P$1&lt;År1,0,O224*(1-VLOOKUP($A225,[1]Hugst!$R$5:$W$9,MATCH(ROUNDUP((P$1)/10,0)*10,[1]Hugst!$R$4:$W$4,0))))</f>
        <v>0</v>
      </c>
      <c r="Q225" s="169">
        <f>IF($C225-Q$1&lt;År1,0,P224*(1-VLOOKUP($A225,[1]Hugst!$R$5:$W$9,MATCH(ROUNDUP((Q$1)/10,0)*10,[1]Hugst!$R$4:$W$4,0))))</f>
        <v>0</v>
      </c>
      <c r="R225" s="169">
        <f>IF($C225-R$1&lt;År1,0,Q224*(1-VLOOKUP($A225,[1]Hugst!$R$5:$W$9,MATCH(ROUNDUP((R$1)/10,0)*10,[1]Hugst!$R$4:$W$4,0))))</f>
        <v>0</v>
      </c>
      <c r="S225" s="169">
        <f>IF($C225-S$1&lt;År1,0,R224*(1-VLOOKUP($A225,[1]Hugst!$R$5:$W$9,MATCH(ROUNDUP((S$1)/10,0)*10,[1]Hugst!$R$4:$W$4,0))))</f>
        <v>0</v>
      </c>
      <c r="T225" s="169">
        <f>IF($C225-T$1&lt;År1,0,S224*(1-VLOOKUP($A225,[1]Hugst!$R$5:$W$9,MATCH(ROUNDUP((T$1)/10,0)*10,[1]Hugst!$R$4:$W$4,0))))</f>
        <v>0</v>
      </c>
      <c r="U225" s="169">
        <f>IF($C225-U$1&lt;År1,0,T224*(1-VLOOKUP($A225,[1]Hugst!$R$5:$W$9,MATCH(ROUNDUP((U$1)/10,0)*10,[1]Hugst!$R$4:$W$4,0))))</f>
        <v>0</v>
      </c>
      <c r="V225" s="169">
        <f>IF($C225-V$1&lt;År1,0,U224*(1-VLOOKUP($A225,[1]Hugst!$R$5:$W$9,MATCH(ROUNDUP((V$1)/10,0)*10,[1]Hugst!$R$4:$W$4,0))))</f>
        <v>0</v>
      </c>
      <c r="W225" s="169">
        <f>IF($C225-W$1&lt;År1,0,V224*(1-VLOOKUP($A225,[1]Hugst!$R$5:$W$9,MATCH(ROUNDUP((W$1)/10,0)*10,[1]Hugst!$R$4:$W$4,0))))</f>
        <v>0</v>
      </c>
      <c r="X225" s="169">
        <f>IF($C225-X$1&lt;År1,0,W224*(1-VLOOKUP($A225,[1]Hugst!$R$5:$W$9,MATCH(ROUNDUP((X$1)/10,0)*10,[1]Hugst!$R$4:$W$4,0))))</f>
        <v>0</v>
      </c>
      <c r="Y225" s="169">
        <f>IF($C225-Y$1&lt;År1,0,X224*(1-VLOOKUP($A225,[1]Hugst!$R$5:$W$9,MATCH(ROUNDUP((Y$1)/10,0)*10,[1]Hugst!$R$4:$W$4,0))))</f>
        <v>0</v>
      </c>
      <c r="Z225" s="169">
        <f>IF($C225-Z$1&lt;År1,0,Y224*(1-VLOOKUP($A225,[1]Hugst!$R$5:$W$9,MATCH(ROUNDUP((Z$1)/10,0)*10,[1]Hugst!$R$4:$W$4,0))))</f>
        <v>0</v>
      </c>
      <c r="AA225" s="169">
        <f>IF($C225-AA$1&lt;År1,0,Z224*(1-VLOOKUP($A225,[1]Hugst!$R$5:$W$9,MATCH(ROUNDUP((AA$1)/10,0)*10,[1]Hugst!$R$4:$W$4,0))))</f>
        <v>0</v>
      </c>
      <c r="AB225" s="169">
        <f>IF($C225-AB$1&lt;År1,0,AA224*(1-VLOOKUP($A225,[1]Hugst!$R$5:$W$9,MATCH(ROUNDUP((AB$1)/10,0)*10,[1]Hugst!$R$4:$W$4,0))))</f>
        <v>0</v>
      </c>
      <c r="AC225" s="169">
        <f>IF($C225-AC$1&lt;År1,0,AB224*(1-VLOOKUP($A225,[1]Hugst!$R$5:$W$9,MATCH(ROUNDUP((AC$1)/10,0)*10,[1]Hugst!$R$4:$W$4,0))))</f>
        <v>0</v>
      </c>
      <c r="AD225" s="169">
        <f>IF($C225-AD$1&lt;År1,0,AC224*(1-VLOOKUP($A225,[1]Hugst!$R$5:$W$9,MATCH(ROUNDUP((AD$1)/10,0)*10,[1]Hugst!$R$4:$W$4,0))))</f>
        <v>0</v>
      </c>
      <c r="AE225" s="169">
        <f>IF($C225-AE$1&lt;År1,0,AD224*(1-VLOOKUP($A225,[1]Hugst!$R$5:$W$9,MATCH(ROUNDUP((AE$1)/10,0)*10,[1]Hugst!$R$4:$W$4,0))))</f>
        <v>0</v>
      </c>
      <c r="AF225" s="169">
        <f>IF($C225-AF$1&lt;År1,0,AE224*(1-VLOOKUP($A225,[1]Hugst!$R$5:$W$9,MATCH(ROUNDUP((AF$1)/10,0)*10,[1]Hugst!$R$4:$W$4,0))))</f>
        <v>0</v>
      </c>
      <c r="AG225" s="169">
        <f>IF($C225-AG$1&lt;År1,0,AF224*(1-VLOOKUP($A225,[1]Hugst!$R$5:$W$9,MATCH(ROUNDUP((AG$1)/10,0)*10,[1]Hugst!$R$4:$W$4,0))))</f>
        <v>0</v>
      </c>
      <c r="AH225" s="169">
        <f>IF($C225-AH$1&lt;År1,0,AG224*(1-VLOOKUP($A225,[1]Hugst!$R$5:$W$9,MATCH(ROUNDUP((AH$1)/10,0)*10,[1]Hugst!$R$4:$W$4,0))))</f>
        <v>0</v>
      </c>
      <c r="AI225" s="169">
        <f>IF($C225-AI$1&lt;År1,0,AH224*(1-VLOOKUP($A225,[1]Hugst!$R$5:$W$9,MATCH(ROUNDUP((AI$1)/10,0)*10,[1]Hugst!$R$4:$W$4,0))))</f>
        <v>0</v>
      </c>
      <c r="AJ225" s="169">
        <f>IF($C225-AJ$1&lt;År1,0,AI224*(1-VLOOKUP($A225,[1]Hugst!$R$5:$W$9,MATCH(ROUNDUP((AJ$1)/10,0)*10,[1]Hugst!$R$4:$W$4,0))))</f>
        <v>0</v>
      </c>
    </row>
    <row r="226" spans="1:36" x14ac:dyDescent="0.25">
      <c r="A226" s="169" t="s">
        <v>179</v>
      </c>
      <c r="B226" s="169" t="s">
        <v>24</v>
      </c>
      <c r="C226" s="169">
        <v>2027</v>
      </c>
      <c r="D226" s="169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69">
        <f t="shared" ca="1" si="5"/>
        <v>0</v>
      </c>
      <c r="F226" s="169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9">
        <f ca="1">IF($C226-G$1&lt;År1,0,F225*(1-VLOOKUP($A226,[1]Hugst!$R$5:$W$9,MATCH(ROUNDUP((G$1)/10,0)*10,[1]Hugst!$R$4:$W$4,0))))</f>
        <v>0</v>
      </c>
      <c r="H226" s="169">
        <f ca="1">IF($C226-H$1&lt;År1,0,G225*(1-VLOOKUP($A226,[1]Hugst!$R$5:$W$9,MATCH(ROUNDUP((H$1)/10,0)*10,[1]Hugst!$R$4:$W$4,0))))</f>
        <v>0</v>
      </c>
      <c r="I226" s="169">
        <f ca="1">IF($C226-I$1&lt;År1,0,H225*(1-VLOOKUP($A226,[1]Hugst!$R$5:$W$9,MATCH(ROUNDUP((I$1)/10,0)*10,[1]Hugst!$R$4:$W$4,0))))</f>
        <v>0</v>
      </c>
      <c r="J226" s="169">
        <f ca="1">IF($C226-J$1&lt;År1,0,I225*(1-VLOOKUP($A226,[1]Hugst!$R$5:$W$9,MATCH(ROUNDUP((J$1)/10,0)*10,[1]Hugst!$R$4:$W$4,0))))</f>
        <v>0</v>
      </c>
      <c r="K226" s="169">
        <f ca="1">IF($C226-K$1&lt;År1,0,J225*(1-VLOOKUP($A226,[1]Hugst!$R$5:$W$9,MATCH(ROUNDUP((K$1)/10,0)*10,[1]Hugst!$R$4:$W$4,0))))</f>
        <v>0</v>
      </c>
      <c r="L226" s="169">
        <f ca="1">IF($C226-L$1&lt;År1,0,K225*(1-VLOOKUP($A226,[1]Hugst!$R$5:$W$9,MATCH(ROUNDUP((L$1)/10,0)*10,[1]Hugst!$R$4:$W$4,0))))</f>
        <v>0</v>
      </c>
      <c r="M226" s="169">
        <f ca="1">IF($C226-M$1&lt;År1,0,L225*(1-VLOOKUP($A226,[1]Hugst!$R$5:$W$9,MATCH(ROUNDUP((M$1)/10,0)*10,[1]Hugst!$R$4:$W$4,0))))</f>
        <v>0</v>
      </c>
      <c r="N226" s="169">
        <f>IF($C226-N$1&lt;År1,0,M225*(1-VLOOKUP($A226,[1]Hugst!$R$5:$W$9,MATCH(ROUNDUP((N$1)/10,0)*10,[1]Hugst!$R$4:$W$4,0))))</f>
        <v>0</v>
      </c>
      <c r="O226" s="169">
        <f>IF($C226-O$1&lt;År1,0,N225*(1-VLOOKUP($A226,[1]Hugst!$R$5:$W$9,MATCH(ROUNDUP((O$1)/10,0)*10,[1]Hugst!$R$4:$W$4,0))))</f>
        <v>0</v>
      </c>
      <c r="P226" s="169">
        <f>IF($C226-P$1&lt;År1,0,O225*(1-VLOOKUP($A226,[1]Hugst!$R$5:$W$9,MATCH(ROUNDUP((P$1)/10,0)*10,[1]Hugst!$R$4:$W$4,0))))</f>
        <v>0</v>
      </c>
      <c r="Q226" s="169">
        <f>IF($C226-Q$1&lt;År1,0,P225*(1-VLOOKUP($A226,[1]Hugst!$R$5:$W$9,MATCH(ROUNDUP((Q$1)/10,0)*10,[1]Hugst!$R$4:$W$4,0))))</f>
        <v>0</v>
      </c>
      <c r="R226" s="169">
        <f>IF($C226-R$1&lt;År1,0,Q225*(1-VLOOKUP($A226,[1]Hugst!$R$5:$W$9,MATCH(ROUNDUP((R$1)/10,0)*10,[1]Hugst!$R$4:$W$4,0))))</f>
        <v>0</v>
      </c>
      <c r="S226" s="169">
        <f>IF($C226-S$1&lt;År1,0,R225*(1-VLOOKUP($A226,[1]Hugst!$R$5:$W$9,MATCH(ROUNDUP((S$1)/10,0)*10,[1]Hugst!$R$4:$W$4,0))))</f>
        <v>0</v>
      </c>
      <c r="T226" s="169">
        <f>IF($C226-T$1&lt;År1,0,S225*(1-VLOOKUP($A226,[1]Hugst!$R$5:$W$9,MATCH(ROUNDUP((T$1)/10,0)*10,[1]Hugst!$R$4:$W$4,0))))</f>
        <v>0</v>
      </c>
      <c r="U226" s="169">
        <f>IF($C226-U$1&lt;År1,0,T225*(1-VLOOKUP($A226,[1]Hugst!$R$5:$W$9,MATCH(ROUNDUP((U$1)/10,0)*10,[1]Hugst!$R$4:$W$4,0))))</f>
        <v>0</v>
      </c>
      <c r="V226" s="169">
        <f>IF($C226-V$1&lt;År1,0,U225*(1-VLOOKUP($A226,[1]Hugst!$R$5:$W$9,MATCH(ROUNDUP((V$1)/10,0)*10,[1]Hugst!$R$4:$W$4,0))))</f>
        <v>0</v>
      </c>
      <c r="W226" s="169">
        <f>IF($C226-W$1&lt;År1,0,V225*(1-VLOOKUP($A226,[1]Hugst!$R$5:$W$9,MATCH(ROUNDUP((W$1)/10,0)*10,[1]Hugst!$R$4:$W$4,0))))</f>
        <v>0</v>
      </c>
      <c r="X226" s="169">
        <f>IF($C226-X$1&lt;År1,0,W225*(1-VLOOKUP($A226,[1]Hugst!$R$5:$W$9,MATCH(ROUNDUP((X$1)/10,0)*10,[1]Hugst!$R$4:$W$4,0))))</f>
        <v>0</v>
      </c>
      <c r="Y226" s="169">
        <f>IF($C226-Y$1&lt;År1,0,X225*(1-VLOOKUP($A226,[1]Hugst!$R$5:$W$9,MATCH(ROUNDUP((Y$1)/10,0)*10,[1]Hugst!$R$4:$W$4,0))))</f>
        <v>0</v>
      </c>
      <c r="Z226" s="169">
        <f>IF($C226-Z$1&lt;År1,0,Y225*(1-VLOOKUP($A226,[1]Hugst!$R$5:$W$9,MATCH(ROUNDUP((Z$1)/10,0)*10,[1]Hugst!$R$4:$W$4,0))))</f>
        <v>0</v>
      </c>
      <c r="AA226" s="169">
        <f>IF($C226-AA$1&lt;År1,0,Z225*(1-VLOOKUP($A226,[1]Hugst!$R$5:$W$9,MATCH(ROUNDUP((AA$1)/10,0)*10,[1]Hugst!$R$4:$W$4,0))))</f>
        <v>0</v>
      </c>
      <c r="AB226" s="169">
        <f>IF($C226-AB$1&lt;År1,0,AA225*(1-VLOOKUP($A226,[1]Hugst!$R$5:$W$9,MATCH(ROUNDUP((AB$1)/10,0)*10,[1]Hugst!$R$4:$W$4,0))))</f>
        <v>0</v>
      </c>
      <c r="AC226" s="169">
        <f>IF($C226-AC$1&lt;År1,0,AB225*(1-VLOOKUP($A226,[1]Hugst!$R$5:$W$9,MATCH(ROUNDUP((AC$1)/10,0)*10,[1]Hugst!$R$4:$W$4,0))))</f>
        <v>0</v>
      </c>
      <c r="AD226" s="169">
        <f>IF($C226-AD$1&lt;År1,0,AC225*(1-VLOOKUP($A226,[1]Hugst!$R$5:$W$9,MATCH(ROUNDUP((AD$1)/10,0)*10,[1]Hugst!$R$4:$W$4,0))))</f>
        <v>0</v>
      </c>
      <c r="AE226" s="169">
        <f>IF($C226-AE$1&lt;År1,0,AD225*(1-VLOOKUP($A226,[1]Hugst!$R$5:$W$9,MATCH(ROUNDUP((AE$1)/10,0)*10,[1]Hugst!$R$4:$W$4,0))))</f>
        <v>0</v>
      </c>
      <c r="AF226" s="169">
        <f>IF($C226-AF$1&lt;År1,0,AE225*(1-VLOOKUP($A226,[1]Hugst!$R$5:$W$9,MATCH(ROUNDUP((AF$1)/10,0)*10,[1]Hugst!$R$4:$W$4,0))))</f>
        <v>0</v>
      </c>
      <c r="AG226" s="169">
        <f>IF($C226-AG$1&lt;År1,0,AF225*(1-VLOOKUP($A226,[1]Hugst!$R$5:$W$9,MATCH(ROUNDUP((AG$1)/10,0)*10,[1]Hugst!$R$4:$W$4,0))))</f>
        <v>0</v>
      </c>
      <c r="AH226" s="169">
        <f>IF($C226-AH$1&lt;År1,0,AG225*(1-VLOOKUP($A226,[1]Hugst!$R$5:$W$9,MATCH(ROUNDUP((AH$1)/10,0)*10,[1]Hugst!$R$4:$W$4,0))))</f>
        <v>0</v>
      </c>
      <c r="AI226" s="169">
        <f>IF($C226-AI$1&lt;År1,0,AH225*(1-VLOOKUP($A226,[1]Hugst!$R$5:$W$9,MATCH(ROUNDUP((AI$1)/10,0)*10,[1]Hugst!$R$4:$W$4,0))))</f>
        <v>0</v>
      </c>
      <c r="AJ226" s="169">
        <f>IF($C226-AJ$1&lt;År1,0,AI225*(1-VLOOKUP($A226,[1]Hugst!$R$5:$W$9,MATCH(ROUNDUP((AJ$1)/10,0)*10,[1]Hugst!$R$4:$W$4,0))))</f>
        <v>0</v>
      </c>
    </row>
    <row r="227" spans="1:36" x14ac:dyDescent="0.25">
      <c r="A227" s="169" t="s">
        <v>179</v>
      </c>
      <c r="B227" s="169" t="s">
        <v>24</v>
      </c>
      <c r="C227" s="169">
        <v>2028</v>
      </c>
      <c r="D227" s="169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69">
        <f t="shared" ca="1" si="5"/>
        <v>0</v>
      </c>
      <c r="F227" s="169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9">
        <f ca="1">IF($C227-G$1&lt;År1,0,F226*(1-VLOOKUP($A227,[1]Hugst!$R$5:$W$9,MATCH(ROUNDUP((G$1)/10,0)*10,[1]Hugst!$R$4:$W$4,0))))</f>
        <v>0</v>
      </c>
      <c r="H227" s="169">
        <f ca="1">IF($C227-H$1&lt;År1,0,G226*(1-VLOOKUP($A227,[1]Hugst!$R$5:$W$9,MATCH(ROUNDUP((H$1)/10,0)*10,[1]Hugst!$R$4:$W$4,0))))</f>
        <v>0</v>
      </c>
      <c r="I227" s="169">
        <f ca="1">IF($C227-I$1&lt;År1,0,H226*(1-VLOOKUP($A227,[1]Hugst!$R$5:$W$9,MATCH(ROUNDUP((I$1)/10,0)*10,[1]Hugst!$R$4:$W$4,0))))</f>
        <v>0</v>
      </c>
      <c r="J227" s="169">
        <f ca="1">IF($C227-J$1&lt;År1,0,I226*(1-VLOOKUP($A227,[1]Hugst!$R$5:$W$9,MATCH(ROUNDUP((J$1)/10,0)*10,[1]Hugst!$R$4:$W$4,0))))</f>
        <v>0</v>
      </c>
      <c r="K227" s="169">
        <f ca="1">IF($C227-K$1&lt;År1,0,J226*(1-VLOOKUP($A227,[1]Hugst!$R$5:$W$9,MATCH(ROUNDUP((K$1)/10,0)*10,[1]Hugst!$R$4:$W$4,0))))</f>
        <v>0</v>
      </c>
      <c r="L227" s="169">
        <f ca="1">IF($C227-L$1&lt;År1,0,K226*(1-VLOOKUP($A227,[1]Hugst!$R$5:$W$9,MATCH(ROUNDUP((L$1)/10,0)*10,[1]Hugst!$R$4:$W$4,0))))</f>
        <v>0</v>
      </c>
      <c r="M227" s="169">
        <f ca="1">IF($C227-M$1&lt;År1,0,L226*(1-VLOOKUP($A227,[1]Hugst!$R$5:$W$9,MATCH(ROUNDUP((M$1)/10,0)*10,[1]Hugst!$R$4:$W$4,0))))</f>
        <v>0</v>
      </c>
      <c r="N227" s="169">
        <f ca="1">IF($C227-N$1&lt;År1,0,M226*(1-VLOOKUP($A227,[1]Hugst!$R$5:$W$9,MATCH(ROUNDUP((N$1)/10,0)*10,[1]Hugst!$R$4:$W$4,0))))</f>
        <v>0</v>
      </c>
      <c r="O227" s="169">
        <f>IF($C227-O$1&lt;År1,0,N226*(1-VLOOKUP($A227,[1]Hugst!$R$5:$W$9,MATCH(ROUNDUP((O$1)/10,0)*10,[1]Hugst!$R$4:$W$4,0))))</f>
        <v>0</v>
      </c>
      <c r="P227" s="169">
        <f>IF($C227-P$1&lt;År1,0,O226*(1-VLOOKUP($A227,[1]Hugst!$R$5:$W$9,MATCH(ROUNDUP((P$1)/10,0)*10,[1]Hugst!$R$4:$W$4,0))))</f>
        <v>0</v>
      </c>
      <c r="Q227" s="169">
        <f>IF($C227-Q$1&lt;År1,0,P226*(1-VLOOKUP($A227,[1]Hugst!$R$5:$W$9,MATCH(ROUNDUP((Q$1)/10,0)*10,[1]Hugst!$R$4:$W$4,0))))</f>
        <v>0</v>
      </c>
      <c r="R227" s="169">
        <f>IF($C227-R$1&lt;År1,0,Q226*(1-VLOOKUP($A227,[1]Hugst!$R$5:$W$9,MATCH(ROUNDUP((R$1)/10,0)*10,[1]Hugst!$R$4:$W$4,0))))</f>
        <v>0</v>
      </c>
      <c r="S227" s="169">
        <f>IF($C227-S$1&lt;År1,0,R226*(1-VLOOKUP($A227,[1]Hugst!$R$5:$W$9,MATCH(ROUNDUP((S$1)/10,0)*10,[1]Hugst!$R$4:$W$4,0))))</f>
        <v>0</v>
      </c>
      <c r="T227" s="169">
        <f>IF($C227-T$1&lt;År1,0,S226*(1-VLOOKUP($A227,[1]Hugst!$R$5:$W$9,MATCH(ROUNDUP((T$1)/10,0)*10,[1]Hugst!$R$4:$W$4,0))))</f>
        <v>0</v>
      </c>
      <c r="U227" s="169">
        <f>IF($C227-U$1&lt;År1,0,T226*(1-VLOOKUP($A227,[1]Hugst!$R$5:$W$9,MATCH(ROUNDUP((U$1)/10,0)*10,[1]Hugst!$R$4:$W$4,0))))</f>
        <v>0</v>
      </c>
      <c r="V227" s="169">
        <f>IF($C227-V$1&lt;År1,0,U226*(1-VLOOKUP($A227,[1]Hugst!$R$5:$W$9,MATCH(ROUNDUP((V$1)/10,0)*10,[1]Hugst!$R$4:$W$4,0))))</f>
        <v>0</v>
      </c>
      <c r="W227" s="169">
        <f>IF($C227-W$1&lt;År1,0,V226*(1-VLOOKUP($A227,[1]Hugst!$R$5:$W$9,MATCH(ROUNDUP((W$1)/10,0)*10,[1]Hugst!$R$4:$W$4,0))))</f>
        <v>0</v>
      </c>
      <c r="X227" s="169">
        <f>IF($C227-X$1&lt;År1,0,W226*(1-VLOOKUP($A227,[1]Hugst!$R$5:$W$9,MATCH(ROUNDUP((X$1)/10,0)*10,[1]Hugst!$R$4:$W$4,0))))</f>
        <v>0</v>
      </c>
      <c r="Y227" s="169">
        <f>IF($C227-Y$1&lt;År1,0,X226*(1-VLOOKUP($A227,[1]Hugst!$R$5:$W$9,MATCH(ROUNDUP((Y$1)/10,0)*10,[1]Hugst!$R$4:$W$4,0))))</f>
        <v>0</v>
      </c>
      <c r="Z227" s="169">
        <f>IF($C227-Z$1&lt;År1,0,Y226*(1-VLOOKUP($A227,[1]Hugst!$R$5:$W$9,MATCH(ROUNDUP((Z$1)/10,0)*10,[1]Hugst!$R$4:$W$4,0))))</f>
        <v>0</v>
      </c>
      <c r="AA227" s="169">
        <f>IF($C227-AA$1&lt;År1,0,Z226*(1-VLOOKUP($A227,[1]Hugst!$R$5:$W$9,MATCH(ROUNDUP((AA$1)/10,0)*10,[1]Hugst!$R$4:$W$4,0))))</f>
        <v>0</v>
      </c>
      <c r="AB227" s="169">
        <f>IF($C227-AB$1&lt;År1,0,AA226*(1-VLOOKUP($A227,[1]Hugst!$R$5:$W$9,MATCH(ROUNDUP((AB$1)/10,0)*10,[1]Hugst!$R$4:$W$4,0))))</f>
        <v>0</v>
      </c>
      <c r="AC227" s="169">
        <f>IF($C227-AC$1&lt;År1,0,AB226*(1-VLOOKUP($A227,[1]Hugst!$R$5:$W$9,MATCH(ROUNDUP((AC$1)/10,0)*10,[1]Hugst!$R$4:$W$4,0))))</f>
        <v>0</v>
      </c>
      <c r="AD227" s="169">
        <f>IF($C227-AD$1&lt;År1,0,AC226*(1-VLOOKUP($A227,[1]Hugst!$R$5:$W$9,MATCH(ROUNDUP((AD$1)/10,0)*10,[1]Hugst!$R$4:$W$4,0))))</f>
        <v>0</v>
      </c>
      <c r="AE227" s="169">
        <f>IF($C227-AE$1&lt;År1,0,AD226*(1-VLOOKUP($A227,[1]Hugst!$R$5:$W$9,MATCH(ROUNDUP((AE$1)/10,0)*10,[1]Hugst!$R$4:$W$4,0))))</f>
        <v>0</v>
      </c>
      <c r="AF227" s="169">
        <f>IF($C227-AF$1&lt;År1,0,AE226*(1-VLOOKUP($A227,[1]Hugst!$R$5:$W$9,MATCH(ROUNDUP((AF$1)/10,0)*10,[1]Hugst!$R$4:$W$4,0))))</f>
        <v>0</v>
      </c>
      <c r="AG227" s="169">
        <f>IF($C227-AG$1&lt;År1,0,AF226*(1-VLOOKUP($A227,[1]Hugst!$R$5:$W$9,MATCH(ROUNDUP((AG$1)/10,0)*10,[1]Hugst!$R$4:$W$4,0))))</f>
        <v>0</v>
      </c>
      <c r="AH227" s="169">
        <f>IF($C227-AH$1&lt;År1,0,AG226*(1-VLOOKUP($A227,[1]Hugst!$R$5:$W$9,MATCH(ROUNDUP((AH$1)/10,0)*10,[1]Hugst!$R$4:$W$4,0))))</f>
        <v>0</v>
      </c>
      <c r="AI227" s="169">
        <f>IF($C227-AI$1&lt;År1,0,AH226*(1-VLOOKUP($A227,[1]Hugst!$R$5:$W$9,MATCH(ROUNDUP((AI$1)/10,0)*10,[1]Hugst!$R$4:$W$4,0))))</f>
        <v>0</v>
      </c>
      <c r="AJ227" s="169">
        <f>IF($C227-AJ$1&lt;År1,0,AI226*(1-VLOOKUP($A227,[1]Hugst!$R$5:$W$9,MATCH(ROUNDUP((AJ$1)/10,0)*10,[1]Hugst!$R$4:$W$4,0))))</f>
        <v>0</v>
      </c>
    </row>
    <row r="228" spans="1:36" x14ac:dyDescent="0.25">
      <c r="A228" s="169" t="s">
        <v>179</v>
      </c>
      <c r="B228" s="169" t="s">
        <v>24</v>
      </c>
      <c r="C228" s="169">
        <v>2029</v>
      </c>
      <c r="D228" s="169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69">
        <f t="shared" ca="1" si="5"/>
        <v>0</v>
      </c>
      <c r="F228" s="169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9">
        <f ca="1">IF($C228-G$1&lt;År1,0,F227*(1-VLOOKUP($A228,[1]Hugst!$R$5:$W$9,MATCH(ROUNDUP((G$1)/10,0)*10,[1]Hugst!$R$4:$W$4,0))))</f>
        <v>0</v>
      </c>
      <c r="H228" s="169">
        <f ca="1">IF($C228-H$1&lt;År1,0,G227*(1-VLOOKUP($A228,[1]Hugst!$R$5:$W$9,MATCH(ROUNDUP((H$1)/10,0)*10,[1]Hugst!$R$4:$W$4,0))))</f>
        <v>0</v>
      </c>
      <c r="I228" s="169">
        <f ca="1">IF($C228-I$1&lt;År1,0,H227*(1-VLOOKUP($A228,[1]Hugst!$R$5:$W$9,MATCH(ROUNDUP((I$1)/10,0)*10,[1]Hugst!$R$4:$W$4,0))))</f>
        <v>0</v>
      </c>
      <c r="J228" s="169">
        <f ca="1">IF($C228-J$1&lt;År1,0,I227*(1-VLOOKUP($A228,[1]Hugst!$R$5:$W$9,MATCH(ROUNDUP((J$1)/10,0)*10,[1]Hugst!$R$4:$W$4,0))))</f>
        <v>0</v>
      </c>
      <c r="K228" s="169">
        <f ca="1">IF($C228-K$1&lt;År1,0,J227*(1-VLOOKUP($A228,[1]Hugst!$R$5:$W$9,MATCH(ROUNDUP((K$1)/10,0)*10,[1]Hugst!$R$4:$W$4,0))))</f>
        <v>0</v>
      </c>
      <c r="L228" s="169">
        <f ca="1">IF($C228-L$1&lt;År1,0,K227*(1-VLOOKUP($A228,[1]Hugst!$R$5:$W$9,MATCH(ROUNDUP((L$1)/10,0)*10,[1]Hugst!$R$4:$W$4,0))))</f>
        <v>0</v>
      </c>
      <c r="M228" s="169">
        <f ca="1">IF($C228-M$1&lt;År1,0,L227*(1-VLOOKUP($A228,[1]Hugst!$R$5:$W$9,MATCH(ROUNDUP((M$1)/10,0)*10,[1]Hugst!$R$4:$W$4,0))))</f>
        <v>0</v>
      </c>
      <c r="N228" s="169">
        <f ca="1">IF($C228-N$1&lt;År1,0,M227*(1-VLOOKUP($A228,[1]Hugst!$R$5:$W$9,MATCH(ROUNDUP((N$1)/10,0)*10,[1]Hugst!$R$4:$W$4,0))))</f>
        <v>0</v>
      </c>
      <c r="O228" s="169">
        <f ca="1">IF($C228-O$1&lt;År1,0,N227*(1-VLOOKUP($A228,[1]Hugst!$R$5:$W$9,MATCH(ROUNDUP((O$1)/10,0)*10,[1]Hugst!$R$4:$W$4,0))))</f>
        <v>0</v>
      </c>
      <c r="P228" s="169">
        <f>IF($C228-P$1&lt;År1,0,O227*(1-VLOOKUP($A228,[1]Hugst!$R$5:$W$9,MATCH(ROUNDUP((P$1)/10,0)*10,[1]Hugst!$R$4:$W$4,0))))</f>
        <v>0</v>
      </c>
      <c r="Q228" s="169">
        <f>IF($C228-Q$1&lt;År1,0,P227*(1-VLOOKUP($A228,[1]Hugst!$R$5:$W$9,MATCH(ROUNDUP((Q$1)/10,0)*10,[1]Hugst!$R$4:$W$4,0))))</f>
        <v>0</v>
      </c>
      <c r="R228" s="169">
        <f>IF($C228-R$1&lt;År1,0,Q227*(1-VLOOKUP($A228,[1]Hugst!$R$5:$W$9,MATCH(ROUNDUP((R$1)/10,0)*10,[1]Hugst!$R$4:$W$4,0))))</f>
        <v>0</v>
      </c>
      <c r="S228" s="169">
        <f>IF($C228-S$1&lt;År1,0,R227*(1-VLOOKUP($A228,[1]Hugst!$R$5:$W$9,MATCH(ROUNDUP((S$1)/10,0)*10,[1]Hugst!$R$4:$W$4,0))))</f>
        <v>0</v>
      </c>
      <c r="T228" s="169">
        <f>IF($C228-T$1&lt;År1,0,S227*(1-VLOOKUP($A228,[1]Hugst!$R$5:$W$9,MATCH(ROUNDUP((T$1)/10,0)*10,[1]Hugst!$R$4:$W$4,0))))</f>
        <v>0</v>
      </c>
      <c r="U228" s="169">
        <f>IF($C228-U$1&lt;År1,0,T227*(1-VLOOKUP($A228,[1]Hugst!$R$5:$W$9,MATCH(ROUNDUP((U$1)/10,0)*10,[1]Hugst!$R$4:$W$4,0))))</f>
        <v>0</v>
      </c>
      <c r="V228" s="169">
        <f>IF($C228-V$1&lt;År1,0,U227*(1-VLOOKUP($A228,[1]Hugst!$R$5:$W$9,MATCH(ROUNDUP((V$1)/10,0)*10,[1]Hugst!$R$4:$W$4,0))))</f>
        <v>0</v>
      </c>
      <c r="W228" s="169">
        <f>IF($C228-W$1&lt;År1,0,V227*(1-VLOOKUP($A228,[1]Hugst!$R$5:$W$9,MATCH(ROUNDUP((W$1)/10,0)*10,[1]Hugst!$R$4:$W$4,0))))</f>
        <v>0</v>
      </c>
      <c r="X228" s="169">
        <f>IF($C228-X$1&lt;År1,0,W227*(1-VLOOKUP($A228,[1]Hugst!$R$5:$W$9,MATCH(ROUNDUP((X$1)/10,0)*10,[1]Hugst!$R$4:$W$4,0))))</f>
        <v>0</v>
      </c>
      <c r="Y228" s="169">
        <f>IF($C228-Y$1&lt;År1,0,X227*(1-VLOOKUP($A228,[1]Hugst!$R$5:$W$9,MATCH(ROUNDUP((Y$1)/10,0)*10,[1]Hugst!$R$4:$W$4,0))))</f>
        <v>0</v>
      </c>
      <c r="Z228" s="169">
        <f>IF($C228-Z$1&lt;År1,0,Y227*(1-VLOOKUP($A228,[1]Hugst!$R$5:$W$9,MATCH(ROUNDUP((Z$1)/10,0)*10,[1]Hugst!$R$4:$W$4,0))))</f>
        <v>0</v>
      </c>
      <c r="AA228" s="169">
        <f>IF($C228-AA$1&lt;År1,0,Z227*(1-VLOOKUP($A228,[1]Hugst!$R$5:$W$9,MATCH(ROUNDUP((AA$1)/10,0)*10,[1]Hugst!$R$4:$W$4,0))))</f>
        <v>0</v>
      </c>
      <c r="AB228" s="169">
        <f>IF($C228-AB$1&lt;År1,0,AA227*(1-VLOOKUP($A228,[1]Hugst!$R$5:$W$9,MATCH(ROUNDUP((AB$1)/10,0)*10,[1]Hugst!$R$4:$W$4,0))))</f>
        <v>0</v>
      </c>
      <c r="AC228" s="169">
        <f>IF($C228-AC$1&lt;År1,0,AB227*(1-VLOOKUP($A228,[1]Hugst!$R$5:$W$9,MATCH(ROUNDUP((AC$1)/10,0)*10,[1]Hugst!$R$4:$W$4,0))))</f>
        <v>0</v>
      </c>
      <c r="AD228" s="169">
        <f>IF($C228-AD$1&lt;År1,0,AC227*(1-VLOOKUP($A228,[1]Hugst!$R$5:$W$9,MATCH(ROUNDUP((AD$1)/10,0)*10,[1]Hugst!$R$4:$W$4,0))))</f>
        <v>0</v>
      </c>
      <c r="AE228" s="169">
        <f>IF($C228-AE$1&lt;År1,0,AD227*(1-VLOOKUP($A228,[1]Hugst!$R$5:$W$9,MATCH(ROUNDUP((AE$1)/10,0)*10,[1]Hugst!$R$4:$W$4,0))))</f>
        <v>0</v>
      </c>
      <c r="AF228" s="169">
        <f>IF($C228-AF$1&lt;År1,0,AE227*(1-VLOOKUP($A228,[1]Hugst!$R$5:$W$9,MATCH(ROUNDUP((AF$1)/10,0)*10,[1]Hugst!$R$4:$W$4,0))))</f>
        <v>0</v>
      </c>
      <c r="AG228" s="169">
        <f>IF($C228-AG$1&lt;År1,0,AF227*(1-VLOOKUP($A228,[1]Hugst!$R$5:$W$9,MATCH(ROUNDUP((AG$1)/10,0)*10,[1]Hugst!$R$4:$W$4,0))))</f>
        <v>0</v>
      </c>
      <c r="AH228" s="169">
        <f>IF($C228-AH$1&lt;År1,0,AG227*(1-VLOOKUP($A228,[1]Hugst!$R$5:$W$9,MATCH(ROUNDUP((AH$1)/10,0)*10,[1]Hugst!$R$4:$W$4,0))))</f>
        <v>0</v>
      </c>
      <c r="AI228" s="169">
        <f>IF($C228-AI$1&lt;År1,0,AH227*(1-VLOOKUP($A228,[1]Hugst!$R$5:$W$9,MATCH(ROUNDUP((AI$1)/10,0)*10,[1]Hugst!$R$4:$W$4,0))))</f>
        <v>0</v>
      </c>
      <c r="AJ228" s="169">
        <f>IF($C228-AJ$1&lt;År1,0,AI227*(1-VLOOKUP($A228,[1]Hugst!$R$5:$W$9,MATCH(ROUNDUP((AJ$1)/10,0)*10,[1]Hugst!$R$4:$W$4,0))))</f>
        <v>0</v>
      </c>
    </row>
    <row r="229" spans="1:36" x14ac:dyDescent="0.25">
      <c r="A229" s="169" t="s">
        <v>179</v>
      </c>
      <c r="B229" s="169" t="s">
        <v>24</v>
      </c>
      <c r="C229" s="169">
        <v>2030</v>
      </c>
      <c r="D229" s="169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69">
        <f t="shared" ca="1" si="5"/>
        <v>0</v>
      </c>
      <c r="F229" s="169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9">
        <f ca="1">IF($C229-G$1&lt;År1,0,F228*(1-VLOOKUP($A229,[1]Hugst!$R$5:$W$9,MATCH(ROUNDUP((G$1)/10,0)*10,[1]Hugst!$R$4:$W$4,0))))</f>
        <v>0</v>
      </c>
      <c r="H229" s="169">
        <f ca="1">IF($C229-H$1&lt;År1,0,G228*(1-VLOOKUP($A229,[1]Hugst!$R$5:$W$9,MATCH(ROUNDUP((H$1)/10,0)*10,[1]Hugst!$R$4:$W$4,0))))</f>
        <v>0</v>
      </c>
      <c r="I229" s="169">
        <f ca="1">IF($C229-I$1&lt;År1,0,H228*(1-VLOOKUP($A229,[1]Hugst!$R$5:$W$9,MATCH(ROUNDUP((I$1)/10,0)*10,[1]Hugst!$R$4:$W$4,0))))</f>
        <v>0</v>
      </c>
      <c r="J229" s="169">
        <f ca="1">IF($C229-J$1&lt;År1,0,I228*(1-VLOOKUP($A229,[1]Hugst!$R$5:$W$9,MATCH(ROUNDUP((J$1)/10,0)*10,[1]Hugst!$R$4:$W$4,0))))</f>
        <v>0</v>
      </c>
      <c r="K229" s="169">
        <f ca="1">IF($C229-K$1&lt;År1,0,J228*(1-VLOOKUP($A229,[1]Hugst!$R$5:$W$9,MATCH(ROUNDUP((K$1)/10,0)*10,[1]Hugst!$R$4:$W$4,0))))</f>
        <v>0</v>
      </c>
      <c r="L229" s="169">
        <f ca="1">IF($C229-L$1&lt;År1,0,K228*(1-VLOOKUP($A229,[1]Hugst!$R$5:$W$9,MATCH(ROUNDUP((L$1)/10,0)*10,[1]Hugst!$R$4:$W$4,0))))</f>
        <v>0</v>
      </c>
      <c r="M229" s="169">
        <f ca="1">IF($C229-M$1&lt;År1,0,L228*(1-VLOOKUP($A229,[1]Hugst!$R$5:$W$9,MATCH(ROUNDUP((M$1)/10,0)*10,[1]Hugst!$R$4:$W$4,0))))</f>
        <v>0</v>
      </c>
      <c r="N229" s="169">
        <f ca="1">IF($C229-N$1&lt;År1,0,M228*(1-VLOOKUP($A229,[1]Hugst!$R$5:$W$9,MATCH(ROUNDUP((N$1)/10,0)*10,[1]Hugst!$R$4:$W$4,0))))</f>
        <v>0</v>
      </c>
      <c r="O229" s="169">
        <f ca="1">IF($C229-O$1&lt;År1,0,N228*(1-VLOOKUP($A229,[1]Hugst!$R$5:$W$9,MATCH(ROUNDUP((O$1)/10,0)*10,[1]Hugst!$R$4:$W$4,0))))</f>
        <v>0</v>
      </c>
      <c r="P229" s="169">
        <f ca="1">IF($C229-P$1&lt;År1,0,O228*(1-VLOOKUP($A229,[1]Hugst!$R$5:$W$9,MATCH(ROUNDUP((P$1)/10,0)*10,[1]Hugst!$R$4:$W$4,0))))</f>
        <v>0</v>
      </c>
      <c r="Q229" s="169">
        <f>IF($C229-Q$1&lt;År1,0,P228*(1-VLOOKUP($A229,[1]Hugst!$R$5:$W$9,MATCH(ROUNDUP((Q$1)/10,0)*10,[1]Hugst!$R$4:$W$4,0))))</f>
        <v>0</v>
      </c>
      <c r="R229" s="169">
        <f>IF($C229-R$1&lt;År1,0,Q228*(1-VLOOKUP($A229,[1]Hugst!$R$5:$W$9,MATCH(ROUNDUP((R$1)/10,0)*10,[1]Hugst!$R$4:$W$4,0))))</f>
        <v>0</v>
      </c>
      <c r="S229" s="169">
        <f>IF($C229-S$1&lt;År1,0,R228*(1-VLOOKUP($A229,[1]Hugst!$R$5:$W$9,MATCH(ROUNDUP((S$1)/10,0)*10,[1]Hugst!$R$4:$W$4,0))))</f>
        <v>0</v>
      </c>
      <c r="T229" s="169">
        <f>IF($C229-T$1&lt;År1,0,S228*(1-VLOOKUP($A229,[1]Hugst!$R$5:$W$9,MATCH(ROUNDUP((T$1)/10,0)*10,[1]Hugst!$R$4:$W$4,0))))</f>
        <v>0</v>
      </c>
      <c r="U229" s="169">
        <f>IF($C229-U$1&lt;År1,0,T228*(1-VLOOKUP($A229,[1]Hugst!$R$5:$W$9,MATCH(ROUNDUP((U$1)/10,0)*10,[1]Hugst!$R$4:$W$4,0))))</f>
        <v>0</v>
      </c>
      <c r="V229" s="169">
        <f>IF($C229-V$1&lt;År1,0,U228*(1-VLOOKUP($A229,[1]Hugst!$R$5:$W$9,MATCH(ROUNDUP((V$1)/10,0)*10,[1]Hugst!$R$4:$W$4,0))))</f>
        <v>0</v>
      </c>
      <c r="W229" s="169">
        <f>IF($C229-W$1&lt;År1,0,V228*(1-VLOOKUP($A229,[1]Hugst!$R$5:$W$9,MATCH(ROUNDUP((W$1)/10,0)*10,[1]Hugst!$R$4:$W$4,0))))</f>
        <v>0</v>
      </c>
      <c r="X229" s="169">
        <f>IF($C229-X$1&lt;År1,0,W228*(1-VLOOKUP($A229,[1]Hugst!$R$5:$W$9,MATCH(ROUNDUP((X$1)/10,0)*10,[1]Hugst!$R$4:$W$4,0))))</f>
        <v>0</v>
      </c>
      <c r="Y229" s="169">
        <f>IF($C229-Y$1&lt;År1,0,X228*(1-VLOOKUP($A229,[1]Hugst!$R$5:$W$9,MATCH(ROUNDUP((Y$1)/10,0)*10,[1]Hugst!$R$4:$W$4,0))))</f>
        <v>0</v>
      </c>
      <c r="Z229" s="169">
        <f>IF($C229-Z$1&lt;År1,0,Y228*(1-VLOOKUP($A229,[1]Hugst!$R$5:$W$9,MATCH(ROUNDUP((Z$1)/10,0)*10,[1]Hugst!$R$4:$W$4,0))))</f>
        <v>0</v>
      </c>
      <c r="AA229" s="169">
        <f>IF($C229-AA$1&lt;År1,0,Z228*(1-VLOOKUP($A229,[1]Hugst!$R$5:$W$9,MATCH(ROUNDUP((AA$1)/10,0)*10,[1]Hugst!$R$4:$W$4,0))))</f>
        <v>0</v>
      </c>
      <c r="AB229" s="169">
        <f>IF($C229-AB$1&lt;År1,0,AA228*(1-VLOOKUP($A229,[1]Hugst!$R$5:$W$9,MATCH(ROUNDUP((AB$1)/10,0)*10,[1]Hugst!$R$4:$W$4,0))))</f>
        <v>0</v>
      </c>
      <c r="AC229" s="169">
        <f>IF($C229-AC$1&lt;År1,0,AB228*(1-VLOOKUP($A229,[1]Hugst!$R$5:$W$9,MATCH(ROUNDUP((AC$1)/10,0)*10,[1]Hugst!$R$4:$W$4,0))))</f>
        <v>0</v>
      </c>
      <c r="AD229" s="169">
        <f>IF($C229-AD$1&lt;År1,0,AC228*(1-VLOOKUP($A229,[1]Hugst!$R$5:$W$9,MATCH(ROUNDUP((AD$1)/10,0)*10,[1]Hugst!$R$4:$W$4,0))))</f>
        <v>0</v>
      </c>
      <c r="AE229" s="169">
        <f>IF($C229-AE$1&lt;År1,0,AD228*(1-VLOOKUP($A229,[1]Hugst!$R$5:$W$9,MATCH(ROUNDUP((AE$1)/10,0)*10,[1]Hugst!$R$4:$W$4,0))))</f>
        <v>0</v>
      </c>
      <c r="AF229" s="169">
        <f>IF($C229-AF$1&lt;År1,0,AE228*(1-VLOOKUP($A229,[1]Hugst!$R$5:$W$9,MATCH(ROUNDUP((AF$1)/10,0)*10,[1]Hugst!$R$4:$W$4,0))))</f>
        <v>0</v>
      </c>
      <c r="AG229" s="169">
        <f>IF($C229-AG$1&lt;År1,0,AF228*(1-VLOOKUP($A229,[1]Hugst!$R$5:$W$9,MATCH(ROUNDUP((AG$1)/10,0)*10,[1]Hugst!$R$4:$W$4,0))))</f>
        <v>0</v>
      </c>
      <c r="AH229" s="169">
        <f>IF($C229-AH$1&lt;År1,0,AG228*(1-VLOOKUP($A229,[1]Hugst!$R$5:$W$9,MATCH(ROUNDUP((AH$1)/10,0)*10,[1]Hugst!$R$4:$W$4,0))))</f>
        <v>0</v>
      </c>
      <c r="AI229" s="169">
        <f>IF($C229-AI$1&lt;År1,0,AH228*(1-VLOOKUP($A229,[1]Hugst!$R$5:$W$9,MATCH(ROUNDUP((AI$1)/10,0)*10,[1]Hugst!$R$4:$W$4,0))))</f>
        <v>0</v>
      </c>
      <c r="AJ229" s="169">
        <f>IF($C229-AJ$1&lt;År1,0,AI228*(1-VLOOKUP($A229,[1]Hugst!$R$5:$W$9,MATCH(ROUNDUP((AJ$1)/10,0)*10,[1]Hugst!$R$4:$W$4,0))))</f>
        <v>0</v>
      </c>
    </row>
    <row r="230" spans="1:36" x14ac:dyDescent="0.25">
      <c r="A230" s="169" t="s">
        <v>179</v>
      </c>
      <c r="B230" s="169" t="s">
        <v>24</v>
      </c>
      <c r="C230" s="169">
        <v>2031</v>
      </c>
      <c r="D230" s="169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69">
        <f t="shared" ca="1" si="5"/>
        <v>0</v>
      </c>
      <c r="F230" s="169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9">
        <f ca="1">IF($C230-G$1&lt;År1,0,F229*(1-VLOOKUP($A230,[1]Hugst!$R$5:$W$9,MATCH(ROUNDUP((G$1)/10,0)*10,[1]Hugst!$R$4:$W$4,0))))</f>
        <v>0</v>
      </c>
      <c r="H230" s="169">
        <f ca="1">IF($C230-H$1&lt;År1,0,G229*(1-VLOOKUP($A230,[1]Hugst!$R$5:$W$9,MATCH(ROUNDUP((H$1)/10,0)*10,[1]Hugst!$R$4:$W$4,0))))</f>
        <v>0</v>
      </c>
      <c r="I230" s="169">
        <f ca="1">IF($C230-I$1&lt;År1,0,H229*(1-VLOOKUP($A230,[1]Hugst!$R$5:$W$9,MATCH(ROUNDUP((I$1)/10,0)*10,[1]Hugst!$R$4:$W$4,0))))</f>
        <v>0</v>
      </c>
      <c r="J230" s="169">
        <f ca="1">IF($C230-J$1&lt;År1,0,I229*(1-VLOOKUP($A230,[1]Hugst!$R$5:$W$9,MATCH(ROUNDUP((J$1)/10,0)*10,[1]Hugst!$R$4:$W$4,0))))</f>
        <v>0</v>
      </c>
      <c r="K230" s="169">
        <f ca="1">IF($C230-K$1&lt;År1,0,J229*(1-VLOOKUP($A230,[1]Hugst!$R$5:$W$9,MATCH(ROUNDUP((K$1)/10,0)*10,[1]Hugst!$R$4:$W$4,0))))</f>
        <v>0</v>
      </c>
      <c r="L230" s="169">
        <f ca="1">IF($C230-L$1&lt;År1,0,K229*(1-VLOOKUP($A230,[1]Hugst!$R$5:$W$9,MATCH(ROUNDUP((L$1)/10,0)*10,[1]Hugst!$R$4:$W$4,0))))</f>
        <v>0</v>
      </c>
      <c r="M230" s="169">
        <f ca="1">IF($C230-M$1&lt;År1,0,L229*(1-VLOOKUP($A230,[1]Hugst!$R$5:$W$9,MATCH(ROUNDUP((M$1)/10,0)*10,[1]Hugst!$R$4:$W$4,0))))</f>
        <v>0</v>
      </c>
      <c r="N230" s="169">
        <f ca="1">IF($C230-N$1&lt;År1,0,M229*(1-VLOOKUP($A230,[1]Hugst!$R$5:$W$9,MATCH(ROUNDUP((N$1)/10,0)*10,[1]Hugst!$R$4:$W$4,0))))</f>
        <v>0</v>
      </c>
      <c r="O230" s="169">
        <f ca="1">IF($C230-O$1&lt;År1,0,N229*(1-VLOOKUP($A230,[1]Hugst!$R$5:$W$9,MATCH(ROUNDUP((O$1)/10,0)*10,[1]Hugst!$R$4:$W$4,0))))</f>
        <v>0</v>
      </c>
      <c r="P230" s="169">
        <f ca="1">IF($C230-P$1&lt;År1,0,O229*(1-VLOOKUP($A230,[1]Hugst!$R$5:$W$9,MATCH(ROUNDUP((P$1)/10,0)*10,[1]Hugst!$R$4:$W$4,0))))</f>
        <v>0</v>
      </c>
      <c r="Q230" s="169">
        <f ca="1">IF($C230-Q$1&lt;År1,0,P229*(1-VLOOKUP($A230,[1]Hugst!$R$5:$W$9,MATCH(ROUNDUP((Q$1)/10,0)*10,[1]Hugst!$R$4:$W$4,0))))</f>
        <v>0</v>
      </c>
      <c r="R230" s="169">
        <f>IF($C230-R$1&lt;År1,0,Q229*(1-VLOOKUP($A230,[1]Hugst!$R$5:$W$9,MATCH(ROUNDUP((R$1)/10,0)*10,[1]Hugst!$R$4:$W$4,0))))</f>
        <v>0</v>
      </c>
      <c r="S230" s="169">
        <f>IF($C230-S$1&lt;År1,0,R229*(1-VLOOKUP($A230,[1]Hugst!$R$5:$W$9,MATCH(ROUNDUP((S$1)/10,0)*10,[1]Hugst!$R$4:$W$4,0))))</f>
        <v>0</v>
      </c>
      <c r="T230" s="169">
        <f>IF($C230-T$1&lt;År1,0,S229*(1-VLOOKUP($A230,[1]Hugst!$R$5:$W$9,MATCH(ROUNDUP((T$1)/10,0)*10,[1]Hugst!$R$4:$W$4,0))))</f>
        <v>0</v>
      </c>
      <c r="U230" s="169">
        <f>IF($C230-U$1&lt;År1,0,T229*(1-VLOOKUP($A230,[1]Hugst!$R$5:$W$9,MATCH(ROUNDUP((U$1)/10,0)*10,[1]Hugst!$R$4:$W$4,0))))</f>
        <v>0</v>
      </c>
      <c r="V230" s="169">
        <f>IF($C230-V$1&lt;År1,0,U229*(1-VLOOKUP($A230,[1]Hugst!$R$5:$W$9,MATCH(ROUNDUP((V$1)/10,0)*10,[1]Hugst!$R$4:$W$4,0))))</f>
        <v>0</v>
      </c>
      <c r="W230" s="169">
        <f>IF($C230-W$1&lt;År1,0,V229*(1-VLOOKUP($A230,[1]Hugst!$R$5:$W$9,MATCH(ROUNDUP((W$1)/10,0)*10,[1]Hugst!$R$4:$W$4,0))))</f>
        <v>0</v>
      </c>
      <c r="X230" s="169">
        <f>IF($C230-X$1&lt;År1,0,W229*(1-VLOOKUP($A230,[1]Hugst!$R$5:$W$9,MATCH(ROUNDUP((X$1)/10,0)*10,[1]Hugst!$R$4:$W$4,0))))</f>
        <v>0</v>
      </c>
      <c r="Y230" s="169">
        <f>IF($C230-Y$1&lt;År1,0,X229*(1-VLOOKUP($A230,[1]Hugst!$R$5:$W$9,MATCH(ROUNDUP((Y$1)/10,0)*10,[1]Hugst!$R$4:$W$4,0))))</f>
        <v>0</v>
      </c>
      <c r="Z230" s="169">
        <f>IF($C230-Z$1&lt;År1,0,Y229*(1-VLOOKUP($A230,[1]Hugst!$R$5:$W$9,MATCH(ROUNDUP((Z$1)/10,0)*10,[1]Hugst!$R$4:$W$4,0))))</f>
        <v>0</v>
      </c>
      <c r="AA230" s="169">
        <f>IF($C230-AA$1&lt;År1,0,Z229*(1-VLOOKUP($A230,[1]Hugst!$R$5:$W$9,MATCH(ROUNDUP((AA$1)/10,0)*10,[1]Hugst!$R$4:$W$4,0))))</f>
        <v>0</v>
      </c>
      <c r="AB230" s="169">
        <f>IF($C230-AB$1&lt;År1,0,AA229*(1-VLOOKUP($A230,[1]Hugst!$R$5:$W$9,MATCH(ROUNDUP((AB$1)/10,0)*10,[1]Hugst!$R$4:$W$4,0))))</f>
        <v>0</v>
      </c>
      <c r="AC230" s="169">
        <f>IF($C230-AC$1&lt;År1,0,AB229*(1-VLOOKUP($A230,[1]Hugst!$R$5:$W$9,MATCH(ROUNDUP((AC$1)/10,0)*10,[1]Hugst!$R$4:$W$4,0))))</f>
        <v>0</v>
      </c>
      <c r="AD230" s="169">
        <f>IF($C230-AD$1&lt;År1,0,AC229*(1-VLOOKUP($A230,[1]Hugst!$R$5:$W$9,MATCH(ROUNDUP((AD$1)/10,0)*10,[1]Hugst!$R$4:$W$4,0))))</f>
        <v>0</v>
      </c>
      <c r="AE230" s="169">
        <f>IF($C230-AE$1&lt;År1,0,AD229*(1-VLOOKUP($A230,[1]Hugst!$R$5:$W$9,MATCH(ROUNDUP((AE$1)/10,0)*10,[1]Hugst!$R$4:$W$4,0))))</f>
        <v>0</v>
      </c>
      <c r="AF230" s="169">
        <f>IF($C230-AF$1&lt;År1,0,AE229*(1-VLOOKUP($A230,[1]Hugst!$R$5:$W$9,MATCH(ROUNDUP((AF$1)/10,0)*10,[1]Hugst!$R$4:$W$4,0))))</f>
        <v>0</v>
      </c>
      <c r="AG230" s="169">
        <f>IF($C230-AG$1&lt;År1,0,AF229*(1-VLOOKUP($A230,[1]Hugst!$R$5:$W$9,MATCH(ROUNDUP((AG$1)/10,0)*10,[1]Hugst!$R$4:$W$4,0))))</f>
        <v>0</v>
      </c>
      <c r="AH230" s="169">
        <f>IF($C230-AH$1&lt;År1,0,AG229*(1-VLOOKUP($A230,[1]Hugst!$R$5:$W$9,MATCH(ROUNDUP((AH$1)/10,0)*10,[1]Hugst!$R$4:$W$4,0))))</f>
        <v>0</v>
      </c>
      <c r="AI230" s="169">
        <f>IF($C230-AI$1&lt;År1,0,AH229*(1-VLOOKUP($A230,[1]Hugst!$R$5:$W$9,MATCH(ROUNDUP((AI$1)/10,0)*10,[1]Hugst!$R$4:$W$4,0))))</f>
        <v>0</v>
      </c>
      <c r="AJ230" s="169">
        <f>IF($C230-AJ$1&lt;År1,0,AI229*(1-VLOOKUP($A230,[1]Hugst!$R$5:$W$9,MATCH(ROUNDUP((AJ$1)/10,0)*10,[1]Hugst!$R$4:$W$4,0))))</f>
        <v>0</v>
      </c>
    </row>
    <row r="231" spans="1:36" x14ac:dyDescent="0.25">
      <c r="A231" s="169" t="s">
        <v>179</v>
      </c>
      <c r="B231" s="169" t="s">
        <v>24</v>
      </c>
      <c r="C231" s="169">
        <v>2032</v>
      </c>
      <c r="D231" s="169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69">
        <f t="shared" ca="1" si="5"/>
        <v>0</v>
      </c>
      <c r="F231" s="169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9">
        <f ca="1">IF($C231-G$1&lt;År1,0,F230*(1-VLOOKUP($A231,[1]Hugst!$R$5:$W$9,MATCH(ROUNDUP((G$1)/10,0)*10,[1]Hugst!$R$4:$W$4,0))))</f>
        <v>0</v>
      </c>
      <c r="H231" s="169">
        <f ca="1">IF($C231-H$1&lt;År1,0,G230*(1-VLOOKUP($A231,[1]Hugst!$R$5:$W$9,MATCH(ROUNDUP((H$1)/10,0)*10,[1]Hugst!$R$4:$W$4,0))))</f>
        <v>0</v>
      </c>
      <c r="I231" s="169">
        <f ca="1">IF($C231-I$1&lt;År1,0,H230*(1-VLOOKUP($A231,[1]Hugst!$R$5:$W$9,MATCH(ROUNDUP((I$1)/10,0)*10,[1]Hugst!$R$4:$W$4,0))))</f>
        <v>0</v>
      </c>
      <c r="J231" s="169">
        <f ca="1">IF($C231-J$1&lt;År1,0,I230*(1-VLOOKUP($A231,[1]Hugst!$R$5:$W$9,MATCH(ROUNDUP((J$1)/10,0)*10,[1]Hugst!$R$4:$W$4,0))))</f>
        <v>0</v>
      </c>
      <c r="K231" s="169">
        <f ca="1">IF($C231-K$1&lt;År1,0,J230*(1-VLOOKUP($A231,[1]Hugst!$R$5:$W$9,MATCH(ROUNDUP((K$1)/10,0)*10,[1]Hugst!$R$4:$W$4,0))))</f>
        <v>0</v>
      </c>
      <c r="L231" s="169">
        <f ca="1">IF($C231-L$1&lt;År1,0,K230*(1-VLOOKUP($A231,[1]Hugst!$R$5:$W$9,MATCH(ROUNDUP((L$1)/10,0)*10,[1]Hugst!$R$4:$W$4,0))))</f>
        <v>0</v>
      </c>
      <c r="M231" s="169">
        <f ca="1">IF($C231-M$1&lt;År1,0,L230*(1-VLOOKUP($A231,[1]Hugst!$R$5:$W$9,MATCH(ROUNDUP((M$1)/10,0)*10,[1]Hugst!$R$4:$W$4,0))))</f>
        <v>0</v>
      </c>
      <c r="N231" s="169">
        <f ca="1">IF($C231-N$1&lt;År1,0,M230*(1-VLOOKUP($A231,[1]Hugst!$R$5:$W$9,MATCH(ROUNDUP((N$1)/10,0)*10,[1]Hugst!$R$4:$W$4,0))))</f>
        <v>0</v>
      </c>
      <c r="O231" s="169">
        <f ca="1">IF($C231-O$1&lt;År1,0,N230*(1-VLOOKUP($A231,[1]Hugst!$R$5:$W$9,MATCH(ROUNDUP((O$1)/10,0)*10,[1]Hugst!$R$4:$W$4,0))))</f>
        <v>0</v>
      </c>
      <c r="P231" s="169">
        <f ca="1">IF($C231-P$1&lt;År1,0,O230*(1-VLOOKUP($A231,[1]Hugst!$R$5:$W$9,MATCH(ROUNDUP((P$1)/10,0)*10,[1]Hugst!$R$4:$W$4,0))))</f>
        <v>0</v>
      </c>
      <c r="Q231" s="169">
        <f ca="1">IF($C231-Q$1&lt;År1,0,P230*(1-VLOOKUP($A231,[1]Hugst!$R$5:$W$9,MATCH(ROUNDUP((Q$1)/10,0)*10,[1]Hugst!$R$4:$W$4,0))))</f>
        <v>0</v>
      </c>
      <c r="R231" s="169">
        <f ca="1">IF($C231-R$1&lt;År1,0,Q230*(1-VLOOKUP($A231,[1]Hugst!$R$5:$W$9,MATCH(ROUNDUP((R$1)/10,0)*10,[1]Hugst!$R$4:$W$4,0))))</f>
        <v>0</v>
      </c>
      <c r="S231" s="169">
        <f>IF($C231-S$1&lt;År1,0,R230*(1-VLOOKUP($A231,[1]Hugst!$R$5:$W$9,MATCH(ROUNDUP((S$1)/10,0)*10,[1]Hugst!$R$4:$W$4,0))))</f>
        <v>0</v>
      </c>
      <c r="T231" s="169">
        <f>IF($C231-T$1&lt;År1,0,S230*(1-VLOOKUP($A231,[1]Hugst!$R$5:$W$9,MATCH(ROUNDUP((T$1)/10,0)*10,[1]Hugst!$R$4:$W$4,0))))</f>
        <v>0</v>
      </c>
      <c r="U231" s="169">
        <f>IF($C231-U$1&lt;År1,0,T230*(1-VLOOKUP($A231,[1]Hugst!$R$5:$W$9,MATCH(ROUNDUP((U$1)/10,0)*10,[1]Hugst!$R$4:$W$4,0))))</f>
        <v>0</v>
      </c>
      <c r="V231" s="169">
        <f>IF($C231-V$1&lt;År1,0,U230*(1-VLOOKUP($A231,[1]Hugst!$R$5:$W$9,MATCH(ROUNDUP((V$1)/10,0)*10,[1]Hugst!$R$4:$W$4,0))))</f>
        <v>0</v>
      </c>
      <c r="W231" s="169">
        <f>IF($C231-W$1&lt;År1,0,V230*(1-VLOOKUP($A231,[1]Hugst!$R$5:$W$9,MATCH(ROUNDUP((W$1)/10,0)*10,[1]Hugst!$R$4:$W$4,0))))</f>
        <v>0</v>
      </c>
      <c r="X231" s="169">
        <f>IF($C231-X$1&lt;År1,0,W230*(1-VLOOKUP($A231,[1]Hugst!$R$5:$W$9,MATCH(ROUNDUP((X$1)/10,0)*10,[1]Hugst!$R$4:$W$4,0))))</f>
        <v>0</v>
      </c>
      <c r="Y231" s="169">
        <f>IF($C231-Y$1&lt;År1,0,X230*(1-VLOOKUP($A231,[1]Hugst!$R$5:$W$9,MATCH(ROUNDUP((Y$1)/10,0)*10,[1]Hugst!$R$4:$W$4,0))))</f>
        <v>0</v>
      </c>
      <c r="Z231" s="169">
        <f>IF($C231-Z$1&lt;År1,0,Y230*(1-VLOOKUP($A231,[1]Hugst!$R$5:$W$9,MATCH(ROUNDUP((Z$1)/10,0)*10,[1]Hugst!$R$4:$W$4,0))))</f>
        <v>0</v>
      </c>
      <c r="AA231" s="169">
        <f>IF($C231-AA$1&lt;År1,0,Z230*(1-VLOOKUP($A231,[1]Hugst!$R$5:$W$9,MATCH(ROUNDUP((AA$1)/10,0)*10,[1]Hugst!$R$4:$W$4,0))))</f>
        <v>0</v>
      </c>
      <c r="AB231" s="169">
        <f>IF($C231-AB$1&lt;År1,0,AA230*(1-VLOOKUP($A231,[1]Hugst!$R$5:$W$9,MATCH(ROUNDUP((AB$1)/10,0)*10,[1]Hugst!$R$4:$W$4,0))))</f>
        <v>0</v>
      </c>
      <c r="AC231" s="169">
        <f>IF($C231-AC$1&lt;År1,0,AB230*(1-VLOOKUP($A231,[1]Hugst!$R$5:$W$9,MATCH(ROUNDUP((AC$1)/10,0)*10,[1]Hugst!$R$4:$W$4,0))))</f>
        <v>0</v>
      </c>
      <c r="AD231" s="169">
        <f>IF($C231-AD$1&lt;År1,0,AC230*(1-VLOOKUP($A231,[1]Hugst!$R$5:$W$9,MATCH(ROUNDUP((AD$1)/10,0)*10,[1]Hugst!$R$4:$W$4,0))))</f>
        <v>0</v>
      </c>
      <c r="AE231" s="169">
        <f>IF($C231-AE$1&lt;År1,0,AD230*(1-VLOOKUP($A231,[1]Hugst!$R$5:$W$9,MATCH(ROUNDUP((AE$1)/10,0)*10,[1]Hugst!$R$4:$W$4,0))))</f>
        <v>0</v>
      </c>
      <c r="AF231" s="169">
        <f>IF($C231-AF$1&lt;År1,0,AE230*(1-VLOOKUP($A231,[1]Hugst!$R$5:$W$9,MATCH(ROUNDUP((AF$1)/10,0)*10,[1]Hugst!$R$4:$W$4,0))))</f>
        <v>0</v>
      </c>
      <c r="AG231" s="169">
        <f>IF($C231-AG$1&lt;År1,0,AF230*(1-VLOOKUP($A231,[1]Hugst!$R$5:$W$9,MATCH(ROUNDUP((AG$1)/10,0)*10,[1]Hugst!$R$4:$W$4,0))))</f>
        <v>0</v>
      </c>
      <c r="AH231" s="169">
        <f>IF($C231-AH$1&lt;År1,0,AG230*(1-VLOOKUP($A231,[1]Hugst!$R$5:$W$9,MATCH(ROUNDUP((AH$1)/10,0)*10,[1]Hugst!$R$4:$W$4,0))))</f>
        <v>0</v>
      </c>
      <c r="AI231" s="169">
        <f>IF($C231-AI$1&lt;År1,0,AH230*(1-VLOOKUP($A231,[1]Hugst!$R$5:$W$9,MATCH(ROUNDUP((AI$1)/10,0)*10,[1]Hugst!$R$4:$W$4,0))))</f>
        <v>0</v>
      </c>
      <c r="AJ231" s="169">
        <f>IF($C231-AJ$1&lt;År1,0,AI230*(1-VLOOKUP($A231,[1]Hugst!$R$5:$W$9,MATCH(ROUNDUP((AJ$1)/10,0)*10,[1]Hugst!$R$4:$W$4,0))))</f>
        <v>0</v>
      </c>
    </row>
    <row r="232" spans="1:36" x14ac:dyDescent="0.25">
      <c r="A232" s="169" t="s">
        <v>179</v>
      </c>
      <c r="B232" s="169" t="s">
        <v>24</v>
      </c>
      <c r="C232" s="169">
        <v>2033</v>
      </c>
      <c r="D232" s="169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69">
        <f t="shared" ca="1" si="5"/>
        <v>0</v>
      </c>
      <c r="F232" s="169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9">
        <f ca="1">IF($C232-G$1&lt;År1,0,F231*(1-VLOOKUP($A232,[1]Hugst!$R$5:$W$9,MATCH(ROUNDUP((G$1)/10,0)*10,[1]Hugst!$R$4:$W$4,0))))</f>
        <v>0</v>
      </c>
      <c r="H232" s="169">
        <f ca="1">IF($C232-H$1&lt;År1,0,G231*(1-VLOOKUP($A232,[1]Hugst!$R$5:$W$9,MATCH(ROUNDUP((H$1)/10,0)*10,[1]Hugst!$R$4:$W$4,0))))</f>
        <v>0</v>
      </c>
      <c r="I232" s="169">
        <f ca="1">IF($C232-I$1&lt;År1,0,H231*(1-VLOOKUP($A232,[1]Hugst!$R$5:$W$9,MATCH(ROUNDUP((I$1)/10,0)*10,[1]Hugst!$R$4:$W$4,0))))</f>
        <v>0</v>
      </c>
      <c r="J232" s="169">
        <f ca="1">IF($C232-J$1&lt;År1,0,I231*(1-VLOOKUP($A232,[1]Hugst!$R$5:$W$9,MATCH(ROUNDUP((J$1)/10,0)*10,[1]Hugst!$R$4:$W$4,0))))</f>
        <v>0</v>
      </c>
      <c r="K232" s="169">
        <f ca="1">IF($C232-K$1&lt;År1,0,J231*(1-VLOOKUP($A232,[1]Hugst!$R$5:$W$9,MATCH(ROUNDUP((K$1)/10,0)*10,[1]Hugst!$R$4:$W$4,0))))</f>
        <v>0</v>
      </c>
      <c r="L232" s="169">
        <f ca="1">IF($C232-L$1&lt;År1,0,K231*(1-VLOOKUP($A232,[1]Hugst!$R$5:$W$9,MATCH(ROUNDUP((L$1)/10,0)*10,[1]Hugst!$R$4:$W$4,0))))</f>
        <v>0</v>
      </c>
      <c r="M232" s="169">
        <f ca="1">IF($C232-M$1&lt;År1,0,L231*(1-VLOOKUP($A232,[1]Hugst!$R$5:$W$9,MATCH(ROUNDUP((M$1)/10,0)*10,[1]Hugst!$R$4:$W$4,0))))</f>
        <v>0</v>
      </c>
      <c r="N232" s="169">
        <f ca="1">IF($C232-N$1&lt;År1,0,M231*(1-VLOOKUP($A232,[1]Hugst!$R$5:$W$9,MATCH(ROUNDUP((N$1)/10,0)*10,[1]Hugst!$R$4:$W$4,0))))</f>
        <v>0</v>
      </c>
      <c r="O232" s="169">
        <f ca="1">IF($C232-O$1&lt;År1,0,N231*(1-VLOOKUP($A232,[1]Hugst!$R$5:$W$9,MATCH(ROUNDUP((O$1)/10,0)*10,[1]Hugst!$R$4:$W$4,0))))</f>
        <v>0</v>
      </c>
      <c r="P232" s="169">
        <f ca="1">IF($C232-P$1&lt;År1,0,O231*(1-VLOOKUP($A232,[1]Hugst!$R$5:$W$9,MATCH(ROUNDUP((P$1)/10,0)*10,[1]Hugst!$R$4:$W$4,0))))</f>
        <v>0</v>
      </c>
      <c r="Q232" s="169">
        <f ca="1">IF($C232-Q$1&lt;År1,0,P231*(1-VLOOKUP($A232,[1]Hugst!$R$5:$W$9,MATCH(ROUNDUP((Q$1)/10,0)*10,[1]Hugst!$R$4:$W$4,0))))</f>
        <v>0</v>
      </c>
      <c r="R232" s="169">
        <f ca="1">IF($C232-R$1&lt;År1,0,Q231*(1-VLOOKUP($A232,[1]Hugst!$R$5:$W$9,MATCH(ROUNDUP((R$1)/10,0)*10,[1]Hugst!$R$4:$W$4,0))))</f>
        <v>0</v>
      </c>
      <c r="S232" s="169">
        <f ca="1">IF($C232-S$1&lt;År1,0,R231*(1-VLOOKUP($A232,[1]Hugst!$R$5:$W$9,MATCH(ROUNDUP((S$1)/10,0)*10,[1]Hugst!$R$4:$W$4,0))))</f>
        <v>0</v>
      </c>
      <c r="T232" s="169">
        <f>IF($C232-T$1&lt;År1,0,S231*(1-VLOOKUP($A232,[1]Hugst!$R$5:$W$9,MATCH(ROUNDUP((T$1)/10,0)*10,[1]Hugst!$R$4:$W$4,0))))</f>
        <v>0</v>
      </c>
      <c r="U232" s="169">
        <f>IF($C232-U$1&lt;År1,0,T231*(1-VLOOKUP($A232,[1]Hugst!$R$5:$W$9,MATCH(ROUNDUP((U$1)/10,0)*10,[1]Hugst!$R$4:$W$4,0))))</f>
        <v>0</v>
      </c>
      <c r="V232" s="169">
        <f>IF($C232-V$1&lt;År1,0,U231*(1-VLOOKUP($A232,[1]Hugst!$R$5:$W$9,MATCH(ROUNDUP((V$1)/10,0)*10,[1]Hugst!$R$4:$W$4,0))))</f>
        <v>0</v>
      </c>
      <c r="W232" s="169">
        <f>IF($C232-W$1&lt;År1,0,V231*(1-VLOOKUP($A232,[1]Hugst!$R$5:$W$9,MATCH(ROUNDUP((W$1)/10,0)*10,[1]Hugst!$R$4:$W$4,0))))</f>
        <v>0</v>
      </c>
      <c r="X232" s="169">
        <f>IF($C232-X$1&lt;År1,0,W231*(1-VLOOKUP($A232,[1]Hugst!$R$5:$W$9,MATCH(ROUNDUP((X$1)/10,0)*10,[1]Hugst!$R$4:$W$4,0))))</f>
        <v>0</v>
      </c>
      <c r="Y232" s="169">
        <f>IF($C232-Y$1&lt;År1,0,X231*(1-VLOOKUP($A232,[1]Hugst!$R$5:$W$9,MATCH(ROUNDUP((Y$1)/10,0)*10,[1]Hugst!$R$4:$W$4,0))))</f>
        <v>0</v>
      </c>
      <c r="Z232" s="169">
        <f>IF($C232-Z$1&lt;År1,0,Y231*(1-VLOOKUP($A232,[1]Hugst!$R$5:$W$9,MATCH(ROUNDUP((Z$1)/10,0)*10,[1]Hugst!$R$4:$W$4,0))))</f>
        <v>0</v>
      </c>
      <c r="AA232" s="169">
        <f>IF($C232-AA$1&lt;År1,0,Z231*(1-VLOOKUP($A232,[1]Hugst!$R$5:$W$9,MATCH(ROUNDUP((AA$1)/10,0)*10,[1]Hugst!$R$4:$W$4,0))))</f>
        <v>0</v>
      </c>
      <c r="AB232" s="169">
        <f>IF($C232-AB$1&lt;År1,0,AA231*(1-VLOOKUP($A232,[1]Hugst!$R$5:$W$9,MATCH(ROUNDUP((AB$1)/10,0)*10,[1]Hugst!$R$4:$W$4,0))))</f>
        <v>0</v>
      </c>
      <c r="AC232" s="169">
        <f>IF($C232-AC$1&lt;År1,0,AB231*(1-VLOOKUP($A232,[1]Hugst!$R$5:$W$9,MATCH(ROUNDUP((AC$1)/10,0)*10,[1]Hugst!$R$4:$W$4,0))))</f>
        <v>0</v>
      </c>
      <c r="AD232" s="169">
        <f>IF($C232-AD$1&lt;År1,0,AC231*(1-VLOOKUP($A232,[1]Hugst!$R$5:$W$9,MATCH(ROUNDUP((AD$1)/10,0)*10,[1]Hugst!$R$4:$W$4,0))))</f>
        <v>0</v>
      </c>
      <c r="AE232" s="169">
        <f>IF($C232-AE$1&lt;År1,0,AD231*(1-VLOOKUP($A232,[1]Hugst!$R$5:$W$9,MATCH(ROUNDUP((AE$1)/10,0)*10,[1]Hugst!$R$4:$W$4,0))))</f>
        <v>0</v>
      </c>
      <c r="AF232" s="169">
        <f>IF($C232-AF$1&lt;År1,0,AE231*(1-VLOOKUP($A232,[1]Hugst!$R$5:$W$9,MATCH(ROUNDUP((AF$1)/10,0)*10,[1]Hugst!$R$4:$W$4,0))))</f>
        <v>0</v>
      </c>
      <c r="AG232" s="169">
        <f>IF($C232-AG$1&lt;År1,0,AF231*(1-VLOOKUP($A232,[1]Hugst!$R$5:$W$9,MATCH(ROUNDUP((AG$1)/10,0)*10,[1]Hugst!$R$4:$W$4,0))))</f>
        <v>0</v>
      </c>
      <c r="AH232" s="169">
        <f>IF($C232-AH$1&lt;År1,0,AG231*(1-VLOOKUP($A232,[1]Hugst!$R$5:$W$9,MATCH(ROUNDUP((AH$1)/10,0)*10,[1]Hugst!$R$4:$W$4,0))))</f>
        <v>0</v>
      </c>
      <c r="AI232" s="169">
        <f>IF($C232-AI$1&lt;År1,0,AH231*(1-VLOOKUP($A232,[1]Hugst!$R$5:$W$9,MATCH(ROUNDUP((AI$1)/10,0)*10,[1]Hugst!$R$4:$W$4,0))))</f>
        <v>0</v>
      </c>
      <c r="AJ232" s="169">
        <f>IF($C232-AJ$1&lt;År1,0,AI231*(1-VLOOKUP($A232,[1]Hugst!$R$5:$W$9,MATCH(ROUNDUP((AJ$1)/10,0)*10,[1]Hugst!$R$4:$W$4,0))))</f>
        <v>0</v>
      </c>
    </row>
    <row r="233" spans="1:36" x14ac:dyDescent="0.25">
      <c r="A233" s="169" t="s">
        <v>179</v>
      </c>
      <c r="B233" s="169" t="s">
        <v>24</v>
      </c>
      <c r="C233" s="169">
        <v>2034</v>
      </c>
      <c r="D233" s="169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69">
        <f t="shared" ca="1" si="5"/>
        <v>0</v>
      </c>
      <c r="F233" s="169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9">
        <f ca="1">IF($C233-G$1&lt;År1,0,F232*(1-VLOOKUP($A233,[1]Hugst!$R$5:$W$9,MATCH(ROUNDUP((G$1)/10,0)*10,[1]Hugst!$R$4:$W$4,0))))</f>
        <v>0</v>
      </c>
      <c r="H233" s="169">
        <f ca="1">IF($C233-H$1&lt;År1,0,G232*(1-VLOOKUP($A233,[1]Hugst!$R$5:$W$9,MATCH(ROUNDUP((H$1)/10,0)*10,[1]Hugst!$R$4:$W$4,0))))</f>
        <v>0</v>
      </c>
      <c r="I233" s="169">
        <f ca="1">IF($C233-I$1&lt;År1,0,H232*(1-VLOOKUP($A233,[1]Hugst!$R$5:$W$9,MATCH(ROUNDUP((I$1)/10,0)*10,[1]Hugst!$R$4:$W$4,0))))</f>
        <v>0</v>
      </c>
      <c r="J233" s="169">
        <f ca="1">IF($C233-J$1&lt;År1,0,I232*(1-VLOOKUP($A233,[1]Hugst!$R$5:$W$9,MATCH(ROUNDUP((J$1)/10,0)*10,[1]Hugst!$R$4:$W$4,0))))</f>
        <v>0</v>
      </c>
      <c r="K233" s="169">
        <f ca="1">IF($C233-K$1&lt;År1,0,J232*(1-VLOOKUP($A233,[1]Hugst!$R$5:$W$9,MATCH(ROUNDUP((K$1)/10,0)*10,[1]Hugst!$R$4:$W$4,0))))</f>
        <v>0</v>
      </c>
      <c r="L233" s="169">
        <f ca="1">IF($C233-L$1&lt;År1,0,K232*(1-VLOOKUP($A233,[1]Hugst!$R$5:$W$9,MATCH(ROUNDUP((L$1)/10,0)*10,[1]Hugst!$R$4:$W$4,0))))</f>
        <v>0</v>
      </c>
      <c r="M233" s="169">
        <f ca="1">IF($C233-M$1&lt;År1,0,L232*(1-VLOOKUP($A233,[1]Hugst!$R$5:$W$9,MATCH(ROUNDUP((M$1)/10,0)*10,[1]Hugst!$R$4:$W$4,0))))</f>
        <v>0</v>
      </c>
      <c r="N233" s="169">
        <f ca="1">IF($C233-N$1&lt;År1,0,M232*(1-VLOOKUP($A233,[1]Hugst!$R$5:$W$9,MATCH(ROUNDUP((N$1)/10,0)*10,[1]Hugst!$R$4:$W$4,0))))</f>
        <v>0</v>
      </c>
      <c r="O233" s="169">
        <f ca="1">IF($C233-O$1&lt;År1,0,N232*(1-VLOOKUP($A233,[1]Hugst!$R$5:$W$9,MATCH(ROUNDUP((O$1)/10,0)*10,[1]Hugst!$R$4:$W$4,0))))</f>
        <v>0</v>
      </c>
      <c r="P233" s="169">
        <f ca="1">IF($C233-P$1&lt;År1,0,O232*(1-VLOOKUP($A233,[1]Hugst!$R$5:$W$9,MATCH(ROUNDUP((P$1)/10,0)*10,[1]Hugst!$R$4:$W$4,0))))</f>
        <v>0</v>
      </c>
      <c r="Q233" s="169">
        <f ca="1">IF($C233-Q$1&lt;År1,0,P232*(1-VLOOKUP($A233,[1]Hugst!$R$5:$W$9,MATCH(ROUNDUP((Q$1)/10,0)*10,[1]Hugst!$R$4:$W$4,0))))</f>
        <v>0</v>
      </c>
      <c r="R233" s="169">
        <f ca="1">IF($C233-R$1&lt;År1,0,Q232*(1-VLOOKUP($A233,[1]Hugst!$R$5:$W$9,MATCH(ROUNDUP((R$1)/10,0)*10,[1]Hugst!$R$4:$W$4,0))))</f>
        <v>0</v>
      </c>
      <c r="S233" s="169">
        <f ca="1">IF($C233-S$1&lt;År1,0,R232*(1-VLOOKUP($A233,[1]Hugst!$R$5:$W$9,MATCH(ROUNDUP((S$1)/10,0)*10,[1]Hugst!$R$4:$W$4,0))))</f>
        <v>0</v>
      </c>
      <c r="T233" s="169">
        <f ca="1">IF($C233-T$1&lt;År1,0,S232*(1-VLOOKUP($A233,[1]Hugst!$R$5:$W$9,MATCH(ROUNDUP((T$1)/10,0)*10,[1]Hugst!$R$4:$W$4,0))))</f>
        <v>0</v>
      </c>
      <c r="U233" s="169">
        <f>IF($C233-U$1&lt;År1,0,T232*(1-VLOOKUP($A233,[1]Hugst!$R$5:$W$9,MATCH(ROUNDUP((U$1)/10,0)*10,[1]Hugst!$R$4:$W$4,0))))</f>
        <v>0</v>
      </c>
      <c r="V233" s="169">
        <f>IF($C233-V$1&lt;År1,0,U232*(1-VLOOKUP($A233,[1]Hugst!$R$5:$W$9,MATCH(ROUNDUP((V$1)/10,0)*10,[1]Hugst!$R$4:$W$4,0))))</f>
        <v>0</v>
      </c>
      <c r="W233" s="169">
        <f>IF($C233-W$1&lt;År1,0,V232*(1-VLOOKUP($A233,[1]Hugst!$R$5:$W$9,MATCH(ROUNDUP((W$1)/10,0)*10,[1]Hugst!$R$4:$W$4,0))))</f>
        <v>0</v>
      </c>
      <c r="X233" s="169">
        <f>IF($C233-X$1&lt;År1,0,W232*(1-VLOOKUP($A233,[1]Hugst!$R$5:$W$9,MATCH(ROUNDUP((X$1)/10,0)*10,[1]Hugst!$R$4:$W$4,0))))</f>
        <v>0</v>
      </c>
      <c r="Y233" s="169">
        <f>IF($C233-Y$1&lt;År1,0,X232*(1-VLOOKUP($A233,[1]Hugst!$R$5:$W$9,MATCH(ROUNDUP((Y$1)/10,0)*10,[1]Hugst!$R$4:$W$4,0))))</f>
        <v>0</v>
      </c>
      <c r="Z233" s="169">
        <f>IF($C233-Z$1&lt;År1,0,Y232*(1-VLOOKUP($A233,[1]Hugst!$R$5:$W$9,MATCH(ROUNDUP((Z$1)/10,0)*10,[1]Hugst!$R$4:$W$4,0))))</f>
        <v>0</v>
      </c>
      <c r="AA233" s="169">
        <f>IF($C233-AA$1&lt;År1,0,Z232*(1-VLOOKUP($A233,[1]Hugst!$R$5:$W$9,MATCH(ROUNDUP((AA$1)/10,0)*10,[1]Hugst!$R$4:$W$4,0))))</f>
        <v>0</v>
      </c>
      <c r="AB233" s="169">
        <f>IF($C233-AB$1&lt;År1,0,AA232*(1-VLOOKUP($A233,[1]Hugst!$R$5:$W$9,MATCH(ROUNDUP((AB$1)/10,0)*10,[1]Hugst!$R$4:$W$4,0))))</f>
        <v>0</v>
      </c>
      <c r="AC233" s="169">
        <f>IF($C233-AC$1&lt;År1,0,AB232*(1-VLOOKUP($A233,[1]Hugst!$R$5:$W$9,MATCH(ROUNDUP((AC$1)/10,0)*10,[1]Hugst!$R$4:$W$4,0))))</f>
        <v>0</v>
      </c>
      <c r="AD233" s="169">
        <f>IF($C233-AD$1&lt;År1,0,AC232*(1-VLOOKUP($A233,[1]Hugst!$R$5:$W$9,MATCH(ROUNDUP((AD$1)/10,0)*10,[1]Hugst!$R$4:$W$4,0))))</f>
        <v>0</v>
      </c>
      <c r="AE233" s="169">
        <f>IF($C233-AE$1&lt;År1,0,AD232*(1-VLOOKUP($A233,[1]Hugst!$R$5:$W$9,MATCH(ROUNDUP((AE$1)/10,0)*10,[1]Hugst!$R$4:$W$4,0))))</f>
        <v>0</v>
      </c>
      <c r="AF233" s="169">
        <f>IF($C233-AF$1&lt;År1,0,AE232*(1-VLOOKUP($A233,[1]Hugst!$R$5:$W$9,MATCH(ROUNDUP((AF$1)/10,0)*10,[1]Hugst!$R$4:$W$4,0))))</f>
        <v>0</v>
      </c>
      <c r="AG233" s="169">
        <f>IF($C233-AG$1&lt;År1,0,AF232*(1-VLOOKUP($A233,[1]Hugst!$R$5:$W$9,MATCH(ROUNDUP((AG$1)/10,0)*10,[1]Hugst!$R$4:$W$4,0))))</f>
        <v>0</v>
      </c>
      <c r="AH233" s="169">
        <f>IF($C233-AH$1&lt;År1,0,AG232*(1-VLOOKUP($A233,[1]Hugst!$R$5:$W$9,MATCH(ROUNDUP((AH$1)/10,0)*10,[1]Hugst!$R$4:$W$4,0))))</f>
        <v>0</v>
      </c>
      <c r="AI233" s="169">
        <f>IF($C233-AI$1&lt;År1,0,AH232*(1-VLOOKUP($A233,[1]Hugst!$R$5:$W$9,MATCH(ROUNDUP((AI$1)/10,0)*10,[1]Hugst!$R$4:$W$4,0))))</f>
        <v>0</v>
      </c>
      <c r="AJ233" s="169">
        <f>IF($C233-AJ$1&lt;År1,0,AI232*(1-VLOOKUP($A233,[1]Hugst!$R$5:$W$9,MATCH(ROUNDUP((AJ$1)/10,0)*10,[1]Hugst!$R$4:$W$4,0))))</f>
        <v>0</v>
      </c>
    </row>
    <row r="234" spans="1:36" x14ac:dyDescent="0.25">
      <c r="A234" s="169" t="s">
        <v>179</v>
      </c>
      <c r="B234" s="169" t="s">
        <v>24</v>
      </c>
      <c r="C234" s="169">
        <v>2035</v>
      </c>
      <c r="D234" s="169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69">
        <f t="shared" ca="1" si="5"/>
        <v>0</v>
      </c>
      <c r="F234" s="169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9">
        <f ca="1">IF($C234-G$1&lt;År1,0,F233*(1-VLOOKUP($A234,[1]Hugst!$R$5:$W$9,MATCH(ROUNDUP((G$1)/10,0)*10,[1]Hugst!$R$4:$W$4,0))))</f>
        <v>0</v>
      </c>
      <c r="H234" s="169">
        <f ca="1">IF($C234-H$1&lt;År1,0,G233*(1-VLOOKUP($A234,[1]Hugst!$R$5:$W$9,MATCH(ROUNDUP((H$1)/10,0)*10,[1]Hugst!$R$4:$W$4,0))))</f>
        <v>0</v>
      </c>
      <c r="I234" s="169">
        <f ca="1">IF($C234-I$1&lt;År1,0,H233*(1-VLOOKUP($A234,[1]Hugst!$R$5:$W$9,MATCH(ROUNDUP((I$1)/10,0)*10,[1]Hugst!$R$4:$W$4,0))))</f>
        <v>0</v>
      </c>
      <c r="J234" s="169">
        <f ca="1">IF($C234-J$1&lt;År1,0,I233*(1-VLOOKUP($A234,[1]Hugst!$R$5:$W$9,MATCH(ROUNDUP((J$1)/10,0)*10,[1]Hugst!$R$4:$W$4,0))))</f>
        <v>0</v>
      </c>
      <c r="K234" s="169">
        <f ca="1">IF($C234-K$1&lt;År1,0,J233*(1-VLOOKUP($A234,[1]Hugst!$R$5:$W$9,MATCH(ROUNDUP((K$1)/10,0)*10,[1]Hugst!$R$4:$W$4,0))))</f>
        <v>0</v>
      </c>
      <c r="L234" s="169">
        <f ca="1">IF($C234-L$1&lt;År1,0,K233*(1-VLOOKUP($A234,[1]Hugst!$R$5:$W$9,MATCH(ROUNDUP((L$1)/10,0)*10,[1]Hugst!$R$4:$W$4,0))))</f>
        <v>0</v>
      </c>
      <c r="M234" s="169">
        <f ca="1">IF($C234-M$1&lt;År1,0,L233*(1-VLOOKUP($A234,[1]Hugst!$R$5:$W$9,MATCH(ROUNDUP((M$1)/10,0)*10,[1]Hugst!$R$4:$W$4,0))))</f>
        <v>0</v>
      </c>
      <c r="N234" s="169">
        <f ca="1">IF($C234-N$1&lt;År1,0,M233*(1-VLOOKUP($A234,[1]Hugst!$R$5:$W$9,MATCH(ROUNDUP((N$1)/10,0)*10,[1]Hugst!$R$4:$W$4,0))))</f>
        <v>0</v>
      </c>
      <c r="O234" s="169">
        <f ca="1">IF($C234-O$1&lt;År1,0,N233*(1-VLOOKUP($A234,[1]Hugst!$R$5:$W$9,MATCH(ROUNDUP((O$1)/10,0)*10,[1]Hugst!$R$4:$W$4,0))))</f>
        <v>0</v>
      </c>
      <c r="P234" s="169">
        <f ca="1">IF($C234-P$1&lt;År1,0,O233*(1-VLOOKUP($A234,[1]Hugst!$R$5:$W$9,MATCH(ROUNDUP((P$1)/10,0)*10,[1]Hugst!$R$4:$W$4,0))))</f>
        <v>0</v>
      </c>
      <c r="Q234" s="169">
        <f ca="1">IF($C234-Q$1&lt;År1,0,P233*(1-VLOOKUP($A234,[1]Hugst!$R$5:$W$9,MATCH(ROUNDUP((Q$1)/10,0)*10,[1]Hugst!$R$4:$W$4,0))))</f>
        <v>0</v>
      </c>
      <c r="R234" s="169">
        <f ca="1">IF($C234-R$1&lt;År1,0,Q233*(1-VLOOKUP($A234,[1]Hugst!$R$5:$W$9,MATCH(ROUNDUP((R$1)/10,0)*10,[1]Hugst!$R$4:$W$4,0))))</f>
        <v>0</v>
      </c>
      <c r="S234" s="169">
        <f ca="1">IF($C234-S$1&lt;År1,0,R233*(1-VLOOKUP($A234,[1]Hugst!$R$5:$W$9,MATCH(ROUNDUP((S$1)/10,0)*10,[1]Hugst!$R$4:$W$4,0))))</f>
        <v>0</v>
      </c>
      <c r="T234" s="169">
        <f ca="1">IF($C234-T$1&lt;År1,0,S233*(1-VLOOKUP($A234,[1]Hugst!$R$5:$W$9,MATCH(ROUNDUP((T$1)/10,0)*10,[1]Hugst!$R$4:$W$4,0))))</f>
        <v>0</v>
      </c>
      <c r="U234" s="169">
        <f ca="1">IF($C234-U$1&lt;År1,0,T233*(1-VLOOKUP($A234,[1]Hugst!$R$5:$W$9,MATCH(ROUNDUP((U$1)/10,0)*10,[1]Hugst!$R$4:$W$4,0))))</f>
        <v>0</v>
      </c>
      <c r="V234" s="169">
        <f>IF($C234-V$1&lt;År1,0,U233*(1-VLOOKUP($A234,[1]Hugst!$R$5:$W$9,MATCH(ROUNDUP((V$1)/10,0)*10,[1]Hugst!$R$4:$W$4,0))))</f>
        <v>0</v>
      </c>
      <c r="W234" s="169">
        <f>IF($C234-W$1&lt;År1,0,V233*(1-VLOOKUP($A234,[1]Hugst!$R$5:$W$9,MATCH(ROUNDUP((W$1)/10,0)*10,[1]Hugst!$R$4:$W$4,0))))</f>
        <v>0</v>
      </c>
      <c r="X234" s="169">
        <f>IF($C234-X$1&lt;År1,0,W233*(1-VLOOKUP($A234,[1]Hugst!$R$5:$W$9,MATCH(ROUNDUP((X$1)/10,0)*10,[1]Hugst!$R$4:$W$4,0))))</f>
        <v>0</v>
      </c>
      <c r="Y234" s="169">
        <f>IF($C234-Y$1&lt;År1,0,X233*(1-VLOOKUP($A234,[1]Hugst!$R$5:$W$9,MATCH(ROUNDUP((Y$1)/10,0)*10,[1]Hugst!$R$4:$W$4,0))))</f>
        <v>0</v>
      </c>
      <c r="Z234" s="169">
        <f>IF($C234-Z$1&lt;År1,0,Y233*(1-VLOOKUP($A234,[1]Hugst!$R$5:$W$9,MATCH(ROUNDUP((Z$1)/10,0)*10,[1]Hugst!$R$4:$W$4,0))))</f>
        <v>0</v>
      </c>
      <c r="AA234" s="169">
        <f>IF($C234-AA$1&lt;År1,0,Z233*(1-VLOOKUP($A234,[1]Hugst!$R$5:$W$9,MATCH(ROUNDUP((AA$1)/10,0)*10,[1]Hugst!$R$4:$W$4,0))))</f>
        <v>0</v>
      </c>
      <c r="AB234" s="169">
        <f>IF($C234-AB$1&lt;År1,0,AA233*(1-VLOOKUP($A234,[1]Hugst!$R$5:$W$9,MATCH(ROUNDUP((AB$1)/10,0)*10,[1]Hugst!$R$4:$W$4,0))))</f>
        <v>0</v>
      </c>
      <c r="AC234" s="169">
        <f>IF($C234-AC$1&lt;År1,0,AB233*(1-VLOOKUP($A234,[1]Hugst!$R$5:$W$9,MATCH(ROUNDUP((AC$1)/10,0)*10,[1]Hugst!$R$4:$W$4,0))))</f>
        <v>0</v>
      </c>
      <c r="AD234" s="169">
        <f>IF($C234-AD$1&lt;År1,0,AC233*(1-VLOOKUP($A234,[1]Hugst!$R$5:$W$9,MATCH(ROUNDUP((AD$1)/10,0)*10,[1]Hugst!$R$4:$W$4,0))))</f>
        <v>0</v>
      </c>
      <c r="AE234" s="169">
        <f>IF($C234-AE$1&lt;År1,0,AD233*(1-VLOOKUP($A234,[1]Hugst!$R$5:$W$9,MATCH(ROUNDUP((AE$1)/10,0)*10,[1]Hugst!$R$4:$W$4,0))))</f>
        <v>0</v>
      </c>
      <c r="AF234" s="169">
        <f>IF($C234-AF$1&lt;År1,0,AE233*(1-VLOOKUP($A234,[1]Hugst!$R$5:$W$9,MATCH(ROUNDUP((AF$1)/10,0)*10,[1]Hugst!$R$4:$W$4,0))))</f>
        <v>0</v>
      </c>
      <c r="AG234" s="169">
        <f>IF($C234-AG$1&lt;År1,0,AF233*(1-VLOOKUP($A234,[1]Hugst!$R$5:$W$9,MATCH(ROUNDUP((AG$1)/10,0)*10,[1]Hugst!$R$4:$W$4,0))))</f>
        <v>0</v>
      </c>
      <c r="AH234" s="169">
        <f>IF($C234-AH$1&lt;År1,0,AG233*(1-VLOOKUP($A234,[1]Hugst!$R$5:$W$9,MATCH(ROUNDUP((AH$1)/10,0)*10,[1]Hugst!$R$4:$W$4,0))))</f>
        <v>0</v>
      </c>
      <c r="AI234" s="169">
        <f>IF($C234-AI$1&lt;År1,0,AH233*(1-VLOOKUP($A234,[1]Hugst!$R$5:$W$9,MATCH(ROUNDUP((AI$1)/10,0)*10,[1]Hugst!$R$4:$W$4,0))))</f>
        <v>0</v>
      </c>
      <c r="AJ234" s="169">
        <f>IF($C234-AJ$1&lt;År1,0,AI233*(1-VLOOKUP($A234,[1]Hugst!$R$5:$W$9,MATCH(ROUNDUP((AJ$1)/10,0)*10,[1]Hugst!$R$4:$W$4,0))))</f>
        <v>0</v>
      </c>
    </row>
    <row r="235" spans="1:36" x14ac:dyDescent="0.25">
      <c r="A235" s="169" t="s">
        <v>179</v>
      </c>
      <c r="B235" s="169" t="s">
        <v>24</v>
      </c>
      <c r="C235" s="169">
        <v>2036</v>
      </c>
      <c r="D235" s="169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69">
        <f t="shared" ca="1" si="5"/>
        <v>0</v>
      </c>
      <c r="F235" s="169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9">
        <f ca="1">IF($C235-G$1&lt;År1,0,F234*(1-VLOOKUP($A235,[1]Hugst!$R$5:$W$9,MATCH(ROUNDUP((G$1)/10,0)*10,[1]Hugst!$R$4:$W$4,0))))</f>
        <v>0</v>
      </c>
      <c r="H235" s="169">
        <f ca="1">IF($C235-H$1&lt;År1,0,G234*(1-VLOOKUP($A235,[1]Hugst!$R$5:$W$9,MATCH(ROUNDUP((H$1)/10,0)*10,[1]Hugst!$R$4:$W$4,0))))</f>
        <v>0</v>
      </c>
      <c r="I235" s="169">
        <f ca="1">IF($C235-I$1&lt;År1,0,H234*(1-VLOOKUP($A235,[1]Hugst!$R$5:$W$9,MATCH(ROUNDUP((I$1)/10,0)*10,[1]Hugst!$R$4:$W$4,0))))</f>
        <v>0</v>
      </c>
      <c r="J235" s="169">
        <f ca="1">IF($C235-J$1&lt;År1,0,I234*(1-VLOOKUP($A235,[1]Hugst!$R$5:$W$9,MATCH(ROUNDUP((J$1)/10,0)*10,[1]Hugst!$R$4:$W$4,0))))</f>
        <v>0</v>
      </c>
      <c r="K235" s="169">
        <f ca="1">IF($C235-K$1&lt;År1,0,J234*(1-VLOOKUP($A235,[1]Hugst!$R$5:$W$9,MATCH(ROUNDUP((K$1)/10,0)*10,[1]Hugst!$R$4:$W$4,0))))</f>
        <v>0</v>
      </c>
      <c r="L235" s="169">
        <f ca="1">IF($C235-L$1&lt;År1,0,K234*(1-VLOOKUP($A235,[1]Hugst!$R$5:$W$9,MATCH(ROUNDUP((L$1)/10,0)*10,[1]Hugst!$R$4:$W$4,0))))</f>
        <v>0</v>
      </c>
      <c r="M235" s="169">
        <f ca="1">IF($C235-M$1&lt;År1,0,L234*(1-VLOOKUP($A235,[1]Hugst!$R$5:$W$9,MATCH(ROUNDUP((M$1)/10,0)*10,[1]Hugst!$R$4:$W$4,0))))</f>
        <v>0</v>
      </c>
      <c r="N235" s="169">
        <f ca="1">IF($C235-N$1&lt;År1,0,M234*(1-VLOOKUP($A235,[1]Hugst!$R$5:$W$9,MATCH(ROUNDUP((N$1)/10,0)*10,[1]Hugst!$R$4:$W$4,0))))</f>
        <v>0</v>
      </c>
      <c r="O235" s="169">
        <f ca="1">IF($C235-O$1&lt;År1,0,N234*(1-VLOOKUP($A235,[1]Hugst!$R$5:$W$9,MATCH(ROUNDUP((O$1)/10,0)*10,[1]Hugst!$R$4:$W$4,0))))</f>
        <v>0</v>
      </c>
      <c r="P235" s="169">
        <f ca="1">IF($C235-P$1&lt;År1,0,O234*(1-VLOOKUP($A235,[1]Hugst!$R$5:$W$9,MATCH(ROUNDUP((P$1)/10,0)*10,[1]Hugst!$R$4:$W$4,0))))</f>
        <v>0</v>
      </c>
      <c r="Q235" s="169">
        <f ca="1">IF($C235-Q$1&lt;År1,0,P234*(1-VLOOKUP($A235,[1]Hugst!$R$5:$W$9,MATCH(ROUNDUP((Q$1)/10,0)*10,[1]Hugst!$R$4:$W$4,0))))</f>
        <v>0</v>
      </c>
      <c r="R235" s="169">
        <f ca="1">IF($C235-R$1&lt;År1,0,Q234*(1-VLOOKUP($A235,[1]Hugst!$R$5:$W$9,MATCH(ROUNDUP((R$1)/10,0)*10,[1]Hugst!$R$4:$W$4,0))))</f>
        <v>0</v>
      </c>
      <c r="S235" s="169">
        <f ca="1">IF($C235-S$1&lt;År1,0,R234*(1-VLOOKUP($A235,[1]Hugst!$R$5:$W$9,MATCH(ROUNDUP((S$1)/10,0)*10,[1]Hugst!$R$4:$W$4,0))))</f>
        <v>0</v>
      </c>
      <c r="T235" s="169">
        <f ca="1">IF($C235-T$1&lt;År1,0,S234*(1-VLOOKUP($A235,[1]Hugst!$R$5:$W$9,MATCH(ROUNDUP((T$1)/10,0)*10,[1]Hugst!$R$4:$W$4,0))))</f>
        <v>0</v>
      </c>
      <c r="U235" s="169">
        <f ca="1">IF($C235-U$1&lt;År1,0,T234*(1-VLOOKUP($A235,[1]Hugst!$R$5:$W$9,MATCH(ROUNDUP((U$1)/10,0)*10,[1]Hugst!$R$4:$W$4,0))))</f>
        <v>0</v>
      </c>
      <c r="V235" s="169">
        <f ca="1">IF($C235-V$1&lt;År1,0,U234*(1-VLOOKUP($A235,[1]Hugst!$R$5:$W$9,MATCH(ROUNDUP((V$1)/10,0)*10,[1]Hugst!$R$4:$W$4,0))))</f>
        <v>0</v>
      </c>
      <c r="W235" s="169">
        <f>IF($C235-W$1&lt;År1,0,V234*(1-VLOOKUP($A235,[1]Hugst!$R$5:$W$9,MATCH(ROUNDUP((W$1)/10,0)*10,[1]Hugst!$R$4:$W$4,0))))</f>
        <v>0</v>
      </c>
      <c r="X235" s="169">
        <f>IF($C235-X$1&lt;År1,0,W234*(1-VLOOKUP($A235,[1]Hugst!$R$5:$W$9,MATCH(ROUNDUP((X$1)/10,0)*10,[1]Hugst!$R$4:$W$4,0))))</f>
        <v>0</v>
      </c>
      <c r="Y235" s="169">
        <f>IF($C235-Y$1&lt;År1,0,X234*(1-VLOOKUP($A235,[1]Hugst!$R$5:$W$9,MATCH(ROUNDUP((Y$1)/10,0)*10,[1]Hugst!$R$4:$W$4,0))))</f>
        <v>0</v>
      </c>
      <c r="Z235" s="169">
        <f>IF($C235-Z$1&lt;År1,0,Y234*(1-VLOOKUP($A235,[1]Hugst!$R$5:$W$9,MATCH(ROUNDUP((Z$1)/10,0)*10,[1]Hugst!$R$4:$W$4,0))))</f>
        <v>0</v>
      </c>
      <c r="AA235" s="169">
        <f>IF($C235-AA$1&lt;År1,0,Z234*(1-VLOOKUP($A235,[1]Hugst!$R$5:$W$9,MATCH(ROUNDUP((AA$1)/10,0)*10,[1]Hugst!$R$4:$W$4,0))))</f>
        <v>0</v>
      </c>
      <c r="AB235" s="169">
        <f>IF($C235-AB$1&lt;År1,0,AA234*(1-VLOOKUP($A235,[1]Hugst!$R$5:$W$9,MATCH(ROUNDUP((AB$1)/10,0)*10,[1]Hugst!$R$4:$W$4,0))))</f>
        <v>0</v>
      </c>
      <c r="AC235" s="169">
        <f>IF($C235-AC$1&lt;År1,0,AB234*(1-VLOOKUP($A235,[1]Hugst!$R$5:$W$9,MATCH(ROUNDUP((AC$1)/10,0)*10,[1]Hugst!$R$4:$W$4,0))))</f>
        <v>0</v>
      </c>
      <c r="AD235" s="169">
        <f>IF($C235-AD$1&lt;År1,0,AC234*(1-VLOOKUP($A235,[1]Hugst!$R$5:$W$9,MATCH(ROUNDUP((AD$1)/10,0)*10,[1]Hugst!$R$4:$W$4,0))))</f>
        <v>0</v>
      </c>
      <c r="AE235" s="169">
        <f>IF($C235-AE$1&lt;År1,0,AD234*(1-VLOOKUP($A235,[1]Hugst!$R$5:$W$9,MATCH(ROUNDUP((AE$1)/10,0)*10,[1]Hugst!$R$4:$W$4,0))))</f>
        <v>0</v>
      </c>
      <c r="AF235" s="169">
        <f>IF($C235-AF$1&lt;År1,0,AE234*(1-VLOOKUP($A235,[1]Hugst!$R$5:$W$9,MATCH(ROUNDUP((AF$1)/10,0)*10,[1]Hugst!$R$4:$W$4,0))))</f>
        <v>0</v>
      </c>
      <c r="AG235" s="169">
        <f>IF($C235-AG$1&lt;År1,0,AF234*(1-VLOOKUP($A235,[1]Hugst!$R$5:$W$9,MATCH(ROUNDUP((AG$1)/10,0)*10,[1]Hugst!$R$4:$W$4,0))))</f>
        <v>0</v>
      </c>
      <c r="AH235" s="169">
        <f>IF($C235-AH$1&lt;År1,0,AG234*(1-VLOOKUP($A235,[1]Hugst!$R$5:$W$9,MATCH(ROUNDUP((AH$1)/10,0)*10,[1]Hugst!$R$4:$W$4,0))))</f>
        <v>0</v>
      </c>
      <c r="AI235" s="169">
        <f>IF($C235-AI$1&lt;År1,0,AH234*(1-VLOOKUP($A235,[1]Hugst!$R$5:$W$9,MATCH(ROUNDUP((AI$1)/10,0)*10,[1]Hugst!$R$4:$W$4,0))))</f>
        <v>0</v>
      </c>
      <c r="AJ235" s="169">
        <f>IF($C235-AJ$1&lt;År1,0,AI234*(1-VLOOKUP($A235,[1]Hugst!$R$5:$W$9,MATCH(ROUNDUP((AJ$1)/10,0)*10,[1]Hugst!$R$4:$W$4,0))))</f>
        <v>0</v>
      </c>
    </row>
    <row r="236" spans="1:36" x14ac:dyDescent="0.25">
      <c r="A236" s="169" t="s">
        <v>179</v>
      </c>
      <c r="B236" s="169" t="s">
        <v>24</v>
      </c>
      <c r="C236" s="169">
        <v>2037</v>
      </c>
      <c r="D236" s="169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69">
        <f t="shared" ca="1" si="5"/>
        <v>0</v>
      </c>
      <c r="F236" s="169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9">
        <f ca="1">IF($C236-G$1&lt;År1,0,F235*(1-VLOOKUP($A236,[1]Hugst!$R$5:$W$9,MATCH(ROUNDUP((G$1)/10,0)*10,[1]Hugst!$R$4:$W$4,0))))</f>
        <v>0</v>
      </c>
      <c r="H236" s="169">
        <f ca="1">IF($C236-H$1&lt;År1,0,G235*(1-VLOOKUP($A236,[1]Hugst!$R$5:$W$9,MATCH(ROUNDUP((H$1)/10,0)*10,[1]Hugst!$R$4:$W$4,0))))</f>
        <v>0</v>
      </c>
      <c r="I236" s="169">
        <f ca="1">IF($C236-I$1&lt;År1,0,H235*(1-VLOOKUP($A236,[1]Hugst!$R$5:$W$9,MATCH(ROUNDUP((I$1)/10,0)*10,[1]Hugst!$R$4:$W$4,0))))</f>
        <v>0</v>
      </c>
      <c r="J236" s="169">
        <f ca="1">IF($C236-J$1&lt;År1,0,I235*(1-VLOOKUP($A236,[1]Hugst!$R$5:$W$9,MATCH(ROUNDUP((J$1)/10,0)*10,[1]Hugst!$R$4:$W$4,0))))</f>
        <v>0</v>
      </c>
      <c r="K236" s="169">
        <f ca="1">IF($C236-K$1&lt;År1,0,J235*(1-VLOOKUP($A236,[1]Hugst!$R$5:$W$9,MATCH(ROUNDUP((K$1)/10,0)*10,[1]Hugst!$R$4:$W$4,0))))</f>
        <v>0</v>
      </c>
      <c r="L236" s="169">
        <f ca="1">IF($C236-L$1&lt;År1,0,K235*(1-VLOOKUP($A236,[1]Hugst!$R$5:$W$9,MATCH(ROUNDUP((L$1)/10,0)*10,[1]Hugst!$R$4:$W$4,0))))</f>
        <v>0</v>
      </c>
      <c r="M236" s="169">
        <f ca="1">IF($C236-M$1&lt;År1,0,L235*(1-VLOOKUP($A236,[1]Hugst!$R$5:$W$9,MATCH(ROUNDUP((M$1)/10,0)*10,[1]Hugst!$R$4:$W$4,0))))</f>
        <v>0</v>
      </c>
      <c r="N236" s="169">
        <f ca="1">IF($C236-N$1&lt;År1,0,M235*(1-VLOOKUP($A236,[1]Hugst!$R$5:$W$9,MATCH(ROUNDUP((N$1)/10,0)*10,[1]Hugst!$R$4:$W$4,0))))</f>
        <v>0</v>
      </c>
      <c r="O236" s="169">
        <f ca="1">IF($C236-O$1&lt;År1,0,N235*(1-VLOOKUP($A236,[1]Hugst!$R$5:$W$9,MATCH(ROUNDUP((O$1)/10,0)*10,[1]Hugst!$R$4:$W$4,0))))</f>
        <v>0</v>
      </c>
      <c r="P236" s="169">
        <f ca="1">IF($C236-P$1&lt;År1,0,O235*(1-VLOOKUP($A236,[1]Hugst!$R$5:$W$9,MATCH(ROUNDUP((P$1)/10,0)*10,[1]Hugst!$R$4:$W$4,0))))</f>
        <v>0</v>
      </c>
      <c r="Q236" s="169">
        <f ca="1">IF($C236-Q$1&lt;År1,0,P235*(1-VLOOKUP($A236,[1]Hugst!$R$5:$W$9,MATCH(ROUNDUP((Q$1)/10,0)*10,[1]Hugst!$R$4:$W$4,0))))</f>
        <v>0</v>
      </c>
      <c r="R236" s="169">
        <f ca="1">IF($C236-R$1&lt;År1,0,Q235*(1-VLOOKUP($A236,[1]Hugst!$R$5:$W$9,MATCH(ROUNDUP((R$1)/10,0)*10,[1]Hugst!$R$4:$W$4,0))))</f>
        <v>0</v>
      </c>
      <c r="S236" s="169">
        <f ca="1">IF($C236-S$1&lt;År1,0,R235*(1-VLOOKUP($A236,[1]Hugst!$R$5:$W$9,MATCH(ROUNDUP((S$1)/10,0)*10,[1]Hugst!$R$4:$W$4,0))))</f>
        <v>0</v>
      </c>
      <c r="T236" s="169">
        <f ca="1">IF($C236-T$1&lt;År1,0,S235*(1-VLOOKUP($A236,[1]Hugst!$R$5:$W$9,MATCH(ROUNDUP((T$1)/10,0)*10,[1]Hugst!$R$4:$W$4,0))))</f>
        <v>0</v>
      </c>
      <c r="U236" s="169">
        <f ca="1">IF($C236-U$1&lt;År1,0,T235*(1-VLOOKUP($A236,[1]Hugst!$R$5:$W$9,MATCH(ROUNDUP((U$1)/10,0)*10,[1]Hugst!$R$4:$W$4,0))))</f>
        <v>0</v>
      </c>
      <c r="V236" s="169">
        <f ca="1">IF($C236-V$1&lt;År1,0,U235*(1-VLOOKUP($A236,[1]Hugst!$R$5:$W$9,MATCH(ROUNDUP((V$1)/10,0)*10,[1]Hugst!$R$4:$W$4,0))))</f>
        <v>0</v>
      </c>
      <c r="W236" s="169">
        <f ca="1">IF($C236-W$1&lt;År1,0,V235*(1-VLOOKUP($A236,[1]Hugst!$R$5:$W$9,MATCH(ROUNDUP((W$1)/10,0)*10,[1]Hugst!$R$4:$W$4,0))))</f>
        <v>0</v>
      </c>
      <c r="X236" s="169">
        <f>IF($C236-X$1&lt;År1,0,W235*(1-VLOOKUP($A236,[1]Hugst!$R$5:$W$9,MATCH(ROUNDUP((X$1)/10,0)*10,[1]Hugst!$R$4:$W$4,0))))</f>
        <v>0</v>
      </c>
      <c r="Y236" s="169">
        <f>IF($C236-Y$1&lt;År1,0,X235*(1-VLOOKUP($A236,[1]Hugst!$R$5:$W$9,MATCH(ROUNDUP((Y$1)/10,0)*10,[1]Hugst!$R$4:$W$4,0))))</f>
        <v>0</v>
      </c>
      <c r="Z236" s="169">
        <f>IF($C236-Z$1&lt;År1,0,Y235*(1-VLOOKUP($A236,[1]Hugst!$R$5:$W$9,MATCH(ROUNDUP((Z$1)/10,0)*10,[1]Hugst!$R$4:$W$4,0))))</f>
        <v>0</v>
      </c>
      <c r="AA236" s="169">
        <f>IF($C236-AA$1&lt;År1,0,Z235*(1-VLOOKUP($A236,[1]Hugst!$R$5:$W$9,MATCH(ROUNDUP((AA$1)/10,0)*10,[1]Hugst!$R$4:$W$4,0))))</f>
        <v>0</v>
      </c>
      <c r="AB236" s="169">
        <f>IF($C236-AB$1&lt;År1,0,AA235*(1-VLOOKUP($A236,[1]Hugst!$R$5:$W$9,MATCH(ROUNDUP((AB$1)/10,0)*10,[1]Hugst!$R$4:$W$4,0))))</f>
        <v>0</v>
      </c>
      <c r="AC236" s="169">
        <f>IF($C236-AC$1&lt;År1,0,AB235*(1-VLOOKUP($A236,[1]Hugst!$R$5:$W$9,MATCH(ROUNDUP((AC$1)/10,0)*10,[1]Hugst!$R$4:$W$4,0))))</f>
        <v>0</v>
      </c>
      <c r="AD236" s="169">
        <f>IF($C236-AD$1&lt;År1,0,AC235*(1-VLOOKUP($A236,[1]Hugst!$R$5:$W$9,MATCH(ROUNDUP((AD$1)/10,0)*10,[1]Hugst!$R$4:$W$4,0))))</f>
        <v>0</v>
      </c>
      <c r="AE236" s="169">
        <f>IF($C236-AE$1&lt;År1,0,AD235*(1-VLOOKUP($A236,[1]Hugst!$R$5:$W$9,MATCH(ROUNDUP((AE$1)/10,0)*10,[1]Hugst!$R$4:$W$4,0))))</f>
        <v>0</v>
      </c>
      <c r="AF236" s="169">
        <f>IF($C236-AF$1&lt;År1,0,AE235*(1-VLOOKUP($A236,[1]Hugst!$R$5:$W$9,MATCH(ROUNDUP((AF$1)/10,0)*10,[1]Hugst!$R$4:$W$4,0))))</f>
        <v>0</v>
      </c>
      <c r="AG236" s="169">
        <f>IF($C236-AG$1&lt;År1,0,AF235*(1-VLOOKUP($A236,[1]Hugst!$R$5:$W$9,MATCH(ROUNDUP((AG$1)/10,0)*10,[1]Hugst!$R$4:$W$4,0))))</f>
        <v>0</v>
      </c>
      <c r="AH236" s="169">
        <f>IF($C236-AH$1&lt;År1,0,AG235*(1-VLOOKUP($A236,[1]Hugst!$R$5:$W$9,MATCH(ROUNDUP((AH$1)/10,0)*10,[1]Hugst!$R$4:$W$4,0))))</f>
        <v>0</v>
      </c>
      <c r="AI236" s="169">
        <f>IF($C236-AI$1&lt;År1,0,AH235*(1-VLOOKUP($A236,[1]Hugst!$R$5:$W$9,MATCH(ROUNDUP((AI$1)/10,0)*10,[1]Hugst!$R$4:$W$4,0))))</f>
        <v>0</v>
      </c>
      <c r="AJ236" s="169">
        <f>IF($C236-AJ$1&lt;År1,0,AI235*(1-VLOOKUP($A236,[1]Hugst!$R$5:$W$9,MATCH(ROUNDUP((AJ$1)/10,0)*10,[1]Hugst!$R$4:$W$4,0))))</f>
        <v>0</v>
      </c>
    </row>
    <row r="237" spans="1:36" x14ac:dyDescent="0.25">
      <c r="A237" s="169" t="s">
        <v>179</v>
      </c>
      <c r="B237" s="169" t="s">
        <v>24</v>
      </c>
      <c r="C237" s="169">
        <v>2038</v>
      </c>
      <c r="D237" s="169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69">
        <f t="shared" ca="1" si="5"/>
        <v>0</v>
      </c>
      <c r="F237" s="169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9">
        <f ca="1">IF($C237-G$1&lt;År1,0,F236*(1-VLOOKUP($A237,[1]Hugst!$R$5:$W$9,MATCH(ROUNDUP((G$1)/10,0)*10,[1]Hugst!$R$4:$W$4,0))))</f>
        <v>0</v>
      </c>
      <c r="H237" s="169">
        <f ca="1">IF($C237-H$1&lt;År1,0,G236*(1-VLOOKUP($A237,[1]Hugst!$R$5:$W$9,MATCH(ROUNDUP((H$1)/10,0)*10,[1]Hugst!$R$4:$W$4,0))))</f>
        <v>0</v>
      </c>
      <c r="I237" s="169">
        <f ca="1">IF($C237-I$1&lt;År1,0,H236*(1-VLOOKUP($A237,[1]Hugst!$R$5:$W$9,MATCH(ROUNDUP((I$1)/10,0)*10,[1]Hugst!$R$4:$W$4,0))))</f>
        <v>0</v>
      </c>
      <c r="J237" s="169">
        <f ca="1">IF($C237-J$1&lt;År1,0,I236*(1-VLOOKUP($A237,[1]Hugst!$R$5:$W$9,MATCH(ROUNDUP((J$1)/10,0)*10,[1]Hugst!$R$4:$W$4,0))))</f>
        <v>0</v>
      </c>
      <c r="K237" s="169">
        <f ca="1">IF($C237-K$1&lt;År1,0,J236*(1-VLOOKUP($A237,[1]Hugst!$R$5:$W$9,MATCH(ROUNDUP((K$1)/10,0)*10,[1]Hugst!$R$4:$W$4,0))))</f>
        <v>0</v>
      </c>
      <c r="L237" s="169">
        <f ca="1">IF($C237-L$1&lt;År1,0,K236*(1-VLOOKUP($A237,[1]Hugst!$R$5:$W$9,MATCH(ROUNDUP((L$1)/10,0)*10,[1]Hugst!$R$4:$W$4,0))))</f>
        <v>0</v>
      </c>
      <c r="M237" s="169">
        <f ca="1">IF($C237-M$1&lt;År1,0,L236*(1-VLOOKUP($A237,[1]Hugst!$R$5:$W$9,MATCH(ROUNDUP((M$1)/10,0)*10,[1]Hugst!$R$4:$W$4,0))))</f>
        <v>0</v>
      </c>
      <c r="N237" s="169">
        <f ca="1">IF($C237-N$1&lt;År1,0,M236*(1-VLOOKUP($A237,[1]Hugst!$R$5:$W$9,MATCH(ROUNDUP((N$1)/10,0)*10,[1]Hugst!$R$4:$W$4,0))))</f>
        <v>0</v>
      </c>
      <c r="O237" s="169">
        <f ca="1">IF($C237-O$1&lt;År1,0,N236*(1-VLOOKUP($A237,[1]Hugst!$R$5:$W$9,MATCH(ROUNDUP((O$1)/10,0)*10,[1]Hugst!$R$4:$W$4,0))))</f>
        <v>0</v>
      </c>
      <c r="P237" s="169">
        <f ca="1">IF($C237-P$1&lt;År1,0,O236*(1-VLOOKUP($A237,[1]Hugst!$R$5:$W$9,MATCH(ROUNDUP((P$1)/10,0)*10,[1]Hugst!$R$4:$W$4,0))))</f>
        <v>0</v>
      </c>
      <c r="Q237" s="169">
        <f ca="1">IF($C237-Q$1&lt;År1,0,P236*(1-VLOOKUP($A237,[1]Hugst!$R$5:$W$9,MATCH(ROUNDUP((Q$1)/10,0)*10,[1]Hugst!$R$4:$W$4,0))))</f>
        <v>0</v>
      </c>
      <c r="R237" s="169">
        <f ca="1">IF($C237-R$1&lt;År1,0,Q236*(1-VLOOKUP($A237,[1]Hugst!$R$5:$W$9,MATCH(ROUNDUP((R$1)/10,0)*10,[1]Hugst!$R$4:$W$4,0))))</f>
        <v>0</v>
      </c>
      <c r="S237" s="169">
        <f ca="1">IF($C237-S$1&lt;År1,0,R236*(1-VLOOKUP($A237,[1]Hugst!$R$5:$W$9,MATCH(ROUNDUP((S$1)/10,0)*10,[1]Hugst!$R$4:$W$4,0))))</f>
        <v>0</v>
      </c>
      <c r="T237" s="169">
        <f ca="1">IF($C237-T$1&lt;År1,0,S236*(1-VLOOKUP($A237,[1]Hugst!$R$5:$W$9,MATCH(ROUNDUP((T$1)/10,0)*10,[1]Hugst!$R$4:$W$4,0))))</f>
        <v>0</v>
      </c>
      <c r="U237" s="169">
        <f ca="1">IF($C237-U$1&lt;År1,0,T236*(1-VLOOKUP($A237,[1]Hugst!$R$5:$W$9,MATCH(ROUNDUP((U$1)/10,0)*10,[1]Hugst!$R$4:$W$4,0))))</f>
        <v>0</v>
      </c>
      <c r="V237" s="169">
        <f ca="1">IF($C237-V$1&lt;År1,0,U236*(1-VLOOKUP($A237,[1]Hugst!$R$5:$W$9,MATCH(ROUNDUP((V$1)/10,0)*10,[1]Hugst!$R$4:$W$4,0))))</f>
        <v>0</v>
      </c>
      <c r="W237" s="169">
        <f ca="1">IF($C237-W$1&lt;År1,0,V236*(1-VLOOKUP($A237,[1]Hugst!$R$5:$W$9,MATCH(ROUNDUP((W$1)/10,0)*10,[1]Hugst!$R$4:$W$4,0))))</f>
        <v>0</v>
      </c>
      <c r="X237" s="169">
        <f ca="1">IF($C237-X$1&lt;År1,0,W236*(1-VLOOKUP($A237,[1]Hugst!$R$5:$W$9,MATCH(ROUNDUP((X$1)/10,0)*10,[1]Hugst!$R$4:$W$4,0))))</f>
        <v>0</v>
      </c>
      <c r="Y237" s="169">
        <f>IF($C237-Y$1&lt;År1,0,X236*(1-VLOOKUP($A237,[1]Hugst!$R$5:$W$9,MATCH(ROUNDUP((Y$1)/10,0)*10,[1]Hugst!$R$4:$W$4,0))))</f>
        <v>0</v>
      </c>
      <c r="Z237" s="169">
        <f>IF($C237-Z$1&lt;År1,0,Y236*(1-VLOOKUP($A237,[1]Hugst!$R$5:$W$9,MATCH(ROUNDUP((Z$1)/10,0)*10,[1]Hugst!$R$4:$W$4,0))))</f>
        <v>0</v>
      </c>
      <c r="AA237" s="169">
        <f>IF($C237-AA$1&lt;År1,0,Z236*(1-VLOOKUP($A237,[1]Hugst!$R$5:$W$9,MATCH(ROUNDUP((AA$1)/10,0)*10,[1]Hugst!$R$4:$W$4,0))))</f>
        <v>0</v>
      </c>
      <c r="AB237" s="169">
        <f>IF($C237-AB$1&lt;År1,0,AA236*(1-VLOOKUP($A237,[1]Hugst!$R$5:$W$9,MATCH(ROUNDUP((AB$1)/10,0)*10,[1]Hugst!$R$4:$W$4,0))))</f>
        <v>0</v>
      </c>
      <c r="AC237" s="169">
        <f>IF($C237-AC$1&lt;År1,0,AB236*(1-VLOOKUP($A237,[1]Hugst!$R$5:$W$9,MATCH(ROUNDUP((AC$1)/10,0)*10,[1]Hugst!$R$4:$W$4,0))))</f>
        <v>0</v>
      </c>
      <c r="AD237" s="169">
        <f>IF($C237-AD$1&lt;År1,0,AC236*(1-VLOOKUP($A237,[1]Hugst!$R$5:$W$9,MATCH(ROUNDUP((AD$1)/10,0)*10,[1]Hugst!$R$4:$W$4,0))))</f>
        <v>0</v>
      </c>
      <c r="AE237" s="169">
        <f>IF($C237-AE$1&lt;År1,0,AD236*(1-VLOOKUP($A237,[1]Hugst!$R$5:$W$9,MATCH(ROUNDUP((AE$1)/10,0)*10,[1]Hugst!$R$4:$W$4,0))))</f>
        <v>0</v>
      </c>
      <c r="AF237" s="169">
        <f>IF($C237-AF$1&lt;År1,0,AE236*(1-VLOOKUP($A237,[1]Hugst!$R$5:$W$9,MATCH(ROUNDUP((AF$1)/10,0)*10,[1]Hugst!$R$4:$W$4,0))))</f>
        <v>0</v>
      </c>
      <c r="AG237" s="169">
        <f>IF($C237-AG$1&lt;År1,0,AF236*(1-VLOOKUP($A237,[1]Hugst!$R$5:$W$9,MATCH(ROUNDUP((AG$1)/10,0)*10,[1]Hugst!$R$4:$W$4,0))))</f>
        <v>0</v>
      </c>
      <c r="AH237" s="169">
        <f>IF($C237-AH$1&lt;År1,0,AG236*(1-VLOOKUP($A237,[1]Hugst!$R$5:$W$9,MATCH(ROUNDUP((AH$1)/10,0)*10,[1]Hugst!$R$4:$W$4,0))))</f>
        <v>0</v>
      </c>
      <c r="AI237" s="169">
        <f>IF($C237-AI$1&lt;År1,0,AH236*(1-VLOOKUP($A237,[1]Hugst!$R$5:$W$9,MATCH(ROUNDUP((AI$1)/10,0)*10,[1]Hugst!$R$4:$W$4,0))))</f>
        <v>0</v>
      </c>
      <c r="AJ237" s="169">
        <f>IF($C237-AJ$1&lt;År1,0,AI236*(1-VLOOKUP($A237,[1]Hugst!$R$5:$W$9,MATCH(ROUNDUP((AJ$1)/10,0)*10,[1]Hugst!$R$4:$W$4,0))))</f>
        <v>0</v>
      </c>
    </row>
    <row r="238" spans="1:36" x14ac:dyDescent="0.25">
      <c r="A238" s="169" t="s">
        <v>179</v>
      </c>
      <c r="B238" s="169" t="s">
        <v>24</v>
      </c>
      <c r="C238" s="169">
        <v>2039</v>
      </c>
      <c r="D238" s="169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69">
        <f t="shared" ca="1" si="5"/>
        <v>0</v>
      </c>
      <c r="F238" s="169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9">
        <f ca="1">IF($C238-G$1&lt;År1,0,F237*(1-VLOOKUP($A238,[1]Hugst!$R$5:$W$9,MATCH(ROUNDUP((G$1)/10,0)*10,[1]Hugst!$R$4:$W$4,0))))</f>
        <v>0</v>
      </c>
      <c r="H238" s="169">
        <f ca="1">IF($C238-H$1&lt;År1,0,G237*(1-VLOOKUP($A238,[1]Hugst!$R$5:$W$9,MATCH(ROUNDUP((H$1)/10,0)*10,[1]Hugst!$R$4:$W$4,0))))</f>
        <v>0</v>
      </c>
      <c r="I238" s="169">
        <f ca="1">IF($C238-I$1&lt;År1,0,H237*(1-VLOOKUP($A238,[1]Hugst!$R$5:$W$9,MATCH(ROUNDUP((I$1)/10,0)*10,[1]Hugst!$R$4:$W$4,0))))</f>
        <v>0</v>
      </c>
      <c r="J238" s="169">
        <f ca="1">IF($C238-J$1&lt;År1,0,I237*(1-VLOOKUP($A238,[1]Hugst!$R$5:$W$9,MATCH(ROUNDUP((J$1)/10,0)*10,[1]Hugst!$R$4:$W$4,0))))</f>
        <v>0</v>
      </c>
      <c r="K238" s="169">
        <f ca="1">IF($C238-K$1&lt;År1,0,J237*(1-VLOOKUP($A238,[1]Hugst!$R$5:$W$9,MATCH(ROUNDUP((K$1)/10,0)*10,[1]Hugst!$R$4:$W$4,0))))</f>
        <v>0</v>
      </c>
      <c r="L238" s="169">
        <f ca="1">IF($C238-L$1&lt;År1,0,K237*(1-VLOOKUP($A238,[1]Hugst!$R$5:$W$9,MATCH(ROUNDUP((L$1)/10,0)*10,[1]Hugst!$R$4:$W$4,0))))</f>
        <v>0</v>
      </c>
      <c r="M238" s="169">
        <f ca="1">IF($C238-M$1&lt;År1,0,L237*(1-VLOOKUP($A238,[1]Hugst!$R$5:$W$9,MATCH(ROUNDUP((M$1)/10,0)*10,[1]Hugst!$R$4:$W$4,0))))</f>
        <v>0</v>
      </c>
      <c r="N238" s="169">
        <f ca="1">IF($C238-N$1&lt;År1,0,M237*(1-VLOOKUP($A238,[1]Hugst!$R$5:$W$9,MATCH(ROUNDUP((N$1)/10,0)*10,[1]Hugst!$R$4:$W$4,0))))</f>
        <v>0</v>
      </c>
      <c r="O238" s="169">
        <f ca="1">IF($C238-O$1&lt;År1,0,N237*(1-VLOOKUP($A238,[1]Hugst!$R$5:$W$9,MATCH(ROUNDUP((O$1)/10,0)*10,[1]Hugst!$R$4:$W$4,0))))</f>
        <v>0</v>
      </c>
      <c r="P238" s="169">
        <f ca="1">IF($C238-P$1&lt;År1,0,O237*(1-VLOOKUP($A238,[1]Hugst!$R$5:$W$9,MATCH(ROUNDUP((P$1)/10,0)*10,[1]Hugst!$R$4:$W$4,0))))</f>
        <v>0</v>
      </c>
      <c r="Q238" s="169">
        <f ca="1">IF($C238-Q$1&lt;År1,0,P237*(1-VLOOKUP($A238,[1]Hugst!$R$5:$W$9,MATCH(ROUNDUP((Q$1)/10,0)*10,[1]Hugst!$R$4:$W$4,0))))</f>
        <v>0</v>
      </c>
      <c r="R238" s="169">
        <f ca="1">IF($C238-R$1&lt;År1,0,Q237*(1-VLOOKUP($A238,[1]Hugst!$R$5:$W$9,MATCH(ROUNDUP((R$1)/10,0)*10,[1]Hugst!$R$4:$W$4,0))))</f>
        <v>0</v>
      </c>
      <c r="S238" s="169">
        <f ca="1">IF($C238-S$1&lt;År1,0,R237*(1-VLOOKUP($A238,[1]Hugst!$R$5:$W$9,MATCH(ROUNDUP((S$1)/10,0)*10,[1]Hugst!$R$4:$W$4,0))))</f>
        <v>0</v>
      </c>
      <c r="T238" s="169">
        <f ca="1">IF($C238-T$1&lt;År1,0,S237*(1-VLOOKUP($A238,[1]Hugst!$R$5:$W$9,MATCH(ROUNDUP((T$1)/10,0)*10,[1]Hugst!$R$4:$W$4,0))))</f>
        <v>0</v>
      </c>
      <c r="U238" s="169">
        <f ca="1">IF($C238-U$1&lt;År1,0,T237*(1-VLOOKUP($A238,[1]Hugst!$R$5:$W$9,MATCH(ROUNDUP((U$1)/10,0)*10,[1]Hugst!$R$4:$W$4,0))))</f>
        <v>0</v>
      </c>
      <c r="V238" s="169">
        <f ca="1">IF($C238-V$1&lt;År1,0,U237*(1-VLOOKUP($A238,[1]Hugst!$R$5:$W$9,MATCH(ROUNDUP((V$1)/10,0)*10,[1]Hugst!$R$4:$W$4,0))))</f>
        <v>0</v>
      </c>
      <c r="W238" s="169">
        <f ca="1">IF($C238-W$1&lt;År1,0,V237*(1-VLOOKUP($A238,[1]Hugst!$R$5:$W$9,MATCH(ROUNDUP((W$1)/10,0)*10,[1]Hugst!$R$4:$W$4,0))))</f>
        <v>0</v>
      </c>
      <c r="X238" s="169">
        <f ca="1">IF($C238-X$1&lt;År1,0,W237*(1-VLOOKUP($A238,[1]Hugst!$R$5:$W$9,MATCH(ROUNDUP((X$1)/10,0)*10,[1]Hugst!$R$4:$W$4,0))))</f>
        <v>0</v>
      </c>
      <c r="Y238" s="169">
        <f ca="1">IF($C238-Y$1&lt;År1,0,X237*(1-VLOOKUP($A238,[1]Hugst!$R$5:$W$9,MATCH(ROUNDUP((Y$1)/10,0)*10,[1]Hugst!$R$4:$W$4,0))))</f>
        <v>0</v>
      </c>
      <c r="Z238" s="169">
        <f>IF($C238-Z$1&lt;År1,0,Y237*(1-VLOOKUP($A238,[1]Hugst!$R$5:$W$9,MATCH(ROUNDUP((Z$1)/10,0)*10,[1]Hugst!$R$4:$W$4,0))))</f>
        <v>0</v>
      </c>
      <c r="AA238" s="169">
        <f>IF($C238-AA$1&lt;År1,0,Z237*(1-VLOOKUP($A238,[1]Hugst!$R$5:$W$9,MATCH(ROUNDUP((AA$1)/10,0)*10,[1]Hugst!$R$4:$W$4,0))))</f>
        <v>0</v>
      </c>
      <c r="AB238" s="169">
        <f>IF($C238-AB$1&lt;År1,0,AA237*(1-VLOOKUP($A238,[1]Hugst!$R$5:$W$9,MATCH(ROUNDUP((AB$1)/10,0)*10,[1]Hugst!$R$4:$W$4,0))))</f>
        <v>0</v>
      </c>
      <c r="AC238" s="169">
        <f>IF($C238-AC$1&lt;År1,0,AB237*(1-VLOOKUP($A238,[1]Hugst!$R$5:$W$9,MATCH(ROUNDUP((AC$1)/10,0)*10,[1]Hugst!$R$4:$W$4,0))))</f>
        <v>0</v>
      </c>
      <c r="AD238" s="169">
        <f>IF($C238-AD$1&lt;År1,0,AC237*(1-VLOOKUP($A238,[1]Hugst!$R$5:$W$9,MATCH(ROUNDUP((AD$1)/10,0)*10,[1]Hugst!$R$4:$W$4,0))))</f>
        <v>0</v>
      </c>
      <c r="AE238" s="169">
        <f>IF($C238-AE$1&lt;År1,0,AD237*(1-VLOOKUP($A238,[1]Hugst!$R$5:$W$9,MATCH(ROUNDUP((AE$1)/10,0)*10,[1]Hugst!$R$4:$W$4,0))))</f>
        <v>0</v>
      </c>
      <c r="AF238" s="169">
        <f>IF($C238-AF$1&lt;År1,0,AE237*(1-VLOOKUP($A238,[1]Hugst!$R$5:$W$9,MATCH(ROUNDUP((AF$1)/10,0)*10,[1]Hugst!$R$4:$W$4,0))))</f>
        <v>0</v>
      </c>
      <c r="AG238" s="169">
        <f>IF($C238-AG$1&lt;År1,0,AF237*(1-VLOOKUP($A238,[1]Hugst!$R$5:$W$9,MATCH(ROUNDUP((AG$1)/10,0)*10,[1]Hugst!$R$4:$W$4,0))))</f>
        <v>0</v>
      </c>
      <c r="AH238" s="169">
        <f>IF($C238-AH$1&lt;År1,0,AG237*(1-VLOOKUP($A238,[1]Hugst!$R$5:$W$9,MATCH(ROUNDUP((AH$1)/10,0)*10,[1]Hugst!$R$4:$W$4,0))))</f>
        <v>0</v>
      </c>
      <c r="AI238" s="169">
        <f>IF($C238-AI$1&lt;År1,0,AH237*(1-VLOOKUP($A238,[1]Hugst!$R$5:$W$9,MATCH(ROUNDUP((AI$1)/10,0)*10,[1]Hugst!$R$4:$W$4,0))))</f>
        <v>0</v>
      </c>
      <c r="AJ238" s="169">
        <f>IF($C238-AJ$1&lt;År1,0,AI237*(1-VLOOKUP($A238,[1]Hugst!$R$5:$W$9,MATCH(ROUNDUP((AJ$1)/10,0)*10,[1]Hugst!$R$4:$W$4,0))))</f>
        <v>0</v>
      </c>
    </row>
    <row r="239" spans="1:36" x14ac:dyDescent="0.25">
      <c r="A239" s="169" t="s">
        <v>179</v>
      </c>
      <c r="B239" s="169" t="s">
        <v>24</v>
      </c>
      <c r="C239" s="169">
        <v>2040</v>
      </c>
      <c r="D239" s="169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69">
        <f t="shared" ca="1" si="5"/>
        <v>0</v>
      </c>
      <c r="F239" s="169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9">
        <f ca="1">IF($C239-G$1&lt;År1,0,F238*(1-VLOOKUP($A239,[1]Hugst!$R$5:$W$9,MATCH(ROUNDUP((G$1)/10,0)*10,[1]Hugst!$R$4:$W$4,0))))</f>
        <v>0</v>
      </c>
      <c r="H239" s="169">
        <f ca="1">IF($C239-H$1&lt;År1,0,G238*(1-VLOOKUP($A239,[1]Hugst!$R$5:$W$9,MATCH(ROUNDUP((H$1)/10,0)*10,[1]Hugst!$R$4:$W$4,0))))</f>
        <v>0</v>
      </c>
      <c r="I239" s="169">
        <f ca="1">IF($C239-I$1&lt;År1,0,H238*(1-VLOOKUP($A239,[1]Hugst!$R$5:$W$9,MATCH(ROUNDUP((I$1)/10,0)*10,[1]Hugst!$R$4:$W$4,0))))</f>
        <v>0</v>
      </c>
      <c r="J239" s="169">
        <f ca="1">IF($C239-J$1&lt;År1,0,I238*(1-VLOOKUP($A239,[1]Hugst!$R$5:$W$9,MATCH(ROUNDUP((J$1)/10,0)*10,[1]Hugst!$R$4:$W$4,0))))</f>
        <v>0</v>
      </c>
      <c r="K239" s="169">
        <f ca="1">IF($C239-K$1&lt;År1,0,J238*(1-VLOOKUP($A239,[1]Hugst!$R$5:$W$9,MATCH(ROUNDUP((K$1)/10,0)*10,[1]Hugst!$R$4:$W$4,0))))</f>
        <v>0</v>
      </c>
      <c r="L239" s="169">
        <f ca="1">IF($C239-L$1&lt;År1,0,K238*(1-VLOOKUP($A239,[1]Hugst!$R$5:$W$9,MATCH(ROUNDUP((L$1)/10,0)*10,[1]Hugst!$R$4:$W$4,0))))</f>
        <v>0</v>
      </c>
      <c r="M239" s="169">
        <f ca="1">IF($C239-M$1&lt;År1,0,L238*(1-VLOOKUP($A239,[1]Hugst!$R$5:$W$9,MATCH(ROUNDUP((M$1)/10,0)*10,[1]Hugst!$R$4:$W$4,0))))</f>
        <v>0</v>
      </c>
      <c r="N239" s="169">
        <f ca="1">IF($C239-N$1&lt;År1,0,M238*(1-VLOOKUP($A239,[1]Hugst!$R$5:$W$9,MATCH(ROUNDUP((N$1)/10,0)*10,[1]Hugst!$R$4:$W$4,0))))</f>
        <v>0</v>
      </c>
      <c r="O239" s="169">
        <f ca="1">IF($C239-O$1&lt;År1,0,N238*(1-VLOOKUP($A239,[1]Hugst!$R$5:$W$9,MATCH(ROUNDUP((O$1)/10,0)*10,[1]Hugst!$R$4:$W$4,0))))</f>
        <v>0</v>
      </c>
      <c r="P239" s="169">
        <f ca="1">IF($C239-P$1&lt;År1,0,O238*(1-VLOOKUP($A239,[1]Hugst!$R$5:$W$9,MATCH(ROUNDUP((P$1)/10,0)*10,[1]Hugst!$R$4:$W$4,0))))</f>
        <v>0</v>
      </c>
      <c r="Q239" s="169">
        <f ca="1">IF($C239-Q$1&lt;År1,0,P238*(1-VLOOKUP($A239,[1]Hugst!$R$5:$W$9,MATCH(ROUNDUP((Q$1)/10,0)*10,[1]Hugst!$R$4:$W$4,0))))</f>
        <v>0</v>
      </c>
      <c r="R239" s="169">
        <f ca="1">IF($C239-R$1&lt;År1,0,Q238*(1-VLOOKUP($A239,[1]Hugst!$R$5:$W$9,MATCH(ROUNDUP((R$1)/10,0)*10,[1]Hugst!$R$4:$W$4,0))))</f>
        <v>0</v>
      </c>
      <c r="S239" s="169">
        <f ca="1">IF($C239-S$1&lt;År1,0,R238*(1-VLOOKUP($A239,[1]Hugst!$R$5:$W$9,MATCH(ROUNDUP((S$1)/10,0)*10,[1]Hugst!$R$4:$W$4,0))))</f>
        <v>0</v>
      </c>
      <c r="T239" s="169">
        <f ca="1">IF($C239-T$1&lt;År1,0,S238*(1-VLOOKUP($A239,[1]Hugst!$R$5:$W$9,MATCH(ROUNDUP((T$1)/10,0)*10,[1]Hugst!$R$4:$W$4,0))))</f>
        <v>0</v>
      </c>
      <c r="U239" s="169">
        <f ca="1">IF($C239-U$1&lt;År1,0,T238*(1-VLOOKUP($A239,[1]Hugst!$R$5:$W$9,MATCH(ROUNDUP((U$1)/10,0)*10,[1]Hugst!$R$4:$W$4,0))))</f>
        <v>0</v>
      </c>
      <c r="V239" s="169">
        <f ca="1">IF($C239-V$1&lt;År1,0,U238*(1-VLOOKUP($A239,[1]Hugst!$R$5:$W$9,MATCH(ROUNDUP((V$1)/10,0)*10,[1]Hugst!$R$4:$W$4,0))))</f>
        <v>0</v>
      </c>
      <c r="W239" s="169">
        <f ca="1">IF($C239-W$1&lt;År1,0,V238*(1-VLOOKUP($A239,[1]Hugst!$R$5:$W$9,MATCH(ROUNDUP((W$1)/10,0)*10,[1]Hugst!$R$4:$W$4,0))))</f>
        <v>0</v>
      </c>
      <c r="X239" s="169">
        <f ca="1">IF($C239-X$1&lt;År1,0,W238*(1-VLOOKUP($A239,[1]Hugst!$R$5:$W$9,MATCH(ROUNDUP((X$1)/10,0)*10,[1]Hugst!$R$4:$W$4,0))))</f>
        <v>0</v>
      </c>
      <c r="Y239" s="169">
        <f ca="1">IF($C239-Y$1&lt;År1,0,X238*(1-VLOOKUP($A239,[1]Hugst!$R$5:$W$9,MATCH(ROUNDUP((Y$1)/10,0)*10,[1]Hugst!$R$4:$W$4,0))))</f>
        <v>0</v>
      </c>
      <c r="Z239" s="169">
        <f ca="1">IF($C239-Z$1&lt;År1,0,Y238*(1-VLOOKUP($A239,[1]Hugst!$R$5:$W$9,MATCH(ROUNDUP((Z$1)/10,0)*10,[1]Hugst!$R$4:$W$4,0))))</f>
        <v>0</v>
      </c>
      <c r="AA239" s="169">
        <f>IF($C239-AA$1&lt;År1,0,Z238*(1-VLOOKUP($A239,[1]Hugst!$R$5:$W$9,MATCH(ROUNDUP((AA$1)/10,0)*10,[1]Hugst!$R$4:$W$4,0))))</f>
        <v>0</v>
      </c>
      <c r="AB239" s="169">
        <f>IF($C239-AB$1&lt;År1,0,AA238*(1-VLOOKUP($A239,[1]Hugst!$R$5:$W$9,MATCH(ROUNDUP((AB$1)/10,0)*10,[1]Hugst!$R$4:$W$4,0))))</f>
        <v>0</v>
      </c>
      <c r="AC239" s="169">
        <f>IF($C239-AC$1&lt;År1,0,AB238*(1-VLOOKUP($A239,[1]Hugst!$R$5:$W$9,MATCH(ROUNDUP((AC$1)/10,0)*10,[1]Hugst!$R$4:$W$4,0))))</f>
        <v>0</v>
      </c>
      <c r="AD239" s="169">
        <f>IF($C239-AD$1&lt;År1,0,AC238*(1-VLOOKUP($A239,[1]Hugst!$R$5:$W$9,MATCH(ROUNDUP((AD$1)/10,0)*10,[1]Hugst!$R$4:$W$4,0))))</f>
        <v>0</v>
      </c>
      <c r="AE239" s="169">
        <f>IF($C239-AE$1&lt;År1,0,AD238*(1-VLOOKUP($A239,[1]Hugst!$R$5:$W$9,MATCH(ROUNDUP((AE$1)/10,0)*10,[1]Hugst!$R$4:$W$4,0))))</f>
        <v>0</v>
      </c>
      <c r="AF239" s="169">
        <f>IF($C239-AF$1&lt;År1,0,AE238*(1-VLOOKUP($A239,[1]Hugst!$R$5:$W$9,MATCH(ROUNDUP((AF$1)/10,0)*10,[1]Hugst!$R$4:$W$4,0))))</f>
        <v>0</v>
      </c>
      <c r="AG239" s="169">
        <f>IF($C239-AG$1&lt;År1,0,AF238*(1-VLOOKUP($A239,[1]Hugst!$R$5:$W$9,MATCH(ROUNDUP((AG$1)/10,0)*10,[1]Hugst!$R$4:$W$4,0))))</f>
        <v>0</v>
      </c>
      <c r="AH239" s="169">
        <f>IF($C239-AH$1&lt;År1,0,AG238*(1-VLOOKUP($A239,[1]Hugst!$R$5:$W$9,MATCH(ROUNDUP((AH$1)/10,0)*10,[1]Hugst!$R$4:$W$4,0))))</f>
        <v>0</v>
      </c>
      <c r="AI239" s="169">
        <f>IF($C239-AI$1&lt;År1,0,AH238*(1-VLOOKUP($A239,[1]Hugst!$R$5:$W$9,MATCH(ROUNDUP((AI$1)/10,0)*10,[1]Hugst!$R$4:$W$4,0))))</f>
        <v>0</v>
      </c>
      <c r="AJ239" s="169">
        <f>IF($C239-AJ$1&lt;År1,0,AI238*(1-VLOOKUP($A239,[1]Hugst!$R$5:$W$9,MATCH(ROUNDUP((AJ$1)/10,0)*10,[1]Hugst!$R$4:$W$4,0))))</f>
        <v>0</v>
      </c>
    </row>
    <row r="240" spans="1:36" x14ac:dyDescent="0.25">
      <c r="A240" s="169" t="s">
        <v>179</v>
      </c>
      <c r="B240" s="169" t="s">
        <v>24</v>
      </c>
      <c r="C240" s="169">
        <v>2041</v>
      </c>
      <c r="D240" s="169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69">
        <f t="shared" ca="1" si="5"/>
        <v>0</v>
      </c>
      <c r="F240" s="169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9">
        <f ca="1">IF($C240-G$1&lt;År1,0,F239*(1-VLOOKUP($A240,[1]Hugst!$R$5:$W$9,MATCH(ROUNDUP((G$1)/10,0)*10,[1]Hugst!$R$4:$W$4,0))))</f>
        <v>0</v>
      </c>
      <c r="H240" s="169">
        <f ca="1">IF($C240-H$1&lt;År1,0,G239*(1-VLOOKUP($A240,[1]Hugst!$R$5:$W$9,MATCH(ROUNDUP((H$1)/10,0)*10,[1]Hugst!$R$4:$W$4,0))))</f>
        <v>0</v>
      </c>
      <c r="I240" s="169">
        <f ca="1">IF($C240-I$1&lt;År1,0,H239*(1-VLOOKUP($A240,[1]Hugst!$R$5:$W$9,MATCH(ROUNDUP((I$1)/10,0)*10,[1]Hugst!$R$4:$W$4,0))))</f>
        <v>0</v>
      </c>
      <c r="J240" s="169">
        <f ca="1">IF($C240-J$1&lt;År1,0,I239*(1-VLOOKUP($A240,[1]Hugst!$R$5:$W$9,MATCH(ROUNDUP((J$1)/10,0)*10,[1]Hugst!$R$4:$W$4,0))))</f>
        <v>0</v>
      </c>
      <c r="K240" s="169">
        <f ca="1">IF($C240-K$1&lt;År1,0,J239*(1-VLOOKUP($A240,[1]Hugst!$R$5:$W$9,MATCH(ROUNDUP((K$1)/10,0)*10,[1]Hugst!$R$4:$W$4,0))))</f>
        <v>0</v>
      </c>
      <c r="L240" s="169">
        <f ca="1">IF($C240-L$1&lt;År1,0,K239*(1-VLOOKUP($A240,[1]Hugst!$R$5:$W$9,MATCH(ROUNDUP((L$1)/10,0)*10,[1]Hugst!$R$4:$W$4,0))))</f>
        <v>0</v>
      </c>
      <c r="M240" s="169">
        <f ca="1">IF($C240-M$1&lt;År1,0,L239*(1-VLOOKUP($A240,[1]Hugst!$R$5:$W$9,MATCH(ROUNDUP((M$1)/10,0)*10,[1]Hugst!$R$4:$W$4,0))))</f>
        <v>0</v>
      </c>
      <c r="N240" s="169">
        <f ca="1">IF($C240-N$1&lt;År1,0,M239*(1-VLOOKUP($A240,[1]Hugst!$R$5:$W$9,MATCH(ROUNDUP((N$1)/10,0)*10,[1]Hugst!$R$4:$W$4,0))))</f>
        <v>0</v>
      </c>
      <c r="O240" s="169">
        <f ca="1">IF($C240-O$1&lt;År1,0,N239*(1-VLOOKUP($A240,[1]Hugst!$R$5:$W$9,MATCH(ROUNDUP((O$1)/10,0)*10,[1]Hugst!$R$4:$W$4,0))))</f>
        <v>0</v>
      </c>
      <c r="P240" s="169">
        <f ca="1">IF($C240-P$1&lt;År1,0,O239*(1-VLOOKUP($A240,[1]Hugst!$R$5:$W$9,MATCH(ROUNDUP((P$1)/10,0)*10,[1]Hugst!$R$4:$W$4,0))))</f>
        <v>0</v>
      </c>
      <c r="Q240" s="169">
        <f ca="1">IF($C240-Q$1&lt;År1,0,P239*(1-VLOOKUP($A240,[1]Hugst!$R$5:$W$9,MATCH(ROUNDUP((Q$1)/10,0)*10,[1]Hugst!$R$4:$W$4,0))))</f>
        <v>0</v>
      </c>
      <c r="R240" s="169">
        <f ca="1">IF($C240-R$1&lt;År1,0,Q239*(1-VLOOKUP($A240,[1]Hugst!$R$5:$W$9,MATCH(ROUNDUP((R$1)/10,0)*10,[1]Hugst!$R$4:$W$4,0))))</f>
        <v>0</v>
      </c>
      <c r="S240" s="169">
        <f ca="1">IF($C240-S$1&lt;År1,0,R239*(1-VLOOKUP($A240,[1]Hugst!$R$5:$W$9,MATCH(ROUNDUP((S$1)/10,0)*10,[1]Hugst!$R$4:$W$4,0))))</f>
        <v>0</v>
      </c>
      <c r="T240" s="169">
        <f ca="1">IF($C240-T$1&lt;År1,0,S239*(1-VLOOKUP($A240,[1]Hugst!$R$5:$W$9,MATCH(ROUNDUP((T$1)/10,0)*10,[1]Hugst!$R$4:$W$4,0))))</f>
        <v>0</v>
      </c>
      <c r="U240" s="169">
        <f ca="1">IF($C240-U$1&lt;År1,0,T239*(1-VLOOKUP($A240,[1]Hugst!$R$5:$W$9,MATCH(ROUNDUP((U$1)/10,0)*10,[1]Hugst!$R$4:$W$4,0))))</f>
        <v>0</v>
      </c>
      <c r="V240" s="169">
        <f ca="1">IF($C240-V$1&lt;År1,0,U239*(1-VLOOKUP($A240,[1]Hugst!$R$5:$W$9,MATCH(ROUNDUP((V$1)/10,0)*10,[1]Hugst!$R$4:$W$4,0))))</f>
        <v>0</v>
      </c>
      <c r="W240" s="169">
        <f ca="1">IF($C240-W$1&lt;År1,0,V239*(1-VLOOKUP($A240,[1]Hugst!$R$5:$W$9,MATCH(ROUNDUP((W$1)/10,0)*10,[1]Hugst!$R$4:$W$4,0))))</f>
        <v>0</v>
      </c>
      <c r="X240" s="169">
        <f ca="1">IF($C240-X$1&lt;År1,0,W239*(1-VLOOKUP($A240,[1]Hugst!$R$5:$W$9,MATCH(ROUNDUP((X$1)/10,0)*10,[1]Hugst!$R$4:$W$4,0))))</f>
        <v>0</v>
      </c>
      <c r="Y240" s="169">
        <f ca="1">IF($C240-Y$1&lt;År1,0,X239*(1-VLOOKUP($A240,[1]Hugst!$R$5:$W$9,MATCH(ROUNDUP((Y$1)/10,0)*10,[1]Hugst!$R$4:$W$4,0))))</f>
        <v>0</v>
      </c>
      <c r="Z240" s="169">
        <f ca="1">IF($C240-Z$1&lt;År1,0,Y239*(1-VLOOKUP($A240,[1]Hugst!$R$5:$W$9,MATCH(ROUNDUP((Z$1)/10,0)*10,[1]Hugst!$R$4:$W$4,0))))</f>
        <v>0</v>
      </c>
      <c r="AA240" s="169">
        <f ca="1">IF($C240-AA$1&lt;År1,0,Z239*(1-VLOOKUP($A240,[1]Hugst!$R$5:$W$9,MATCH(ROUNDUP((AA$1)/10,0)*10,[1]Hugst!$R$4:$W$4,0))))</f>
        <v>0</v>
      </c>
      <c r="AB240" s="169">
        <f>IF($C240-AB$1&lt;År1,0,AA239*(1-VLOOKUP($A240,[1]Hugst!$R$5:$W$9,MATCH(ROUNDUP((AB$1)/10,0)*10,[1]Hugst!$R$4:$W$4,0))))</f>
        <v>0</v>
      </c>
      <c r="AC240" s="169">
        <f>IF($C240-AC$1&lt;År1,0,AB239*(1-VLOOKUP($A240,[1]Hugst!$R$5:$W$9,MATCH(ROUNDUP((AC$1)/10,0)*10,[1]Hugst!$R$4:$W$4,0))))</f>
        <v>0</v>
      </c>
      <c r="AD240" s="169">
        <f>IF($C240-AD$1&lt;År1,0,AC239*(1-VLOOKUP($A240,[1]Hugst!$R$5:$W$9,MATCH(ROUNDUP((AD$1)/10,0)*10,[1]Hugst!$R$4:$W$4,0))))</f>
        <v>0</v>
      </c>
      <c r="AE240" s="169">
        <f>IF($C240-AE$1&lt;År1,0,AD239*(1-VLOOKUP($A240,[1]Hugst!$R$5:$W$9,MATCH(ROUNDUP((AE$1)/10,0)*10,[1]Hugst!$R$4:$W$4,0))))</f>
        <v>0</v>
      </c>
      <c r="AF240" s="169">
        <f>IF($C240-AF$1&lt;År1,0,AE239*(1-VLOOKUP($A240,[1]Hugst!$R$5:$W$9,MATCH(ROUNDUP((AF$1)/10,0)*10,[1]Hugst!$R$4:$W$4,0))))</f>
        <v>0</v>
      </c>
      <c r="AG240" s="169">
        <f>IF($C240-AG$1&lt;År1,0,AF239*(1-VLOOKUP($A240,[1]Hugst!$R$5:$W$9,MATCH(ROUNDUP((AG$1)/10,0)*10,[1]Hugst!$R$4:$W$4,0))))</f>
        <v>0</v>
      </c>
      <c r="AH240" s="169">
        <f>IF($C240-AH$1&lt;År1,0,AG239*(1-VLOOKUP($A240,[1]Hugst!$R$5:$W$9,MATCH(ROUNDUP((AH$1)/10,0)*10,[1]Hugst!$R$4:$W$4,0))))</f>
        <v>0</v>
      </c>
      <c r="AI240" s="169">
        <f>IF($C240-AI$1&lt;År1,0,AH239*(1-VLOOKUP($A240,[1]Hugst!$R$5:$W$9,MATCH(ROUNDUP((AI$1)/10,0)*10,[1]Hugst!$R$4:$W$4,0))))</f>
        <v>0</v>
      </c>
      <c r="AJ240" s="169">
        <f>IF($C240-AJ$1&lt;År1,0,AI239*(1-VLOOKUP($A240,[1]Hugst!$R$5:$W$9,MATCH(ROUNDUP((AJ$1)/10,0)*10,[1]Hugst!$R$4:$W$4,0))))</f>
        <v>0</v>
      </c>
    </row>
    <row r="241" spans="1:36" x14ac:dyDescent="0.25">
      <c r="A241" s="169" t="s">
        <v>179</v>
      </c>
      <c r="B241" s="169" t="s">
        <v>24</v>
      </c>
      <c r="C241" s="169">
        <v>2042</v>
      </c>
      <c r="D241" s="169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69">
        <f t="shared" ca="1" si="5"/>
        <v>0</v>
      </c>
      <c r="F241" s="169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9">
        <f ca="1">IF($C241-G$1&lt;År1,0,F240*(1-VLOOKUP($A241,[1]Hugst!$R$5:$W$9,MATCH(ROUNDUP((G$1)/10,0)*10,[1]Hugst!$R$4:$W$4,0))))</f>
        <v>0</v>
      </c>
      <c r="H241" s="169">
        <f ca="1">IF($C241-H$1&lt;År1,0,G240*(1-VLOOKUP($A241,[1]Hugst!$R$5:$W$9,MATCH(ROUNDUP((H$1)/10,0)*10,[1]Hugst!$R$4:$W$4,0))))</f>
        <v>0</v>
      </c>
      <c r="I241" s="169">
        <f ca="1">IF($C241-I$1&lt;År1,0,H240*(1-VLOOKUP($A241,[1]Hugst!$R$5:$W$9,MATCH(ROUNDUP((I$1)/10,0)*10,[1]Hugst!$R$4:$W$4,0))))</f>
        <v>0</v>
      </c>
      <c r="J241" s="169">
        <f ca="1">IF($C241-J$1&lt;År1,0,I240*(1-VLOOKUP($A241,[1]Hugst!$R$5:$W$9,MATCH(ROUNDUP((J$1)/10,0)*10,[1]Hugst!$R$4:$W$4,0))))</f>
        <v>0</v>
      </c>
      <c r="K241" s="169">
        <f ca="1">IF($C241-K$1&lt;År1,0,J240*(1-VLOOKUP($A241,[1]Hugst!$R$5:$W$9,MATCH(ROUNDUP((K$1)/10,0)*10,[1]Hugst!$R$4:$W$4,0))))</f>
        <v>0</v>
      </c>
      <c r="L241" s="169">
        <f ca="1">IF($C241-L$1&lt;År1,0,K240*(1-VLOOKUP($A241,[1]Hugst!$R$5:$W$9,MATCH(ROUNDUP((L$1)/10,0)*10,[1]Hugst!$R$4:$W$4,0))))</f>
        <v>0</v>
      </c>
      <c r="M241" s="169">
        <f ca="1">IF($C241-M$1&lt;År1,0,L240*(1-VLOOKUP($A241,[1]Hugst!$R$5:$W$9,MATCH(ROUNDUP((M$1)/10,0)*10,[1]Hugst!$R$4:$W$4,0))))</f>
        <v>0</v>
      </c>
      <c r="N241" s="169">
        <f ca="1">IF($C241-N$1&lt;År1,0,M240*(1-VLOOKUP($A241,[1]Hugst!$R$5:$W$9,MATCH(ROUNDUP((N$1)/10,0)*10,[1]Hugst!$R$4:$W$4,0))))</f>
        <v>0</v>
      </c>
      <c r="O241" s="169">
        <f ca="1">IF($C241-O$1&lt;År1,0,N240*(1-VLOOKUP($A241,[1]Hugst!$R$5:$W$9,MATCH(ROUNDUP((O$1)/10,0)*10,[1]Hugst!$R$4:$W$4,0))))</f>
        <v>0</v>
      </c>
      <c r="P241" s="169">
        <f ca="1">IF($C241-P$1&lt;År1,0,O240*(1-VLOOKUP($A241,[1]Hugst!$R$5:$W$9,MATCH(ROUNDUP((P$1)/10,0)*10,[1]Hugst!$R$4:$W$4,0))))</f>
        <v>0</v>
      </c>
      <c r="Q241" s="169">
        <f ca="1">IF($C241-Q$1&lt;År1,0,P240*(1-VLOOKUP($A241,[1]Hugst!$R$5:$W$9,MATCH(ROUNDUP((Q$1)/10,0)*10,[1]Hugst!$R$4:$W$4,0))))</f>
        <v>0</v>
      </c>
      <c r="R241" s="169">
        <f ca="1">IF($C241-R$1&lt;År1,0,Q240*(1-VLOOKUP($A241,[1]Hugst!$R$5:$W$9,MATCH(ROUNDUP((R$1)/10,0)*10,[1]Hugst!$R$4:$W$4,0))))</f>
        <v>0</v>
      </c>
      <c r="S241" s="169">
        <f ca="1">IF($C241-S$1&lt;År1,0,R240*(1-VLOOKUP($A241,[1]Hugst!$R$5:$W$9,MATCH(ROUNDUP((S$1)/10,0)*10,[1]Hugst!$R$4:$W$4,0))))</f>
        <v>0</v>
      </c>
      <c r="T241" s="169">
        <f ca="1">IF($C241-T$1&lt;År1,0,S240*(1-VLOOKUP($A241,[1]Hugst!$R$5:$W$9,MATCH(ROUNDUP((T$1)/10,0)*10,[1]Hugst!$R$4:$W$4,0))))</f>
        <v>0</v>
      </c>
      <c r="U241" s="169">
        <f ca="1">IF($C241-U$1&lt;År1,0,T240*(1-VLOOKUP($A241,[1]Hugst!$R$5:$W$9,MATCH(ROUNDUP((U$1)/10,0)*10,[1]Hugst!$R$4:$W$4,0))))</f>
        <v>0</v>
      </c>
      <c r="V241" s="169">
        <f ca="1">IF($C241-V$1&lt;År1,0,U240*(1-VLOOKUP($A241,[1]Hugst!$R$5:$W$9,MATCH(ROUNDUP((V$1)/10,0)*10,[1]Hugst!$R$4:$W$4,0))))</f>
        <v>0</v>
      </c>
      <c r="W241" s="169">
        <f ca="1">IF($C241-W$1&lt;År1,0,V240*(1-VLOOKUP($A241,[1]Hugst!$R$5:$W$9,MATCH(ROUNDUP((W$1)/10,0)*10,[1]Hugst!$R$4:$W$4,0))))</f>
        <v>0</v>
      </c>
      <c r="X241" s="169">
        <f ca="1">IF($C241-X$1&lt;År1,0,W240*(1-VLOOKUP($A241,[1]Hugst!$R$5:$W$9,MATCH(ROUNDUP((X$1)/10,0)*10,[1]Hugst!$R$4:$W$4,0))))</f>
        <v>0</v>
      </c>
      <c r="Y241" s="169">
        <f ca="1">IF($C241-Y$1&lt;År1,0,X240*(1-VLOOKUP($A241,[1]Hugst!$R$5:$W$9,MATCH(ROUNDUP((Y$1)/10,0)*10,[1]Hugst!$R$4:$W$4,0))))</f>
        <v>0</v>
      </c>
      <c r="Z241" s="169">
        <f ca="1">IF($C241-Z$1&lt;År1,0,Y240*(1-VLOOKUP($A241,[1]Hugst!$R$5:$W$9,MATCH(ROUNDUP((Z$1)/10,0)*10,[1]Hugst!$R$4:$W$4,0))))</f>
        <v>0</v>
      </c>
      <c r="AA241" s="169">
        <f ca="1">IF($C241-AA$1&lt;År1,0,Z240*(1-VLOOKUP($A241,[1]Hugst!$R$5:$W$9,MATCH(ROUNDUP((AA$1)/10,0)*10,[1]Hugst!$R$4:$W$4,0))))</f>
        <v>0</v>
      </c>
      <c r="AB241" s="169">
        <f ca="1">IF($C241-AB$1&lt;År1,0,AA240*(1-VLOOKUP($A241,[1]Hugst!$R$5:$W$9,MATCH(ROUNDUP((AB$1)/10,0)*10,[1]Hugst!$R$4:$W$4,0))))</f>
        <v>0</v>
      </c>
      <c r="AC241" s="169">
        <f>IF($C241-AC$1&lt;År1,0,AB240*(1-VLOOKUP($A241,[1]Hugst!$R$5:$W$9,MATCH(ROUNDUP((AC$1)/10,0)*10,[1]Hugst!$R$4:$W$4,0))))</f>
        <v>0</v>
      </c>
      <c r="AD241" s="169">
        <f>IF($C241-AD$1&lt;År1,0,AC240*(1-VLOOKUP($A241,[1]Hugst!$R$5:$W$9,MATCH(ROUNDUP((AD$1)/10,0)*10,[1]Hugst!$R$4:$W$4,0))))</f>
        <v>0</v>
      </c>
      <c r="AE241" s="169">
        <f>IF($C241-AE$1&lt;År1,0,AD240*(1-VLOOKUP($A241,[1]Hugst!$R$5:$W$9,MATCH(ROUNDUP((AE$1)/10,0)*10,[1]Hugst!$R$4:$W$4,0))))</f>
        <v>0</v>
      </c>
      <c r="AF241" s="169">
        <f>IF($C241-AF$1&lt;År1,0,AE240*(1-VLOOKUP($A241,[1]Hugst!$R$5:$W$9,MATCH(ROUNDUP((AF$1)/10,0)*10,[1]Hugst!$R$4:$W$4,0))))</f>
        <v>0</v>
      </c>
      <c r="AG241" s="169">
        <f>IF($C241-AG$1&lt;År1,0,AF240*(1-VLOOKUP($A241,[1]Hugst!$R$5:$W$9,MATCH(ROUNDUP((AG$1)/10,0)*10,[1]Hugst!$R$4:$W$4,0))))</f>
        <v>0</v>
      </c>
      <c r="AH241" s="169">
        <f>IF($C241-AH$1&lt;År1,0,AG240*(1-VLOOKUP($A241,[1]Hugst!$R$5:$W$9,MATCH(ROUNDUP((AH$1)/10,0)*10,[1]Hugst!$R$4:$W$4,0))))</f>
        <v>0</v>
      </c>
      <c r="AI241" s="169">
        <f>IF($C241-AI$1&lt;År1,0,AH240*(1-VLOOKUP($A241,[1]Hugst!$R$5:$W$9,MATCH(ROUNDUP((AI$1)/10,0)*10,[1]Hugst!$R$4:$W$4,0))))</f>
        <v>0</v>
      </c>
      <c r="AJ241" s="169">
        <f>IF($C241-AJ$1&lt;År1,0,AI240*(1-VLOOKUP($A241,[1]Hugst!$R$5:$W$9,MATCH(ROUNDUP((AJ$1)/10,0)*10,[1]Hugst!$R$4:$W$4,0))))</f>
        <v>0</v>
      </c>
    </row>
    <row r="242" spans="1:36" x14ac:dyDescent="0.25">
      <c r="A242" s="169" t="s">
        <v>179</v>
      </c>
      <c r="B242" s="169" t="s">
        <v>24</v>
      </c>
      <c r="C242" s="169">
        <v>2043</v>
      </c>
      <c r="D242" s="169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69">
        <f t="shared" ca="1" si="5"/>
        <v>0</v>
      </c>
      <c r="F242" s="169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9">
        <f ca="1">IF($C242-G$1&lt;År1,0,F241*(1-VLOOKUP($A242,[1]Hugst!$R$5:$W$9,MATCH(ROUNDUP((G$1)/10,0)*10,[1]Hugst!$R$4:$W$4,0))))</f>
        <v>0</v>
      </c>
      <c r="H242" s="169">
        <f ca="1">IF($C242-H$1&lt;År1,0,G241*(1-VLOOKUP($A242,[1]Hugst!$R$5:$W$9,MATCH(ROUNDUP((H$1)/10,0)*10,[1]Hugst!$R$4:$W$4,0))))</f>
        <v>0</v>
      </c>
      <c r="I242" s="169">
        <f ca="1">IF($C242-I$1&lt;År1,0,H241*(1-VLOOKUP($A242,[1]Hugst!$R$5:$W$9,MATCH(ROUNDUP((I$1)/10,0)*10,[1]Hugst!$R$4:$W$4,0))))</f>
        <v>0</v>
      </c>
      <c r="J242" s="169">
        <f ca="1">IF($C242-J$1&lt;År1,0,I241*(1-VLOOKUP($A242,[1]Hugst!$R$5:$W$9,MATCH(ROUNDUP((J$1)/10,0)*10,[1]Hugst!$R$4:$W$4,0))))</f>
        <v>0</v>
      </c>
      <c r="K242" s="169">
        <f ca="1">IF($C242-K$1&lt;År1,0,J241*(1-VLOOKUP($A242,[1]Hugst!$R$5:$W$9,MATCH(ROUNDUP((K$1)/10,0)*10,[1]Hugst!$R$4:$W$4,0))))</f>
        <v>0</v>
      </c>
      <c r="L242" s="169">
        <f ca="1">IF($C242-L$1&lt;År1,0,K241*(1-VLOOKUP($A242,[1]Hugst!$R$5:$W$9,MATCH(ROUNDUP((L$1)/10,0)*10,[1]Hugst!$R$4:$W$4,0))))</f>
        <v>0</v>
      </c>
      <c r="M242" s="169">
        <f ca="1">IF($C242-M$1&lt;År1,0,L241*(1-VLOOKUP($A242,[1]Hugst!$R$5:$W$9,MATCH(ROUNDUP((M$1)/10,0)*10,[1]Hugst!$R$4:$W$4,0))))</f>
        <v>0</v>
      </c>
      <c r="N242" s="169">
        <f ca="1">IF($C242-N$1&lt;År1,0,M241*(1-VLOOKUP($A242,[1]Hugst!$R$5:$W$9,MATCH(ROUNDUP((N$1)/10,0)*10,[1]Hugst!$R$4:$W$4,0))))</f>
        <v>0</v>
      </c>
      <c r="O242" s="169">
        <f ca="1">IF($C242-O$1&lt;År1,0,N241*(1-VLOOKUP($A242,[1]Hugst!$R$5:$W$9,MATCH(ROUNDUP((O$1)/10,0)*10,[1]Hugst!$R$4:$W$4,0))))</f>
        <v>0</v>
      </c>
      <c r="P242" s="169">
        <f ca="1">IF($C242-P$1&lt;År1,0,O241*(1-VLOOKUP($A242,[1]Hugst!$R$5:$W$9,MATCH(ROUNDUP((P$1)/10,0)*10,[1]Hugst!$R$4:$W$4,0))))</f>
        <v>0</v>
      </c>
      <c r="Q242" s="169">
        <f ca="1">IF($C242-Q$1&lt;År1,0,P241*(1-VLOOKUP($A242,[1]Hugst!$R$5:$W$9,MATCH(ROUNDUP((Q$1)/10,0)*10,[1]Hugst!$R$4:$W$4,0))))</f>
        <v>0</v>
      </c>
      <c r="R242" s="169">
        <f ca="1">IF($C242-R$1&lt;År1,0,Q241*(1-VLOOKUP($A242,[1]Hugst!$R$5:$W$9,MATCH(ROUNDUP((R$1)/10,0)*10,[1]Hugst!$R$4:$W$4,0))))</f>
        <v>0</v>
      </c>
      <c r="S242" s="169">
        <f ca="1">IF($C242-S$1&lt;År1,0,R241*(1-VLOOKUP($A242,[1]Hugst!$R$5:$W$9,MATCH(ROUNDUP((S$1)/10,0)*10,[1]Hugst!$R$4:$W$4,0))))</f>
        <v>0</v>
      </c>
      <c r="T242" s="169">
        <f ca="1">IF($C242-T$1&lt;År1,0,S241*(1-VLOOKUP($A242,[1]Hugst!$R$5:$W$9,MATCH(ROUNDUP((T$1)/10,0)*10,[1]Hugst!$R$4:$W$4,0))))</f>
        <v>0</v>
      </c>
      <c r="U242" s="169">
        <f ca="1">IF($C242-U$1&lt;År1,0,T241*(1-VLOOKUP($A242,[1]Hugst!$R$5:$W$9,MATCH(ROUNDUP((U$1)/10,0)*10,[1]Hugst!$R$4:$W$4,0))))</f>
        <v>0</v>
      </c>
      <c r="V242" s="169">
        <f ca="1">IF($C242-V$1&lt;År1,0,U241*(1-VLOOKUP($A242,[1]Hugst!$R$5:$W$9,MATCH(ROUNDUP((V$1)/10,0)*10,[1]Hugst!$R$4:$W$4,0))))</f>
        <v>0</v>
      </c>
      <c r="W242" s="169">
        <f ca="1">IF($C242-W$1&lt;År1,0,V241*(1-VLOOKUP($A242,[1]Hugst!$R$5:$W$9,MATCH(ROUNDUP((W$1)/10,0)*10,[1]Hugst!$R$4:$W$4,0))))</f>
        <v>0</v>
      </c>
      <c r="X242" s="169">
        <f ca="1">IF($C242-X$1&lt;År1,0,W241*(1-VLOOKUP($A242,[1]Hugst!$R$5:$W$9,MATCH(ROUNDUP((X$1)/10,0)*10,[1]Hugst!$R$4:$W$4,0))))</f>
        <v>0</v>
      </c>
      <c r="Y242" s="169">
        <f ca="1">IF($C242-Y$1&lt;År1,0,X241*(1-VLOOKUP($A242,[1]Hugst!$R$5:$W$9,MATCH(ROUNDUP((Y$1)/10,0)*10,[1]Hugst!$R$4:$W$4,0))))</f>
        <v>0</v>
      </c>
      <c r="Z242" s="169">
        <f ca="1">IF($C242-Z$1&lt;År1,0,Y241*(1-VLOOKUP($A242,[1]Hugst!$R$5:$W$9,MATCH(ROUNDUP((Z$1)/10,0)*10,[1]Hugst!$R$4:$W$4,0))))</f>
        <v>0</v>
      </c>
      <c r="AA242" s="169">
        <f ca="1">IF($C242-AA$1&lt;År1,0,Z241*(1-VLOOKUP($A242,[1]Hugst!$R$5:$W$9,MATCH(ROUNDUP((AA$1)/10,0)*10,[1]Hugst!$R$4:$W$4,0))))</f>
        <v>0</v>
      </c>
      <c r="AB242" s="169">
        <f ca="1">IF($C242-AB$1&lt;År1,0,AA241*(1-VLOOKUP($A242,[1]Hugst!$R$5:$W$9,MATCH(ROUNDUP((AB$1)/10,0)*10,[1]Hugst!$R$4:$W$4,0))))</f>
        <v>0</v>
      </c>
      <c r="AC242" s="169">
        <f ca="1">IF($C242-AC$1&lt;År1,0,AB241*(1-VLOOKUP($A242,[1]Hugst!$R$5:$W$9,MATCH(ROUNDUP((AC$1)/10,0)*10,[1]Hugst!$R$4:$W$4,0))))</f>
        <v>0</v>
      </c>
      <c r="AD242" s="169">
        <f>IF($C242-AD$1&lt;År1,0,AC241*(1-VLOOKUP($A242,[1]Hugst!$R$5:$W$9,MATCH(ROUNDUP((AD$1)/10,0)*10,[1]Hugst!$R$4:$W$4,0))))</f>
        <v>0</v>
      </c>
      <c r="AE242" s="169">
        <f>IF($C242-AE$1&lt;År1,0,AD241*(1-VLOOKUP($A242,[1]Hugst!$R$5:$W$9,MATCH(ROUNDUP((AE$1)/10,0)*10,[1]Hugst!$R$4:$W$4,0))))</f>
        <v>0</v>
      </c>
      <c r="AF242" s="169">
        <f>IF($C242-AF$1&lt;År1,0,AE241*(1-VLOOKUP($A242,[1]Hugst!$R$5:$W$9,MATCH(ROUNDUP((AF$1)/10,0)*10,[1]Hugst!$R$4:$W$4,0))))</f>
        <v>0</v>
      </c>
      <c r="AG242" s="169">
        <f>IF($C242-AG$1&lt;År1,0,AF241*(1-VLOOKUP($A242,[1]Hugst!$R$5:$W$9,MATCH(ROUNDUP((AG$1)/10,0)*10,[1]Hugst!$R$4:$W$4,0))))</f>
        <v>0</v>
      </c>
      <c r="AH242" s="169">
        <f>IF($C242-AH$1&lt;År1,0,AG241*(1-VLOOKUP($A242,[1]Hugst!$R$5:$W$9,MATCH(ROUNDUP((AH$1)/10,0)*10,[1]Hugst!$R$4:$W$4,0))))</f>
        <v>0</v>
      </c>
      <c r="AI242" s="169">
        <f>IF($C242-AI$1&lt;År1,0,AH241*(1-VLOOKUP($A242,[1]Hugst!$R$5:$W$9,MATCH(ROUNDUP((AI$1)/10,0)*10,[1]Hugst!$R$4:$W$4,0))))</f>
        <v>0</v>
      </c>
      <c r="AJ242" s="169">
        <f>IF($C242-AJ$1&lt;År1,0,AI241*(1-VLOOKUP($A242,[1]Hugst!$R$5:$W$9,MATCH(ROUNDUP((AJ$1)/10,0)*10,[1]Hugst!$R$4:$W$4,0))))</f>
        <v>0</v>
      </c>
    </row>
    <row r="243" spans="1:36" x14ac:dyDescent="0.25">
      <c r="A243" s="169" t="s">
        <v>179</v>
      </c>
      <c r="B243" s="169" t="s">
        <v>24</v>
      </c>
      <c r="C243" s="169">
        <v>2044</v>
      </c>
      <c r="D243" s="169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69">
        <f t="shared" ca="1" si="5"/>
        <v>0</v>
      </c>
      <c r="F243" s="169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9">
        <f ca="1">IF($C243-G$1&lt;År1,0,F242*(1-VLOOKUP($A243,[1]Hugst!$R$5:$W$9,MATCH(ROUNDUP((G$1)/10,0)*10,[1]Hugst!$R$4:$W$4,0))))</f>
        <v>0</v>
      </c>
      <c r="H243" s="169">
        <f ca="1">IF($C243-H$1&lt;År1,0,G242*(1-VLOOKUP($A243,[1]Hugst!$R$5:$W$9,MATCH(ROUNDUP((H$1)/10,0)*10,[1]Hugst!$R$4:$W$4,0))))</f>
        <v>0</v>
      </c>
      <c r="I243" s="169">
        <f ca="1">IF($C243-I$1&lt;År1,0,H242*(1-VLOOKUP($A243,[1]Hugst!$R$5:$W$9,MATCH(ROUNDUP((I$1)/10,0)*10,[1]Hugst!$R$4:$W$4,0))))</f>
        <v>0</v>
      </c>
      <c r="J243" s="169">
        <f ca="1">IF($C243-J$1&lt;År1,0,I242*(1-VLOOKUP($A243,[1]Hugst!$R$5:$W$9,MATCH(ROUNDUP((J$1)/10,0)*10,[1]Hugst!$R$4:$W$4,0))))</f>
        <v>0</v>
      </c>
      <c r="K243" s="169">
        <f ca="1">IF($C243-K$1&lt;År1,0,J242*(1-VLOOKUP($A243,[1]Hugst!$R$5:$W$9,MATCH(ROUNDUP((K$1)/10,0)*10,[1]Hugst!$R$4:$W$4,0))))</f>
        <v>0</v>
      </c>
      <c r="L243" s="169">
        <f ca="1">IF($C243-L$1&lt;År1,0,K242*(1-VLOOKUP($A243,[1]Hugst!$R$5:$W$9,MATCH(ROUNDUP((L$1)/10,0)*10,[1]Hugst!$R$4:$W$4,0))))</f>
        <v>0</v>
      </c>
      <c r="M243" s="169">
        <f ca="1">IF($C243-M$1&lt;År1,0,L242*(1-VLOOKUP($A243,[1]Hugst!$R$5:$W$9,MATCH(ROUNDUP((M$1)/10,0)*10,[1]Hugst!$R$4:$W$4,0))))</f>
        <v>0</v>
      </c>
      <c r="N243" s="169">
        <f ca="1">IF($C243-N$1&lt;År1,0,M242*(1-VLOOKUP($A243,[1]Hugst!$R$5:$W$9,MATCH(ROUNDUP((N$1)/10,0)*10,[1]Hugst!$R$4:$W$4,0))))</f>
        <v>0</v>
      </c>
      <c r="O243" s="169">
        <f ca="1">IF($C243-O$1&lt;År1,0,N242*(1-VLOOKUP($A243,[1]Hugst!$R$5:$W$9,MATCH(ROUNDUP((O$1)/10,0)*10,[1]Hugst!$R$4:$W$4,0))))</f>
        <v>0</v>
      </c>
      <c r="P243" s="169">
        <f ca="1">IF($C243-P$1&lt;År1,0,O242*(1-VLOOKUP($A243,[1]Hugst!$R$5:$W$9,MATCH(ROUNDUP((P$1)/10,0)*10,[1]Hugst!$R$4:$W$4,0))))</f>
        <v>0</v>
      </c>
      <c r="Q243" s="169">
        <f ca="1">IF($C243-Q$1&lt;År1,0,P242*(1-VLOOKUP($A243,[1]Hugst!$R$5:$W$9,MATCH(ROUNDUP((Q$1)/10,0)*10,[1]Hugst!$R$4:$W$4,0))))</f>
        <v>0</v>
      </c>
      <c r="R243" s="169">
        <f ca="1">IF($C243-R$1&lt;År1,0,Q242*(1-VLOOKUP($A243,[1]Hugst!$R$5:$W$9,MATCH(ROUNDUP((R$1)/10,0)*10,[1]Hugst!$R$4:$W$4,0))))</f>
        <v>0</v>
      </c>
      <c r="S243" s="169">
        <f ca="1">IF($C243-S$1&lt;År1,0,R242*(1-VLOOKUP($A243,[1]Hugst!$R$5:$W$9,MATCH(ROUNDUP((S$1)/10,0)*10,[1]Hugst!$R$4:$W$4,0))))</f>
        <v>0</v>
      </c>
      <c r="T243" s="169">
        <f ca="1">IF($C243-T$1&lt;År1,0,S242*(1-VLOOKUP($A243,[1]Hugst!$R$5:$W$9,MATCH(ROUNDUP((T$1)/10,0)*10,[1]Hugst!$R$4:$W$4,0))))</f>
        <v>0</v>
      </c>
      <c r="U243" s="169">
        <f ca="1">IF($C243-U$1&lt;År1,0,T242*(1-VLOOKUP($A243,[1]Hugst!$R$5:$W$9,MATCH(ROUNDUP((U$1)/10,0)*10,[1]Hugst!$R$4:$W$4,0))))</f>
        <v>0</v>
      </c>
      <c r="V243" s="169">
        <f ca="1">IF($C243-V$1&lt;År1,0,U242*(1-VLOOKUP($A243,[1]Hugst!$R$5:$W$9,MATCH(ROUNDUP((V$1)/10,0)*10,[1]Hugst!$R$4:$W$4,0))))</f>
        <v>0</v>
      </c>
      <c r="W243" s="169">
        <f ca="1">IF($C243-W$1&lt;År1,0,V242*(1-VLOOKUP($A243,[1]Hugst!$R$5:$W$9,MATCH(ROUNDUP((W$1)/10,0)*10,[1]Hugst!$R$4:$W$4,0))))</f>
        <v>0</v>
      </c>
      <c r="X243" s="169">
        <f ca="1">IF($C243-X$1&lt;År1,0,W242*(1-VLOOKUP($A243,[1]Hugst!$R$5:$W$9,MATCH(ROUNDUP((X$1)/10,0)*10,[1]Hugst!$R$4:$W$4,0))))</f>
        <v>0</v>
      </c>
      <c r="Y243" s="169">
        <f ca="1">IF($C243-Y$1&lt;År1,0,X242*(1-VLOOKUP($A243,[1]Hugst!$R$5:$W$9,MATCH(ROUNDUP((Y$1)/10,0)*10,[1]Hugst!$R$4:$W$4,0))))</f>
        <v>0</v>
      </c>
      <c r="Z243" s="169">
        <f ca="1">IF($C243-Z$1&lt;År1,0,Y242*(1-VLOOKUP($A243,[1]Hugst!$R$5:$W$9,MATCH(ROUNDUP((Z$1)/10,0)*10,[1]Hugst!$R$4:$W$4,0))))</f>
        <v>0</v>
      </c>
      <c r="AA243" s="169">
        <f ca="1">IF($C243-AA$1&lt;År1,0,Z242*(1-VLOOKUP($A243,[1]Hugst!$R$5:$W$9,MATCH(ROUNDUP((AA$1)/10,0)*10,[1]Hugst!$R$4:$W$4,0))))</f>
        <v>0</v>
      </c>
      <c r="AB243" s="169">
        <f ca="1">IF($C243-AB$1&lt;År1,0,AA242*(1-VLOOKUP($A243,[1]Hugst!$R$5:$W$9,MATCH(ROUNDUP((AB$1)/10,0)*10,[1]Hugst!$R$4:$W$4,0))))</f>
        <v>0</v>
      </c>
      <c r="AC243" s="169">
        <f ca="1">IF($C243-AC$1&lt;År1,0,AB242*(1-VLOOKUP($A243,[1]Hugst!$R$5:$W$9,MATCH(ROUNDUP((AC$1)/10,0)*10,[1]Hugst!$R$4:$W$4,0))))</f>
        <v>0</v>
      </c>
      <c r="AD243" s="169">
        <f ca="1">IF($C243-AD$1&lt;År1,0,AC242*(1-VLOOKUP($A243,[1]Hugst!$R$5:$W$9,MATCH(ROUNDUP((AD$1)/10,0)*10,[1]Hugst!$R$4:$W$4,0))))</f>
        <v>0</v>
      </c>
      <c r="AE243" s="169">
        <f>IF($C243-AE$1&lt;År1,0,AD242*(1-VLOOKUP($A243,[1]Hugst!$R$5:$W$9,MATCH(ROUNDUP((AE$1)/10,0)*10,[1]Hugst!$R$4:$W$4,0))))</f>
        <v>0</v>
      </c>
      <c r="AF243" s="169">
        <f>IF($C243-AF$1&lt;År1,0,AE242*(1-VLOOKUP($A243,[1]Hugst!$R$5:$W$9,MATCH(ROUNDUP((AF$1)/10,0)*10,[1]Hugst!$R$4:$W$4,0))))</f>
        <v>0</v>
      </c>
      <c r="AG243" s="169">
        <f>IF($C243-AG$1&lt;År1,0,AF242*(1-VLOOKUP($A243,[1]Hugst!$R$5:$W$9,MATCH(ROUNDUP((AG$1)/10,0)*10,[1]Hugst!$R$4:$W$4,0))))</f>
        <v>0</v>
      </c>
      <c r="AH243" s="169">
        <f>IF($C243-AH$1&lt;År1,0,AG242*(1-VLOOKUP($A243,[1]Hugst!$R$5:$W$9,MATCH(ROUNDUP((AH$1)/10,0)*10,[1]Hugst!$R$4:$W$4,0))))</f>
        <v>0</v>
      </c>
      <c r="AI243" s="169">
        <f>IF($C243-AI$1&lt;År1,0,AH242*(1-VLOOKUP($A243,[1]Hugst!$R$5:$W$9,MATCH(ROUNDUP((AI$1)/10,0)*10,[1]Hugst!$R$4:$W$4,0))))</f>
        <v>0</v>
      </c>
      <c r="AJ243" s="169">
        <f>IF($C243-AJ$1&lt;År1,0,AI242*(1-VLOOKUP($A243,[1]Hugst!$R$5:$W$9,MATCH(ROUNDUP((AJ$1)/10,0)*10,[1]Hugst!$R$4:$W$4,0))))</f>
        <v>0</v>
      </c>
    </row>
    <row r="244" spans="1:36" x14ac:dyDescent="0.25">
      <c r="A244" s="169" t="s">
        <v>179</v>
      </c>
      <c r="B244" s="169" t="s">
        <v>24</v>
      </c>
      <c r="C244" s="169">
        <v>2045</v>
      </c>
      <c r="D244" s="169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69">
        <f t="shared" ca="1" si="5"/>
        <v>0</v>
      </c>
      <c r="F244" s="169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9">
        <f ca="1">IF($C244-G$1&lt;År1,0,F243*(1-VLOOKUP($A244,[1]Hugst!$R$5:$W$9,MATCH(ROUNDUP((G$1)/10,0)*10,[1]Hugst!$R$4:$W$4,0))))</f>
        <v>0</v>
      </c>
      <c r="H244" s="169">
        <f ca="1">IF($C244-H$1&lt;År1,0,G243*(1-VLOOKUP($A244,[1]Hugst!$R$5:$W$9,MATCH(ROUNDUP((H$1)/10,0)*10,[1]Hugst!$R$4:$W$4,0))))</f>
        <v>0</v>
      </c>
      <c r="I244" s="169">
        <f ca="1">IF($C244-I$1&lt;År1,0,H243*(1-VLOOKUP($A244,[1]Hugst!$R$5:$W$9,MATCH(ROUNDUP((I$1)/10,0)*10,[1]Hugst!$R$4:$W$4,0))))</f>
        <v>0</v>
      </c>
      <c r="J244" s="169">
        <f ca="1">IF($C244-J$1&lt;År1,0,I243*(1-VLOOKUP($A244,[1]Hugst!$R$5:$W$9,MATCH(ROUNDUP((J$1)/10,0)*10,[1]Hugst!$R$4:$W$4,0))))</f>
        <v>0</v>
      </c>
      <c r="K244" s="169">
        <f ca="1">IF($C244-K$1&lt;År1,0,J243*(1-VLOOKUP($A244,[1]Hugst!$R$5:$W$9,MATCH(ROUNDUP((K$1)/10,0)*10,[1]Hugst!$R$4:$W$4,0))))</f>
        <v>0</v>
      </c>
      <c r="L244" s="169">
        <f ca="1">IF($C244-L$1&lt;År1,0,K243*(1-VLOOKUP($A244,[1]Hugst!$R$5:$W$9,MATCH(ROUNDUP((L$1)/10,0)*10,[1]Hugst!$R$4:$W$4,0))))</f>
        <v>0</v>
      </c>
      <c r="M244" s="169">
        <f ca="1">IF($C244-M$1&lt;År1,0,L243*(1-VLOOKUP($A244,[1]Hugst!$R$5:$W$9,MATCH(ROUNDUP((M$1)/10,0)*10,[1]Hugst!$R$4:$W$4,0))))</f>
        <v>0</v>
      </c>
      <c r="N244" s="169">
        <f ca="1">IF($C244-N$1&lt;År1,0,M243*(1-VLOOKUP($A244,[1]Hugst!$R$5:$W$9,MATCH(ROUNDUP((N$1)/10,0)*10,[1]Hugst!$R$4:$W$4,0))))</f>
        <v>0</v>
      </c>
      <c r="O244" s="169">
        <f ca="1">IF($C244-O$1&lt;År1,0,N243*(1-VLOOKUP($A244,[1]Hugst!$R$5:$W$9,MATCH(ROUNDUP((O$1)/10,0)*10,[1]Hugst!$R$4:$W$4,0))))</f>
        <v>0</v>
      </c>
      <c r="P244" s="169">
        <f ca="1">IF($C244-P$1&lt;År1,0,O243*(1-VLOOKUP($A244,[1]Hugst!$R$5:$W$9,MATCH(ROUNDUP((P$1)/10,0)*10,[1]Hugst!$R$4:$W$4,0))))</f>
        <v>0</v>
      </c>
      <c r="Q244" s="169">
        <f ca="1">IF($C244-Q$1&lt;År1,0,P243*(1-VLOOKUP($A244,[1]Hugst!$R$5:$W$9,MATCH(ROUNDUP((Q$1)/10,0)*10,[1]Hugst!$R$4:$W$4,0))))</f>
        <v>0</v>
      </c>
      <c r="R244" s="169">
        <f ca="1">IF($C244-R$1&lt;År1,0,Q243*(1-VLOOKUP($A244,[1]Hugst!$R$5:$W$9,MATCH(ROUNDUP((R$1)/10,0)*10,[1]Hugst!$R$4:$W$4,0))))</f>
        <v>0</v>
      </c>
      <c r="S244" s="169">
        <f ca="1">IF($C244-S$1&lt;År1,0,R243*(1-VLOOKUP($A244,[1]Hugst!$R$5:$W$9,MATCH(ROUNDUP((S$1)/10,0)*10,[1]Hugst!$R$4:$W$4,0))))</f>
        <v>0</v>
      </c>
      <c r="T244" s="169">
        <f ca="1">IF($C244-T$1&lt;År1,0,S243*(1-VLOOKUP($A244,[1]Hugst!$R$5:$W$9,MATCH(ROUNDUP((T$1)/10,0)*10,[1]Hugst!$R$4:$W$4,0))))</f>
        <v>0</v>
      </c>
      <c r="U244" s="169">
        <f ca="1">IF($C244-U$1&lt;År1,0,T243*(1-VLOOKUP($A244,[1]Hugst!$R$5:$W$9,MATCH(ROUNDUP((U$1)/10,0)*10,[1]Hugst!$R$4:$W$4,0))))</f>
        <v>0</v>
      </c>
      <c r="V244" s="169">
        <f ca="1">IF($C244-V$1&lt;År1,0,U243*(1-VLOOKUP($A244,[1]Hugst!$R$5:$W$9,MATCH(ROUNDUP((V$1)/10,0)*10,[1]Hugst!$R$4:$W$4,0))))</f>
        <v>0</v>
      </c>
      <c r="W244" s="169">
        <f ca="1">IF($C244-W$1&lt;År1,0,V243*(1-VLOOKUP($A244,[1]Hugst!$R$5:$W$9,MATCH(ROUNDUP((W$1)/10,0)*10,[1]Hugst!$R$4:$W$4,0))))</f>
        <v>0</v>
      </c>
      <c r="X244" s="169">
        <f ca="1">IF($C244-X$1&lt;År1,0,W243*(1-VLOOKUP($A244,[1]Hugst!$R$5:$W$9,MATCH(ROUNDUP((X$1)/10,0)*10,[1]Hugst!$R$4:$W$4,0))))</f>
        <v>0</v>
      </c>
      <c r="Y244" s="169">
        <f ca="1">IF($C244-Y$1&lt;År1,0,X243*(1-VLOOKUP($A244,[1]Hugst!$R$5:$W$9,MATCH(ROUNDUP((Y$1)/10,0)*10,[1]Hugst!$R$4:$W$4,0))))</f>
        <v>0</v>
      </c>
      <c r="Z244" s="169">
        <f ca="1">IF($C244-Z$1&lt;År1,0,Y243*(1-VLOOKUP($A244,[1]Hugst!$R$5:$W$9,MATCH(ROUNDUP((Z$1)/10,0)*10,[1]Hugst!$R$4:$W$4,0))))</f>
        <v>0</v>
      </c>
      <c r="AA244" s="169">
        <f ca="1">IF($C244-AA$1&lt;År1,0,Z243*(1-VLOOKUP($A244,[1]Hugst!$R$5:$W$9,MATCH(ROUNDUP((AA$1)/10,0)*10,[1]Hugst!$R$4:$W$4,0))))</f>
        <v>0</v>
      </c>
      <c r="AB244" s="169">
        <f ca="1">IF($C244-AB$1&lt;År1,0,AA243*(1-VLOOKUP($A244,[1]Hugst!$R$5:$W$9,MATCH(ROUNDUP((AB$1)/10,0)*10,[1]Hugst!$R$4:$W$4,0))))</f>
        <v>0</v>
      </c>
      <c r="AC244" s="169">
        <f ca="1">IF($C244-AC$1&lt;År1,0,AB243*(1-VLOOKUP($A244,[1]Hugst!$R$5:$W$9,MATCH(ROUNDUP((AC$1)/10,0)*10,[1]Hugst!$R$4:$W$4,0))))</f>
        <v>0</v>
      </c>
      <c r="AD244" s="169">
        <f ca="1">IF($C244-AD$1&lt;År1,0,AC243*(1-VLOOKUP($A244,[1]Hugst!$R$5:$W$9,MATCH(ROUNDUP((AD$1)/10,0)*10,[1]Hugst!$R$4:$W$4,0))))</f>
        <v>0</v>
      </c>
      <c r="AE244" s="169">
        <f ca="1">IF($C244-AE$1&lt;År1,0,AD243*(1-VLOOKUP($A244,[1]Hugst!$R$5:$W$9,MATCH(ROUNDUP((AE$1)/10,0)*10,[1]Hugst!$R$4:$W$4,0))))</f>
        <v>0</v>
      </c>
      <c r="AF244" s="169">
        <f>IF($C244-AF$1&lt;År1,0,AE243*(1-VLOOKUP($A244,[1]Hugst!$R$5:$W$9,MATCH(ROUNDUP((AF$1)/10,0)*10,[1]Hugst!$R$4:$W$4,0))))</f>
        <v>0</v>
      </c>
      <c r="AG244" s="169">
        <f>IF($C244-AG$1&lt;År1,0,AF243*(1-VLOOKUP($A244,[1]Hugst!$R$5:$W$9,MATCH(ROUNDUP((AG$1)/10,0)*10,[1]Hugst!$R$4:$W$4,0))))</f>
        <v>0</v>
      </c>
      <c r="AH244" s="169">
        <f>IF($C244-AH$1&lt;År1,0,AG243*(1-VLOOKUP($A244,[1]Hugst!$R$5:$W$9,MATCH(ROUNDUP((AH$1)/10,0)*10,[1]Hugst!$R$4:$W$4,0))))</f>
        <v>0</v>
      </c>
      <c r="AI244" s="169">
        <f>IF($C244-AI$1&lt;År1,0,AH243*(1-VLOOKUP($A244,[1]Hugst!$R$5:$W$9,MATCH(ROUNDUP((AI$1)/10,0)*10,[1]Hugst!$R$4:$W$4,0))))</f>
        <v>0</v>
      </c>
      <c r="AJ244" s="169">
        <f>IF($C244-AJ$1&lt;År1,0,AI243*(1-VLOOKUP($A244,[1]Hugst!$R$5:$W$9,MATCH(ROUNDUP((AJ$1)/10,0)*10,[1]Hugst!$R$4:$W$4,0))))</f>
        <v>0</v>
      </c>
    </row>
    <row r="245" spans="1:36" x14ac:dyDescent="0.25">
      <c r="A245" s="169" t="s">
        <v>179</v>
      </c>
      <c r="B245" s="169" t="s">
        <v>24</v>
      </c>
      <c r="C245" s="169">
        <v>2046</v>
      </c>
      <c r="D245" s="169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69">
        <f t="shared" ca="1" si="5"/>
        <v>0</v>
      </c>
      <c r="F245" s="169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9">
        <f ca="1">IF($C245-G$1&lt;År1,0,F244*(1-VLOOKUP($A245,[1]Hugst!$R$5:$W$9,MATCH(ROUNDUP((G$1)/10,0)*10,[1]Hugst!$R$4:$W$4,0))))</f>
        <v>0</v>
      </c>
      <c r="H245" s="169">
        <f ca="1">IF($C245-H$1&lt;År1,0,G244*(1-VLOOKUP($A245,[1]Hugst!$R$5:$W$9,MATCH(ROUNDUP((H$1)/10,0)*10,[1]Hugst!$R$4:$W$4,0))))</f>
        <v>0</v>
      </c>
      <c r="I245" s="169">
        <f ca="1">IF($C245-I$1&lt;År1,0,H244*(1-VLOOKUP($A245,[1]Hugst!$R$5:$W$9,MATCH(ROUNDUP((I$1)/10,0)*10,[1]Hugst!$R$4:$W$4,0))))</f>
        <v>0</v>
      </c>
      <c r="J245" s="169">
        <f ca="1">IF($C245-J$1&lt;År1,0,I244*(1-VLOOKUP($A245,[1]Hugst!$R$5:$W$9,MATCH(ROUNDUP((J$1)/10,0)*10,[1]Hugst!$R$4:$W$4,0))))</f>
        <v>0</v>
      </c>
      <c r="K245" s="169">
        <f ca="1">IF($C245-K$1&lt;År1,0,J244*(1-VLOOKUP($A245,[1]Hugst!$R$5:$W$9,MATCH(ROUNDUP((K$1)/10,0)*10,[1]Hugst!$R$4:$W$4,0))))</f>
        <v>0</v>
      </c>
      <c r="L245" s="169">
        <f ca="1">IF($C245-L$1&lt;År1,0,K244*(1-VLOOKUP($A245,[1]Hugst!$R$5:$W$9,MATCH(ROUNDUP((L$1)/10,0)*10,[1]Hugst!$R$4:$W$4,0))))</f>
        <v>0</v>
      </c>
      <c r="M245" s="169">
        <f ca="1">IF($C245-M$1&lt;År1,0,L244*(1-VLOOKUP($A245,[1]Hugst!$R$5:$W$9,MATCH(ROUNDUP((M$1)/10,0)*10,[1]Hugst!$R$4:$W$4,0))))</f>
        <v>0</v>
      </c>
      <c r="N245" s="169">
        <f ca="1">IF($C245-N$1&lt;År1,0,M244*(1-VLOOKUP($A245,[1]Hugst!$R$5:$W$9,MATCH(ROUNDUP((N$1)/10,0)*10,[1]Hugst!$R$4:$W$4,0))))</f>
        <v>0</v>
      </c>
      <c r="O245" s="169">
        <f ca="1">IF($C245-O$1&lt;År1,0,N244*(1-VLOOKUP($A245,[1]Hugst!$R$5:$W$9,MATCH(ROUNDUP((O$1)/10,0)*10,[1]Hugst!$R$4:$W$4,0))))</f>
        <v>0</v>
      </c>
      <c r="P245" s="169">
        <f ca="1">IF($C245-P$1&lt;År1,0,O244*(1-VLOOKUP($A245,[1]Hugst!$R$5:$W$9,MATCH(ROUNDUP((P$1)/10,0)*10,[1]Hugst!$R$4:$W$4,0))))</f>
        <v>0</v>
      </c>
      <c r="Q245" s="169">
        <f ca="1">IF($C245-Q$1&lt;År1,0,P244*(1-VLOOKUP($A245,[1]Hugst!$R$5:$W$9,MATCH(ROUNDUP((Q$1)/10,0)*10,[1]Hugst!$R$4:$W$4,0))))</f>
        <v>0</v>
      </c>
      <c r="R245" s="169">
        <f ca="1">IF($C245-R$1&lt;År1,0,Q244*(1-VLOOKUP($A245,[1]Hugst!$R$5:$W$9,MATCH(ROUNDUP((R$1)/10,0)*10,[1]Hugst!$R$4:$W$4,0))))</f>
        <v>0</v>
      </c>
      <c r="S245" s="169">
        <f ca="1">IF($C245-S$1&lt;År1,0,R244*(1-VLOOKUP($A245,[1]Hugst!$R$5:$W$9,MATCH(ROUNDUP((S$1)/10,0)*10,[1]Hugst!$R$4:$W$4,0))))</f>
        <v>0</v>
      </c>
      <c r="T245" s="169">
        <f ca="1">IF($C245-T$1&lt;År1,0,S244*(1-VLOOKUP($A245,[1]Hugst!$R$5:$W$9,MATCH(ROUNDUP((T$1)/10,0)*10,[1]Hugst!$R$4:$W$4,0))))</f>
        <v>0</v>
      </c>
      <c r="U245" s="169">
        <f ca="1">IF($C245-U$1&lt;År1,0,T244*(1-VLOOKUP($A245,[1]Hugst!$R$5:$W$9,MATCH(ROUNDUP((U$1)/10,0)*10,[1]Hugst!$R$4:$W$4,0))))</f>
        <v>0</v>
      </c>
      <c r="V245" s="169">
        <f ca="1">IF($C245-V$1&lt;År1,0,U244*(1-VLOOKUP($A245,[1]Hugst!$R$5:$W$9,MATCH(ROUNDUP((V$1)/10,0)*10,[1]Hugst!$R$4:$W$4,0))))</f>
        <v>0</v>
      </c>
      <c r="W245" s="169">
        <f ca="1">IF($C245-W$1&lt;År1,0,V244*(1-VLOOKUP($A245,[1]Hugst!$R$5:$W$9,MATCH(ROUNDUP((W$1)/10,0)*10,[1]Hugst!$R$4:$W$4,0))))</f>
        <v>0</v>
      </c>
      <c r="X245" s="169">
        <f ca="1">IF($C245-X$1&lt;År1,0,W244*(1-VLOOKUP($A245,[1]Hugst!$R$5:$W$9,MATCH(ROUNDUP((X$1)/10,0)*10,[1]Hugst!$R$4:$W$4,0))))</f>
        <v>0</v>
      </c>
      <c r="Y245" s="169">
        <f ca="1">IF($C245-Y$1&lt;År1,0,X244*(1-VLOOKUP($A245,[1]Hugst!$R$5:$W$9,MATCH(ROUNDUP((Y$1)/10,0)*10,[1]Hugst!$R$4:$W$4,0))))</f>
        <v>0</v>
      </c>
      <c r="Z245" s="169">
        <f ca="1">IF($C245-Z$1&lt;År1,0,Y244*(1-VLOOKUP($A245,[1]Hugst!$R$5:$W$9,MATCH(ROUNDUP((Z$1)/10,0)*10,[1]Hugst!$R$4:$W$4,0))))</f>
        <v>0</v>
      </c>
      <c r="AA245" s="169">
        <f ca="1">IF($C245-AA$1&lt;År1,0,Z244*(1-VLOOKUP($A245,[1]Hugst!$R$5:$W$9,MATCH(ROUNDUP((AA$1)/10,0)*10,[1]Hugst!$R$4:$W$4,0))))</f>
        <v>0</v>
      </c>
      <c r="AB245" s="169">
        <f ca="1">IF($C245-AB$1&lt;År1,0,AA244*(1-VLOOKUP($A245,[1]Hugst!$R$5:$W$9,MATCH(ROUNDUP((AB$1)/10,0)*10,[1]Hugst!$R$4:$W$4,0))))</f>
        <v>0</v>
      </c>
      <c r="AC245" s="169">
        <f ca="1">IF($C245-AC$1&lt;År1,0,AB244*(1-VLOOKUP($A245,[1]Hugst!$R$5:$W$9,MATCH(ROUNDUP((AC$1)/10,0)*10,[1]Hugst!$R$4:$W$4,0))))</f>
        <v>0</v>
      </c>
      <c r="AD245" s="169">
        <f ca="1">IF($C245-AD$1&lt;År1,0,AC244*(1-VLOOKUP($A245,[1]Hugst!$R$5:$W$9,MATCH(ROUNDUP((AD$1)/10,0)*10,[1]Hugst!$R$4:$W$4,0))))</f>
        <v>0</v>
      </c>
      <c r="AE245" s="169">
        <f ca="1">IF($C245-AE$1&lt;År1,0,AD244*(1-VLOOKUP($A245,[1]Hugst!$R$5:$W$9,MATCH(ROUNDUP((AE$1)/10,0)*10,[1]Hugst!$R$4:$W$4,0))))</f>
        <v>0</v>
      </c>
      <c r="AF245" s="169">
        <f ca="1">IF($C245-AF$1&lt;År1,0,AE244*(1-VLOOKUP($A245,[1]Hugst!$R$5:$W$9,MATCH(ROUNDUP((AF$1)/10,0)*10,[1]Hugst!$R$4:$W$4,0))))</f>
        <v>0</v>
      </c>
      <c r="AG245" s="169">
        <f>IF($C245-AG$1&lt;År1,0,AF244*(1-VLOOKUP($A245,[1]Hugst!$R$5:$W$9,MATCH(ROUNDUP((AG$1)/10,0)*10,[1]Hugst!$R$4:$W$4,0))))</f>
        <v>0</v>
      </c>
      <c r="AH245" s="169">
        <f>IF($C245-AH$1&lt;År1,0,AG244*(1-VLOOKUP($A245,[1]Hugst!$R$5:$W$9,MATCH(ROUNDUP((AH$1)/10,0)*10,[1]Hugst!$R$4:$W$4,0))))</f>
        <v>0</v>
      </c>
      <c r="AI245" s="169">
        <f>IF($C245-AI$1&lt;År1,0,AH244*(1-VLOOKUP($A245,[1]Hugst!$R$5:$W$9,MATCH(ROUNDUP((AI$1)/10,0)*10,[1]Hugst!$R$4:$W$4,0))))</f>
        <v>0</v>
      </c>
      <c r="AJ245" s="169">
        <f>IF($C245-AJ$1&lt;År1,0,AI244*(1-VLOOKUP($A245,[1]Hugst!$R$5:$W$9,MATCH(ROUNDUP((AJ$1)/10,0)*10,[1]Hugst!$R$4:$W$4,0))))</f>
        <v>0</v>
      </c>
    </row>
    <row r="246" spans="1:36" x14ac:dyDescent="0.25">
      <c r="A246" s="169" t="s">
        <v>179</v>
      </c>
      <c r="B246" s="169" t="s">
        <v>24</v>
      </c>
      <c r="C246" s="169">
        <v>2047</v>
      </c>
      <c r="D246" s="169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69">
        <f t="shared" ca="1" si="5"/>
        <v>0</v>
      </c>
      <c r="F246" s="169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9">
        <f ca="1">IF($C246-G$1&lt;År1,0,F245*(1-VLOOKUP($A246,[1]Hugst!$R$5:$W$9,MATCH(ROUNDUP((G$1)/10,0)*10,[1]Hugst!$R$4:$W$4,0))))</f>
        <v>0</v>
      </c>
      <c r="H246" s="169">
        <f ca="1">IF($C246-H$1&lt;År1,0,G245*(1-VLOOKUP($A246,[1]Hugst!$R$5:$W$9,MATCH(ROUNDUP((H$1)/10,0)*10,[1]Hugst!$R$4:$W$4,0))))</f>
        <v>0</v>
      </c>
      <c r="I246" s="169">
        <f ca="1">IF($C246-I$1&lt;År1,0,H245*(1-VLOOKUP($A246,[1]Hugst!$R$5:$W$9,MATCH(ROUNDUP((I$1)/10,0)*10,[1]Hugst!$R$4:$W$4,0))))</f>
        <v>0</v>
      </c>
      <c r="J246" s="169">
        <f ca="1">IF($C246-J$1&lt;År1,0,I245*(1-VLOOKUP($A246,[1]Hugst!$R$5:$W$9,MATCH(ROUNDUP((J$1)/10,0)*10,[1]Hugst!$R$4:$W$4,0))))</f>
        <v>0</v>
      </c>
      <c r="K246" s="169">
        <f ca="1">IF($C246-K$1&lt;År1,0,J245*(1-VLOOKUP($A246,[1]Hugst!$R$5:$W$9,MATCH(ROUNDUP((K$1)/10,0)*10,[1]Hugst!$R$4:$W$4,0))))</f>
        <v>0</v>
      </c>
      <c r="L246" s="169">
        <f ca="1">IF($C246-L$1&lt;År1,0,K245*(1-VLOOKUP($A246,[1]Hugst!$R$5:$W$9,MATCH(ROUNDUP((L$1)/10,0)*10,[1]Hugst!$R$4:$W$4,0))))</f>
        <v>0</v>
      </c>
      <c r="M246" s="169">
        <f ca="1">IF($C246-M$1&lt;År1,0,L245*(1-VLOOKUP($A246,[1]Hugst!$R$5:$W$9,MATCH(ROUNDUP((M$1)/10,0)*10,[1]Hugst!$R$4:$W$4,0))))</f>
        <v>0</v>
      </c>
      <c r="N246" s="169">
        <f ca="1">IF($C246-N$1&lt;År1,0,M245*(1-VLOOKUP($A246,[1]Hugst!$R$5:$W$9,MATCH(ROUNDUP((N$1)/10,0)*10,[1]Hugst!$R$4:$W$4,0))))</f>
        <v>0</v>
      </c>
      <c r="O246" s="169">
        <f ca="1">IF($C246-O$1&lt;År1,0,N245*(1-VLOOKUP($A246,[1]Hugst!$R$5:$W$9,MATCH(ROUNDUP((O$1)/10,0)*10,[1]Hugst!$R$4:$W$4,0))))</f>
        <v>0</v>
      </c>
      <c r="P246" s="169">
        <f ca="1">IF($C246-P$1&lt;År1,0,O245*(1-VLOOKUP($A246,[1]Hugst!$R$5:$W$9,MATCH(ROUNDUP((P$1)/10,0)*10,[1]Hugst!$R$4:$W$4,0))))</f>
        <v>0</v>
      </c>
      <c r="Q246" s="169">
        <f ca="1">IF($C246-Q$1&lt;År1,0,P245*(1-VLOOKUP($A246,[1]Hugst!$R$5:$W$9,MATCH(ROUNDUP((Q$1)/10,0)*10,[1]Hugst!$R$4:$W$4,0))))</f>
        <v>0</v>
      </c>
      <c r="R246" s="169">
        <f ca="1">IF($C246-R$1&lt;År1,0,Q245*(1-VLOOKUP($A246,[1]Hugst!$R$5:$W$9,MATCH(ROUNDUP((R$1)/10,0)*10,[1]Hugst!$R$4:$W$4,0))))</f>
        <v>0</v>
      </c>
      <c r="S246" s="169">
        <f ca="1">IF($C246-S$1&lt;År1,0,R245*(1-VLOOKUP($A246,[1]Hugst!$R$5:$W$9,MATCH(ROUNDUP((S$1)/10,0)*10,[1]Hugst!$R$4:$W$4,0))))</f>
        <v>0</v>
      </c>
      <c r="T246" s="169">
        <f ca="1">IF($C246-T$1&lt;År1,0,S245*(1-VLOOKUP($A246,[1]Hugst!$R$5:$W$9,MATCH(ROUNDUP((T$1)/10,0)*10,[1]Hugst!$R$4:$W$4,0))))</f>
        <v>0</v>
      </c>
      <c r="U246" s="169">
        <f ca="1">IF($C246-U$1&lt;År1,0,T245*(1-VLOOKUP($A246,[1]Hugst!$R$5:$W$9,MATCH(ROUNDUP((U$1)/10,0)*10,[1]Hugst!$R$4:$W$4,0))))</f>
        <v>0</v>
      </c>
      <c r="V246" s="169">
        <f ca="1">IF($C246-V$1&lt;År1,0,U245*(1-VLOOKUP($A246,[1]Hugst!$R$5:$W$9,MATCH(ROUNDUP((V$1)/10,0)*10,[1]Hugst!$R$4:$W$4,0))))</f>
        <v>0</v>
      </c>
      <c r="W246" s="169">
        <f ca="1">IF($C246-W$1&lt;År1,0,V245*(1-VLOOKUP($A246,[1]Hugst!$R$5:$W$9,MATCH(ROUNDUP((W$1)/10,0)*10,[1]Hugst!$R$4:$W$4,0))))</f>
        <v>0</v>
      </c>
      <c r="X246" s="169">
        <f ca="1">IF($C246-X$1&lt;År1,0,W245*(1-VLOOKUP($A246,[1]Hugst!$R$5:$W$9,MATCH(ROUNDUP((X$1)/10,0)*10,[1]Hugst!$R$4:$W$4,0))))</f>
        <v>0</v>
      </c>
      <c r="Y246" s="169">
        <f ca="1">IF($C246-Y$1&lt;År1,0,X245*(1-VLOOKUP($A246,[1]Hugst!$R$5:$W$9,MATCH(ROUNDUP((Y$1)/10,0)*10,[1]Hugst!$R$4:$W$4,0))))</f>
        <v>0</v>
      </c>
      <c r="Z246" s="169">
        <f ca="1">IF($C246-Z$1&lt;År1,0,Y245*(1-VLOOKUP($A246,[1]Hugst!$R$5:$W$9,MATCH(ROUNDUP((Z$1)/10,0)*10,[1]Hugst!$R$4:$W$4,0))))</f>
        <v>0</v>
      </c>
      <c r="AA246" s="169">
        <f ca="1">IF($C246-AA$1&lt;År1,0,Z245*(1-VLOOKUP($A246,[1]Hugst!$R$5:$W$9,MATCH(ROUNDUP((AA$1)/10,0)*10,[1]Hugst!$R$4:$W$4,0))))</f>
        <v>0</v>
      </c>
      <c r="AB246" s="169">
        <f ca="1">IF($C246-AB$1&lt;År1,0,AA245*(1-VLOOKUP($A246,[1]Hugst!$R$5:$W$9,MATCH(ROUNDUP((AB$1)/10,0)*10,[1]Hugst!$R$4:$W$4,0))))</f>
        <v>0</v>
      </c>
      <c r="AC246" s="169">
        <f ca="1">IF($C246-AC$1&lt;År1,0,AB245*(1-VLOOKUP($A246,[1]Hugst!$R$5:$W$9,MATCH(ROUNDUP((AC$1)/10,0)*10,[1]Hugst!$R$4:$W$4,0))))</f>
        <v>0</v>
      </c>
      <c r="AD246" s="169">
        <f ca="1">IF($C246-AD$1&lt;År1,0,AC245*(1-VLOOKUP($A246,[1]Hugst!$R$5:$W$9,MATCH(ROUNDUP((AD$1)/10,0)*10,[1]Hugst!$R$4:$W$4,0))))</f>
        <v>0</v>
      </c>
      <c r="AE246" s="169">
        <f ca="1">IF($C246-AE$1&lt;År1,0,AD245*(1-VLOOKUP($A246,[1]Hugst!$R$5:$W$9,MATCH(ROUNDUP((AE$1)/10,0)*10,[1]Hugst!$R$4:$W$4,0))))</f>
        <v>0</v>
      </c>
      <c r="AF246" s="169">
        <f ca="1">IF($C246-AF$1&lt;År1,0,AE245*(1-VLOOKUP($A246,[1]Hugst!$R$5:$W$9,MATCH(ROUNDUP((AF$1)/10,0)*10,[1]Hugst!$R$4:$W$4,0))))</f>
        <v>0</v>
      </c>
      <c r="AG246" s="169">
        <f ca="1">IF($C246-AG$1&lt;År1,0,AF245*(1-VLOOKUP($A246,[1]Hugst!$R$5:$W$9,MATCH(ROUNDUP((AG$1)/10,0)*10,[1]Hugst!$R$4:$W$4,0))))</f>
        <v>0</v>
      </c>
      <c r="AH246" s="169">
        <f>IF($C246-AH$1&lt;År1,0,AG245*(1-VLOOKUP($A246,[1]Hugst!$R$5:$W$9,MATCH(ROUNDUP((AH$1)/10,0)*10,[1]Hugst!$R$4:$W$4,0))))</f>
        <v>0</v>
      </c>
      <c r="AI246" s="169">
        <f>IF($C246-AI$1&lt;År1,0,AH245*(1-VLOOKUP($A246,[1]Hugst!$R$5:$W$9,MATCH(ROUNDUP((AI$1)/10,0)*10,[1]Hugst!$R$4:$W$4,0))))</f>
        <v>0</v>
      </c>
      <c r="AJ246" s="169">
        <f>IF($C246-AJ$1&lt;År1,0,AI245*(1-VLOOKUP($A246,[1]Hugst!$R$5:$W$9,MATCH(ROUNDUP((AJ$1)/10,0)*10,[1]Hugst!$R$4:$W$4,0))))</f>
        <v>0</v>
      </c>
    </row>
    <row r="247" spans="1:36" x14ac:dyDescent="0.25">
      <c r="A247" s="169" t="s">
        <v>179</v>
      </c>
      <c r="B247" s="169" t="s">
        <v>24</v>
      </c>
      <c r="C247" s="169">
        <v>2048</v>
      </c>
      <c r="D247" s="169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69">
        <f t="shared" ca="1" si="5"/>
        <v>0</v>
      </c>
      <c r="F247" s="169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9">
        <f ca="1">IF($C247-G$1&lt;År1,0,F246*(1-VLOOKUP($A247,[1]Hugst!$R$5:$W$9,MATCH(ROUNDUP((G$1)/10,0)*10,[1]Hugst!$R$4:$W$4,0))))</f>
        <v>0</v>
      </c>
      <c r="H247" s="169">
        <f ca="1">IF($C247-H$1&lt;År1,0,G246*(1-VLOOKUP($A247,[1]Hugst!$R$5:$W$9,MATCH(ROUNDUP((H$1)/10,0)*10,[1]Hugst!$R$4:$W$4,0))))</f>
        <v>0</v>
      </c>
      <c r="I247" s="169">
        <f ca="1">IF($C247-I$1&lt;År1,0,H246*(1-VLOOKUP($A247,[1]Hugst!$R$5:$W$9,MATCH(ROUNDUP((I$1)/10,0)*10,[1]Hugst!$R$4:$W$4,0))))</f>
        <v>0</v>
      </c>
      <c r="J247" s="169">
        <f ca="1">IF($C247-J$1&lt;År1,0,I246*(1-VLOOKUP($A247,[1]Hugst!$R$5:$W$9,MATCH(ROUNDUP((J$1)/10,0)*10,[1]Hugst!$R$4:$W$4,0))))</f>
        <v>0</v>
      </c>
      <c r="K247" s="169">
        <f ca="1">IF($C247-K$1&lt;År1,0,J246*(1-VLOOKUP($A247,[1]Hugst!$R$5:$W$9,MATCH(ROUNDUP((K$1)/10,0)*10,[1]Hugst!$R$4:$W$4,0))))</f>
        <v>0</v>
      </c>
      <c r="L247" s="169">
        <f ca="1">IF($C247-L$1&lt;År1,0,K246*(1-VLOOKUP($A247,[1]Hugst!$R$5:$W$9,MATCH(ROUNDUP((L$1)/10,0)*10,[1]Hugst!$R$4:$W$4,0))))</f>
        <v>0</v>
      </c>
      <c r="M247" s="169">
        <f ca="1">IF($C247-M$1&lt;År1,0,L246*(1-VLOOKUP($A247,[1]Hugst!$R$5:$W$9,MATCH(ROUNDUP((M$1)/10,0)*10,[1]Hugst!$R$4:$W$4,0))))</f>
        <v>0</v>
      </c>
      <c r="N247" s="169">
        <f ca="1">IF($C247-N$1&lt;År1,0,M246*(1-VLOOKUP($A247,[1]Hugst!$R$5:$W$9,MATCH(ROUNDUP((N$1)/10,0)*10,[1]Hugst!$R$4:$W$4,0))))</f>
        <v>0</v>
      </c>
      <c r="O247" s="169">
        <f ca="1">IF($C247-O$1&lt;År1,0,N246*(1-VLOOKUP($A247,[1]Hugst!$R$5:$W$9,MATCH(ROUNDUP((O$1)/10,0)*10,[1]Hugst!$R$4:$W$4,0))))</f>
        <v>0</v>
      </c>
      <c r="P247" s="169">
        <f ca="1">IF($C247-P$1&lt;År1,0,O246*(1-VLOOKUP($A247,[1]Hugst!$R$5:$W$9,MATCH(ROUNDUP((P$1)/10,0)*10,[1]Hugst!$R$4:$W$4,0))))</f>
        <v>0</v>
      </c>
      <c r="Q247" s="169">
        <f ca="1">IF($C247-Q$1&lt;År1,0,P246*(1-VLOOKUP($A247,[1]Hugst!$R$5:$W$9,MATCH(ROUNDUP((Q$1)/10,0)*10,[1]Hugst!$R$4:$W$4,0))))</f>
        <v>0</v>
      </c>
      <c r="R247" s="169">
        <f ca="1">IF($C247-R$1&lt;År1,0,Q246*(1-VLOOKUP($A247,[1]Hugst!$R$5:$W$9,MATCH(ROUNDUP((R$1)/10,0)*10,[1]Hugst!$R$4:$W$4,0))))</f>
        <v>0</v>
      </c>
      <c r="S247" s="169">
        <f ca="1">IF($C247-S$1&lt;År1,0,R246*(1-VLOOKUP($A247,[1]Hugst!$R$5:$W$9,MATCH(ROUNDUP((S$1)/10,0)*10,[1]Hugst!$R$4:$W$4,0))))</f>
        <v>0</v>
      </c>
      <c r="T247" s="169">
        <f ca="1">IF($C247-T$1&lt;År1,0,S246*(1-VLOOKUP($A247,[1]Hugst!$R$5:$W$9,MATCH(ROUNDUP((T$1)/10,0)*10,[1]Hugst!$R$4:$W$4,0))))</f>
        <v>0</v>
      </c>
      <c r="U247" s="169">
        <f ca="1">IF($C247-U$1&lt;År1,0,T246*(1-VLOOKUP($A247,[1]Hugst!$R$5:$W$9,MATCH(ROUNDUP((U$1)/10,0)*10,[1]Hugst!$R$4:$W$4,0))))</f>
        <v>0</v>
      </c>
      <c r="V247" s="169">
        <f ca="1">IF($C247-V$1&lt;År1,0,U246*(1-VLOOKUP($A247,[1]Hugst!$R$5:$W$9,MATCH(ROUNDUP((V$1)/10,0)*10,[1]Hugst!$R$4:$W$4,0))))</f>
        <v>0</v>
      </c>
      <c r="W247" s="169">
        <f ca="1">IF($C247-W$1&lt;År1,0,V246*(1-VLOOKUP($A247,[1]Hugst!$R$5:$W$9,MATCH(ROUNDUP((W$1)/10,0)*10,[1]Hugst!$R$4:$W$4,0))))</f>
        <v>0</v>
      </c>
      <c r="X247" s="169">
        <f ca="1">IF($C247-X$1&lt;År1,0,W246*(1-VLOOKUP($A247,[1]Hugst!$R$5:$W$9,MATCH(ROUNDUP((X$1)/10,0)*10,[1]Hugst!$R$4:$W$4,0))))</f>
        <v>0</v>
      </c>
      <c r="Y247" s="169">
        <f ca="1">IF($C247-Y$1&lt;År1,0,X246*(1-VLOOKUP($A247,[1]Hugst!$R$5:$W$9,MATCH(ROUNDUP((Y$1)/10,0)*10,[1]Hugst!$R$4:$W$4,0))))</f>
        <v>0</v>
      </c>
      <c r="Z247" s="169">
        <f ca="1">IF($C247-Z$1&lt;År1,0,Y246*(1-VLOOKUP($A247,[1]Hugst!$R$5:$W$9,MATCH(ROUNDUP((Z$1)/10,0)*10,[1]Hugst!$R$4:$W$4,0))))</f>
        <v>0</v>
      </c>
      <c r="AA247" s="169">
        <f ca="1">IF($C247-AA$1&lt;År1,0,Z246*(1-VLOOKUP($A247,[1]Hugst!$R$5:$W$9,MATCH(ROUNDUP((AA$1)/10,0)*10,[1]Hugst!$R$4:$W$4,0))))</f>
        <v>0</v>
      </c>
      <c r="AB247" s="169">
        <f ca="1">IF($C247-AB$1&lt;År1,0,AA246*(1-VLOOKUP($A247,[1]Hugst!$R$5:$W$9,MATCH(ROUNDUP((AB$1)/10,0)*10,[1]Hugst!$R$4:$W$4,0))))</f>
        <v>0</v>
      </c>
      <c r="AC247" s="169">
        <f ca="1">IF($C247-AC$1&lt;År1,0,AB246*(1-VLOOKUP($A247,[1]Hugst!$R$5:$W$9,MATCH(ROUNDUP((AC$1)/10,0)*10,[1]Hugst!$R$4:$W$4,0))))</f>
        <v>0</v>
      </c>
      <c r="AD247" s="169">
        <f ca="1">IF($C247-AD$1&lt;År1,0,AC246*(1-VLOOKUP($A247,[1]Hugst!$R$5:$W$9,MATCH(ROUNDUP((AD$1)/10,0)*10,[1]Hugst!$R$4:$W$4,0))))</f>
        <v>0</v>
      </c>
      <c r="AE247" s="169">
        <f ca="1">IF($C247-AE$1&lt;År1,0,AD246*(1-VLOOKUP($A247,[1]Hugst!$R$5:$W$9,MATCH(ROUNDUP((AE$1)/10,0)*10,[1]Hugst!$R$4:$W$4,0))))</f>
        <v>0</v>
      </c>
      <c r="AF247" s="169">
        <f ca="1">IF($C247-AF$1&lt;År1,0,AE246*(1-VLOOKUP($A247,[1]Hugst!$R$5:$W$9,MATCH(ROUNDUP((AF$1)/10,0)*10,[1]Hugst!$R$4:$W$4,0))))</f>
        <v>0</v>
      </c>
      <c r="AG247" s="169">
        <f ca="1">IF($C247-AG$1&lt;År1,0,AF246*(1-VLOOKUP($A247,[1]Hugst!$R$5:$W$9,MATCH(ROUNDUP((AG$1)/10,0)*10,[1]Hugst!$R$4:$W$4,0))))</f>
        <v>0</v>
      </c>
      <c r="AH247" s="169">
        <f ca="1">IF($C247-AH$1&lt;År1,0,AG246*(1-VLOOKUP($A247,[1]Hugst!$R$5:$W$9,MATCH(ROUNDUP((AH$1)/10,0)*10,[1]Hugst!$R$4:$W$4,0))))</f>
        <v>0</v>
      </c>
      <c r="AI247" s="169">
        <f>IF($C247-AI$1&lt;År1,0,AH246*(1-VLOOKUP($A247,[1]Hugst!$R$5:$W$9,MATCH(ROUNDUP((AI$1)/10,0)*10,[1]Hugst!$R$4:$W$4,0))))</f>
        <v>0</v>
      </c>
      <c r="AJ247" s="169">
        <f>IF($C247-AJ$1&lt;År1,0,AI246*(1-VLOOKUP($A247,[1]Hugst!$R$5:$W$9,MATCH(ROUNDUP((AJ$1)/10,0)*10,[1]Hugst!$R$4:$W$4,0))))</f>
        <v>0</v>
      </c>
    </row>
    <row r="248" spans="1:36" x14ac:dyDescent="0.25">
      <c r="A248" s="169" t="s">
        <v>179</v>
      </c>
      <c r="B248" s="169" t="s">
        <v>24</v>
      </c>
      <c r="C248" s="169">
        <v>2049</v>
      </c>
      <c r="D248" s="169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69">
        <f t="shared" ca="1" si="5"/>
        <v>0</v>
      </c>
      <c r="F248" s="169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9">
        <f ca="1">IF($C248-G$1&lt;År1,0,F247*(1-VLOOKUP($A248,[1]Hugst!$R$5:$W$9,MATCH(ROUNDUP((G$1)/10,0)*10,[1]Hugst!$R$4:$W$4,0))))</f>
        <v>0</v>
      </c>
      <c r="H248" s="169">
        <f ca="1">IF($C248-H$1&lt;År1,0,G247*(1-VLOOKUP($A248,[1]Hugst!$R$5:$W$9,MATCH(ROUNDUP((H$1)/10,0)*10,[1]Hugst!$R$4:$W$4,0))))</f>
        <v>0</v>
      </c>
      <c r="I248" s="169">
        <f ca="1">IF($C248-I$1&lt;År1,0,H247*(1-VLOOKUP($A248,[1]Hugst!$R$5:$W$9,MATCH(ROUNDUP((I$1)/10,0)*10,[1]Hugst!$R$4:$W$4,0))))</f>
        <v>0</v>
      </c>
      <c r="J248" s="169">
        <f ca="1">IF($C248-J$1&lt;År1,0,I247*(1-VLOOKUP($A248,[1]Hugst!$R$5:$W$9,MATCH(ROUNDUP((J$1)/10,0)*10,[1]Hugst!$R$4:$W$4,0))))</f>
        <v>0</v>
      </c>
      <c r="K248" s="169">
        <f ca="1">IF($C248-K$1&lt;År1,0,J247*(1-VLOOKUP($A248,[1]Hugst!$R$5:$W$9,MATCH(ROUNDUP((K$1)/10,0)*10,[1]Hugst!$R$4:$W$4,0))))</f>
        <v>0</v>
      </c>
      <c r="L248" s="169">
        <f ca="1">IF($C248-L$1&lt;År1,0,K247*(1-VLOOKUP($A248,[1]Hugst!$R$5:$W$9,MATCH(ROUNDUP((L$1)/10,0)*10,[1]Hugst!$R$4:$W$4,0))))</f>
        <v>0</v>
      </c>
      <c r="M248" s="169">
        <f ca="1">IF($C248-M$1&lt;År1,0,L247*(1-VLOOKUP($A248,[1]Hugst!$R$5:$W$9,MATCH(ROUNDUP((M$1)/10,0)*10,[1]Hugst!$R$4:$W$4,0))))</f>
        <v>0</v>
      </c>
      <c r="N248" s="169">
        <f ca="1">IF($C248-N$1&lt;År1,0,M247*(1-VLOOKUP($A248,[1]Hugst!$R$5:$W$9,MATCH(ROUNDUP((N$1)/10,0)*10,[1]Hugst!$R$4:$W$4,0))))</f>
        <v>0</v>
      </c>
      <c r="O248" s="169">
        <f ca="1">IF($C248-O$1&lt;År1,0,N247*(1-VLOOKUP($A248,[1]Hugst!$R$5:$W$9,MATCH(ROUNDUP((O$1)/10,0)*10,[1]Hugst!$R$4:$W$4,0))))</f>
        <v>0</v>
      </c>
      <c r="P248" s="169">
        <f ca="1">IF($C248-P$1&lt;År1,0,O247*(1-VLOOKUP($A248,[1]Hugst!$R$5:$W$9,MATCH(ROUNDUP((P$1)/10,0)*10,[1]Hugst!$R$4:$W$4,0))))</f>
        <v>0</v>
      </c>
      <c r="Q248" s="169">
        <f ca="1">IF($C248-Q$1&lt;År1,0,P247*(1-VLOOKUP($A248,[1]Hugst!$R$5:$W$9,MATCH(ROUNDUP((Q$1)/10,0)*10,[1]Hugst!$R$4:$W$4,0))))</f>
        <v>0</v>
      </c>
      <c r="R248" s="169">
        <f ca="1">IF($C248-R$1&lt;År1,0,Q247*(1-VLOOKUP($A248,[1]Hugst!$R$5:$W$9,MATCH(ROUNDUP((R$1)/10,0)*10,[1]Hugst!$R$4:$W$4,0))))</f>
        <v>0</v>
      </c>
      <c r="S248" s="169">
        <f ca="1">IF($C248-S$1&lt;År1,0,R247*(1-VLOOKUP($A248,[1]Hugst!$R$5:$W$9,MATCH(ROUNDUP((S$1)/10,0)*10,[1]Hugst!$R$4:$W$4,0))))</f>
        <v>0</v>
      </c>
      <c r="T248" s="169">
        <f ca="1">IF($C248-T$1&lt;År1,0,S247*(1-VLOOKUP($A248,[1]Hugst!$R$5:$W$9,MATCH(ROUNDUP((T$1)/10,0)*10,[1]Hugst!$R$4:$W$4,0))))</f>
        <v>0</v>
      </c>
      <c r="U248" s="169">
        <f ca="1">IF($C248-U$1&lt;År1,0,T247*(1-VLOOKUP($A248,[1]Hugst!$R$5:$W$9,MATCH(ROUNDUP((U$1)/10,0)*10,[1]Hugst!$R$4:$W$4,0))))</f>
        <v>0</v>
      </c>
      <c r="V248" s="169">
        <f ca="1">IF($C248-V$1&lt;År1,0,U247*(1-VLOOKUP($A248,[1]Hugst!$R$5:$W$9,MATCH(ROUNDUP((V$1)/10,0)*10,[1]Hugst!$R$4:$W$4,0))))</f>
        <v>0</v>
      </c>
      <c r="W248" s="169">
        <f ca="1">IF($C248-W$1&lt;År1,0,V247*(1-VLOOKUP($A248,[1]Hugst!$R$5:$W$9,MATCH(ROUNDUP((W$1)/10,0)*10,[1]Hugst!$R$4:$W$4,0))))</f>
        <v>0</v>
      </c>
      <c r="X248" s="169">
        <f ca="1">IF($C248-X$1&lt;År1,0,W247*(1-VLOOKUP($A248,[1]Hugst!$R$5:$W$9,MATCH(ROUNDUP((X$1)/10,0)*10,[1]Hugst!$R$4:$W$4,0))))</f>
        <v>0</v>
      </c>
      <c r="Y248" s="169">
        <f ca="1">IF($C248-Y$1&lt;År1,0,X247*(1-VLOOKUP($A248,[1]Hugst!$R$5:$W$9,MATCH(ROUNDUP((Y$1)/10,0)*10,[1]Hugst!$R$4:$W$4,0))))</f>
        <v>0</v>
      </c>
      <c r="Z248" s="169">
        <f ca="1">IF($C248-Z$1&lt;År1,0,Y247*(1-VLOOKUP($A248,[1]Hugst!$R$5:$W$9,MATCH(ROUNDUP((Z$1)/10,0)*10,[1]Hugst!$R$4:$W$4,0))))</f>
        <v>0</v>
      </c>
      <c r="AA248" s="169">
        <f ca="1">IF($C248-AA$1&lt;År1,0,Z247*(1-VLOOKUP($A248,[1]Hugst!$R$5:$W$9,MATCH(ROUNDUP((AA$1)/10,0)*10,[1]Hugst!$R$4:$W$4,0))))</f>
        <v>0</v>
      </c>
      <c r="AB248" s="169">
        <f ca="1">IF($C248-AB$1&lt;År1,0,AA247*(1-VLOOKUP($A248,[1]Hugst!$R$5:$W$9,MATCH(ROUNDUP((AB$1)/10,0)*10,[1]Hugst!$R$4:$W$4,0))))</f>
        <v>0</v>
      </c>
      <c r="AC248" s="169">
        <f ca="1">IF($C248-AC$1&lt;År1,0,AB247*(1-VLOOKUP($A248,[1]Hugst!$R$5:$W$9,MATCH(ROUNDUP((AC$1)/10,0)*10,[1]Hugst!$R$4:$W$4,0))))</f>
        <v>0</v>
      </c>
      <c r="AD248" s="169">
        <f ca="1">IF($C248-AD$1&lt;År1,0,AC247*(1-VLOOKUP($A248,[1]Hugst!$R$5:$W$9,MATCH(ROUNDUP((AD$1)/10,0)*10,[1]Hugst!$R$4:$W$4,0))))</f>
        <v>0</v>
      </c>
      <c r="AE248" s="169">
        <f ca="1">IF($C248-AE$1&lt;År1,0,AD247*(1-VLOOKUP($A248,[1]Hugst!$R$5:$W$9,MATCH(ROUNDUP((AE$1)/10,0)*10,[1]Hugst!$R$4:$W$4,0))))</f>
        <v>0</v>
      </c>
      <c r="AF248" s="169">
        <f ca="1">IF($C248-AF$1&lt;År1,0,AE247*(1-VLOOKUP($A248,[1]Hugst!$R$5:$W$9,MATCH(ROUNDUP((AF$1)/10,0)*10,[1]Hugst!$R$4:$W$4,0))))</f>
        <v>0</v>
      </c>
      <c r="AG248" s="169">
        <f ca="1">IF($C248-AG$1&lt;År1,0,AF247*(1-VLOOKUP($A248,[1]Hugst!$R$5:$W$9,MATCH(ROUNDUP((AG$1)/10,0)*10,[1]Hugst!$R$4:$W$4,0))))</f>
        <v>0</v>
      </c>
      <c r="AH248" s="169">
        <f ca="1">IF($C248-AH$1&lt;År1,0,AG247*(1-VLOOKUP($A248,[1]Hugst!$R$5:$W$9,MATCH(ROUNDUP((AH$1)/10,0)*10,[1]Hugst!$R$4:$W$4,0))))</f>
        <v>0</v>
      </c>
      <c r="AI248" s="169">
        <f ca="1">IF($C248-AI$1&lt;År1,0,AH247*(1-VLOOKUP($A248,[1]Hugst!$R$5:$W$9,MATCH(ROUNDUP((AI$1)/10,0)*10,[1]Hugst!$R$4:$W$4,0))))</f>
        <v>0</v>
      </c>
      <c r="AJ248" s="169">
        <f>IF($C248-AJ$1&lt;År1,0,AI247*(1-VLOOKUP($A248,[1]Hugst!$R$5:$W$9,MATCH(ROUNDUP((AJ$1)/10,0)*10,[1]Hugst!$R$4:$W$4,0))))</f>
        <v>0</v>
      </c>
    </row>
    <row r="249" spans="1:36" x14ac:dyDescent="0.25">
      <c r="A249" s="169" t="s">
        <v>179</v>
      </c>
      <c r="B249" s="169" t="s">
        <v>24</v>
      </c>
      <c r="C249" s="169">
        <v>2050</v>
      </c>
      <c r="D249" s="169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69">
        <f ca="1">IF(C249=2020,SUM(G249:AJ249),SUM(F248:AJ248)-SUM(G249:AJ249))</f>
        <v>0</v>
      </c>
      <c r="F249" s="169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9">
        <f ca="1">IF($C249-G$1&lt;År1,0,F248*(1-VLOOKUP($A249,[1]Hugst!$R$5:$W$9,MATCH(ROUNDUP((G$1)/10,0)*10,[1]Hugst!$R$4:$W$4,0))))</f>
        <v>0</v>
      </c>
      <c r="H249" s="169">
        <f ca="1">IF($C249-H$1&lt;År1,0,G248*(1-VLOOKUP($A249,[1]Hugst!$R$5:$W$9,MATCH(ROUNDUP((H$1)/10,0)*10,[1]Hugst!$R$4:$W$4,0))))</f>
        <v>0</v>
      </c>
      <c r="I249" s="169">
        <f ca="1">IF($C249-I$1&lt;År1,0,H248*(1-VLOOKUP($A249,[1]Hugst!$R$5:$W$9,MATCH(ROUNDUP((I$1)/10,0)*10,[1]Hugst!$R$4:$W$4,0))))</f>
        <v>0</v>
      </c>
      <c r="J249" s="169">
        <f ca="1">IF($C249-J$1&lt;År1,0,I248*(1-VLOOKUP($A249,[1]Hugst!$R$5:$W$9,MATCH(ROUNDUP((J$1)/10,0)*10,[1]Hugst!$R$4:$W$4,0))))</f>
        <v>0</v>
      </c>
      <c r="K249" s="169">
        <f ca="1">IF($C249-K$1&lt;År1,0,J248*(1-VLOOKUP($A249,[1]Hugst!$R$5:$W$9,MATCH(ROUNDUP((K$1)/10,0)*10,[1]Hugst!$R$4:$W$4,0))))</f>
        <v>0</v>
      </c>
      <c r="L249" s="169">
        <f ca="1">IF($C249-L$1&lt;År1,0,K248*(1-VLOOKUP($A249,[1]Hugst!$R$5:$W$9,MATCH(ROUNDUP((L$1)/10,0)*10,[1]Hugst!$R$4:$W$4,0))))</f>
        <v>0</v>
      </c>
      <c r="M249" s="169">
        <f ca="1">IF($C249-M$1&lt;År1,0,L248*(1-VLOOKUP($A249,[1]Hugst!$R$5:$W$9,MATCH(ROUNDUP((M$1)/10,0)*10,[1]Hugst!$R$4:$W$4,0))))</f>
        <v>0</v>
      </c>
      <c r="N249" s="169">
        <f ca="1">IF($C249-N$1&lt;År1,0,M248*(1-VLOOKUP($A249,[1]Hugst!$R$5:$W$9,MATCH(ROUNDUP((N$1)/10,0)*10,[1]Hugst!$R$4:$W$4,0))))</f>
        <v>0</v>
      </c>
      <c r="O249" s="169">
        <f ca="1">IF($C249-O$1&lt;År1,0,N248*(1-VLOOKUP($A249,[1]Hugst!$R$5:$W$9,MATCH(ROUNDUP((O$1)/10,0)*10,[1]Hugst!$R$4:$W$4,0))))</f>
        <v>0</v>
      </c>
      <c r="P249" s="169">
        <f ca="1">IF($C249-P$1&lt;År1,0,O248*(1-VLOOKUP($A249,[1]Hugst!$R$5:$W$9,MATCH(ROUNDUP((P$1)/10,0)*10,[1]Hugst!$R$4:$W$4,0))))</f>
        <v>0</v>
      </c>
      <c r="Q249" s="169">
        <f ca="1">IF($C249-Q$1&lt;År1,0,P248*(1-VLOOKUP($A249,[1]Hugst!$R$5:$W$9,MATCH(ROUNDUP((Q$1)/10,0)*10,[1]Hugst!$R$4:$W$4,0))))</f>
        <v>0</v>
      </c>
      <c r="R249" s="169">
        <f ca="1">IF($C249-R$1&lt;År1,0,Q248*(1-VLOOKUP($A249,[1]Hugst!$R$5:$W$9,MATCH(ROUNDUP((R$1)/10,0)*10,[1]Hugst!$R$4:$W$4,0))))</f>
        <v>0</v>
      </c>
      <c r="S249" s="169">
        <f ca="1">IF($C249-S$1&lt;År1,0,R248*(1-VLOOKUP($A249,[1]Hugst!$R$5:$W$9,MATCH(ROUNDUP((S$1)/10,0)*10,[1]Hugst!$R$4:$W$4,0))))</f>
        <v>0</v>
      </c>
      <c r="T249" s="169">
        <f ca="1">IF($C249-T$1&lt;År1,0,S248*(1-VLOOKUP($A249,[1]Hugst!$R$5:$W$9,MATCH(ROUNDUP((T$1)/10,0)*10,[1]Hugst!$R$4:$W$4,0))))</f>
        <v>0</v>
      </c>
      <c r="U249" s="169">
        <f ca="1">IF($C249-U$1&lt;År1,0,T248*(1-VLOOKUP($A249,[1]Hugst!$R$5:$W$9,MATCH(ROUNDUP((U$1)/10,0)*10,[1]Hugst!$R$4:$W$4,0))))</f>
        <v>0</v>
      </c>
      <c r="V249" s="169">
        <f ca="1">IF($C249-V$1&lt;År1,0,U248*(1-VLOOKUP($A249,[1]Hugst!$R$5:$W$9,MATCH(ROUNDUP((V$1)/10,0)*10,[1]Hugst!$R$4:$W$4,0))))</f>
        <v>0</v>
      </c>
      <c r="W249" s="169">
        <f ca="1">IF($C249-W$1&lt;År1,0,V248*(1-VLOOKUP($A249,[1]Hugst!$R$5:$W$9,MATCH(ROUNDUP((W$1)/10,0)*10,[1]Hugst!$R$4:$W$4,0))))</f>
        <v>0</v>
      </c>
      <c r="X249" s="169">
        <f ca="1">IF($C249-X$1&lt;År1,0,W248*(1-VLOOKUP($A249,[1]Hugst!$R$5:$W$9,MATCH(ROUNDUP((X$1)/10,0)*10,[1]Hugst!$R$4:$W$4,0))))</f>
        <v>0</v>
      </c>
      <c r="Y249" s="169">
        <f ca="1">IF($C249-Y$1&lt;År1,0,X248*(1-VLOOKUP($A249,[1]Hugst!$R$5:$W$9,MATCH(ROUNDUP((Y$1)/10,0)*10,[1]Hugst!$R$4:$W$4,0))))</f>
        <v>0</v>
      </c>
      <c r="Z249" s="169">
        <f ca="1">IF($C249-Z$1&lt;År1,0,Y248*(1-VLOOKUP($A249,[1]Hugst!$R$5:$W$9,MATCH(ROUNDUP((Z$1)/10,0)*10,[1]Hugst!$R$4:$W$4,0))))</f>
        <v>0</v>
      </c>
      <c r="AA249" s="169">
        <f ca="1">IF($C249-AA$1&lt;År1,0,Z248*(1-VLOOKUP($A249,[1]Hugst!$R$5:$W$9,MATCH(ROUNDUP((AA$1)/10,0)*10,[1]Hugst!$R$4:$W$4,0))))</f>
        <v>0</v>
      </c>
      <c r="AB249" s="169">
        <f ca="1">IF($C249-AB$1&lt;År1,0,AA248*(1-VLOOKUP($A249,[1]Hugst!$R$5:$W$9,MATCH(ROUNDUP((AB$1)/10,0)*10,[1]Hugst!$R$4:$W$4,0))))</f>
        <v>0</v>
      </c>
      <c r="AC249" s="169">
        <f ca="1">IF($C249-AC$1&lt;År1,0,AB248*(1-VLOOKUP($A249,[1]Hugst!$R$5:$W$9,MATCH(ROUNDUP((AC$1)/10,0)*10,[1]Hugst!$R$4:$W$4,0))))</f>
        <v>0</v>
      </c>
      <c r="AD249" s="169">
        <f ca="1">IF($C249-AD$1&lt;År1,0,AC248*(1-VLOOKUP($A249,[1]Hugst!$R$5:$W$9,MATCH(ROUNDUP((AD$1)/10,0)*10,[1]Hugst!$R$4:$W$4,0))))</f>
        <v>0</v>
      </c>
      <c r="AE249" s="169">
        <f ca="1">IF($C249-AE$1&lt;År1,0,AD248*(1-VLOOKUP($A249,[1]Hugst!$R$5:$W$9,MATCH(ROUNDUP((AE$1)/10,0)*10,[1]Hugst!$R$4:$W$4,0))))</f>
        <v>0</v>
      </c>
      <c r="AF249" s="169">
        <f ca="1">IF($C249-AF$1&lt;År1,0,AE248*(1-VLOOKUP($A249,[1]Hugst!$R$5:$W$9,MATCH(ROUNDUP((AF$1)/10,0)*10,[1]Hugst!$R$4:$W$4,0))))</f>
        <v>0</v>
      </c>
      <c r="AG249" s="169">
        <f ca="1">IF($C249-AG$1&lt;År1,0,AF248*(1-VLOOKUP($A249,[1]Hugst!$R$5:$W$9,MATCH(ROUNDUP((AG$1)/10,0)*10,[1]Hugst!$R$4:$W$4,0))))</f>
        <v>0</v>
      </c>
      <c r="AH249" s="169">
        <f ca="1">IF($C249-AH$1&lt;År1,0,AG248*(1-VLOOKUP($A249,[1]Hugst!$R$5:$W$9,MATCH(ROUNDUP((AH$1)/10,0)*10,[1]Hugst!$R$4:$W$4,0))))</f>
        <v>0</v>
      </c>
      <c r="AI249" s="169">
        <f ca="1">IF($C249-AI$1&lt;År1,0,AH248*(1-VLOOKUP($A249,[1]Hugst!$R$5:$W$9,MATCH(ROUNDUP((AI$1)/10,0)*10,[1]Hugst!$R$4:$W$4,0))))</f>
        <v>0</v>
      </c>
      <c r="AJ249" s="169">
        <f ca="1">IF($C249-AJ$1&lt;År1,0,AI248*(1-VLOOKUP($A249,[1]Hugst!$R$5:$W$9,MATCH(ROUNDUP((AJ$1)/10,0)*10,[1]Hugst!$R$4:$W$4,0))))</f>
        <v>0</v>
      </c>
    </row>
    <row r="250" spans="1:36" x14ac:dyDescent="0.25">
      <c r="A250" s="169" t="s">
        <v>180</v>
      </c>
      <c r="B250" s="169" t="s">
        <v>23</v>
      </c>
      <c r="C250" s="169">
        <v>2020</v>
      </c>
      <c r="D250" s="169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1086.6749999999884</v>
      </c>
      <c r="E250" s="169">
        <f>IF(C250=2020,SUM(G250:AJ250),SUM(F249:AJ249)-SUM(G250:AJ250))</f>
        <v>0</v>
      </c>
      <c r="F250" s="169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3614.2541179942436</v>
      </c>
      <c r="G250" s="169">
        <f>IF($C250-G$1&lt;År1,0,F249*(1-VLOOKUP($A250,[1]Hugst!$R$5:$W$9,MATCH(ROUNDUP((G$1)/10,0)*10,[1]Hugst!$R$4:$W$4,0))))</f>
        <v>0</v>
      </c>
      <c r="H250" s="169">
        <f>IF($C250-H$1&lt;År1,0,G249*(1-VLOOKUP($A250,[1]Hugst!$R$5:$W$9,MATCH(ROUNDUP((H$1)/10,0)*10,[1]Hugst!$R$4:$W$4,0))))</f>
        <v>0</v>
      </c>
      <c r="I250" s="169">
        <f>IF($C250-I$1&lt;År1,0,H249*(1-VLOOKUP($A250,[1]Hugst!$R$5:$W$9,MATCH(ROUNDUP((I$1)/10,0)*10,[1]Hugst!$R$4:$W$4,0))))</f>
        <v>0</v>
      </c>
      <c r="J250" s="169">
        <f>IF($C250-J$1&lt;År1,0,I249*(1-VLOOKUP($A250,[1]Hugst!$R$5:$W$9,MATCH(ROUNDUP((J$1)/10,0)*10,[1]Hugst!$R$4:$W$4,0))))</f>
        <v>0</v>
      </c>
      <c r="K250" s="169">
        <f>IF($C250-K$1&lt;År1,0,J249*(1-VLOOKUP($A250,[1]Hugst!$R$5:$W$9,MATCH(ROUNDUP((K$1)/10,0)*10,[1]Hugst!$R$4:$W$4,0))))</f>
        <v>0</v>
      </c>
      <c r="L250" s="169">
        <f>IF($C250-L$1&lt;År1,0,K249*(1-VLOOKUP($A250,[1]Hugst!$R$5:$W$9,MATCH(ROUNDUP((L$1)/10,0)*10,[1]Hugst!$R$4:$W$4,0))))</f>
        <v>0</v>
      </c>
      <c r="M250" s="169">
        <f>IF($C250-M$1&lt;År1,0,L249*(1-VLOOKUP($A250,[1]Hugst!$R$5:$W$9,MATCH(ROUNDUP((M$1)/10,0)*10,[1]Hugst!$R$4:$W$4,0))))</f>
        <v>0</v>
      </c>
      <c r="N250" s="169">
        <f>IF($C250-N$1&lt;År1,0,M249*(1-VLOOKUP($A250,[1]Hugst!$R$5:$W$9,MATCH(ROUNDUP((N$1)/10,0)*10,[1]Hugst!$R$4:$W$4,0))))</f>
        <v>0</v>
      </c>
      <c r="O250" s="169">
        <f>IF($C250-O$1&lt;År1,0,N249*(1-VLOOKUP($A250,[1]Hugst!$R$5:$W$9,MATCH(ROUNDUP((O$1)/10,0)*10,[1]Hugst!$R$4:$W$4,0))))</f>
        <v>0</v>
      </c>
      <c r="P250" s="169">
        <f>IF($C250-P$1&lt;År1,0,O249*(1-VLOOKUP($A250,[1]Hugst!$R$5:$W$9,MATCH(ROUNDUP((P$1)/10,0)*10,[1]Hugst!$R$4:$W$4,0))))</f>
        <v>0</v>
      </c>
      <c r="Q250" s="169">
        <f>IF($C250-Q$1&lt;År1,0,P249*(1-VLOOKUP($A250,[1]Hugst!$R$5:$W$9,MATCH(ROUNDUP((Q$1)/10,0)*10,[1]Hugst!$R$4:$W$4,0))))</f>
        <v>0</v>
      </c>
      <c r="R250" s="169">
        <f>IF($C250-R$1&lt;År1,0,Q249*(1-VLOOKUP($A250,[1]Hugst!$R$5:$W$9,MATCH(ROUNDUP((R$1)/10,0)*10,[1]Hugst!$R$4:$W$4,0))))</f>
        <v>0</v>
      </c>
      <c r="S250" s="169">
        <f>IF($C250-S$1&lt;År1,0,R249*(1-VLOOKUP($A250,[1]Hugst!$R$5:$W$9,MATCH(ROUNDUP((S$1)/10,0)*10,[1]Hugst!$R$4:$W$4,0))))</f>
        <v>0</v>
      </c>
      <c r="T250" s="169">
        <f>IF($C250-T$1&lt;År1,0,S249*(1-VLOOKUP($A250,[1]Hugst!$R$5:$W$9,MATCH(ROUNDUP((T$1)/10,0)*10,[1]Hugst!$R$4:$W$4,0))))</f>
        <v>0</v>
      </c>
      <c r="U250" s="169">
        <f>IF($C250-U$1&lt;År1,0,T249*(1-VLOOKUP($A250,[1]Hugst!$R$5:$W$9,MATCH(ROUNDUP((U$1)/10,0)*10,[1]Hugst!$R$4:$W$4,0))))</f>
        <v>0</v>
      </c>
      <c r="V250" s="169">
        <f>IF($C250-V$1&lt;År1,0,U249*(1-VLOOKUP($A250,[1]Hugst!$R$5:$W$9,MATCH(ROUNDUP((V$1)/10,0)*10,[1]Hugst!$R$4:$W$4,0))))</f>
        <v>0</v>
      </c>
      <c r="W250" s="169">
        <f>IF($C250-W$1&lt;År1,0,V249*(1-VLOOKUP($A250,[1]Hugst!$R$5:$W$9,MATCH(ROUNDUP((W$1)/10,0)*10,[1]Hugst!$R$4:$W$4,0))))</f>
        <v>0</v>
      </c>
      <c r="X250" s="169">
        <f>IF($C250-X$1&lt;År1,0,W249*(1-VLOOKUP($A250,[1]Hugst!$R$5:$W$9,MATCH(ROUNDUP((X$1)/10,0)*10,[1]Hugst!$R$4:$W$4,0))))</f>
        <v>0</v>
      </c>
      <c r="Y250" s="169">
        <f>IF($C250-Y$1&lt;År1,0,X249*(1-VLOOKUP($A250,[1]Hugst!$R$5:$W$9,MATCH(ROUNDUP((Y$1)/10,0)*10,[1]Hugst!$R$4:$W$4,0))))</f>
        <v>0</v>
      </c>
      <c r="Z250" s="169">
        <f>IF($C250-Z$1&lt;År1,0,Y249*(1-VLOOKUP($A250,[1]Hugst!$R$5:$W$9,MATCH(ROUNDUP((Z$1)/10,0)*10,[1]Hugst!$R$4:$W$4,0))))</f>
        <v>0</v>
      </c>
      <c r="AA250" s="169">
        <f>IF($C250-AA$1&lt;År1,0,Z249*(1-VLOOKUP($A250,[1]Hugst!$R$5:$W$9,MATCH(ROUNDUP((AA$1)/10,0)*10,[1]Hugst!$R$4:$W$4,0))))</f>
        <v>0</v>
      </c>
      <c r="AB250" s="169">
        <f>IF($C250-AB$1&lt;År1,0,AA249*(1-VLOOKUP($A250,[1]Hugst!$R$5:$W$9,MATCH(ROUNDUP((AB$1)/10,0)*10,[1]Hugst!$R$4:$W$4,0))))</f>
        <v>0</v>
      </c>
      <c r="AC250" s="169">
        <f>IF($C250-AC$1&lt;År1,0,AB249*(1-VLOOKUP($A250,[1]Hugst!$R$5:$W$9,MATCH(ROUNDUP((AC$1)/10,0)*10,[1]Hugst!$R$4:$W$4,0))))</f>
        <v>0</v>
      </c>
      <c r="AD250" s="169">
        <f>IF($C250-AD$1&lt;År1,0,AC249*(1-VLOOKUP($A250,[1]Hugst!$R$5:$W$9,MATCH(ROUNDUP((AD$1)/10,0)*10,[1]Hugst!$R$4:$W$4,0))))</f>
        <v>0</v>
      </c>
      <c r="AE250" s="169">
        <f>IF($C250-AE$1&lt;År1,0,AD249*(1-VLOOKUP($A250,[1]Hugst!$R$5:$W$9,MATCH(ROUNDUP((AE$1)/10,0)*10,[1]Hugst!$R$4:$W$4,0))))</f>
        <v>0</v>
      </c>
      <c r="AF250" s="169">
        <f>IF($C250-AF$1&lt;År1,0,AE249*(1-VLOOKUP($A250,[1]Hugst!$R$5:$W$9,MATCH(ROUNDUP((AF$1)/10,0)*10,[1]Hugst!$R$4:$W$4,0))))</f>
        <v>0</v>
      </c>
      <c r="AG250" s="169">
        <f>IF($C250-AG$1&lt;År1,0,AF249*(1-VLOOKUP($A250,[1]Hugst!$R$5:$W$9,MATCH(ROUNDUP((AG$1)/10,0)*10,[1]Hugst!$R$4:$W$4,0))))</f>
        <v>0</v>
      </c>
      <c r="AH250" s="169">
        <f>IF($C250-AH$1&lt;År1,0,AG249*(1-VLOOKUP($A250,[1]Hugst!$R$5:$W$9,MATCH(ROUNDUP((AH$1)/10,0)*10,[1]Hugst!$R$4:$W$4,0))))</f>
        <v>0</v>
      </c>
      <c r="AI250" s="169">
        <f>IF($C250-AI$1&lt;År1,0,AH249*(1-VLOOKUP($A250,[1]Hugst!$R$5:$W$9,MATCH(ROUNDUP((AI$1)/10,0)*10,[1]Hugst!$R$4:$W$4,0))))</f>
        <v>0</v>
      </c>
      <c r="AJ250" s="169">
        <f>IF($C250-AJ$1&lt;År1,0,AI249*(1-VLOOKUP($A250,[1]Hugst!$R$5:$W$9,MATCH(ROUNDUP((AJ$1)/10,0)*10,[1]Hugst!$R$4:$W$4,0))))</f>
        <v>0</v>
      </c>
    </row>
    <row r="251" spans="1:36" x14ac:dyDescent="0.25">
      <c r="A251" s="169" t="s">
        <v>180</v>
      </c>
      <c r="B251" s="169" t="s">
        <v>23</v>
      </c>
      <c r="C251" s="169">
        <v>2021</v>
      </c>
      <c r="D251" s="169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1624.5791249999893</v>
      </c>
      <c r="E251" s="169">
        <f t="shared" ref="E251:E280" ca="1" si="6">IF(C251=2020,SUM(G251:AJ251),SUM(F250:AJ250)-SUM(G251:AJ251))</f>
        <v>0</v>
      </c>
      <c r="F251" s="169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4152.1582429942446</v>
      </c>
      <c r="G251" s="169">
        <f ca="1">IF($C251-G$1&lt;År1,0,F250*(1-VLOOKUP($A251,[1]Hugst!$R$5:$W$9,MATCH(ROUNDUP((G$1)/10,0)*10,[1]Hugst!$R$4:$W$4,0))))</f>
        <v>3614.2541179942436</v>
      </c>
      <c r="H251" s="169">
        <f>IF($C251-H$1&lt;År1,0,G250*(1-VLOOKUP($A251,[1]Hugst!$R$5:$W$9,MATCH(ROUNDUP((H$1)/10,0)*10,[1]Hugst!$R$4:$W$4,0))))</f>
        <v>0</v>
      </c>
      <c r="I251" s="169">
        <f>IF($C251-I$1&lt;År1,0,H250*(1-VLOOKUP($A251,[1]Hugst!$R$5:$W$9,MATCH(ROUNDUP((I$1)/10,0)*10,[1]Hugst!$R$4:$W$4,0))))</f>
        <v>0</v>
      </c>
      <c r="J251" s="169">
        <f>IF($C251-J$1&lt;År1,0,I250*(1-VLOOKUP($A251,[1]Hugst!$R$5:$W$9,MATCH(ROUNDUP((J$1)/10,0)*10,[1]Hugst!$R$4:$W$4,0))))</f>
        <v>0</v>
      </c>
      <c r="K251" s="169">
        <f>IF($C251-K$1&lt;År1,0,J250*(1-VLOOKUP($A251,[1]Hugst!$R$5:$W$9,MATCH(ROUNDUP((K$1)/10,0)*10,[1]Hugst!$R$4:$W$4,0))))</f>
        <v>0</v>
      </c>
      <c r="L251" s="169">
        <f>IF($C251-L$1&lt;År1,0,K250*(1-VLOOKUP($A251,[1]Hugst!$R$5:$W$9,MATCH(ROUNDUP((L$1)/10,0)*10,[1]Hugst!$R$4:$W$4,0))))</f>
        <v>0</v>
      </c>
      <c r="M251" s="169">
        <f>IF($C251-M$1&lt;År1,0,L250*(1-VLOOKUP($A251,[1]Hugst!$R$5:$W$9,MATCH(ROUNDUP((M$1)/10,0)*10,[1]Hugst!$R$4:$W$4,0))))</f>
        <v>0</v>
      </c>
      <c r="N251" s="169">
        <f>IF($C251-N$1&lt;År1,0,M250*(1-VLOOKUP($A251,[1]Hugst!$R$5:$W$9,MATCH(ROUNDUP((N$1)/10,0)*10,[1]Hugst!$R$4:$W$4,0))))</f>
        <v>0</v>
      </c>
      <c r="O251" s="169">
        <f>IF($C251-O$1&lt;År1,0,N250*(1-VLOOKUP($A251,[1]Hugst!$R$5:$W$9,MATCH(ROUNDUP((O$1)/10,0)*10,[1]Hugst!$R$4:$W$4,0))))</f>
        <v>0</v>
      </c>
      <c r="P251" s="169">
        <f>IF($C251-P$1&lt;År1,0,O250*(1-VLOOKUP($A251,[1]Hugst!$R$5:$W$9,MATCH(ROUNDUP((P$1)/10,0)*10,[1]Hugst!$R$4:$W$4,0))))</f>
        <v>0</v>
      </c>
      <c r="Q251" s="169">
        <f>IF($C251-Q$1&lt;År1,0,P250*(1-VLOOKUP($A251,[1]Hugst!$R$5:$W$9,MATCH(ROUNDUP((Q$1)/10,0)*10,[1]Hugst!$R$4:$W$4,0))))</f>
        <v>0</v>
      </c>
      <c r="R251" s="169">
        <f>IF($C251-R$1&lt;År1,0,Q250*(1-VLOOKUP($A251,[1]Hugst!$R$5:$W$9,MATCH(ROUNDUP((R$1)/10,0)*10,[1]Hugst!$R$4:$W$4,0))))</f>
        <v>0</v>
      </c>
      <c r="S251" s="169">
        <f>IF($C251-S$1&lt;År1,0,R250*(1-VLOOKUP($A251,[1]Hugst!$R$5:$W$9,MATCH(ROUNDUP((S$1)/10,0)*10,[1]Hugst!$R$4:$W$4,0))))</f>
        <v>0</v>
      </c>
      <c r="T251" s="169">
        <f>IF($C251-T$1&lt;År1,0,S250*(1-VLOOKUP($A251,[1]Hugst!$R$5:$W$9,MATCH(ROUNDUP((T$1)/10,0)*10,[1]Hugst!$R$4:$W$4,0))))</f>
        <v>0</v>
      </c>
      <c r="U251" s="169">
        <f>IF($C251-U$1&lt;År1,0,T250*(1-VLOOKUP($A251,[1]Hugst!$R$5:$W$9,MATCH(ROUNDUP((U$1)/10,0)*10,[1]Hugst!$R$4:$W$4,0))))</f>
        <v>0</v>
      </c>
      <c r="V251" s="169">
        <f>IF($C251-V$1&lt;År1,0,U250*(1-VLOOKUP($A251,[1]Hugst!$R$5:$W$9,MATCH(ROUNDUP((V$1)/10,0)*10,[1]Hugst!$R$4:$W$4,0))))</f>
        <v>0</v>
      </c>
      <c r="W251" s="169">
        <f>IF($C251-W$1&lt;År1,0,V250*(1-VLOOKUP($A251,[1]Hugst!$R$5:$W$9,MATCH(ROUNDUP((W$1)/10,0)*10,[1]Hugst!$R$4:$W$4,0))))</f>
        <v>0</v>
      </c>
      <c r="X251" s="169">
        <f>IF($C251-X$1&lt;År1,0,W250*(1-VLOOKUP($A251,[1]Hugst!$R$5:$W$9,MATCH(ROUNDUP((X$1)/10,0)*10,[1]Hugst!$R$4:$W$4,0))))</f>
        <v>0</v>
      </c>
      <c r="Y251" s="169">
        <f>IF($C251-Y$1&lt;År1,0,X250*(1-VLOOKUP($A251,[1]Hugst!$R$5:$W$9,MATCH(ROUNDUP((Y$1)/10,0)*10,[1]Hugst!$R$4:$W$4,0))))</f>
        <v>0</v>
      </c>
      <c r="Z251" s="169">
        <f>IF($C251-Z$1&lt;År1,0,Y250*(1-VLOOKUP($A251,[1]Hugst!$R$5:$W$9,MATCH(ROUNDUP((Z$1)/10,0)*10,[1]Hugst!$R$4:$W$4,0))))</f>
        <v>0</v>
      </c>
      <c r="AA251" s="169">
        <f>IF($C251-AA$1&lt;År1,0,Z250*(1-VLOOKUP($A251,[1]Hugst!$R$5:$W$9,MATCH(ROUNDUP((AA$1)/10,0)*10,[1]Hugst!$R$4:$W$4,0))))</f>
        <v>0</v>
      </c>
      <c r="AB251" s="169">
        <f>IF($C251-AB$1&lt;År1,0,AA250*(1-VLOOKUP($A251,[1]Hugst!$R$5:$W$9,MATCH(ROUNDUP((AB$1)/10,0)*10,[1]Hugst!$R$4:$W$4,0))))</f>
        <v>0</v>
      </c>
      <c r="AC251" s="169">
        <f>IF($C251-AC$1&lt;År1,0,AB250*(1-VLOOKUP($A251,[1]Hugst!$R$5:$W$9,MATCH(ROUNDUP((AC$1)/10,0)*10,[1]Hugst!$R$4:$W$4,0))))</f>
        <v>0</v>
      </c>
      <c r="AD251" s="169">
        <f>IF($C251-AD$1&lt;År1,0,AC250*(1-VLOOKUP($A251,[1]Hugst!$R$5:$W$9,MATCH(ROUNDUP((AD$1)/10,0)*10,[1]Hugst!$R$4:$W$4,0))))</f>
        <v>0</v>
      </c>
      <c r="AE251" s="169">
        <f>IF($C251-AE$1&lt;År1,0,AD250*(1-VLOOKUP($A251,[1]Hugst!$R$5:$W$9,MATCH(ROUNDUP((AE$1)/10,0)*10,[1]Hugst!$R$4:$W$4,0))))</f>
        <v>0</v>
      </c>
      <c r="AF251" s="169">
        <f>IF($C251-AF$1&lt;År1,0,AE250*(1-VLOOKUP($A251,[1]Hugst!$R$5:$W$9,MATCH(ROUNDUP((AF$1)/10,0)*10,[1]Hugst!$R$4:$W$4,0))))</f>
        <v>0</v>
      </c>
      <c r="AG251" s="169">
        <f>IF($C251-AG$1&lt;År1,0,AF250*(1-VLOOKUP($A251,[1]Hugst!$R$5:$W$9,MATCH(ROUNDUP((AG$1)/10,0)*10,[1]Hugst!$R$4:$W$4,0))))</f>
        <v>0</v>
      </c>
      <c r="AH251" s="169">
        <f>IF($C251-AH$1&lt;År1,0,AG250*(1-VLOOKUP($A251,[1]Hugst!$R$5:$W$9,MATCH(ROUNDUP((AH$1)/10,0)*10,[1]Hugst!$R$4:$W$4,0))))</f>
        <v>0</v>
      </c>
      <c r="AI251" s="169">
        <f>IF($C251-AI$1&lt;År1,0,AH250*(1-VLOOKUP($A251,[1]Hugst!$R$5:$W$9,MATCH(ROUNDUP((AI$1)/10,0)*10,[1]Hugst!$R$4:$W$4,0))))</f>
        <v>0</v>
      </c>
      <c r="AJ251" s="169">
        <f>IF($C251-AJ$1&lt;År1,0,AI250*(1-VLOOKUP($A251,[1]Hugst!$R$5:$W$9,MATCH(ROUNDUP((AJ$1)/10,0)*10,[1]Hugst!$R$4:$W$4,0))))</f>
        <v>0</v>
      </c>
    </row>
    <row r="252" spans="1:36" x14ac:dyDescent="0.25">
      <c r="A252" s="169" t="s">
        <v>180</v>
      </c>
      <c r="B252" s="169" t="s">
        <v>23</v>
      </c>
      <c r="C252" s="169">
        <v>2022</v>
      </c>
      <c r="D252" s="169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1888.1249793750176</v>
      </c>
      <c r="E252" s="169">
        <f t="shared" ca="1" si="6"/>
        <v>0</v>
      </c>
      <c r="F252" s="169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4415.7040973692729</v>
      </c>
      <c r="G252" s="169">
        <f ca="1">IF($C252-G$1&lt;År1,0,F251*(1-VLOOKUP($A252,[1]Hugst!$R$5:$W$9,MATCH(ROUNDUP((G$1)/10,0)*10,[1]Hugst!$R$4:$W$4,0))))</f>
        <v>4152.1582429942446</v>
      </c>
      <c r="H252" s="169">
        <f ca="1">IF($C252-H$1&lt;År1,0,G251*(1-VLOOKUP($A252,[1]Hugst!$R$5:$W$9,MATCH(ROUNDUP((H$1)/10,0)*10,[1]Hugst!$R$4:$W$4,0))))</f>
        <v>3614.2541179942436</v>
      </c>
      <c r="I252" s="169">
        <f>IF($C252-I$1&lt;År1,0,H251*(1-VLOOKUP($A252,[1]Hugst!$R$5:$W$9,MATCH(ROUNDUP((I$1)/10,0)*10,[1]Hugst!$R$4:$W$4,0))))</f>
        <v>0</v>
      </c>
      <c r="J252" s="169">
        <f>IF($C252-J$1&lt;År1,0,I251*(1-VLOOKUP($A252,[1]Hugst!$R$5:$W$9,MATCH(ROUNDUP((J$1)/10,0)*10,[1]Hugst!$R$4:$W$4,0))))</f>
        <v>0</v>
      </c>
      <c r="K252" s="169">
        <f>IF($C252-K$1&lt;År1,0,J251*(1-VLOOKUP($A252,[1]Hugst!$R$5:$W$9,MATCH(ROUNDUP((K$1)/10,0)*10,[1]Hugst!$R$4:$W$4,0))))</f>
        <v>0</v>
      </c>
      <c r="L252" s="169">
        <f>IF($C252-L$1&lt;År1,0,K251*(1-VLOOKUP($A252,[1]Hugst!$R$5:$W$9,MATCH(ROUNDUP((L$1)/10,0)*10,[1]Hugst!$R$4:$W$4,0))))</f>
        <v>0</v>
      </c>
      <c r="M252" s="169">
        <f>IF($C252-M$1&lt;År1,0,L251*(1-VLOOKUP($A252,[1]Hugst!$R$5:$W$9,MATCH(ROUNDUP((M$1)/10,0)*10,[1]Hugst!$R$4:$W$4,0))))</f>
        <v>0</v>
      </c>
      <c r="N252" s="169">
        <f>IF($C252-N$1&lt;År1,0,M251*(1-VLOOKUP($A252,[1]Hugst!$R$5:$W$9,MATCH(ROUNDUP((N$1)/10,0)*10,[1]Hugst!$R$4:$W$4,0))))</f>
        <v>0</v>
      </c>
      <c r="O252" s="169">
        <f>IF($C252-O$1&lt;År1,0,N251*(1-VLOOKUP($A252,[1]Hugst!$R$5:$W$9,MATCH(ROUNDUP((O$1)/10,0)*10,[1]Hugst!$R$4:$W$4,0))))</f>
        <v>0</v>
      </c>
      <c r="P252" s="169">
        <f>IF($C252-P$1&lt;År1,0,O251*(1-VLOOKUP($A252,[1]Hugst!$R$5:$W$9,MATCH(ROUNDUP((P$1)/10,0)*10,[1]Hugst!$R$4:$W$4,0))))</f>
        <v>0</v>
      </c>
      <c r="Q252" s="169">
        <f>IF($C252-Q$1&lt;År1,0,P251*(1-VLOOKUP($A252,[1]Hugst!$R$5:$W$9,MATCH(ROUNDUP((Q$1)/10,0)*10,[1]Hugst!$R$4:$W$4,0))))</f>
        <v>0</v>
      </c>
      <c r="R252" s="169">
        <f>IF($C252-R$1&lt;År1,0,Q251*(1-VLOOKUP($A252,[1]Hugst!$R$5:$W$9,MATCH(ROUNDUP((R$1)/10,0)*10,[1]Hugst!$R$4:$W$4,0))))</f>
        <v>0</v>
      </c>
      <c r="S252" s="169">
        <f>IF($C252-S$1&lt;År1,0,R251*(1-VLOOKUP($A252,[1]Hugst!$R$5:$W$9,MATCH(ROUNDUP((S$1)/10,0)*10,[1]Hugst!$R$4:$W$4,0))))</f>
        <v>0</v>
      </c>
      <c r="T252" s="169">
        <f>IF($C252-T$1&lt;År1,0,S251*(1-VLOOKUP($A252,[1]Hugst!$R$5:$W$9,MATCH(ROUNDUP((T$1)/10,0)*10,[1]Hugst!$R$4:$W$4,0))))</f>
        <v>0</v>
      </c>
      <c r="U252" s="169">
        <f>IF($C252-U$1&lt;År1,0,T251*(1-VLOOKUP($A252,[1]Hugst!$R$5:$W$9,MATCH(ROUNDUP((U$1)/10,0)*10,[1]Hugst!$R$4:$W$4,0))))</f>
        <v>0</v>
      </c>
      <c r="V252" s="169">
        <f>IF($C252-V$1&lt;År1,0,U251*(1-VLOOKUP($A252,[1]Hugst!$R$5:$W$9,MATCH(ROUNDUP((V$1)/10,0)*10,[1]Hugst!$R$4:$W$4,0))))</f>
        <v>0</v>
      </c>
      <c r="W252" s="169">
        <f>IF($C252-W$1&lt;År1,0,V251*(1-VLOOKUP($A252,[1]Hugst!$R$5:$W$9,MATCH(ROUNDUP((W$1)/10,0)*10,[1]Hugst!$R$4:$W$4,0))))</f>
        <v>0</v>
      </c>
      <c r="X252" s="169">
        <f>IF($C252-X$1&lt;År1,0,W251*(1-VLOOKUP($A252,[1]Hugst!$R$5:$W$9,MATCH(ROUNDUP((X$1)/10,0)*10,[1]Hugst!$R$4:$W$4,0))))</f>
        <v>0</v>
      </c>
      <c r="Y252" s="169">
        <f>IF($C252-Y$1&lt;År1,0,X251*(1-VLOOKUP($A252,[1]Hugst!$R$5:$W$9,MATCH(ROUNDUP((Y$1)/10,0)*10,[1]Hugst!$R$4:$W$4,0))))</f>
        <v>0</v>
      </c>
      <c r="Z252" s="169">
        <f>IF($C252-Z$1&lt;År1,0,Y251*(1-VLOOKUP($A252,[1]Hugst!$R$5:$W$9,MATCH(ROUNDUP((Z$1)/10,0)*10,[1]Hugst!$R$4:$W$4,0))))</f>
        <v>0</v>
      </c>
      <c r="AA252" s="169">
        <f>IF($C252-AA$1&lt;År1,0,Z251*(1-VLOOKUP($A252,[1]Hugst!$R$5:$W$9,MATCH(ROUNDUP((AA$1)/10,0)*10,[1]Hugst!$R$4:$W$4,0))))</f>
        <v>0</v>
      </c>
      <c r="AB252" s="169">
        <f>IF($C252-AB$1&lt;År1,0,AA251*(1-VLOOKUP($A252,[1]Hugst!$R$5:$W$9,MATCH(ROUNDUP((AB$1)/10,0)*10,[1]Hugst!$R$4:$W$4,0))))</f>
        <v>0</v>
      </c>
      <c r="AC252" s="169">
        <f>IF($C252-AC$1&lt;År1,0,AB251*(1-VLOOKUP($A252,[1]Hugst!$R$5:$W$9,MATCH(ROUNDUP((AC$1)/10,0)*10,[1]Hugst!$R$4:$W$4,0))))</f>
        <v>0</v>
      </c>
      <c r="AD252" s="169">
        <f>IF($C252-AD$1&lt;År1,0,AC251*(1-VLOOKUP($A252,[1]Hugst!$R$5:$W$9,MATCH(ROUNDUP((AD$1)/10,0)*10,[1]Hugst!$R$4:$W$4,0))))</f>
        <v>0</v>
      </c>
      <c r="AE252" s="169">
        <f>IF($C252-AE$1&lt;År1,0,AD251*(1-VLOOKUP($A252,[1]Hugst!$R$5:$W$9,MATCH(ROUNDUP((AE$1)/10,0)*10,[1]Hugst!$R$4:$W$4,0))))</f>
        <v>0</v>
      </c>
      <c r="AF252" s="169">
        <f>IF($C252-AF$1&lt;År1,0,AE251*(1-VLOOKUP($A252,[1]Hugst!$R$5:$W$9,MATCH(ROUNDUP((AF$1)/10,0)*10,[1]Hugst!$R$4:$W$4,0))))</f>
        <v>0</v>
      </c>
      <c r="AG252" s="169">
        <f>IF($C252-AG$1&lt;År1,0,AF251*(1-VLOOKUP($A252,[1]Hugst!$R$5:$W$9,MATCH(ROUNDUP((AG$1)/10,0)*10,[1]Hugst!$R$4:$W$4,0))))</f>
        <v>0</v>
      </c>
      <c r="AH252" s="169">
        <f>IF($C252-AH$1&lt;År1,0,AG251*(1-VLOOKUP($A252,[1]Hugst!$R$5:$W$9,MATCH(ROUNDUP((AH$1)/10,0)*10,[1]Hugst!$R$4:$W$4,0))))</f>
        <v>0</v>
      </c>
      <c r="AI252" s="169">
        <f>IF($C252-AI$1&lt;År1,0,AH251*(1-VLOOKUP($A252,[1]Hugst!$R$5:$W$9,MATCH(ROUNDUP((AI$1)/10,0)*10,[1]Hugst!$R$4:$W$4,0))))</f>
        <v>0</v>
      </c>
      <c r="AJ252" s="169">
        <f>IF($C252-AJ$1&lt;År1,0,AI251*(1-VLOOKUP($A252,[1]Hugst!$R$5:$W$9,MATCH(ROUNDUP((AJ$1)/10,0)*10,[1]Hugst!$R$4:$W$4,0))))</f>
        <v>0</v>
      </c>
    </row>
    <row r="253" spans="1:36" x14ac:dyDescent="0.25">
      <c r="A253" s="169" t="s">
        <v>180</v>
      </c>
      <c r="B253" s="169" t="s">
        <v>23</v>
      </c>
      <c r="C253" s="169">
        <v>2023</v>
      </c>
      <c r="D253" s="169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2014.5187294781063</v>
      </c>
      <c r="E253" s="169">
        <f t="shared" ca="1" si="6"/>
        <v>0</v>
      </c>
      <c r="F253" s="169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4542.0978474723615</v>
      </c>
      <c r="G253" s="169">
        <f ca="1">IF($C253-G$1&lt;År1,0,F252*(1-VLOOKUP($A253,[1]Hugst!$R$5:$W$9,MATCH(ROUNDUP((G$1)/10,0)*10,[1]Hugst!$R$4:$W$4,0))))</f>
        <v>4415.7040973692729</v>
      </c>
      <c r="H253" s="169">
        <f ca="1">IF($C253-H$1&lt;År1,0,G252*(1-VLOOKUP($A253,[1]Hugst!$R$5:$W$9,MATCH(ROUNDUP((H$1)/10,0)*10,[1]Hugst!$R$4:$W$4,0))))</f>
        <v>4152.1582429942446</v>
      </c>
      <c r="I253" s="169">
        <f ca="1">IF($C253-I$1&lt;År1,0,H252*(1-VLOOKUP($A253,[1]Hugst!$R$5:$W$9,MATCH(ROUNDUP((I$1)/10,0)*10,[1]Hugst!$R$4:$W$4,0))))</f>
        <v>3614.2541179942436</v>
      </c>
      <c r="J253" s="169">
        <f>IF($C253-J$1&lt;År1,0,I252*(1-VLOOKUP($A253,[1]Hugst!$R$5:$W$9,MATCH(ROUNDUP((J$1)/10,0)*10,[1]Hugst!$R$4:$W$4,0))))</f>
        <v>0</v>
      </c>
      <c r="K253" s="169">
        <f>IF($C253-K$1&lt;År1,0,J252*(1-VLOOKUP($A253,[1]Hugst!$R$5:$W$9,MATCH(ROUNDUP((K$1)/10,0)*10,[1]Hugst!$R$4:$W$4,0))))</f>
        <v>0</v>
      </c>
      <c r="L253" s="169">
        <f>IF($C253-L$1&lt;År1,0,K252*(1-VLOOKUP($A253,[1]Hugst!$R$5:$W$9,MATCH(ROUNDUP((L$1)/10,0)*10,[1]Hugst!$R$4:$W$4,0))))</f>
        <v>0</v>
      </c>
      <c r="M253" s="169">
        <f>IF($C253-M$1&lt;År1,0,L252*(1-VLOOKUP($A253,[1]Hugst!$R$5:$W$9,MATCH(ROUNDUP((M$1)/10,0)*10,[1]Hugst!$R$4:$W$4,0))))</f>
        <v>0</v>
      </c>
      <c r="N253" s="169">
        <f>IF($C253-N$1&lt;År1,0,M252*(1-VLOOKUP($A253,[1]Hugst!$R$5:$W$9,MATCH(ROUNDUP((N$1)/10,0)*10,[1]Hugst!$R$4:$W$4,0))))</f>
        <v>0</v>
      </c>
      <c r="O253" s="169">
        <f>IF($C253-O$1&lt;År1,0,N252*(1-VLOOKUP($A253,[1]Hugst!$R$5:$W$9,MATCH(ROUNDUP((O$1)/10,0)*10,[1]Hugst!$R$4:$W$4,0))))</f>
        <v>0</v>
      </c>
      <c r="P253" s="169">
        <f>IF($C253-P$1&lt;År1,0,O252*(1-VLOOKUP($A253,[1]Hugst!$R$5:$W$9,MATCH(ROUNDUP((P$1)/10,0)*10,[1]Hugst!$R$4:$W$4,0))))</f>
        <v>0</v>
      </c>
      <c r="Q253" s="169">
        <f>IF($C253-Q$1&lt;År1,0,P252*(1-VLOOKUP($A253,[1]Hugst!$R$5:$W$9,MATCH(ROUNDUP((Q$1)/10,0)*10,[1]Hugst!$R$4:$W$4,0))))</f>
        <v>0</v>
      </c>
      <c r="R253" s="169">
        <f>IF($C253-R$1&lt;År1,0,Q252*(1-VLOOKUP($A253,[1]Hugst!$R$5:$W$9,MATCH(ROUNDUP((R$1)/10,0)*10,[1]Hugst!$R$4:$W$4,0))))</f>
        <v>0</v>
      </c>
      <c r="S253" s="169">
        <f>IF($C253-S$1&lt;År1,0,R252*(1-VLOOKUP($A253,[1]Hugst!$R$5:$W$9,MATCH(ROUNDUP((S$1)/10,0)*10,[1]Hugst!$R$4:$W$4,0))))</f>
        <v>0</v>
      </c>
      <c r="T253" s="169">
        <f>IF($C253-T$1&lt;År1,0,S252*(1-VLOOKUP($A253,[1]Hugst!$R$5:$W$9,MATCH(ROUNDUP((T$1)/10,0)*10,[1]Hugst!$R$4:$W$4,0))))</f>
        <v>0</v>
      </c>
      <c r="U253" s="169">
        <f>IF($C253-U$1&lt;År1,0,T252*(1-VLOOKUP($A253,[1]Hugst!$R$5:$W$9,MATCH(ROUNDUP((U$1)/10,0)*10,[1]Hugst!$R$4:$W$4,0))))</f>
        <v>0</v>
      </c>
      <c r="V253" s="169">
        <f>IF($C253-V$1&lt;År1,0,U252*(1-VLOOKUP($A253,[1]Hugst!$R$5:$W$9,MATCH(ROUNDUP((V$1)/10,0)*10,[1]Hugst!$R$4:$W$4,0))))</f>
        <v>0</v>
      </c>
      <c r="W253" s="169">
        <f>IF($C253-W$1&lt;År1,0,V252*(1-VLOOKUP($A253,[1]Hugst!$R$5:$W$9,MATCH(ROUNDUP((W$1)/10,0)*10,[1]Hugst!$R$4:$W$4,0))))</f>
        <v>0</v>
      </c>
      <c r="X253" s="169">
        <f>IF($C253-X$1&lt;År1,0,W252*(1-VLOOKUP($A253,[1]Hugst!$R$5:$W$9,MATCH(ROUNDUP((X$1)/10,0)*10,[1]Hugst!$R$4:$W$4,0))))</f>
        <v>0</v>
      </c>
      <c r="Y253" s="169">
        <f>IF($C253-Y$1&lt;År1,0,X252*(1-VLOOKUP($A253,[1]Hugst!$R$5:$W$9,MATCH(ROUNDUP((Y$1)/10,0)*10,[1]Hugst!$R$4:$W$4,0))))</f>
        <v>0</v>
      </c>
      <c r="Z253" s="169">
        <f>IF($C253-Z$1&lt;År1,0,Y252*(1-VLOOKUP($A253,[1]Hugst!$R$5:$W$9,MATCH(ROUNDUP((Z$1)/10,0)*10,[1]Hugst!$R$4:$W$4,0))))</f>
        <v>0</v>
      </c>
      <c r="AA253" s="169">
        <f>IF($C253-AA$1&lt;År1,0,Z252*(1-VLOOKUP($A253,[1]Hugst!$R$5:$W$9,MATCH(ROUNDUP((AA$1)/10,0)*10,[1]Hugst!$R$4:$W$4,0))))</f>
        <v>0</v>
      </c>
      <c r="AB253" s="169">
        <f>IF($C253-AB$1&lt;År1,0,AA252*(1-VLOOKUP($A253,[1]Hugst!$R$5:$W$9,MATCH(ROUNDUP((AB$1)/10,0)*10,[1]Hugst!$R$4:$W$4,0))))</f>
        <v>0</v>
      </c>
      <c r="AC253" s="169">
        <f>IF($C253-AC$1&lt;År1,0,AB252*(1-VLOOKUP($A253,[1]Hugst!$R$5:$W$9,MATCH(ROUNDUP((AC$1)/10,0)*10,[1]Hugst!$R$4:$W$4,0))))</f>
        <v>0</v>
      </c>
      <c r="AD253" s="169">
        <f>IF($C253-AD$1&lt;År1,0,AC252*(1-VLOOKUP($A253,[1]Hugst!$R$5:$W$9,MATCH(ROUNDUP((AD$1)/10,0)*10,[1]Hugst!$R$4:$W$4,0))))</f>
        <v>0</v>
      </c>
      <c r="AE253" s="169">
        <f>IF($C253-AE$1&lt;År1,0,AD252*(1-VLOOKUP($A253,[1]Hugst!$R$5:$W$9,MATCH(ROUNDUP((AE$1)/10,0)*10,[1]Hugst!$R$4:$W$4,0))))</f>
        <v>0</v>
      </c>
      <c r="AF253" s="169">
        <f>IF($C253-AF$1&lt;År1,0,AE252*(1-VLOOKUP($A253,[1]Hugst!$R$5:$W$9,MATCH(ROUNDUP((AF$1)/10,0)*10,[1]Hugst!$R$4:$W$4,0))))</f>
        <v>0</v>
      </c>
      <c r="AG253" s="169">
        <f>IF($C253-AG$1&lt;År1,0,AF252*(1-VLOOKUP($A253,[1]Hugst!$R$5:$W$9,MATCH(ROUNDUP((AG$1)/10,0)*10,[1]Hugst!$R$4:$W$4,0))))</f>
        <v>0</v>
      </c>
      <c r="AH253" s="169">
        <f>IF($C253-AH$1&lt;År1,0,AG252*(1-VLOOKUP($A253,[1]Hugst!$R$5:$W$9,MATCH(ROUNDUP((AH$1)/10,0)*10,[1]Hugst!$R$4:$W$4,0))))</f>
        <v>0</v>
      </c>
      <c r="AI253" s="169">
        <f>IF($C253-AI$1&lt;År1,0,AH252*(1-VLOOKUP($A253,[1]Hugst!$R$5:$W$9,MATCH(ROUNDUP((AI$1)/10,0)*10,[1]Hugst!$R$4:$W$4,0))))</f>
        <v>0</v>
      </c>
      <c r="AJ253" s="169">
        <f>IF($C253-AJ$1&lt;År1,0,AI252*(1-VLOOKUP($A253,[1]Hugst!$R$5:$W$9,MATCH(ROUNDUP((AJ$1)/10,0)*10,[1]Hugst!$R$4:$W$4,0))))</f>
        <v>0</v>
      </c>
    </row>
    <row r="254" spans="1:36" x14ac:dyDescent="0.25">
      <c r="A254" s="169" t="s">
        <v>180</v>
      </c>
      <c r="B254" s="169" t="s">
        <v>23</v>
      </c>
      <c r="C254" s="169">
        <v>2024</v>
      </c>
      <c r="D254" s="169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2072.3633233307264</v>
      </c>
      <c r="E254" s="169">
        <f t="shared" ca="1" si="6"/>
        <v>0</v>
      </c>
      <c r="F254" s="169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4599.9424413249817</v>
      </c>
      <c r="G254" s="169">
        <f ca="1">IF($C254-G$1&lt;År1,0,F253*(1-VLOOKUP($A254,[1]Hugst!$R$5:$W$9,MATCH(ROUNDUP((G$1)/10,0)*10,[1]Hugst!$R$4:$W$4,0))))</f>
        <v>4542.0978474723615</v>
      </c>
      <c r="H254" s="169">
        <f ca="1">IF($C254-H$1&lt;År1,0,G253*(1-VLOOKUP($A254,[1]Hugst!$R$5:$W$9,MATCH(ROUNDUP((H$1)/10,0)*10,[1]Hugst!$R$4:$W$4,0))))</f>
        <v>4415.7040973692729</v>
      </c>
      <c r="I254" s="169">
        <f ca="1">IF($C254-I$1&lt;År1,0,H253*(1-VLOOKUP($A254,[1]Hugst!$R$5:$W$9,MATCH(ROUNDUP((I$1)/10,0)*10,[1]Hugst!$R$4:$W$4,0))))</f>
        <v>4152.1582429942446</v>
      </c>
      <c r="J254" s="169">
        <f ca="1">IF($C254-J$1&lt;År1,0,I253*(1-VLOOKUP($A254,[1]Hugst!$R$5:$W$9,MATCH(ROUNDUP((J$1)/10,0)*10,[1]Hugst!$R$4:$W$4,0))))</f>
        <v>3614.2541179942436</v>
      </c>
      <c r="K254" s="169">
        <f>IF($C254-K$1&lt;År1,0,J253*(1-VLOOKUP($A254,[1]Hugst!$R$5:$W$9,MATCH(ROUNDUP((K$1)/10,0)*10,[1]Hugst!$R$4:$W$4,0))))</f>
        <v>0</v>
      </c>
      <c r="L254" s="169">
        <f>IF($C254-L$1&lt;År1,0,K253*(1-VLOOKUP($A254,[1]Hugst!$R$5:$W$9,MATCH(ROUNDUP((L$1)/10,0)*10,[1]Hugst!$R$4:$W$4,0))))</f>
        <v>0</v>
      </c>
      <c r="M254" s="169">
        <f>IF($C254-M$1&lt;År1,0,L253*(1-VLOOKUP($A254,[1]Hugst!$R$5:$W$9,MATCH(ROUNDUP((M$1)/10,0)*10,[1]Hugst!$R$4:$W$4,0))))</f>
        <v>0</v>
      </c>
      <c r="N254" s="169">
        <f>IF($C254-N$1&lt;År1,0,M253*(1-VLOOKUP($A254,[1]Hugst!$R$5:$W$9,MATCH(ROUNDUP((N$1)/10,0)*10,[1]Hugst!$R$4:$W$4,0))))</f>
        <v>0</v>
      </c>
      <c r="O254" s="169">
        <f>IF($C254-O$1&lt;År1,0,N253*(1-VLOOKUP($A254,[1]Hugst!$R$5:$W$9,MATCH(ROUNDUP((O$1)/10,0)*10,[1]Hugst!$R$4:$W$4,0))))</f>
        <v>0</v>
      </c>
      <c r="P254" s="169">
        <f>IF($C254-P$1&lt;År1,0,O253*(1-VLOOKUP($A254,[1]Hugst!$R$5:$W$9,MATCH(ROUNDUP((P$1)/10,0)*10,[1]Hugst!$R$4:$W$4,0))))</f>
        <v>0</v>
      </c>
      <c r="Q254" s="169">
        <f>IF($C254-Q$1&lt;År1,0,P253*(1-VLOOKUP($A254,[1]Hugst!$R$5:$W$9,MATCH(ROUNDUP((Q$1)/10,0)*10,[1]Hugst!$R$4:$W$4,0))))</f>
        <v>0</v>
      </c>
      <c r="R254" s="169">
        <f>IF($C254-R$1&lt;År1,0,Q253*(1-VLOOKUP($A254,[1]Hugst!$R$5:$W$9,MATCH(ROUNDUP((R$1)/10,0)*10,[1]Hugst!$R$4:$W$4,0))))</f>
        <v>0</v>
      </c>
      <c r="S254" s="169">
        <f>IF($C254-S$1&lt;År1,0,R253*(1-VLOOKUP($A254,[1]Hugst!$R$5:$W$9,MATCH(ROUNDUP((S$1)/10,0)*10,[1]Hugst!$R$4:$W$4,0))))</f>
        <v>0</v>
      </c>
      <c r="T254" s="169">
        <f>IF($C254-T$1&lt;År1,0,S253*(1-VLOOKUP($A254,[1]Hugst!$R$5:$W$9,MATCH(ROUNDUP((T$1)/10,0)*10,[1]Hugst!$R$4:$W$4,0))))</f>
        <v>0</v>
      </c>
      <c r="U254" s="169">
        <f>IF($C254-U$1&lt;År1,0,T253*(1-VLOOKUP($A254,[1]Hugst!$R$5:$W$9,MATCH(ROUNDUP((U$1)/10,0)*10,[1]Hugst!$R$4:$W$4,0))))</f>
        <v>0</v>
      </c>
      <c r="V254" s="169">
        <f>IF($C254-V$1&lt;År1,0,U253*(1-VLOOKUP($A254,[1]Hugst!$R$5:$W$9,MATCH(ROUNDUP((V$1)/10,0)*10,[1]Hugst!$R$4:$W$4,0))))</f>
        <v>0</v>
      </c>
      <c r="W254" s="169">
        <f>IF($C254-W$1&lt;År1,0,V253*(1-VLOOKUP($A254,[1]Hugst!$R$5:$W$9,MATCH(ROUNDUP((W$1)/10,0)*10,[1]Hugst!$R$4:$W$4,0))))</f>
        <v>0</v>
      </c>
      <c r="X254" s="169">
        <f>IF($C254-X$1&lt;År1,0,W253*(1-VLOOKUP($A254,[1]Hugst!$R$5:$W$9,MATCH(ROUNDUP((X$1)/10,0)*10,[1]Hugst!$R$4:$W$4,0))))</f>
        <v>0</v>
      </c>
      <c r="Y254" s="169">
        <f>IF($C254-Y$1&lt;År1,0,X253*(1-VLOOKUP($A254,[1]Hugst!$R$5:$W$9,MATCH(ROUNDUP((Y$1)/10,0)*10,[1]Hugst!$R$4:$W$4,0))))</f>
        <v>0</v>
      </c>
      <c r="Z254" s="169">
        <f>IF($C254-Z$1&lt;År1,0,Y253*(1-VLOOKUP($A254,[1]Hugst!$R$5:$W$9,MATCH(ROUNDUP((Z$1)/10,0)*10,[1]Hugst!$R$4:$W$4,0))))</f>
        <v>0</v>
      </c>
      <c r="AA254" s="169">
        <f>IF($C254-AA$1&lt;År1,0,Z253*(1-VLOOKUP($A254,[1]Hugst!$R$5:$W$9,MATCH(ROUNDUP((AA$1)/10,0)*10,[1]Hugst!$R$4:$W$4,0))))</f>
        <v>0</v>
      </c>
      <c r="AB254" s="169">
        <f>IF($C254-AB$1&lt;År1,0,AA253*(1-VLOOKUP($A254,[1]Hugst!$R$5:$W$9,MATCH(ROUNDUP((AB$1)/10,0)*10,[1]Hugst!$R$4:$W$4,0))))</f>
        <v>0</v>
      </c>
      <c r="AC254" s="169">
        <f>IF($C254-AC$1&lt;År1,0,AB253*(1-VLOOKUP($A254,[1]Hugst!$R$5:$W$9,MATCH(ROUNDUP((AC$1)/10,0)*10,[1]Hugst!$R$4:$W$4,0))))</f>
        <v>0</v>
      </c>
      <c r="AD254" s="169">
        <f>IF($C254-AD$1&lt;År1,0,AC253*(1-VLOOKUP($A254,[1]Hugst!$R$5:$W$9,MATCH(ROUNDUP((AD$1)/10,0)*10,[1]Hugst!$R$4:$W$4,0))))</f>
        <v>0</v>
      </c>
      <c r="AE254" s="169">
        <f>IF($C254-AE$1&lt;År1,0,AD253*(1-VLOOKUP($A254,[1]Hugst!$R$5:$W$9,MATCH(ROUNDUP((AE$1)/10,0)*10,[1]Hugst!$R$4:$W$4,0))))</f>
        <v>0</v>
      </c>
      <c r="AF254" s="169">
        <f>IF($C254-AF$1&lt;År1,0,AE253*(1-VLOOKUP($A254,[1]Hugst!$R$5:$W$9,MATCH(ROUNDUP((AF$1)/10,0)*10,[1]Hugst!$R$4:$W$4,0))))</f>
        <v>0</v>
      </c>
      <c r="AG254" s="169">
        <f>IF($C254-AG$1&lt;År1,0,AF253*(1-VLOOKUP($A254,[1]Hugst!$R$5:$W$9,MATCH(ROUNDUP((AG$1)/10,0)*10,[1]Hugst!$R$4:$W$4,0))))</f>
        <v>0</v>
      </c>
      <c r="AH254" s="169">
        <f>IF($C254-AH$1&lt;År1,0,AG253*(1-VLOOKUP($A254,[1]Hugst!$R$5:$W$9,MATCH(ROUNDUP((AH$1)/10,0)*10,[1]Hugst!$R$4:$W$4,0))))</f>
        <v>0</v>
      </c>
      <c r="AI254" s="169">
        <f>IF($C254-AI$1&lt;År1,0,AH253*(1-VLOOKUP($A254,[1]Hugst!$R$5:$W$9,MATCH(ROUNDUP((AI$1)/10,0)*10,[1]Hugst!$R$4:$W$4,0))))</f>
        <v>0</v>
      </c>
      <c r="AJ254" s="169">
        <f>IF($C254-AJ$1&lt;År1,0,AI253*(1-VLOOKUP($A254,[1]Hugst!$R$5:$W$9,MATCH(ROUNDUP((AJ$1)/10,0)*10,[1]Hugst!$R$4:$W$4,0))))</f>
        <v>0</v>
      </c>
    </row>
    <row r="255" spans="1:36" x14ac:dyDescent="0.25">
      <c r="A255" s="169" t="s">
        <v>180</v>
      </c>
      <c r="B255" s="169" t="s">
        <v>23</v>
      </c>
      <c r="C255" s="169">
        <v>2025</v>
      </c>
      <c r="D255" s="169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2095.9601004640681</v>
      </c>
      <c r="E255" s="169">
        <f t="shared" ca="1" si="6"/>
        <v>0</v>
      </c>
      <c r="F255" s="169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4623.5392184583234</v>
      </c>
      <c r="G255" s="169">
        <f ca="1">IF($C255-G$1&lt;År1,0,F254*(1-VLOOKUP($A255,[1]Hugst!$R$5:$W$9,MATCH(ROUNDUP((G$1)/10,0)*10,[1]Hugst!$R$4:$W$4,0))))</f>
        <v>4599.9424413249817</v>
      </c>
      <c r="H255" s="169">
        <f ca="1">IF($C255-H$1&lt;År1,0,G254*(1-VLOOKUP($A255,[1]Hugst!$R$5:$W$9,MATCH(ROUNDUP((H$1)/10,0)*10,[1]Hugst!$R$4:$W$4,0))))</f>
        <v>4542.0978474723615</v>
      </c>
      <c r="I255" s="169">
        <f ca="1">IF($C255-I$1&lt;År1,0,H254*(1-VLOOKUP($A255,[1]Hugst!$R$5:$W$9,MATCH(ROUNDUP((I$1)/10,0)*10,[1]Hugst!$R$4:$W$4,0))))</f>
        <v>4415.7040973692729</v>
      </c>
      <c r="J255" s="169">
        <f ca="1">IF($C255-J$1&lt;År1,0,I254*(1-VLOOKUP($A255,[1]Hugst!$R$5:$W$9,MATCH(ROUNDUP((J$1)/10,0)*10,[1]Hugst!$R$4:$W$4,0))))</f>
        <v>4152.1582429942446</v>
      </c>
      <c r="K255" s="169">
        <f ca="1">IF($C255-K$1&lt;År1,0,J254*(1-VLOOKUP($A255,[1]Hugst!$R$5:$W$9,MATCH(ROUNDUP((K$1)/10,0)*10,[1]Hugst!$R$4:$W$4,0))))</f>
        <v>3614.2541179942436</v>
      </c>
      <c r="L255" s="169">
        <f>IF($C255-L$1&lt;År1,0,K254*(1-VLOOKUP($A255,[1]Hugst!$R$5:$W$9,MATCH(ROUNDUP((L$1)/10,0)*10,[1]Hugst!$R$4:$W$4,0))))</f>
        <v>0</v>
      </c>
      <c r="M255" s="169">
        <f>IF($C255-M$1&lt;År1,0,L254*(1-VLOOKUP($A255,[1]Hugst!$R$5:$W$9,MATCH(ROUNDUP((M$1)/10,0)*10,[1]Hugst!$R$4:$W$4,0))))</f>
        <v>0</v>
      </c>
      <c r="N255" s="169">
        <f>IF($C255-N$1&lt;År1,0,M254*(1-VLOOKUP($A255,[1]Hugst!$R$5:$W$9,MATCH(ROUNDUP((N$1)/10,0)*10,[1]Hugst!$R$4:$W$4,0))))</f>
        <v>0</v>
      </c>
      <c r="O255" s="169">
        <f>IF($C255-O$1&lt;År1,0,N254*(1-VLOOKUP($A255,[1]Hugst!$R$5:$W$9,MATCH(ROUNDUP((O$1)/10,0)*10,[1]Hugst!$R$4:$W$4,0))))</f>
        <v>0</v>
      </c>
      <c r="P255" s="169">
        <f>IF($C255-P$1&lt;År1,0,O254*(1-VLOOKUP($A255,[1]Hugst!$R$5:$W$9,MATCH(ROUNDUP((P$1)/10,0)*10,[1]Hugst!$R$4:$W$4,0))))</f>
        <v>0</v>
      </c>
      <c r="Q255" s="169">
        <f>IF($C255-Q$1&lt;År1,0,P254*(1-VLOOKUP($A255,[1]Hugst!$R$5:$W$9,MATCH(ROUNDUP((Q$1)/10,0)*10,[1]Hugst!$R$4:$W$4,0))))</f>
        <v>0</v>
      </c>
      <c r="R255" s="169">
        <f>IF($C255-R$1&lt;År1,0,Q254*(1-VLOOKUP($A255,[1]Hugst!$R$5:$W$9,MATCH(ROUNDUP((R$1)/10,0)*10,[1]Hugst!$R$4:$W$4,0))))</f>
        <v>0</v>
      </c>
      <c r="S255" s="169">
        <f>IF($C255-S$1&lt;År1,0,R254*(1-VLOOKUP($A255,[1]Hugst!$R$5:$W$9,MATCH(ROUNDUP((S$1)/10,0)*10,[1]Hugst!$R$4:$W$4,0))))</f>
        <v>0</v>
      </c>
      <c r="T255" s="169">
        <f>IF($C255-T$1&lt;År1,0,S254*(1-VLOOKUP($A255,[1]Hugst!$R$5:$W$9,MATCH(ROUNDUP((T$1)/10,0)*10,[1]Hugst!$R$4:$W$4,0))))</f>
        <v>0</v>
      </c>
      <c r="U255" s="169">
        <f>IF($C255-U$1&lt;År1,0,T254*(1-VLOOKUP($A255,[1]Hugst!$R$5:$W$9,MATCH(ROUNDUP((U$1)/10,0)*10,[1]Hugst!$R$4:$W$4,0))))</f>
        <v>0</v>
      </c>
      <c r="V255" s="169">
        <f>IF($C255-V$1&lt;År1,0,U254*(1-VLOOKUP($A255,[1]Hugst!$R$5:$W$9,MATCH(ROUNDUP((V$1)/10,0)*10,[1]Hugst!$R$4:$W$4,0))))</f>
        <v>0</v>
      </c>
      <c r="W255" s="169">
        <f>IF($C255-W$1&lt;År1,0,V254*(1-VLOOKUP($A255,[1]Hugst!$R$5:$W$9,MATCH(ROUNDUP((W$1)/10,0)*10,[1]Hugst!$R$4:$W$4,0))))</f>
        <v>0</v>
      </c>
      <c r="X255" s="169">
        <f>IF($C255-X$1&lt;År1,0,W254*(1-VLOOKUP($A255,[1]Hugst!$R$5:$W$9,MATCH(ROUNDUP((X$1)/10,0)*10,[1]Hugst!$R$4:$W$4,0))))</f>
        <v>0</v>
      </c>
      <c r="Y255" s="169">
        <f>IF($C255-Y$1&lt;År1,0,X254*(1-VLOOKUP($A255,[1]Hugst!$R$5:$W$9,MATCH(ROUNDUP((Y$1)/10,0)*10,[1]Hugst!$R$4:$W$4,0))))</f>
        <v>0</v>
      </c>
      <c r="Z255" s="169">
        <f>IF($C255-Z$1&lt;År1,0,Y254*(1-VLOOKUP($A255,[1]Hugst!$R$5:$W$9,MATCH(ROUNDUP((Z$1)/10,0)*10,[1]Hugst!$R$4:$W$4,0))))</f>
        <v>0</v>
      </c>
      <c r="AA255" s="169">
        <f>IF($C255-AA$1&lt;År1,0,Z254*(1-VLOOKUP($A255,[1]Hugst!$R$5:$W$9,MATCH(ROUNDUP((AA$1)/10,0)*10,[1]Hugst!$R$4:$W$4,0))))</f>
        <v>0</v>
      </c>
      <c r="AB255" s="169">
        <f>IF($C255-AB$1&lt;År1,0,AA254*(1-VLOOKUP($A255,[1]Hugst!$R$5:$W$9,MATCH(ROUNDUP((AB$1)/10,0)*10,[1]Hugst!$R$4:$W$4,0))))</f>
        <v>0</v>
      </c>
      <c r="AC255" s="169">
        <f>IF($C255-AC$1&lt;År1,0,AB254*(1-VLOOKUP($A255,[1]Hugst!$R$5:$W$9,MATCH(ROUNDUP((AC$1)/10,0)*10,[1]Hugst!$R$4:$W$4,0))))</f>
        <v>0</v>
      </c>
      <c r="AD255" s="169">
        <f>IF($C255-AD$1&lt;År1,0,AC254*(1-VLOOKUP($A255,[1]Hugst!$R$5:$W$9,MATCH(ROUNDUP((AD$1)/10,0)*10,[1]Hugst!$R$4:$W$4,0))))</f>
        <v>0</v>
      </c>
      <c r="AE255" s="169">
        <f>IF($C255-AE$1&lt;År1,0,AD254*(1-VLOOKUP($A255,[1]Hugst!$R$5:$W$9,MATCH(ROUNDUP((AE$1)/10,0)*10,[1]Hugst!$R$4:$W$4,0))))</f>
        <v>0</v>
      </c>
      <c r="AF255" s="169">
        <f>IF($C255-AF$1&lt;År1,0,AE254*(1-VLOOKUP($A255,[1]Hugst!$R$5:$W$9,MATCH(ROUNDUP((AF$1)/10,0)*10,[1]Hugst!$R$4:$W$4,0))))</f>
        <v>0</v>
      </c>
      <c r="AG255" s="169">
        <f>IF($C255-AG$1&lt;År1,0,AF254*(1-VLOOKUP($A255,[1]Hugst!$R$5:$W$9,MATCH(ROUNDUP((AG$1)/10,0)*10,[1]Hugst!$R$4:$W$4,0))))</f>
        <v>0</v>
      </c>
      <c r="AH255" s="169">
        <f>IF($C255-AH$1&lt;År1,0,AG254*(1-VLOOKUP($A255,[1]Hugst!$R$5:$W$9,MATCH(ROUNDUP((AH$1)/10,0)*10,[1]Hugst!$R$4:$W$4,0))))</f>
        <v>0</v>
      </c>
      <c r="AI255" s="169">
        <f>IF($C255-AI$1&lt;År1,0,AH254*(1-VLOOKUP($A255,[1]Hugst!$R$5:$W$9,MATCH(ROUNDUP((AI$1)/10,0)*10,[1]Hugst!$R$4:$W$4,0))))</f>
        <v>0</v>
      </c>
      <c r="AJ255" s="169">
        <f>IF($C255-AJ$1&lt;År1,0,AI254*(1-VLOOKUP($A255,[1]Hugst!$R$5:$W$9,MATCH(ROUNDUP((AJ$1)/10,0)*10,[1]Hugst!$R$4:$W$4,0))))</f>
        <v>0</v>
      </c>
    </row>
    <row r="256" spans="1:36" x14ac:dyDescent="0.25">
      <c r="A256" s="169" t="s">
        <v>180</v>
      </c>
      <c r="B256" s="169" t="s">
        <v>23</v>
      </c>
      <c r="C256" s="169">
        <v>2026</v>
      </c>
      <c r="D256" s="169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2102.4595968367703</v>
      </c>
      <c r="E256" s="169">
        <f t="shared" ca="1" si="6"/>
        <v>0</v>
      </c>
      <c r="F256" s="169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4630.0387148310256</v>
      </c>
      <c r="G256" s="169">
        <f ca="1">IF($C256-G$1&lt;År1,0,F255*(1-VLOOKUP($A256,[1]Hugst!$R$5:$W$9,MATCH(ROUNDUP((G$1)/10,0)*10,[1]Hugst!$R$4:$W$4,0))))</f>
        <v>4623.5392184583234</v>
      </c>
      <c r="H256" s="169">
        <f ca="1">IF($C256-H$1&lt;År1,0,G255*(1-VLOOKUP($A256,[1]Hugst!$R$5:$W$9,MATCH(ROUNDUP((H$1)/10,0)*10,[1]Hugst!$R$4:$W$4,0))))</f>
        <v>4599.9424413249817</v>
      </c>
      <c r="I256" s="169">
        <f ca="1">IF($C256-I$1&lt;År1,0,H255*(1-VLOOKUP($A256,[1]Hugst!$R$5:$W$9,MATCH(ROUNDUP((I$1)/10,0)*10,[1]Hugst!$R$4:$W$4,0))))</f>
        <v>4542.0978474723615</v>
      </c>
      <c r="J256" s="169">
        <f ca="1">IF($C256-J$1&lt;År1,0,I255*(1-VLOOKUP($A256,[1]Hugst!$R$5:$W$9,MATCH(ROUNDUP((J$1)/10,0)*10,[1]Hugst!$R$4:$W$4,0))))</f>
        <v>4415.7040973692729</v>
      </c>
      <c r="K256" s="169">
        <f ca="1">IF($C256-K$1&lt;År1,0,J255*(1-VLOOKUP($A256,[1]Hugst!$R$5:$W$9,MATCH(ROUNDUP((K$1)/10,0)*10,[1]Hugst!$R$4:$W$4,0))))</f>
        <v>4152.1582429942446</v>
      </c>
      <c r="L256" s="169">
        <f ca="1">IF($C256-L$1&lt;År1,0,K255*(1-VLOOKUP($A256,[1]Hugst!$R$5:$W$9,MATCH(ROUNDUP((L$1)/10,0)*10,[1]Hugst!$R$4:$W$4,0))))</f>
        <v>3614.2541179942436</v>
      </c>
      <c r="M256" s="169">
        <f>IF($C256-M$1&lt;År1,0,L255*(1-VLOOKUP($A256,[1]Hugst!$R$5:$W$9,MATCH(ROUNDUP((M$1)/10,0)*10,[1]Hugst!$R$4:$W$4,0))))</f>
        <v>0</v>
      </c>
      <c r="N256" s="169">
        <f>IF($C256-N$1&lt;År1,0,M255*(1-VLOOKUP($A256,[1]Hugst!$R$5:$W$9,MATCH(ROUNDUP((N$1)/10,0)*10,[1]Hugst!$R$4:$W$4,0))))</f>
        <v>0</v>
      </c>
      <c r="O256" s="169">
        <f>IF($C256-O$1&lt;År1,0,N255*(1-VLOOKUP($A256,[1]Hugst!$R$5:$W$9,MATCH(ROUNDUP((O$1)/10,0)*10,[1]Hugst!$R$4:$W$4,0))))</f>
        <v>0</v>
      </c>
      <c r="P256" s="169">
        <f>IF($C256-P$1&lt;År1,0,O255*(1-VLOOKUP($A256,[1]Hugst!$R$5:$W$9,MATCH(ROUNDUP((P$1)/10,0)*10,[1]Hugst!$R$4:$W$4,0))))</f>
        <v>0</v>
      </c>
      <c r="Q256" s="169">
        <f>IF($C256-Q$1&lt;År1,0,P255*(1-VLOOKUP($A256,[1]Hugst!$R$5:$W$9,MATCH(ROUNDUP((Q$1)/10,0)*10,[1]Hugst!$R$4:$W$4,0))))</f>
        <v>0</v>
      </c>
      <c r="R256" s="169">
        <f>IF($C256-R$1&lt;År1,0,Q255*(1-VLOOKUP($A256,[1]Hugst!$R$5:$W$9,MATCH(ROUNDUP((R$1)/10,0)*10,[1]Hugst!$R$4:$W$4,0))))</f>
        <v>0</v>
      </c>
      <c r="S256" s="169">
        <f>IF($C256-S$1&lt;År1,0,R255*(1-VLOOKUP($A256,[1]Hugst!$R$5:$W$9,MATCH(ROUNDUP((S$1)/10,0)*10,[1]Hugst!$R$4:$W$4,0))))</f>
        <v>0</v>
      </c>
      <c r="T256" s="169">
        <f>IF($C256-T$1&lt;År1,0,S255*(1-VLOOKUP($A256,[1]Hugst!$R$5:$W$9,MATCH(ROUNDUP((T$1)/10,0)*10,[1]Hugst!$R$4:$W$4,0))))</f>
        <v>0</v>
      </c>
      <c r="U256" s="169">
        <f>IF($C256-U$1&lt;År1,0,T255*(1-VLOOKUP($A256,[1]Hugst!$R$5:$W$9,MATCH(ROUNDUP((U$1)/10,0)*10,[1]Hugst!$R$4:$W$4,0))))</f>
        <v>0</v>
      </c>
      <c r="V256" s="169">
        <f>IF($C256-V$1&lt;År1,0,U255*(1-VLOOKUP($A256,[1]Hugst!$R$5:$W$9,MATCH(ROUNDUP((V$1)/10,0)*10,[1]Hugst!$R$4:$W$4,0))))</f>
        <v>0</v>
      </c>
      <c r="W256" s="169">
        <f>IF($C256-W$1&lt;År1,0,V255*(1-VLOOKUP($A256,[1]Hugst!$R$5:$W$9,MATCH(ROUNDUP((W$1)/10,0)*10,[1]Hugst!$R$4:$W$4,0))))</f>
        <v>0</v>
      </c>
      <c r="X256" s="169">
        <f>IF($C256-X$1&lt;År1,0,W255*(1-VLOOKUP($A256,[1]Hugst!$R$5:$W$9,MATCH(ROUNDUP((X$1)/10,0)*10,[1]Hugst!$R$4:$W$4,0))))</f>
        <v>0</v>
      </c>
      <c r="Y256" s="169">
        <f>IF($C256-Y$1&lt;År1,0,X255*(1-VLOOKUP($A256,[1]Hugst!$R$5:$W$9,MATCH(ROUNDUP((Y$1)/10,0)*10,[1]Hugst!$R$4:$W$4,0))))</f>
        <v>0</v>
      </c>
      <c r="Z256" s="169">
        <f>IF($C256-Z$1&lt;År1,0,Y255*(1-VLOOKUP($A256,[1]Hugst!$R$5:$W$9,MATCH(ROUNDUP((Z$1)/10,0)*10,[1]Hugst!$R$4:$W$4,0))))</f>
        <v>0</v>
      </c>
      <c r="AA256" s="169">
        <f>IF($C256-AA$1&lt;År1,0,Z255*(1-VLOOKUP($A256,[1]Hugst!$R$5:$W$9,MATCH(ROUNDUP((AA$1)/10,0)*10,[1]Hugst!$R$4:$W$4,0))))</f>
        <v>0</v>
      </c>
      <c r="AB256" s="169">
        <f>IF($C256-AB$1&lt;År1,0,AA255*(1-VLOOKUP($A256,[1]Hugst!$R$5:$W$9,MATCH(ROUNDUP((AB$1)/10,0)*10,[1]Hugst!$R$4:$W$4,0))))</f>
        <v>0</v>
      </c>
      <c r="AC256" s="169">
        <f>IF($C256-AC$1&lt;År1,0,AB255*(1-VLOOKUP($A256,[1]Hugst!$R$5:$W$9,MATCH(ROUNDUP((AC$1)/10,0)*10,[1]Hugst!$R$4:$W$4,0))))</f>
        <v>0</v>
      </c>
      <c r="AD256" s="169">
        <f>IF($C256-AD$1&lt;År1,0,AC255*(1-VLOOKUP($A256,[1]Hugst!$R$5:$W$9,MATCH(ROUNDUP((AD$1)/10,0)*10,[1]Hugst!$R$4:$W$4,0))))</f>
        <v>0</v>
      </c>
      <c r="AE256" s="169">
        <f>IF($C256-AE$1&lt;År1,0,AD255*(1-VLOOKUP($A256,[1]Hugst!$R$5:$W$9,MATCH(ROUNDUP((AE$1)/10,0)*10,[1]Hugst!$R$4:$W$4,0))))</f>
        <v>0</v>
      </c>
      <c r="AF256" s="169">
        <f>IF($C256-AF$1&lt;År1,0,AE255*(1-VLOOKUP($A256,[1]Hugst!$R$5:$W$9,MATCH(ROUNDUP((AF$1)/10,0)*10,[1]Hugst!$R$4:$W$4,0))))</f>
        <v>0</v>
      </c>
      <c r="AG256" s="169">
        <f>IF($C256-AG$1&lt;År1,0,AF255*(1-VLOOKUP($A256,[1]Hugst!$R$5:$W$9,MATCH(ROUNDUP((AG$1)/10,0)*10,[1]Hugst!$R$4:$W$4,0))))</f>
        <v>0</v>
      </c>
      <c r="AH256" s="169">
        <f>IF($C256-AH$1&lt;År1,0,AG255*(1-VLOOKUP($A256,[1]Hugst!$R$5:$W$9,MATCH(ROUNDUP((AH$1)/10,0)*10,[1]Hugst!$R$4:$W$4,0))))</f>
        <v>0</v>
      </c>
      <c r="AI256" s="169">
        <f>IF($C256-AI$1&lt;År1,0,AH255*(1-VLOOKUP($A256,[1]Hugst!$R$5:$W$9,MATCH(ROUNDUP((AI$1)/10,0)*10,[1]Hugst!$R$4:$W$4,0))))</f>
        <v>0</v>
      </c>
      <c r="AJ256" s="169">
        <f>IF($C256-AJ$1&lt;År1,0,AI255*(1-VLOOKUP($A256,[1]Hugst!$R$5:$W$9,MATCH(ROUNDUP((AJ$1)/10,0)*10,[1]Hugst!$R$4:$W$4,0))))</f>
        <v>0</v>
      </c>
    </row>
    <row r="257" spans="1:36" x14ac:dyDescent="0.25">
      <c r="A257" s="169" t="s">
        <v>180</v>
      </c>
      <c r="B257" s="169" t="s">
        <v>23</v>
      </c>
      <c r="C257" s="169">
        <v>2027</v>
      </c>
      <c r="D257" s="169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2100.4369472900898</v>
      </c>
      <c r="E257" s="169">
        <f t="shared" ca="1" si="6"/>
        <v>0</v>
      </c>
      <c r="F257" s="169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4628.0160652843451</v>
      </c>
      <c r="G257" s="169">
        <f ca="1">IF($C257-G$1&lt;År1,0,F256*(1-VLOOKUP($A257,[1]Hugst!$R$5:$W$9,MATCH(ROUNDUP((G$1)/10,0)*10,[1]Hugst!$R$4:$W$4,0))))</f>
        <v>4630.0387148310256</v>
      </c>
      <c r="H257" s="169">
        <f ca="1">IF($C257-H$1&lt;År1,0,G256*(1-VLOOKUP($A257,[1]Hugst!$R$5:$W$9,MATCH(ROUNDUP((H$1)/10,0)*10,[1]Hugst!$R$4:$W$4,0))))</f>
        <v>4623.5392184583234</v>
      </c>
      <c r="I257" s="169">
        <f ca="1">IF($C257-I$1&lt;År1,0,H256*(1-VLOOKUP($A257,[1]Hugst!$R$5:$W$9,MATCH(ROUNDUP((I$1)/10,0)*10,[1]Hugst!$R$4:$W$4,0))))</f>
        <v>4599.9424413249817</v>
      </c>
      <c r="J257" s="169">
        <f ca="1">IF($C257-J$1&lt;År1,0,I256*(1-VLOOKUP($A257,[1]Hugst!$R$5:$W$9,MATCH(ROUNDUP((J$1)/10,0)*10,[1]Hugst!$R$4:$W$4,0))))</f>
        <v>4542.0978474723615</v>
      </c>
      <c r="K257" s="169">
        <f ca="1">IF($C257-K$1&lt;År1,0,J256*(1-VLOOKUP($A257,[1]Hugst!$R$5:$W$9,MATCH(ROUNDUP((K$1)/10,0)*10,[1]Hugst!$R$4:$W$4,0))))</f>
        <v>4415.7040973692729</v>
      </c>
      <c r="L257" s="169">
        <f ca="1">IF($C257-L$1&lt;År1,0,K256*(1-VLOOKUP($A257,[1]Hugst!$R$5:$W$9,MATCH(ROUNDUP((L$1)/10,0)*10,[1]Hugst!$R$4:$W$4,0))))</f>
        <v>4152.1582429942446</v>
      </c>
      <c r="M257" s="169">
        <f ca="1">IF($C257-M$1&lt;År1,0,L256*(1-VLOOKUP($A257,[1]Hugst!$R$5:$W$9,MATCH(ROUNDUP((M$1)/10,0)*10,[1]Hugst!$R$4:$W$4,0))))</f>
        <v>3614.2541179942436</v>
      </c>
      <c r="N257" s="169">
        <f>IF($C257-N$1&lt;År1,0,M256*(1-VLOOKUP($A257,[1]Hugst!$R$5:$W$9,MATCH(ROUNDUP((N$1)/10,0)*10,[1]Hugst!$R$4:$W$4,0))))</f>
        <v>0</v>
      </c>
      <c r="O257" s="169">
        <f>IF($C257-O$1&lt;År1,0,N256*(1-VLOOKUP($A257,[1]Hugst!$R$5:$W$9,MATCH(ROUNDUP((O$1)/10,0)*10,[1]Hugst!$R$4:$W$4,0))))</f>
        <v>0</v>
      </c>
      <c r="P257" s="169">
        <f>IF($C257-P$1&lt;År1,0,O256*(1-VLOOKUP($A257,[1]Hugst!$R$5:$W$9,MATCH(ROUNDUP((P$1)/10,0)*10,[1]Hugst!$R$4:$W$4,0))))</f>
        <v>0</v>
      </c>
      <c r="Q257" s="169">
        <f>IF($C257-Q$1&lt;År1,0,P256*(1-VLOOKUP($A257,[1]Hugst!$R$5:$W$9,MATCH(ROUNDUP((Q$1)/10,0)*10,[1]Hugst!$R$4:$W$4,0))))</f>
        <v>0</v>
      </c>
      <c r="R257" s="169">
        <f>IF($C257-R$1&lt;År1,0,Q256*(1-VLOOKUP($A257,[1]Hugst!$R$5:$W$9,MATCH(ROUNDUP((R$1)/10,0)*10,[1]Hugst!$R$4:$W$4,0))))</f>
        <v>0</v>
      </c>
      <c r="S257" s="169">
        <f>IF($C257-S$1&lt;År1,0,R256*(1-VLOOKUP($A257,[1]Hugst!$R$5:$W$9,MATCH(ROUNDUP((S$1)/10,0)*10,[1]Hugst!$R$4:$W$4,0))))</f>
        <v>0</v>
      </c>
      <c r="T257" s="169">
        <f>IF($C257-T$1&lt;År1,0,S256*(1-VLOOKUP($A257,[1]Hugst!$R$5:$W$9,MATCH(ROUNDUP((T$1)/10,0)*10,[1]Hugst!$R$4:$W$4,0))))</f>
        <v>0</v>
      </c>
      <c r="U257" s="169">
        <f>IF($C257-U$1&lt;År1,0,T256*(1-VLOOKUP($A257,[1]Hugst!$R$5:$W$9,MATCH(ROUNDUP((U$1)/10,0)*10,[1]Hugst!$R$4:$W$4,0))))</f>
        <v>0</v>
      </c>
      <c r="V257" s="169">
        <f>IF($C257-V$1&lt;År1,0,U256*(1-VLOOKUP($A257,[1]Hugst!$R$5:$W$9,MATCH(ROUNDUP((V$1)/10,0)*10,[1]Hugst!$R$4:$W$4,0))))</f>
        <v>0</v>
      </c>
      <c r="W257" s="169">
        <f>IF($C257-W$1&lt;År1,0,V256*(1-VLOOKUP($A257,[1]Hugst!$R$5:$W$9,MATCH(ROUNDUP((W$1)/10,0)*10,[1]Hugst!$R$4:$W$4,0))))</f>
        <v>0</v>
      </c>
      <c r="X257" s="169">
        <f>IF($C257-X$1&lt;År1,0,W256*(1-VLOOKUP($A257,[1]Hugst!$R$5:$W$9,MATCH(ROUNDUP((X$1)/10,0)*10,[1]Hugst!$R$4:$W$4,0))))</f>
        <v>0</v>
      </c>
      <c r="Y257" s="169">
        <f>IF($C257-Y$1&lt;År1,0,X256*(1-VLOOKUP($A257,[1]Hugst!$R$5:$W$9,MATCH(ROUNDUP((Y$1)/10,0)*10,[1]Hugst!$R$4:$W$4,0))))</f>
        <v>0</v>
      </c>
      <c r="Z257" s="169">
        <f>IF($C257-Z$1&lt;År1,0,Y256*(1-VLOOKUP($A257,[1]Hugst!$R$5:$W$9,MATCH(ROUNDUP((Z$1)/10,0)*10,[1]Hugst!$R$4:$W$4,0))))</f>
        <v>0</v>
      </c>
      <c r="AA257" s="169">
        <f>IF($C257-AA$1&lt;År1,0,Z256*(1-VLOOKUP($A257,[1]Hugst!$R$5:$W$9,MATCH(ROUNDUP((AA$1)/10,0)*10,[1]Hugst!$R$4:$W$4,0))))</f>
        <v>0</v>
      </c>
      <c r="AB257" s="169">
        <f>IF($C257-AB$1&lt;År1,0,AA256*(1-VLOOKUP($A257,[1]Hugst!$R$5:$W$9,MATCH(ROUNDUP((AB$1)/10,0)*10,[1]Hugst!$R$4:$W$4,0))))</f>
        <v>0</v>
      </c>
      <c r="AC257" s="169">
        <f>IF($C257-AC$1&lt;År1,0,AB256*(1-VLOOKUP($A257,[1]Hugst!$R$5:$W$9,MATCH(ROUNDUP((AC$1)/10,0)*10,[1]Hugst!$R$4:$W$4,0))))</f>
        <v>0</v>
      </c>
      <c r="AD257" s="169">
        <f>IF($C257-AD$1&lt;År1,0,AC256*(1-VLOOKUP($A257,[1]Hugst!$R$5:$W$9,MATCH(ROUNDUP((AD$1)/10,0)*10,[1]Hugst!$R$4:$W$4,0))))</f>
        <v>0</v>
      </c>
      <c r="AE257" s="169">
        <f>IF($C257-AE$1&lt;År1,0,AD256*(1-VLOOKUP($A257,[1]Hugst!$R$5:$W$9,MATCH(ROUNDUP((AE$1)/10,0)*10,[1]Hugst!$R$4:$W$4,0))))</f>
        <v>0</v>
      </c>
      <c r="AF257" s="169">
        <f>IF($C257-AF$1&lt;År1,0,AE256*(1-VLOOKUP($A257,[1]Hugst!$R$5:$W$9,MATCH(ROUNDUP((AF$1)/10,0)*10,[1]Hugst!$R$4:$W$4,0))))</f>
        <v>0</v>
      </c>
      <c r="AG257" s="169">
        <f>IF($C257-AG$1&lt;År1,0,AF256*(1-VLOOKUP($A257,[1]Hugst!$R$5:$W$9,MATCH(ROUNDUP((AG$1)/10,0)*10,[1]Hugst!$R$4:$W$4,0))))</f>
        <v>0</v>
      </c>
      <c r="AH257" s="169">
        <f>IF($C257-AH$1&lt;År1,0,AG256*(1-VLOOKUP($A257,[1]Hugst!$R$5:$W$9,MATCH(ROUNDUP((AH$1)/10,0)*10,[1]Hugst!$R$4:$W$4,0))))</f>
        <v>0</v>
      </c>
      <c r="AI257" s="169">
        <f>IF($C257-AI$1&lt;År1,0,AH256*(1-VLOOKUP($A257,[1]Hugst!$R$5:$W$9,MATCH(ROUNDUP((AI$1)/10,0)*10,[1]Hugst!$R$4:$W$4,0))))</f>
        <v>0</v>
      </c>
      <c r="AJ257" s="169">
        <f>IF($C257-AJ$1&lt;År1,0,AI256*(1-VLOOKUP($A257,[1]Hugst!$R$5:$W$9,MATCH(ROUNDUP((AJ$1)/10,0)*10,[1]Hugst!$R$4:$W$4,0))))</f>
        <v>0</v>
      </c>
    </row>
    <row r="258" spans="1:36" x14ac:dyDescent="0.25">
      <c r="A258" s="169" t="s">
        <v>180</v>
      </c>
      <c r="B258" s="169" t="s">
        <v>23</v>
      </c>
      <c r="C258" s="169">
        <v>2028</v>
      </c>
      <c r="D258" s="169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2094.1795867723722</v>
      </c>
      <c r="E258" s="169">
        <f t="shared" ca="1" si="6"/>
        <v>0</v>
      </c>
      <c r="F258" s="169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4621.7587047666275</v>
      </c>
      <c r="G258" s="169">
        <f ca="1">IF($C258-G$1&lt;År1,0,F257*(1-VLOOKUP($A258,[1]Hugst!$R$5:$W$9,MATCH(ROUNDUP((G$1)/10,0)*10,[1]Hugst!$R$4:$W$4,0))))</f>
        <v>4628.0160652843451</v>
      </c>
      <c r="H258" s="169">
        <f ca="1">IF($C258-H$1&lt;År1,0,G257*(1-VLOOKUP($A258,[1]Hugst!$R$5:$W$9,MATCH(ROUNDUP((H$1)/10,0)*10,[1]Hugst!$R$4:$W$4,0))))</f>
        <v>4630.0387148310256</v>
      </c>
      <c r="I258" s="169">
        <f ca="1">IF($C258-I$1&lt;År1,0,H257*(1-VLOOKUP($A258,[1]Hugst!$R$5:$W$9,MATCH(ROUNDUP((I$1)/10,0)*10,[1]Hugst!$R$4:$W$4,0))))</f>
        <v>4623.5392184583234</v>
      </c>
      <c r="J258" s="169">
        <f ca="1">IF($C258-J$1&lt;År1,0,I257*(1-VLOOKUP($A258,[1]Hugst!$R$5:$W$9,MATCH(ROUNDUP((J$1)/10,0)*10,[1]Hugst!$R$4:$W$4,0))))</f>
        <v>4599.9424413249817</v>
      </c>
      <c r="K258" s="169">
        <f ca="1">IF($C258-K$1&lt;År1,0,J257*(1-VLOOKUP($A258,[1]Hugst!$R$5:$W$9,MATCH(ROUNDUP((K$1)/10,0)*10,[1]Hugst!$R$4:$W$4,0))))</f>
        <v>4542.0978474723615</v>
      </c>
      <c r="L258" s="169">
        <f ca="1">IF($C258-L$1&lt;År1,0,K257*(1-VLOOKUP($A258,[1]Hugst!$R$5:$W$9,MATCH(ROUNDUP((L$1)/10,0)*10,[1]Hugst!$R$4:$W$4,0))))</f>
        <v>4415.7040973692729</v>
      </c>
      <c r="M258" s="169">
        <f ca="1">IF($C258-M$1&lt;År1,0,L257*(1-VLOOKUP($A258,[1]Hugst!$R$5:$W$9,MATCH(ROUNDUP((M$1)/10,0)*10,[1]Hugst!$R$4:$W$4,0))))</f>
        <v>4152.1582429942446</v>
      </c>
      <c r="N258" s="169">
        <f ca="1">IF($C258-N$1&lt;År1,0,M257*(1-VLOOKUP($A258,[1]Hugst!$R$5:$W$9,MATCH(ROUNDUP((N$1)/10,0)*10,[1]Hugst!$R$4:$W$4,0))))</f>
        <v>3614.2541179942436</v>
      </c>
      <c r="O258" s="169">
        <f>IF($C258-O$1&lt;År1,0,N257*(1-VLOOKUP($A258,[1]Hugst!$R$5:$W$9,MATCH(ROUNDUP((O$1)/10,0)*10,[1]Hugst!$R$4:$W$4,0))))</f>
        <v>0</v>
      </c>
      <c r="P258" s="169">
        <f>IF($C258-P$1&lt;År1,0,O257*(1-VLOOKUP($A258,[1]Hugst!$R$5:$W$9,MATCH(ROUNDUP((P$1)/10,0)*10,[1]Hugst!$R$4:$W$4,0))))</f>
        <v>0</v>
      </c>
      <c r="Q258" s="169">
        <f>IF($C258-Q$1&lt;År1,0,P257*(1-VLOOKUP($A258,[1]Hugst!$R$5:$W$9,MATCH(ROUNDUP((Q$1)/10,0)*10,[1]Hugst!$R$4:$W$4,0))))</f>
        <v>0</v>
      </c>
      <c r="R258" s="169">
        <f>IF($C258-R$1&lt;År1,0,Q257*(1-VLOOKUP($A258,[1]Hugst!$R$5:$W$9,MATCH(ROUNDUP((R$1)/10,0)*10,[1]Hugst!$R$4:$W$4,0))))</f>
        <v>0</v>
      </c>
      <c r="S258" s="169">
        <f>IF($C258-S$1&lt;År1,0,R257*(1-VLOOKUP($A258,[1]Hugst!$R$5:$W$9,MATCH(ROUNDUP((S$1)/10,0)*10,[1]Hugst!$R$4:$W$4,0))))</f>
        <v>0</v>
      </c>
      <c r="T258" s="169">
        <f>IF($C258-T$1&lt;År1,0,S257*(1-VLOOKUP($A258,[1]Hugst!$R$5:$W$9,MATCH(ROUNDUP((T$1)/10,0)*10,[1]Hugst!$R$4:$W$4,0))))</f>
        <v>0</v>
      </c>
      <c r="U258" s="169">
        <f>IF($C258-U$1&lt;År1,0,T257*(1-VLOOKUP($A258,[1]Hugst!$R$5:$W$9,MATCH(ROUNDUP((U$1)/10,0)*10,[1]Hugst!$R$4:$W$4,0))))</f>
        <v>0</v>
      </c>
      <c r="V258" s="169">
        <f>IF($C258-V$1&lt;År1,0,U257*(1-VLOOKUP($A258,[1]Hugst!$R$5:$W$9,MATCH(ROUNDUP((V$1)/10,0)*10,[1]Hugst!$R$4:$W$4,0))))</f>
        <v>0</v>
      </c>
      <c r="W258" s="169">
        <f>IF($C258-W$1&lt;År1,0,V257*(1-VLOOKUP($A258,[1]Hugst!$R$5:$W$9,MATCH(ROUNDUP((W$1)/10,0)*10,[1]Hugst!$R$4:$W$4,0))))</f>
        <v>0</v>
      </c>
      <c r="X258" s="169">
        <f>IF($C258-X$1&lt;År1,0,W257*(1-VLOOKUP($A258,[1]Hugst!$R$5:$W$9,MATCH(ROUNDUP((X$1)/10,0)*10,[1]Hugst!$R$4:$W$4,0))))</f>
        <v>0</v>
      </c>
      <c r="Y258" s="169">
        <f>IF($C258-Y$1&lt;År1,0,X257*(1-VLOOKUP($A258,[1]Hugst!$R$5:$W$9,MATCH(ROUNDUP((Y$1)/10,0)*10,[1]Hugst!$R$4:$W$4,0))))</f>
        <v>0</v>
      </c>
      <c r="Z258" s="169">
        <f>IF($C258-Z$1&lt;År1,0,Y257*(1-VLOOKUP($A258,[1]Hugst!$R$5:$W$9,MATCH(ROUNDUP((Z$1)/10,0)*10,[1]Hugst!$R$4:$W$4,0))))</f>
        <v>0</v>
      </c>
      <c r="AA258" s="169">
        <f>IF($C258-AA$1&lt;År1,0,Z257*(1-VLOOKUP($A258,[1]Hugst!$R$5:$W$9,MATCH(ROUNDUP((AA$1)/10,0)*10,[1]Hugst!$R$4:$W$4,0))))</f>
        <v>0</v>
      </c>
      <c r="AB258" s="169">
        <f>IF($C258-AB$1&lt;År1,0,AA257*(1-VLOOKUP($A258,[1]Hugst!$R$5:$W$9,MATCH(ROUNDUP((AB$1)/10,0)*10,[1]Hugst!$R$4:$W$4,0))))</f>
        <v>0</v>
      </c>
      <c r="AC258" s="169">
        <f>IF($C258-AC$1&lt;År1,0,AB257*(1-VLOOKUP($A258,[1]Hugst!$R$5:$W$9,MATCH(ROUNDUP((AC$1)/10,0)*10,[1]Hugst!$R$4:$W$4,0))))</f>
        <v>0</v>
      </c>
      <c r="AD258" s="169">
        <f>IF($C258-AD$1&lt;År1,0,AC257*(1-VLOOKUP($A258,[1]Hugst!$R$5:$W$9,MATCH(ROUNDUP((AD$1)/10,0)*10,[1]Hugst!$R$4:$W$4,0))))</f>
        <v>0</v>
      </c>
      <c r="AE258" s="169">
        <f>IF($C258-AE$1&lt;År1,0,AD257*(1-VLOOKUP($A258,[1]Hugst!$R$5:$W$9,MATCH(ROUNDUP((AE$1)/10,0)*10,[1]Hugst!$R$4:$W$4,0))))</f>
        <v>0</v>
      </c>
      <c r="AF258" s="169">
        <f>IF($C258-AF$1&lt;År1,0,AE257*(1-VLOOKUP($A258,[1]Hugst!$R$5:$W$9,MATCH(ROUNDUP((AF$1)/10,0)*10,[1]Hugst!$R$4:$W$4,0))))</f>
        <v>0</v>
      </c>
      <c r="AG258" s="169">
        <f>IF($C258-AG$1&lt;År1,0,AF257*(1-VLOOKUP($A258,[1]Hugst!$R$5:$W$9,MATCH(ROUNDUP((AG$1)/10,0)*10,[1]Hugst!$R$4:$W$4,0))))</f>
        <v>0</v>
      </c>
      <c r="AH258" s="169">
        <f>IF($C258-AH$1&lt;År1,0,AG257*(1-VLOOKUP($A258,[1]Hugst!$R$5:$W$9,MATCH(ROUNDUP((AH$1)/10,0)*10,[1]Hugst!$R$4:$W$4,0))))</f>
        <v>0</v>
      </c>
      <c r="AI258" s="169">
        <f>IF($C258-AI$1&lt;År1,0,AH257*(1-VLOOKUP($A258,[1]Hugst!$R$5:$W$9,MATCH(ROUNDUP((AI$1)/10,0)*10,[1]Hugst!$R$4:$W$4,0))))</f>
        <v>0</v>
      </c>
      <c r="AJ258" s="169">
        <f>IF($C258-AJ$1&lt;År1,0,AI257*(1-VLOOKUP($A258,[1]Hugst!$R$5:$W$9,MATCH(ROUNDUP((AJ$1)/10,0)*10,[1]Hugst!$R$4:$W$4,0))))</f>
        <v>0</v>
      </c>
    </row>
    <row r="259" spans="1:36" x14ac:dyDescent="0.25">
      <c r="A259" s="169" t="s">
        <v>180</v>
      </c>
      <c r="B259" s="169" t="s">
        <v>23</v>
      </c>
      <c r="C259" s="169">
        <v>2029</v>
      </c>
      <c r="D259" s="169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2085.8311009478784</v>
      </c>
      <c r="E259" s="169">
        <f t="shared" ca="1" si="6"/>
        <v>0</v>
      </c>
      <c r="F259" s="169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4613.4102189421337</v>
      </c>
      <c r="G259" s="169">
        <f ca="1">IF($C259-G$1&lt;År1,0,F258*(1-VLOOKUP($A259,[1]Hugst!$R$5:$W$9,MATCH(ROUNDUP((G$1)/10,0)*10,[1]Hugst!$R$4:$W$4,0))))</f>
        <v>4621.7587047666275</v>
      </c>
      <c r="H259" s="169">
        <f ca="1">IF($C259-H$1&lt;År1,0,G258*(1-VLOOKUP($A259,[1]Hugst!$R$5:$W$9,MATCH(ROUNDUP((H$1)/10,0)*10,[1]Hugst!$R$4:$W$4,0))))</f>
        <v>4628.0160652843451</v>
      </c>
      <c r="I259" s="169">
        <f ca="1">IF($C259-I$1&lt;År1,0,H258*(1-VLOOKUP($A259,[1]Hugst!$R$5:$W$9,MATCH(ROUNDUP((I$1)/10,0)*10,[1]Hugst!$R$4:$W$4,0))))</f>
        <v>4630.0387148310256</v>
      </c>
      <c r="J259" s="169">
        <f ca="1">IF($C259-J$1&lt;År1,0,I258*(1-VLOOKUP($A259,[1]Hugst!$R$5:$W$9,MATCH(ROUNDUP((J$1)/10,0)*10,[1]Hugst!$R$4:$W$4,0))))</f>
        <v>4623.5392184583234</v>
      </c>
      <c r="K259" s="169">
        <f ca="1">IF($C259-K$1&lt;År1,0,J258*(1-VLOOKUP($A259,[1]Hugst!$R$5:$W$9,MATCH(ROUNDUP((K$1)/10,0)*10,[1]Hugst!$R$4:$W$4,0))))</f>
        <v>4599.9424413249817</v>
      </c>
      <c r="L259" s="169">
        <f ca="1">IF($C259-L$1&lt;År1,0,K258*(1-VLOOKUP($A259,[1]Hugst!$R$5:$W$9,MATCH(ROUNDUP((L$1)/10,0)*10,[1]Hugst!$R$4:$W$4,0))))</f>
        <v>4542.0978474723615</v>
      </c>
      <c r="M259" s="169">
        <f ca="1">IF($C259-M$1&lt;År1,0,L258*(1-VLOOKUP($A259,[1]Hugst!$R$5:$W$9,MATCH(ROUNDUP((M$1)/10,0)*10,[1]Hugst!$R$4:$W$4,0))))</f>
        <v>4415.7040973692729</v>
      </c>
      <c r="N259" s="169">
        <f ca="1">IF($C259-N$1&lt;År1,0,M258*(1-VLOOKUP($A259,[1]Hugst!$R$5:$W$9,MATCH(ROUNDUP((N$1)/10,0)*10,[1]Hugst!$R$4:$W$4,0))))</f>
        <v>4152.1582429942446</v>
      </c>
      <c r="O259" s="169">
        <f ca="1">IF($C259-O$1&lt;År1,0,N258*(1-VLOOKUP($A259,[1]Hugst!$R$5:$W$9,MATCH(ROUNDUP((O$1)/10,0)*10,[1]Hugst!$R$4:$W$4,0))))</f>
        <v>3614.2541179942436</v>
      </c>
      <c r="P259" s="169">
        <f>IF($C259-P$1&lt;År1,0,O258*(1-VLOOKUP($A259,[1]Hugst!$R$5:$W$9,MATCH(ROUNDUP((P$1)/10,0)*10,[1]Hugst!$R$4:$W$4,0))))</f>
        <v>0</v>
      </c>
      <c r="Q259" s="169">
        <f>IF($C259-Q$1&lt;År1,0,P258*(1-VLOOKUP($A259,[1]Hugst!$R$5:$W$9,MATCH(ROUNDUP((Q$1)/10,0)*10,[1]Hugst!$R$4:$W$4,0))))</f>
        <v>0</v>
      </c>
      <c r="R259" s="169">
        <f>IF($C259-R$1&lt;År1,0,Q258*(1-VLOOKUP($A259,[1]Hugst!$R$5:$W$9,MATCH(ROUNDUP((R$1)/10,0)*10,[1]Hugst!$R$4:$W$4,0))))</f>
        <v>0</v>
      </c>
      <c r="S259" s="169">
        <f>IF($C259-S$1&lt;År1,0,R258*(1-VLOOKUP($A259,[1]Hugst!$R$5:$W$9,MATCH(ROUNDUP((S$1)/10,0)*10,[1]Hugst!$R$4:$W$4,0))))</f>
        <v>0</v>
      </c>
      <c r="T259" s="169">
        <f>IF($C259-T$1&lt;År1,0,S258*(1-VLOOKUP($A259,[1]Hugst!$R$5:$W$9,MATCH(ROUNDUP((T$1)/10,0)*10,[1]Hugst!$R$4:$W$4,0))))</f>
        <v>0</v>
      </c>
      <c r="U259" s="169">
        <f>IF($C259-U$1&lt;År1,0,T258*(1-VLOOKUP($A259,[1]Hugst!$R$5:$W$9,MATCH(ROUNDUP((U$1)/10,0)*10,[1]Hugst!$R$4:$W$4,0))))</f>
        <v>0</v>
      </c>
      <c r="V259" s="169">
        <f>IF($C259-V$1&lt;År1,0,U258*(1-VLOOKUP($A259,[1]Hugst!$R$5:$W$9,MATCH(ROUNDUP((V$1)/10,0)*10,[1]Hugst!$R$4:$W$4,0))))</f>
        <v>0</v>
      </c>
      <c r="W259" s="169">
        <f>IF($C259-W$1&lt;År1,0,V258*(1-VLOOKUP($A259,[1]Hugst!$R$5:$W$9,MATCH(ROUNDUP((W$1)/10,0)*10,[1]Hugst!$R$4:$W$4,0))))</f>
        <v>0</v>
      </c>
      <c r="X259" s="169">
        <f>IF($C259-X$1&lt;År1,0,W258*(1-VLOOKUP($A259,[1]Hugst!$R$5:$W$9,MATCH(ROUNDUP((X$1)/10,0)*10,[1]Hugst!$R$4:$W$4,0))))</f>
        <v>0</v>
      </c>
      <c r="Y259" s="169">
        <f>IF($C259-Y$1&lt;År1,0,X258*(1-VLOOKUP($A259,[1]Hugst!$R$5:$W$9,MATCH(ROUNDUP((Y$1)/10,0)*10,[1]Hugst!$R$4:$W$4,0))))</f>
        <v>0</v>
      </c>
      <c r="Z259" s="169">
        <f>IF($C259-Z$1&lt;År1,0,Y258*(1-VLOOKUP($A259,[1]Hugst!$R$5:$W$9,MATCH(ROUNDUP((Z$1)/10,0)*10,[1]Hugst!$R$4:$W$4,0))))</f>
        <v>0</v>
      </c>
      <c r="AA259" s="169">
        <f>IF($C259-AA$1&lt;År1,0,Z258*(1-VLOOKUP($A259,[1]Hugst!$R$5:$W$9,MATCH(ROUNDUP((AA$1)/10,0)*10,[1]Hugst!$R$4:$W$4,0))))</f>
        <v>0</v>
      </c>
      <c r="AB259" s="169">
        <f>IF($C259-AB$1&lt;År1,0,AA258*(1-VLOOKUP($A259,[1]Hugst!$R$5:$W$9,MATCH(ROUNDUP((AB$1)/10,0)*10,[1]Hugst!$R$4:$W$4,0))))</f>
        <v>0</v>
      </c>
      <c r="AC259" s="169">
        <f>IF($C259-AC$1&lt;År1,0,AB258*(1-VLOOKUP($A259,[1]Hugst!$R$5:$W$9,MATCH(ROUNDUP((AC$1)/10,0)*10,[1]Hugst!$R$4:$W$4,0))))</f>
        <v>0</v>
      </c>
      <c r="AD259" s="169">
        <f>IF($C259-AD$1&lt;År1,0,AC258*(1-VLOOKUP($A259,[1]Hugst!$R$5:$W$9,MATCH(ROUNDUP((AD$1)/10,0)*10,[1]Hugst!$R$4:$W$4,0))))</f>
        <v>0</v>
      </c>
      <c r="AE259" s="169">
        <f>IF($C259-AE$1&lt;År1,0,AD258*(1-VLOOKUP($A259,[1]Hugst!$R$5:$W$9,MATCH(ROUNDUP((AE$1)/10,0)*10,[1]Hugst!$R$4:$W$4,0))))</f>
        <v>0</v>
      </c>
      <c r="AF259" s="169">
        <f>IF($C259-AF$1&lt;År1,0,AE258*(1-VLOOKUP($A259,[1]Hugst!$R$5:$W$9,MATCH(ROUNDUP((AF$1)/10,0)*10,[1]Hugst!$R$4:$W$4,0))))</f>
        <v>0</v>
      </c>
      <c r="AG259" s="169">
        <f>IF($C259-AG$1&lt;År1,0,AF258*(1-VLOOKUP($A259,[1]Hugst!$R$5:$W$9,MATCH(ROUNDUP((AG$1)/10,0)*10,[1]Hugst!$R$4:$W$4,0))))</f>
        <v>0</v>
      </c>
      <c r="AH259" s="169">
        <f>IF($C259-AH$1&lt;År1,0,AG258*(1-VLOOKUP($A259,[1]Hugst!$R$5:$W$9,MATCH(ROUNDUP((AH$1)/10,0)*10,[1]Hugst!$R$4:$W$4,0))))</f>
        <v>0</v>
      </c>
      <c r="AI259" s="169">
        <f>IF($C259-AI$1&lt;År1,0,AH258*(1-VLOOKUP($A259,[1]Hugst!$R$5:$W$9,MATCH(ROUNDUP((AI$1)/10,0)*10,[1]Hugst!$R$4:$W$4,0))))</f>
        <v>0</v>
      </c>
      <c r="AJ259" s="169">
        <f>IF($C259-AJ$1&lt;År1,0,AI258*(1-VLOOKUP($A259,[1]Hugst!$R$5:$W$9,MATCH(ROUNDUP((AJ$1)/10,0)*10,[1]Hugst!$R$4:$W$4,0))))</f>
        <v>0</v>
      </c>
    </row>
    <row r="260" spans="1:36" x14ac:dyDescent="0.25">
      <c r="A260" s="169" t="s">
        <v>180</v>
      </c>
      <c r="B260" s="169" t="s">
        <v>23</v>
      </c>
      <c r="C260" s="169">
        <v>2030</v>
      </c>
      <c r="D260" s="169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2076.463151497861</v>
      </c>
      <c r="E260" s="169">
        <f t="shared" ca="1" si="6"/>
        <v>0</v>
      </c>
      <c r="F260" s="169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4604.0422694921162</v>
      </c>
      <c r="G260" s="169">
        <f ca="1">IF($C260-G$1&lt;År1,0,F259*(1-VLOOKUP($A260,[1]Hugst!$R$5:$W$9,MATCH(ROUNDUP((G$1)/10,0)*10,[1]Hugst!$R$4:$W$4,0))))</f>
        <v>4613.4102189421337</v>
      </c>
      <c r="H260" s="169">
        <f ca="1">IF($C260-H$1&lt;År1,0,G259*(1-VLOOKUP($A260,[1]Hugst!$R$5:$W$9,MATCH(ROUNDUP((H$1)/10,0)*10,[1]Hugst!$R$4:$W$4,0))))</f>
        <v>4621.7587047666275</v>
      </c>
      <c r="I260" s="169">
        <f ca="1">IF($C260-I$1&lt;År1,0,H259*(1-VLOOKUP($A260,[1]Hugst!$R$5:$W$9,MATCH(ROUNDUP((I$1)/10,0)*10,[1]Hugst!$R$4:$W$4,0))))</f>
        <v>4628.0160652843451</v>
      </c>
      <c r="J260" s="169">
        <f ca="1">IF($C260-J$1&lt;År1,0,I259*(1-VLOOKUP($A260,[1]Hugst!$R$5:$W$9,MATCH(ROUNDUP((J$1)/10,0)*10,[1]Hugst!$R$4:$W$4,0))))</f>
        <v>4630.0387148310256</v>
      </c>
      <c r="K260" s="169">
        <f ca="1">IF($C260-K$1&lt;År1,0,J259*(1-VLOOKUP($A260,[1]Hugst!$R$5:$W$9,MATCH(ROUNDUP((K$1)/10,0)*10,[1]Hugst!$R$4:$W$4,0))))</f>
        <v>4623.5392184583234</v>
      </c>
      <c r="L260" s="169">
        <f ca="1">IF($C260-L$1&lt;År1,0,K259*(1-VLOOKUP($A260,[1]Hugst!$R$5:$W$9,MATCH(ROUNDUP((L$1)/10,0)*10,[1]Hugst!$R$4:$W$4,0))))</f>
        <v>4599.9424413249817</v>
      </c>
      <c r="M260" s="169">
        <f ca="1">IF($C260-M$1&lt;År1,0,L259*(1-VLOOKUP($A260,[1]Hugst!$R$5:$W$9,MATCH(ROUNDUP((M$1)/10,0)*10,[1]Hugst!$R$4:$W$4,0))))</f>
        <v>4542.0978474723615</v>
      </c>
      <c r="N260" s="169">
        <f ca="1">IF($C260-N$1&lt;År1,0,M259*(1-VLOOKUP($A260,[1]Hugst!$R$5:$W$9,MATCH(ROUNDUP((N$1)/10,0)*10,[1]Hugst!$R$4:$W$4,0))))</f>
        <v>4415.7040973692729</v>
      </c>
      <c r="O260" s="169">
        <f ca="1">IF($C260-O$1&lt;År1,0,N259*(1-VLOOKUP($A260,[1]Hugst!$R$5:$W$9,MATCH(ROUNDUP((O$1)/10,0)*10,[1]Hugst!$R$4:$W$4,0))))</f>
        <v>4152.1582429942446</v>
      </c>
      <c r="P260" s="169">
        <f ca="1">IF($C260-P$1&lt;År1,0,O259*(1-VLOOKUP($A260,[1]Hugst!$R$5:$W$9,MATCH(ROUNDUP((P$1)/10,0)*10,[1]Hugst!$R$4:$W$4,0))))</f>
        <v>3614.2541179942436</v>
      </c>
      <c r="Q260" s="169">
        <f>IF($C260-Q$1&lt;År1,0,P259*(1-VLOOKUP($A260,[1]Hugst!$R$5:$W$9,MATCH(ROUNDUP((Q$1)/10,0)*10,[1]Hugst!$R$4:$W$4,0))))</f>
        <v>0</v>
      </c>
      <c r="R260" s="169">
        <f>IF($C260-R$1&lt;År1,0,Q259*(1-VLOOKUP($A260,[1]Hugst!$R$5:$W$9,MATCH(ROUNDUP((R$1)/10,0)*10,[1]Hugst!$R$4:$W$4,0))))</f>
        <v>0</v>
      </c>
      <c r="S260" s="169">
        <f>IF($C260-S$1&lt;År1,0,R259*(1-VLOOKUP($A260,[1]Hugst!$R$5:$W$9,MATCH(ROUNDUP((S$1)/10,0)*10,[1]Hugst!$R$4:$W$4,0))))</f>
        <v>0</v>
      </c>
      <c r="T260" s="169">
        <f>IF($C260-T$1&lt;År1,0,S259*(1-VLOOKUP($A260,[1]Hugst!$R$5:$W$9,MATCH(ROUNDUP((T$1)/10,0)*10,[1]Hugst!$R$4:$W$4,0))))</f>
        <v>0</v>
      </c>
      <c r="U260" s="169">
        <f>IF($C260-U$1&lt;År1,0,T259*(1-VLOOKUP($A260,[1]Hugst!$R$5:$W$9,MATCH(ROUNDUP((U$1)/10,0)*10,[1]Hugst!$R$4:$W$4,0))))</f>
        <v>0</v>
      </c>
      <c r="V260" s="169">
        <f>IF($C260-V$1&lt;År1,0,U259*(1-VLOOKUP($A260,[1]Hugst!$R$5:$W$9,MATCH(ROUNDUP((V$1)/10,0)*10,[1]Hugst!$R$4:$W$4,0))))</f>
        <v>0</v>
      </c>
      <c r="W260" s="169">
        <f>IF($C260-W$1&lt;År1,0,V259*(1-VLOOKUP($A260,[1]Hugst!$R$5:$W$9,MATCH(ROUNDUP((W$1)/10,0)*10,[1]Hugst!$R$4:$W$4,0))))</f>
        <v>0</v>
      </c>
      <c r="X260" s="169">
        <f>IF($C260-X$1&lt;År1,0,W259*(1-VLOOKUP($A260,[1]Hugst!$R$5:$W$9,MATCH(ROUNDUP((X$1)/10,0)*10,[1]Hugst!$R$4:$W$4,0))))</f>
        <v>0</v>
      </c>
      <c r="Y260" s="169">
        <f>IF($C260-Y$1&lt;År1,0,X259*(1-VLOOKUP($A260,[1]Hugst!$R$5:$W$9,MATCH(ROUNDUP((Y$1)/10,0)*10,[1]Hugst!$R$4:$W$4,0))))</f>
        <v>0</v>
      </c>
      <c r="Z260" s="169">
        <f>IF($C260-Z$1&lt;År1,0,Y259*(1-VLOOKUP($A260,[1]Hugst!$R$5:$W$9,MATCH(ROUNDUP((Z$1)/10,0)*10,[1]Hugst!$R$4:$W$4,0))))</f>
        <v>0</v>
      </c>
      <c r="AA260" s="169">
        <f>IF($C260-AA$1&lt;År1,0,Z259*(1-VLOOKUP($A260,[1]Hugst!$R$5:$W$9,MATCH(ROUNDUP((AA$1)/10,0)*10,[1]Hugst!$R$4:$W$4,0))))</f>
        <v>0</v>
      </c>
      <c r="AB260" s="169">
        <f>IF($C260-AB$1&lt;År1,0,AA259*(1-VLOOKUP($A260,[1]Hugst!$R$5:$W$9,MATCH(ROUNDUP((AB$1)/10,0)*10,[1]Hugst!$R$4:$W$4,0))))</f>
        <v>0</v>
      </c>
      <c r="AC260" s="169">
        <f>IF($C260-AC$1&lt;År1,0,AB259*(1-VLOOKUP($A260,[1]Hugst!$R$5:$W$9,MATCH(ROUNDUP((AC$1)/10,0)*10,[1]Hugst!$R$4:$W$4,0))))</f>
        <v>0</v>
      </c>
      <c r="AD260" s="169">
        <f>IF($C260-AD$1&lt;År1,0,AC259*(1-VLOOKUP($A260,[1]Hugst!$R$5:$W$9,MATCH(ROUNDUP((AD$1)/10,0)*10,[1]Hugst!$R$4:$W$4,0))))</f>
        <v>0</v>
      </c>
      <c r="AE260" s="169">
        <f>IF($C260-AE$1&lt;År1,0,AD259*(1-VLOOKUP($A260,[1]Hugst!$R$5:$W$9,MATCH(ROUNDUP((AE$1)/10,0)*10,[1]Hugst!$R$4:$W$4,0))))</f>
        <v>0</v>
      </c>
      <c r="AF260" s="169">
        <f>IF($C260-AF$1&lt;År1,0,AE259*(1-VLOOKUP($A260,[1]Hugst!$R$5:$W$9,MATCH(ROUNDUP((AF$1)/10,0)*10,[1]Hugst!$R$4:$W$4,0))))</f>
        <v>0</v>
      </c>
      <c r="AG260" s="169">
        <f>IF($C260-AG$1&lt;År1,0,AF259*(1-VLOOKUP($A260,[1]Hugst!$R$5:$W$9,MATCH(ROUNDUP((AG$1)/10,0)*10,[1]Hugst!$R$4:$W$4,0))))</f>
        <v>0</v>
      </c>
      <c r="AH260" s="169">
        <f>IF($C260-AH$1&lt;År1,0,AG259*(1-VLOOKUP($A260,[1]Hugst!$R$5:$W$9,MATCH(ROUNDUP((AH$1)/10,0)*10,[1]Hugst!$R$4:$W$4,0))))</f>
        <v>0</v>
      </c>
      <c r="AI260" s="169">
        <f>IF($C260-AI$1&lt;År1,0,AH259*(1-VLOOKUP($A260,[1]Hugst!$R$5:$W$9,MATCH(ROUNDUP((AI$1)/10,0)*10,[1]Hugst!$R$4:$W$4,0))))</f>
        <v>0</v>
      </c>
      <c r="AJ260" s="169">
        <f>IF($C260-AJ$1&lt;År1,0,AI259*(1-VLOOKUP($A260,[1]Hugst!$R$5:$W$9,MATCH(ROUNDUP((AJ$1)/10,0)*10,[1]Hugst!$R$4:$W$4,0))))</f>
        <v>0</v>
      </c>
    </row>
    <row r="261" spans="1:36" x14ac:dyDescent="0.25">
      <c r="A261" s="169" t="s">
        <v>180</v>
      </c>
      <c r="B261" s="169" t="s">
        <v>23</v>
      </c>
      <c r="C261" s="169">
        <v>2031</v>
      </c>
      <c r="D261" s="169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2066.6114387676826</v>
      </c>
      <c r="E261" s="169">
        <f t="shared" ca="1" si="6"/>
        <v>0</v>
      </c>
      <c r="F261" s="169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4594.1905567619388</v>
      </c>
      <c r="G261" s="169">
        <f ca="1">IF($C261-G$1&lt;År1,0,F260*(1-VLOOKUP($A261,[1]Hugst!$R$5:$W$9,MATCH(ROUNDUP((G$1)/10,0)*10,[1]Hugst!$R$4:$W$4,0))))</f>
        <v>4604.0422694921162</v>
      </c>
      <c r="H261" s="169">
        <f ca="1">IF($C261-H$1&lt;År1,0,G260*(1-VLOOKUP($A261,[1]Hugst!$R$5:$W$9,MATCH(ROUNDUP((H$1)/10,0)*10,[1]Hugst!$R$4:$W$4,0))))</f>
        <v>4613.4102189421337</v>
      </c>
      <c r="I261" s="169">
        <f ca="1">IF($C261-I$1&lt;År1,0,H260*(1-VLOOKUP($A261,[1]Hugst!$R$5:$W$9,MATCH(ROUNDUP((I$1)/10,0)*10,[1]Hugst!$R$4:$W$4,0))))</f>
        <v>4621.7587047666275</v>
      </c>
      <c r="J261" s="169">
        <f ca="1">IF($C261-J$1&lt;År1,0,I260*(1-VLOOKUP($A261,[1]Hugst!$R$5:$W$9,MATCH(ROUNDUP((J$1)/10,0)*10,[1]Hugst!$R$4:$W$4,0))))</f>
        <v>4628.0160652843451</v>
      </c>
      <c r="K261" s="169">
        <f ca="1">IF($C261-K$1&lt;År1,0,J260*(1-VLOOKUP($A261,[1]Hugst!$R$5:$W$9,MATCH(ROUNDUP((K$1)/10,0)*10,[1]Hugst!$R$4:$W$4,0))))</f>
        <v>4630.0387148310256</v>
      </c>
      <c r="L261" s="169">
        <f ca="1">IF($C261-L$1&lt;År1,0,K260*(1-VLOOKUP($A261,[1]Hugst!$R$5:$W$9,MATCH(ROUNDUP((L$1)/10,0)*10,[1]Hugst!$R$4:$W$4,0))))</f>
        <v>4623.5392184583234</v>
      </c>
      <c r="M261" s="169">
        <f ca="1">IF($C261-M$1&lt;År1,0,L260*(1-VLOOKUP($A261,[1]Hugst!$R$5:$W$9,MATCH(ROUNDUP((M$1)/10,0)*10,[1]Hugst!$R$4:$W$4,0))))</f>
        <v>4599.9424413249817</v>
      </c>
      <c r="N261" s="169">
        <f ca="1">IF($C261-N$1&lt;År1,0,M260*(1-VLOOKUP($A261,[1]Hugst!$R$5:$W$9,MATCH(ROUNDUP((N$1)/10,0)*10,[1]Hugst!$R$4:$W$4,0))))</f>
        <v>4542.0978474723615</v>
      </c>
      <c r="O261" s="169">
        <f ca="1">IF($C261-O$1&lt;År1,0,N260*(1-VLOOKUP($A261,[1]Hugst!$R$5:$W$9,MATCH(ROUNDUP((O$1)/10,0)*10,[1]Hugst!$R$4:$W$4,0))))</f>
        <v>4415.7040973692729</v>
      </c>
      <c r="P261" s="169">
        <f ca="1">IF($C261-P$1&lt;År1,0,O260*(1-VLOOKUP($A261,[1]Hugst!$R$5:$W$9,MATCH(ROUNDUP((P$1)/10,0)*10,[1]Hugst!$R$4:$W$4,0))))</f>
        <v>4152.1582429942446</v>
      </c>
      <c r="Q261" s="169">
        <f ca="1">IF($C261-Q$1&lt;År1,0,P260*(1-VLOOKUP($A261,[1]Hugst!$R$5:$W$9,MATCH(ROUNDUP((Q$1)/10,0)*10,[1]Hugst!$R$4:$W$4,0))))</f>
        <v>3614.2541179942436</v>
      </c>
      <c r="R261" s="169">
        <f>IF($C261-R$1&lt;År1,0,Q260*(1-VLOOKUP($A261,[1]Hugst!$R$5:$W$9,MATCH(ROUNDUP((R$1)/10,0)*10,[1]Hugst!$R$4:$W$4,0))))</f>
        <v>0</v>
      </c>
      <c r="S261" s="169">
        <f>IF($C261-S$1&lt;År1,0,R260*(1-VLOOKUP($A261,[1]Hugst!$R$5:$W$9,MATCH(ROUNDUP((S$1)/10,0)*10,[1]Hugst!$R$4:$W$4,0))))</f>
        <v>0</v>
      </c>
      <c r="T261" s="169">
        <f>IF($C261-T$1&lt;År1,0,S260*(1-VLOOKUP($A261,[1]Hugst!$R$5:$W$9,MATCH(ROUNDUP((T$1)/10,0)*10,[1]Hugst!$R$4:$W$4,0))))</f>
        <v>0</v>
      </c>
      <c r="U261" s="169">
        <f>IF($C261-U$1&lt;År1,0,T260*(1-VLOOKUP($A261,[1]Hugst!$R$5:$W$9,MATCH(ROUNDUP((U$1)/10,0)*10,[1]Hugst!$R$4:$W$4,0))))</f>
        <v>0</v>
      </c>
      <c r="V261" s="169">
        <f>IF($C261-V$1&lt;År1,0,U260*(1-VLOOKUP($A261,[1]Hugst!$R$5:$W$9,MATCH(ROUNDUP((V$1)/10,0)*10,[1]Hugst!$R$4:$W$4,0))))</f>
        <v>0</v>
      </c>
      <c r="W261" s="169">
        <f>IF($C261-W$1&lt;År1,0,V260*(1-VLOOKUP($A261,[1]Hugst!$R$5:$W$9,MATCH(ROUNDUP((W$1)/10,0)*10,[1]Hugst!$R$4:$W$4,0))))</f>
        <v>0</v>
      </c>
      <c r="X261" s="169">
        <f>IF($C261-X$1&lt;År1,0,W260*(1-VLOOKUP($A261,[1]Hugst!$R$5:$W$9,MATCH(ROUNDUP((X$1)/10,0)*10,[1]Hugst!$R$4:$W$4,0))))</f>
        <v>0</v>
      </c>
      <c r="Y261" s="169">
        <f>IF($C261-Y$1&lt;År1,0,X260*(1-VLOOKUP($A261,[1]Hugst!$R$5:$W$9,MATCH(ROUNDUP((Y$1)/10,0)*10,[1]Hugst!$R$4:$W$4,0))))</f>
        <v>0</v>
      </c>
      <c r="Z261" s="169">
        <f>IF($C261-Z$1&lt;År1,0,Y260*(1-VLOOKUP($A261,[1]Hugst!$R$5:$W$9,MATCH(ROUNDUP((Z$1)/10,0)*10,[1]Hugst!$R$4:$W$4,0))))</f>
        <v>0</v>
      </c>
      <c r="AA261" s="169">
        <f>IF($C261-AA$1&lt;År1,0,Z260*(1-VLOOKUP($A261,[1]Hugst!$R$5:$W$9,MATCH(ROUNDUP((AA$1)/10,0)*10,[1]Hugst!$R$4:$W$4,0))))</f>
        <v>0</v>
      </c>
      <c r="AB261" s="169">
        <f>IF($C261-AB$1&lt;År1,0,AA260*(1-VLOOKUP($A261,[1]Hugst!$R$5:$W$9,MATCH(ROUNDUP((AB$1)/10,0)*10,[1]Hugst!$R$4:$W$4,0))))</f>
        <v>0</v>
      </c>
      <c r="AC261" s="169">
        <f>IF($C261-AC$1&lt;År1,0,AB260*(1-VLOOKUP($A261,[1]Hugst!$R$5:$W$9,MATCH(ROUNDUP((AC$1)/10,0)*10,[1]Hugst!$R$4:$W$4,0))))</f>
        <v>0</v>
      </c>
      <c r="AD261" s="169">
        <f>IF($C261-AD$1&lt;År1,0,AC260*(1-VLOOKUP($A261,[1]Hugst!$R$5:$W$9,MATCH(ROUNDUP((AD$1)/10,0)*10,[1]Hugst!$R$4:$W$4,0))))</f>
        <v>0</v>
      </c>
      <c r="AE261" s="169">
        <f>IF($C261-AE$1&lt;År1,0,AD260*(1-VLOOKUP($A261,[1]Hugst!$R$5:$W$9,MATCH(ROUNDUP((AE$1)/10,0)*10,[1]Hugst!$R$4:$W$4,0))))</f>
        <v>0</v>
      </c>
      <c r="AF261" s="169">
        <f>IF($C261-AF$1&lt;År1,0,AE260*(1-VLOOKUP($A261,[1]Hugst!$R$5:$W$9,MATCH(ROUNDUP((AF$1)/10,0)*10,[1]Hugst!$R$4:$W$4,0))))</f>
        <v>0</v>
      </c>
      <c r="AG261" s="169">
        <f>IF($C261-AG$1&lt;År1,0,AF260*(1-VLOOKUP($A261,[1]Hugst!$R$5:$W$9,MATCH(ROUNDUP((AG$1)/10,0)*10,[1]Hugst!$R$4:$W$4,0))))</f>
        <v>0</v>
      </c>
      <c r="AH261" s="169">
        <f>IF($C261-AH$1&lt;År1,0,AG260*(1-VLOOKUP($A261,[1]Hugst!$R$5:$W$9,MATCH(ROUNDUP((AH$1)/10,0)*10,[1]Hugst!$R$4:$W$4,0))))</f>
        <v>0</v>
      </c>
      <c r="AI261" s="169">
        <f>IF($C261-AI$1&lt;År1,0,AH260*(1-VLOOKUP($A261,[1]Hugst!$R$5:$W$9,MATCH(ROUNDUP((AI$1)/10,0)*10,[1]Hugst!$R$4:$W$4,0))))</f>
        <v>0</v>
      </c>
      <c r="AJ261" s="169">
        <f>IF($C261-AJ$1&lt;År1,0,AI260*(1-VLOOKUP($A261,[1]Hugst!$R$5:$W$9,MATCH(ROUNDUP((AJ$1)/10,0)*10,[1]Hugst!$R$4:$W$4,0))))</f>
        <v>0</v>
      </c>
    </row>
    <row r="262" spans="1:36" x14ac:dyDescent="0.25">
      <c r="A262" s="169" t="s">
        <v>180</v>
      </c>
      <c r="B262" s="169" t="s">
        <v>23</v>
      </c>
      <c r="C262" s="169">
        <v>2032</v>
      </c>
      <c r="D262" s="169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2056.543683087506</v>
      </c>
      <c r="E262" s="169">
        <f t="shared" ca="1" si="6"/>
        <v>0</v>
      </c>
      <c r="F262" s="169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4584.1228010817622</v>
      </c>
      <c r="G262" s="169">
        <f ca="1">IF($C262-G$1&lt;År1,0,F261*(1-VLOOKUP($A262,[1]Hugst!$R$5:$W$9,MATCH(ROUNDUP((G$1)/10,0)*10,[1]Hugst!$R$4:$W$4,0))))</f>
        <v>4594.1905567619388</v>
      </c>
      <c r="H262" s="169">
        <f ca="1">IF($C262-H$1&lt;År1,0,G261*(1-VLOOKUP($A262,[1]Hugst!$R$5:$W$9,MATCH(ROUNDUP((H$1)/10,0)*10,[1]Hugst!$R$4:$W$4,0))))</f>
        <v>4604.0422694921162</v>
      </c>
      <c r="I262" s="169">
        <f ca="1">IF($C262-I$1&lt;År1,0,H261*(1-VLOOKUP($A262,[1]Hugst!$R$5:$W$9,MATCH(ROUNDUP((I$1)/10,0)*10,[1]Hugst!$R$4:$W$4,0))))</f>
        <v>4613.4102189421337</v>
      </c>
      <c r="J262" s="169">
        <f ca="1">IF($C262-J$1&lt;År1,0,I261*(1-VLOOKUP($A262,[1]Hugst!$R$5:$W$9,MATCH(ROUNDUP((J$1)/10,0)*10,[1]Hugst!$R$4:$W$4,0))))</f>
        <v>4621.7587047666275</v>
      </c>
      <c r="K262" s="169">
        <f ca="1">IF($C262-K$1&lt;År1,0,J261*(1-VLOOKUP($A262,[1]Hugst!$R$5:$W$9,MATCH(ROUNDUP((K$1)/10,0)*10,[1]Hugst!$R$4:$W$4,0))))</f>
        <v>4628.0160652843451</v>
      </c>
      <c r="L262" s="169">
        <f ca="1">IF($C262-L$1&lt;År1,0,K261*(1-VLOOKUP($A262,[1]Hugst!$R$5:$W$9,MATCH(ROUNDUP((L$1)/10,0)*10,[1]Hugst!$R$4:$W$4,0))))</f>
        <v>4630.0387148310256</v>
      </c>
      <c r="M262" s="169">
        <f ca="1">IF($C262-M$1&lt;År1,0,L261*(1-VLOOKUP($A262,[1]Hugst!$R$5:$W$9,MATCH(ROUNDUP((M$1)/10,0)*10,[1]Hugst!$R$4:$W$4,0))))</f>
        <v>4623.5392184583234</v>
      </c>
      <c r="N262" s="169">
        <f ca="1">IF($C262-N$1&lt;År1,0,M261*(1-VLOOKUP($A262,[1]Hugst!$R$5:$W$9,MATCH(ROUNDUP((N$1)/10,0)*10,[1]Hugst!$R$4:$W$4,0))))</f>
        <v>4599.9424413249817</v>
      </c>
      <c r="O262" s="169">
        <f ca="1">IF($C262-O$1&lt;År1,0,N261*(1-VLOOKUP($A262,[1]Hugst!$R$5:$W$9,MATCH(ROUNDUP((O$1)/10,0)*10,[1]Hugst!$R$4:$W$4,0))))</f>
        <v>4542.0978474723615</v>
      </c>
      <c r="P262" s="169">
        <f ca="1">IF($C262-P$1&lt;År1,0,O261*(1-VLOOKUP($A262,[1]Hugst!$R$5:$W$9,MATCH(ROUNDUP((P$1)/10,0)*10,[1]Hugst!$R$4:$W$4,0))))</f>
        <v>4415.7040973692729</v>
      </c>
      <c r="Q262" s="169">
        <f ca="1">IF($C262-Q$1&lt;År1,0,P261*(1-VLOOKUP($A262,[1]Hugst!$R$5:$W$9,MATCH(ROUNDUP((Q$1)/10,0)*10,[1]Hugst!$R$4:$W$4,0))))</f>
        <v>4152.1582429942446</v>
      </c>
      <c r="R262" s="169">
        <f ca="1">IF($C262-R$1&lt;År1,0,Q261*(1-VLOOKUP($A262,[1]Hugst!$R$5:$W$9,MATCH(ROUNDUP((R$1)/10,0)*10,[1]Hugst!$R$4:$W$4,0))))</f>
        <v>3614.2541179942436</v>
      </c>
      <c r="S262" s="169">
        <f>IF($C262-S$1&lt;År1,0,R261*(1-VLOOKUP($A262,[1]Hugst!$R$5:$W$9,MATCH(ROUNDUP((S$1)/10,0)*10,[1]Hugst!$R$4:$W$4,0))))</f>
        <v>0</v>
      </c>
      <c r="T262" s="169">
        <f>IF($C262-T$1&lt;År1,0,S261*(1-VLOOKUP($A262,[1]Hugst!$R$5:$W$9,MATCH(ROUNDUP((T$1)/10,0)*10,[1]Hugst!$R$4:$W$4,0))))</f>
        <v>0</v>
      </c>
      <c r="U262" s="169">
        <f>IF($C262-U$1&lt;År1,0,T261*(1-VLOOKUP($A262,[1]Hugst!$R$5:$W$9,MATCH(ROUNDUP((U$1)/10,0)*10,[1]Hugst!$R$4:$W$4,0))))</f>
        <v>0</v>
      </c>
      <c r="V262" s="169">
        <f>IF($C262-V$1&lt;År1,0,U261*(1-VLOOKUP($A262,[1]Hugst!$R$5:$W$9,MATCH(ROUNDUP((V$1)/10,0)*10,[1]Hugst!$R$4:$W$4,0))))</f>
        <v>0</v>
      </c>
      <c r="W262" s="169">
        <f>IF($C262-W$1&lt;År1,0,V261*(1-VLOOKUP($A262,[1]Hugst!$R$5:$W$9,MATCH(ROUNDUP((W$1)/10,0)*10,[1]Hugst!$R$4:$W$4,0))))</f>
        <v>0</v>
      </c>
      <c r="X262" s="169">
        <f>IF($C262-X$1&lt;År1,0,W261*(1-VLOOKUP($A262,[1]Hugst!$R$5:$W$9,MATCH(ROUNDUP((X$1)/10,0)*10,[1]Hugst!$R$4:$W$4,0))))</f>
        <v>0</v>
      </c>
      <c r="Y262" s="169">
        <f>IF($C262-Y$1&lt;År1,0,X261*(1-VLOOKUP($A262,[1]Hugst!$R$5:$W$9,MATCH(ROUNDUP((Y$1)/10,0)*10,[1]Hugst!$R$4:$W$4,0))))</f>
        <v>0</v>
      </c>
      <c r="Z262" s="169">
        <f>IF($C262-Z$1&lt;År1,0,Y261*(1-VLOOKUP($A262,[1]Hugst!$R$5:$W$9,MATCH(ROUNDUP((Z$1)/10,0)*10,[1]Hugst!$R$4:$W$4,0))))</f>
        <v>0</v>
      </c>
      <c r="AA262" s="169">
        <f>IF($C262-AA$1&lt;År1,0,Z261*(1-VLOOKUP($A262,[1]Hugst!$R$5:$W$9,MATCH(ROUNDUP((AA$1)/10,0)*10,[1]Hugst!$R$4:$W$4,0))))</f>
        <v>0</v>
      </c>
      <c r="AB262" s="169">
        <f>IF($C262-AB$1&lt;År1,0,AA261*(1-VLOOKUP($A262,[1]Hugst!$R$5:$W$9,MATCH(ROUNDUP((AB$1)/10,0)*10,[1]Hugst!$R$4:$W$4,0))))</f>
        <v>0</v>
      </c>
      <c r="AC262" s="169">
        <f>IF($C262-AC$1&lt;År1,0,AB261*(1-VLOOKUP($A262,[1]Hugst!$R$5:$W$9,MATCH(ROUNDUP((AC$1)/10,0)*10,[1]Hugst!$R$4:$W$4,0))))</f>
        <v>0</v>
      </c>
      <c r="AD262" s="169">
        <f>IF($C262-AD$1&lt;År1,0,AC261*(1-VLOOKUP($A262,[1]Hugst!$R$5:$W$9,MATCH(ROUNDUP((AD$1)/10,0)*10,[1]Hugst!$R$4:$W$4,0))))</f>
        <v>0</v>
      </c>
      <c r="AE262" s="169">
        <f>IF($C262-AE$1&lt;År1,0,AD261*(1-VLOOKUP($A262,[1]Hugst!$R$5:$W$9,MATCH(ROUNDUP((AE$1)/10,0)*10,[1]Hugst!$R$4:$W$4,0))))</f>
        <v>0</v>
      </c>
      <c r="AF262" s="169">
        <f>IF($C262-AF$1&lt;År1,0,AE261*(1-VLOOKUP($A262,[1]Hugst!$R$5:$W$9,MATCH(ROUNDUP((AF$1)/10,0)*10,[1]Hugst!$R$4:$W$4,0))))</f>
        <v>0</v>
      </c>
      <c r="AG262" s="169">
        <f>IF($C262-AG$1&lt;År1,0,AF261*(1-VLOOKUP($A262,[1]Hugst!$R$5:$W$9,MATCH(ROUNDUP((AG$1)/10,0)*10,[1]Hugst!$R$4:$W$4,0))))</f>
        <v>0</v>
      </c>
      <c r="AH262" s="169">
        <f>IF($C262-AH$1&lt;År1,0,AG261*(1-VLOOKUP($A262,[1]Hugst!$R$5:$W$9,MATCH(ROUNDUP((AH$1)/10,0)*10,[1]Hugst!$R$4:$W$4,0))))</f>
        <v>0</v>
      </c>
      <c r="AI262" s="169">
        <f>IF($C262-AI$1&lt;År1,0,AH261*(1-VLOOKUP($A262,[1]Hugst!$R$5:$W$9,MATCH(ROUNDUP((AI$1)/10,0)*10,[1]Hugst!$R$4:$W$4,0))))</f>
        <v>0</v>
      </c>
      <c r="AJ262" s="169">
        <f>IF($C262-AJ$1&lt;År1,0,AI261*(1-VLOOKUP($A262,[1]Hugst!$R$5:$W$9,MATCH(ROUNDUP((AJ$1)/10,0)*10,[1]Hugst!$R$4:$W$4,0))))</f>
        <v>0</v>
      </c>
    </row>
    <row r="263" spans="1:36" x14ac:dyDescent="0.25">
      <c r="A263" s="169" t="s">
        <v>180</v>
      </c>
      <c r="B263" s="169" t="s">
        <v>23</v>
      </c>
      <c r="C263" s="169">
        <v>2033</v>
      </c>
      <c r="D263" s="169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2046.3936154289077</v>
      </c>
      <c r="E263" s="169">
        <f t="shared" ca="1" si="6"/>
        <v>0</v>
      </c>
      <c r="F263" s="169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4573.9727334231638</v>
      </c>
      <c r="G263" s="169">
        <f ca="1">IF($C263-G$1&lt;År1,0,F262*(1-VLOOKUP($A263,[1]Hugst!$R$5:$W$9,MATCH(ROUNDUP((G$1)/10,0)*10,[1]Hugst!$R$4:$W$4,0))))</f>
        <v>4584.1228010817622</v>
      </c>
      <c r="H263" s="169">
        <f ca="1">IF($C263-H$1&lt;År1,0,G262*(1-VLOOKUP($A263,[1]Hugst!$R$5:$W$9,MATCH(ROUNDUP((H$1)/10,0)*10,[1]Hugst!$R$4:$W$4,0))))</f>
        <v>4594.1905567619388</v>
      </c>
      <c r="I263" s="169">
        <f ca="1">IF($C263-I$1&lt;År1,0,H262*(1-VLOOKUP($A263,[1]Hugst!$R$5:$W$9,MATCH(ROUNDUP((I$1)/10,0)*10,[1]Hugst!$R$4:$W$4,0))))</f>
        <v>4604.0422694921162</v>
      </c>
      <c r="J263" s="169">
        <f ca="1">IF($C263-J$1&lt;År1,0,I262*(1-VLOOKUP($A263,[1]Hugst!$R$5:$W$9,MATCH(ROUNDUP((J$1)/10,0)*10,[1]Hugst!$R$4:$W$4,0))))</f>
        <v>4613.4102189421337</v>
      </c>
      <c r="K263" s="169">
        <f ca="1">IF($C263-K$1&lt;År1,0,J262*(1-VLOOKUP($A263,[1]Hugst!$R$5:$W$9,MATCH(ROUNDUP((K$1)/10,0)*10,[1]Hugst!$R$4:$W$4,0))))</f>
        <v>4621.7587047666275</v>
      </c>
      <c r="L263" s="169">
        <f ca="1">IF($C263-L$1&lt;År1,0,K262*(1-VLOOKUP($A263,[1]Hugst!$R$5:$W$9,MATCH(ROUNDUP((L$1)/10,0)*10,[1]Hugst!$R$4:$W$4,0))))</f>
        <v>4628.0160652843451</v>
      </c>
      <c r="M263" s="169">
        <f ca="1">IF($C263-M$1&lt;År1,0,L262*(1-VLOOKUP($A263,[1]Hugst!$R$5:$W$9,MATCH(ROUNDUP((M$1)/10,0)*10,[1]Hugst!$R$4:$W$4,0))))</f>
        <v>4630.0387148310256</v>
      </c>
      <c r="N263" s="169">
        <f ca="1">IF($C263-N$1&lt;År1,0,M262*(1-VLOOKUP($A263,[1]Hugst!$R$5:$W$9,MATCH(ROUNDUP((N$1)/10,0)*10,[1]Hugst!$R$4:$W$4,0))))</f>
        <v>4623.5392184583234</v>
      </c>
      <c r="O263" s="169">
        <f ca="1">IF($C263-O$1&lt;År1,0,N262*(1-VLOOKUP($A263,[1]Hugst!$R$5:$W$9,MATCH(ROUNDUP((O$1)/10,0)*10,[1]Hugst!$R$4:$W$4,0))))</f>
        <v>4599.9424413249817</v>
      </c>
      <c r="P263" s="169">
        <f ca="1">IF($C263-P$1&lt;År1,0,O262*(1-VLOOKUP($A263,[1]Hugst!$R$5:$W$9,MATCH(ROUNDUP((P$1)/10,0)*10,[1]Hugst!$R$4:$W$4,0))))</f>
        <v>4542.0978474723615</v>
      </c>
      <c r="Q263" s="169">
        <f ca="1">IF($C263-Q$1&lt;År1,0,P262*(1-VLOOKUP($A263,[1]Hugst!$R$5:$W$9,MATCH(ROUNDUP((Q$1)/10,0)*10,[1]Hugst!$R$4:$W$4,0))))</f>
        <v>4415.7040973692729</v>
      </c>
      <c r="R263" s="169">
        <f ca="1">IF($C263-R$1&lt;År1,0,Q262*(1-VLOOKUP($A263,[1]Hugst!$R$5:$W$9,MATCH(ROUNDUP((R$1)/10,0)*10,[1]Hugst!$R$4:$W$4,0))))</f>
        <v>4152.1582429942446</v>
      </c>
      <c r="S263" s="169">
        <f ca="1">IF($C263-S$1&lt;År1,0,R262*(1-VLOOKUP($A263,[1]Hugst!$R$5:$W$9,MATCH(ROUNDUP((S$1)/10,0)*10,[1]Hugst!$R$4:$W$4,0))))</f>
        <v>3614.2541179942436</v>
      </c>
      <c r="T263" s="169">
        <f>IF($C263-T$1&lt;År1,0,S262*(1-VLOOKUP($A263,[1]Hugst!$R$5:$W$9,MATCH(ROUNDUP((T$1)/10,0)*10,[1]Hugst!$R$4:$W$4,0))))</f>
        <v>0</v>
      </c>
      <c r="U263" s="169">
        <f>IF($C263-U$1&lt;År1,0,T262*(1-VLOOKUP($A263,[1]Hugst!$R$5:$W$9,MATCH(ROUNDUP((U$1)/10,0)*10,[1]Hugst!$R$4:$W$4,0))))</f>
        <v>0</v>
      </c>
      <c r="V263" s="169">
        <f>IF($C263-V$1&lt;År1,0,U262*(1-VLOOKUP($A263,[1]Hugst!$R$5:$W$9,MATCH(ROUNDUP((V$1)/10,0)*10,[1]Hugst!$R$4:$W$4,0))))</f>
        <v>0</v>
      </c>
      <c r="W263" s="169">
        <f>IF($C263-W$1&lt;År1,0,V262*(1-VLOOKUP($A263,[1]Hugst!$R$5:$W$9,MATCH(ROUNDUP((W$1)/10,0)*10,[1]Hugst!$R$4:$W$4,0))))</f>
        <v>0</v>
      </c>
      <c r="X263" s="169">
        <f>IF($C263-X$1&lt;År1,0,W262*(1-VLOOKUP($A263,[1]Hugst!$R$5:$W$9,MATCH(ROUNDUP((X$1)/10,0)*10,[1]Hugst!$R$4:$W$4,0))))</f>
        <v>0</v>
      </c>
      <c r="Y263" s="169">
        <f>IF($C263-Y$1&lt;År1,0,X262*(1-VLOOKUP($A263,[1]Hugst!$R$5:$W$9,MATCH(ROUNDUP((Y$1)/10,0)*10,[1]Hugst!$R$4:$W$4,0))))</f>
        <v>0</v>
      </c>
      <c r="Z263" s="169">
        <f>IF($C263-Z$1&lt;År1,0,Y262*(1-VLOOKUP($A263,[1]Hugst!$R$5:$W$9,MATCH(ROUNDUP((Z$1)/10,0)*10,[1]Hugst!$R$4:$W$4,0))))</f>
        <v>0</v>
      </c>
      <c r="AA263" s="169">
        <f>IF($C263-AA$1&lt;År1,0,Z262*(1-VLOOKUP($A263,[1]Hugst!$R$5:$W$9,MATCH(ROUNDUP((AA$1)/10,0)*10,[1]Hugst!$R$4:$W$4,0))))</f>
        <v>0</v>
      </c>
      <c r="AB263" s="169">
        <f>IF($C263-AB$1&lt;År1,0,AA262*(1-VLOOKUP($A263,[1]Hugst!$R$5:$W$9,MATCH(ROUNDUP((AB$1)/10,0)*10,[1]Hugst!$R$4:$W$4,0))))</f>
        <v>0</v>
      </c>
      <c r="AC263" s="169">
        <f>IF($C263-AC$1&lt;År1,0,AB262*(1-VLOOKUP($A263,[1]Hugst!$R$5:$W$9,MATCH(ROUNDUP((AC$1)/10,0)*10,[1]Hugst!$R$4:$W$4,0))))</f>
        <v>0</v>
      </c>
      <c r="AD263" s="169">
        <f>IF($C263-AD$1&lt;År1,0,AC262*(1-VLOOKUP($A263,[1]Hugst!$R$5:$W$9,MATCH(ROUNDUP((AD$1)/10,0)*10,[1]Hugst!$R$4:$W$4,0))))</f>
        <v>0</v>
      </c>
      <c r="AE263" s="169">
        <f>IF($C263-AE$1&lt;År1,0,AD262*(1-VLOOKUP($A263,[1]Hugst!$R$5:$W$9,MATCH(ROUNDUP((AE$1)/10,0)*10,[1]Hugst!$R$4:$W$4,0))))</f>
        <v>0</v>
      </c>
      <c r="AF263" s="169">
        <f>IF($C263-AF$1&lt;År1,0,AE262*(1-VLOOKUP($A263,[1]Hugst!$R$5:$W$9,MATCH(ROUNDUP((AF$1)/10,0)*10,[1]Hugst!$R$4:$W$4,0))))</f>
        <v>0</v>
      </c>
      <c r="AG263" s="169">
        <f>IF($C263-AG$1&lt;År1,0,AF262*(1-VLOOKUP($A263,[1]Hugst!$R$5:$W$9,MATCH(ROUNDUP((AG$1)/10,0)*10,[1]Hugst!$R$4:$W$4,0))))</f>
        <v>0</v>
      </c>
      <c r="AH263" s="169">
        <f>IF($C263-AH$1&lt;År1,0,AG262*(1-VLOOKUP($A263,[1]Hugst!$R$5:$W$9,MATCH(ROUNDUP((AH$1)/10,0)*10,[1]Hugst!$R$4:$W$4,0))))</f>
        <v>0</v>
      </c>
      <c r="AI263" s="169">
        <f>IF($C263-AI$1&lt;År1,0,AH262*(1-VLOOKUP($A263,[1]Hugst!$R$5:$W$9,MATCH(ROUNDUP((AI$1)/10,0)*10,[1]Hugst!$R$4:$W$4,0))))</f>
        <v>0</v>
      </c>
      <c r="AJ263" s="169">
        <f>IF($C263-AJ$1&lt;År1,0,AI262*(1-VLOOKUP($A263,[1]Hugst!$R$5:$W$9,MATCH(ROUNDUP((AJ$1)/10,0)*10,[1]Hugst!$R$4:$W$4,0))))</f>
        <v>0</v>
      </c>
    </row>
    <row r="264" spans="1:36" x14ac:dyDescent="0.25">
      <c r="A264" s="169" t="s">
        <v>180</v>
      </c>
      <c r="B264" s="169" t="s">
        <v>23</v>
      </c>
      <c r="C264" s="169">
        <v>2034</v>
      </c>
      <c r="D264" s="169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2036.2279727301921</v>
      </c>
      <c r="E264" s="169">
        <f t="shared" ca="1" si="6"/>
        <v>0</v>
      </c>
      <c r="F264" s="169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4563.8070907244482</v>
      </c>
      <c r="G264" s="169">
        <f ca="1">IF($C264-G$1&lt;År1,0,F263*(1-VLOOKUP($A264,[1]Hugst!$R$5:$W$9,MATCH(ROUNDUP((G$1)/10,0)*10,[1]Hugst!$R$4:$W$4,0))))</f>
        <v>4573.9727334231638</v>
      </c>
      <c r="H264" s="169">
        <f ca="1">IF($C264-H$1&lt;År1,0,G263*(1-VLOOKUP($A264,[1]Hugst!$R$5:$W$9,MATCH(ROUNDUP((H$1)/10,0)*10,[1]Hugst!$R$4:$W$4,0))))</f>
        <v>4584.1228010817622</v>
      </c>
      <c r="I264" s="169">
        <f ca="1">IF($C264-I$1&lt;År1,0,H263*(1-VLOOKUP($A264,[1]Hugst!$R$5:$W$9,MATCH(ROUNDUP((I$1)/10,0)*10,[1]Hugst!$R$4:$W$4,0))))</f>
        <v>4594.1905567619388</v>
      </c>
      <c r="J264" s="169">
        <f ca="1">IF($C264-J$1&lt;År1,0,I263*(1-VLOOKUP($A264,[1]Hugst!$R$5:$W$9,MATCH(ROUNDUP((J$1)/10,0)*10,[1]Hugst!$R$4:$W$4,0))))</f>
        <v>4604.0422694921162</v>
      </c>
      <c r="K264" s="169">
        <f ca="1">IF($C264-K$1&lt;År1,0,J263*(1-VLOOKUP($A264,[1]Hugst!$R$5:$W$9,MATCH(ROUNDUP((K$1)/10,0)*10,[1]Hugst!$R$4:$W$4,0))))</f>
        <v>4613.4102189421337</v>
      </c>
      <c r="L264" s="169">
        <f ca="1">IF($C264-L$1&lt;År1,0,K263*(1-VLOOKUP($A264,[1]Hugst!$R$5:$W$9,MATCH(ROUNDUP((L$1)/10,0)*10,[1]Hugst!$R$4:$W$4,0))))</f>
        <v>4621.7587047666275</v>
      </c>
      <c r="M264" s="169">
        <f ca="1">IF($C264-M$1&lt;År1,0,L263*(1-VLOOKUP($A264,[1]Hugst!$R$5:$W$9,MATCH(ROUNDUP((M$1)/10,0)*10,[1]Hugst!$R$4:$W$4,0))))</f>
        <v>4628.0160652843451</v>
      </c>
      <c r="N264" s="169">
        <f ca="1">IF($C264-N$1&lt;År1,0,M263*(1-VLOOKUP($A264,[1]Hugst!$R$5:$W$9,MATCH(ROUNDUP((N$1)/10,0)*10,[1]Hugst!$R$4:$W$4,0))))</f>
        <v>4630.0387148310256</v>
      </c>
      <c r="O264" s="169">
        <f ca="1">IF($C264-O$1&lt;År1,0,N263*(1-VLOOKUP($A264,[1]Hugst!$R$5:$W$9,MATCH(ROUNDUP((O$1)/10,0)*10,[1]Hugst!$R$4:$W$4,0))))</f>
        <v>4623.5392184583234</v>
      </c>
      <c r="P264" s="169">
        <f ca="1">IF($C264-P$1&lt;År1,0,O263*(1-VLOOKUP($A264,[1]Hugst!$R$5:$W$9,MATCH(ROUNDUP((P$1)/10,0)*10,[1]Hugst!$R$4:$W$4,0))))</f>
        <v>4599.9424413249817</v>
      </c>
      <c r="Q264" s="169">
        <f ca="1">IF($C264-Q$1&lt;År1,0,P263*(1-VLOOKUP($A264,[1]Hugst!$R$5:$W$9,MATCH(ROUNDUP((Q$1)/10,0)*10,[1]Hugst!$R$4:$W$4,0))))</f>
        <v>4542.0978474723615</v>
      </c>
      <c r="R264" s="169">
        <f ca="1">IF($C264-R$1&lt;År1,0,Q263*(1-VLOOKUP($A264,[1]Hugst!$R$5:$W$9,MATCH(ROUNDUP((R$1)/10,0)*10,[1]Hugst!$R$4:$W$4,0))))</f>
        <v>4415.7040973692729</v>
      </c>
      <c r="S264" s="169">
        <f ca="1">IF($C264-S$1&lt;År1,0,R263*(1-VLOOKUP($A264,[1]Hugst!$R$5:$W$9,MATCH(ROUNDUP((S$1)/10,0)*10,[1]Hugst!$R$4:$W$4,0))))</f>
        <v>4152.1582429942446</v>
      </c>
      <c r="T264" s="169">
        <f ca="1">IF($C264-T$1&lt;År1,0,S263*(1-VLOOKUP($A264,[1]Hugst!$R$5:$W$9,MATCH(ROUNDUP((T$1)/10,0)*10,[1]Hugst!$R$4:$W$4,0))))</f>
        <v>3614.2541179942436</v>
      </c>
      <c r="U264" s="169">
        <f>IF($C264-U$1&lt;År1,0,T263*(1-VLOOKUP($A264,[1]Hugst!$R$5:$W$9,MATCH(ROUNDUP((U$1)/10,0)*10,[1]Hugst!$R$4:$W$4,0))))</f>
        <v>0</v>
      </c>
      <c r="V264" s="169">
        <f>IF($C264-V$1&lt;År1,0,U263*(1-VLOOKUP($A264,[1]Hugst!$R$5:$W$9,MATCH(ROUNDUP((V$1)/10,0)*10,[1]Hugst!$R$4:$W$4,0))))</f>
        <v>0</v>
      </c>
      <c r="W264" s="169">
        <f>IF($C264-W$1&lt;År1,0,V263*(1-VLOOKUP($A264,[1]Hugst!$R$5:$W$9,MATCH(ROUNDUP((W$1)/10,0)*10,[1]Hugst!$R$4:$W$4,0))))</f>
        <v>0</v>
      </c>
      <c r="X264" s="169">
        <f>IF($C264-X$1&lt;År1,0,W263*(1-VLOOKUP($A264,[1]Hugst!$R$5:$W$9,MATCH(ROUNDUP((X$1)/10,0)*10,[1]Hugst!$R$4:$W$4,0))))</f>
        <v>0</v>
      </c>
      <c r="Y264" s="169">
        <f>IF($C264-Y$1&lt;År1,0,X263*(1-VLOOKUP($A264,[1]Hugst!$R$5:$W$9,MATCH(ROUNDUP((Y$1)/10,0)*10,[1]Hugst!$R$4:$W$4,0))))</f>
        <v>0</v>
      </c>
      <c r="Z264" s="169">
        <f>IF($C264-Z$1&lt;År1,0,Y263*(1-VLOOKUP($A264,[1]Hugst!$R$5:$W$9,MATCH(ROUNDUP((Z$1)/10,0)*10,[1]Hugst!$R$4:$W$4,0))))</f>
        <v>0</v>
      </c>
      <c r="AA264" s="169">
        <f>IF($C264-AA$1&lt;År1,0,Z263*(1-VLOOKUP($A264,[1]Hugst!$R$5:$W$9,MATCH(ROUNDUP((AA$1)/10,0)*10,[1]Hugst!$R$4:$W$4,0))))</f>
        <v>0</v>
      </c>
      <c r="AB264" s="169">
        <f>IF($C264-AB$1&lt;År1,0,AA263*(1-VLOOKUP($A264,[1]Hugst!$R$5:$W$9,MATCH(ROUNDUP((AB$1)/10,0)*10,[1]Hugst!$R$4:$W$4,0))))</f>
        <v>0</v>
      </c>
      <c r="AC264" s="169">
        <f>IF($C264-AC$1&lt;År1,0,AB263*(1-VLOOKUP($A264,[1]Hugst!$R$5:$W$9,MATCH(ROUNDUP((AC$1)/10,0)*10,[1]Hugst!$R$4:$W$4,0))))</f>
        <v>0</v>
      </c>
      <c r="AD264" s="169">
        <f>IF($C264-AD$1&lt;År1,0,AC263*(1-VLOOKUP($A264,[1]Hugst!$R$5:$W$9,MATCH(ROUNDUP((AD$1)/10,0)*10,[1]Hugst!$R$4:$W$4,0))))</f>
        <v>0</v>
      </c>
      <c r="AE264" s="169">
        <f>IF($C264-AE$1&lt;År1,0,AD263*(1-VLOOKUP($A264,[1]Hugst!$R$5:$W$9,MATCH(ROUNDUP((AE$1)/10,0)*10,[1]Hugst!$R$4:$W$4,0))))</f>
        <v>0</v>
      </c>
      <c r="AF264" s="169">
        <f>IF($C264-AF$1&lt;År1,0,AE263*(1-VLOOKUP($A264,[1]Hugst!$R$5:$W$9,MATCH(ROUNDUP((AF$1)/10,0)*10,[1]Hugst!$R$4:$W$4,0))))</f>
        <v>0</v>
      </c>
      <c r="AG264" s="169">
        <f>IF($C264-AG$1&lt;År1,0,AF263*(1-VLOOKUP($A264,[1]Hugst!$R$5:$W$9,MATCH(ROUNDUP((AG$1)/10,0)*10,[1]Hugst!$R$4:$W$4,0))))</f>
        <v>0</v>
      </c>
      <c r="AH264" s="169">
        <f>IF($C264-AH$1&lt;År1,0,AG263*(1-VLOOKUP($A264,[1]Hugst!$R$5:$W$9,MATCH(ROUNDUP((AH$1)/10,0)*10,[1]Hugst!$R$4:$W$4,0))))</f>
        <v>0</v>
      </c>
      <c r="AI264" s="169">
        <f>IF($C264-AI$1&lt;År1,0,AH263*(1-VLOOKUP($A264,[1]Hugst!$R$5:$W$9,MATCH(ROUNDUP((AI$1)/10,0)*10,[1]Hugst!$R$4:$W$4,0))))</f>
        <v>0</v>
      </c>
      <c r="AJ264" s="169">
        <f>IF($C264-AJ$1&lt;År1,0,AI263*(1-VLOOKUP($A264,[1]Hugst!$R$5:$W$9,MATCH(ROUNDUP((AJ$1)/10,0)*10,[1]Hugst!$R$4:$W$4,0))))</f>
        <v>0</v>
      </c>
    </row>
    <row r="265" spans="1:36" x14ac:dyDescent="0.25">
      <c r="A265" s="169" t="s">
        <v>180</v>
      </c>
      <c r="B265" s="169" t="s">
        <v>23</v>
      </c>
      <c r="C265" s="169">
        <v>2035</v>
      </c>
      <c r="D265" s="169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2026.0799955557522</v>
      </c>
      <c r="E265" s="169">
        <f t="shared" ca="1" si="6"/>
        <v>0</v>
      </c>
      <c r="F265" s="169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4553.6591135500084</v>
      </c>
      <c r="G265" s="169">
        <f ca="1">IF($C265-G$1&lt;År1,0,F264*(1-VLOOKUP($A265,[1]Hugst!$R$5:$W$9,MATCH(ROUNDUP((G$1)/10,0)*10,[1]Hugst!$R$4:$W$4,0))))</f>
        <v>4563.8070907244482</v>
      </c>
      <c r="H265" s="169">
        <f ca="1">IF($C265-H$1&lt;År1,0,G264*(1-VLOOKUP($A265,[1]Hugst!$R$5:$W$9,MATCH(ROUNDUP((H$1)/10,0)*10,[1]Hugst!$R$4:$W$4,0))))</f>
        <v>4573.9727334231638</v>
      </c>
      <c r="I265" s="169">
        <f ca="1">IF($C265-I$1&lt;År1,0,H264*(1-VLOOKUP($A265,[1]Hugst!$R$5:$W$9,MATCH(ROUNDUP((I$1)/10,0)*10,[1]Hugst!$R$4:$W$4,0))))</f>
        <v>4584.1228010817622</v>
      </c>
      <c r="J265" s="169">
        <f ca="1">IF($C265-J$1&lt;År1,0,I264*(1-VLOOKUP($A265,[1]Hugst!$R$5:$W$9,MATCH(ROUNDUP((J$1)/10,0)*10,[1]Hugst!$R$4:$W$4,0))))</f>
        <v>4594.1905567619388</v>
      </c>
      <c r="K265" s="169">
        <f ca="1">IF($C265-K$1&lt;År1,0,J264*(1-VLOOKUP($A265,[1]Hugst!$R$5:$W$9,MATCH(ROUNDUP((K$1)/10,0)*10,[1]Hugst!$R$4:$W$4,0))))</f>
        <v>4604.0422694921162</v>
      </c>
      <c r="L265" s="169">
        <f ca="1">IF($C265-L$1&lt;År1,0,K264*(1-VLOOKUP($A265,[1]Hugst!$R$5:$W$9,MATCH(ROUNDUP((L$1)/10,0)*10,[1]Hugst!$R$4:$W$4,0))))</f>
        <v>4613.4102189421337</v>
      </c>
      <c r="M265" s="169">
        <f ca="1">IF($C265-M$1&lt;År1,0,L264*(1-VLOOKUP($A265,[1]Hugst!$R$5:$W$9,MATCH(ROUNDUP((M$1)/10,0)*10,[1]Hugst!$R$4:$W$4,0))))</f>
        <v>4621.7587047666275</v>
      </c>
      <c r="N265" s="169">
        <f ca="1">IF($C265-N$1&lt;År1,0,M264*(1-VLOOKUP($A265,[1]Hugst!$R$5:$W$9,MATCH(ROUNDUP((N$1)/10,0)*10,[1]Hugst!$R$4:$W$4,0))))</f>
        <v>4628.0160652843451</v>
      </c>
      <c r="O265" s="169">
        <f ca="1">IF($C265-O$1&lt;År1,0,N264*(1-VLOOKUP($A265,[1]Hugst!$R$5:$W$9,MATCH(ROUNDUP((O$1)/10,0)*10,[1]Hugst!$R$4:$W$4,0))))</f>
        <v>4630.0387148310256</v>
      </c>
      <c r="P265" s="169">
        <f ca="1">IF($C265-P$1&lt;År1,0,O264*(1-VLOOKUP($A265,[1]Hugst!$R$5:$W$9,MATCH(ROUNDUP((P$1)/10,0)*10,[1]Hugst!$R$4:$W$4,0))))</f>
        <v>4623.5392184583234</v>
      </c>
      <c r="Q265" s="169">
        <f ca="1">IF($C265-Q$1&lt;År1,0,P264*(1-VLOOKUP($A265,[1]Hugst!$R$5:$W$9,MATCH(ROUNDUP((Q$1)/10,0)*10,[1]Hugst!$R$4:$W$4,0))))</f>
        <v>4599.9424413249817</v>
      </c>
      <c r="R265" s="169">
        <f ca="1">IF($C265-R$1&lt;År1,0,Q264*(1-VLOOKUP($A265,[1]Hugst!$R$5:$W$9,MATCH(ROUNDUP((R$1)/10,0)*10,[1]Hugst!$R$4:$W$4,0))))</f>
        <v>4542.0978474723615</v>
      </c>
      <c r="S265" s="169">
        <f ca="1">IF($C265-S$1&lt;År1,0,R264*(1-VLOOKUP($A265,[1]Hugst!$R$5:$W$9,MATCH(ROUNDUP((S$1)/10,0)*10,[1]Hugst!$R$4:$W$4,0))))</f>
        <v>4415.7040973692729</v>
      </c>
      <c r="T265" s="169">
        <f ca="1">IF($C265-T$1&lt;År1,0,S264*(1-VLOOKUP($A265,[1]Hugst!$R$5:$W$9,MATCH(ROUNDUP((T$1)/10,0)*10,[1]Hugst!$R$4:$W$4,0))))</f>
        <v>4152.1582429942446</v>
      </c>
      <c r="U265" s="169">
        <f ca="1">IF($C265-U$1&lt;År1,0,T264*(1-VLOOKUP($A265,[1]Hugst!$R$5:$W$9,MATCH(ROUNDUP((U$1)/10,0)*10,[1]Hugst!$R$4:$W$4,0))))</f>
        <v>3614.2541179942436</v>
      </c>
      <c r="V265" s="169">
        <f>IF($C265-V$1&lt;År1,0,U264*(1-VLOOKUP($A265,[1]Hugst!$R$5:$W$9,MATCH(ROUNDUP((V$1)/10,0)*10,[1]Hugst!$R$4:$W$4,0))))</f>
        <v>0</v>
      </c>
      <c r="W265" s="169">
        <f>IF($C265-W$1&lt;År1,0,V264*(1-VLOOKUP($A265,[1]Hugst!$R$5:$W$9,MATCH(ROUNDUP((W$1)/10,0)*10,[1]Hugst!$R$4:$W$4,0))))</f>
        <v>0</v>
      </c>
      <c r="X265" s="169">
        <f>IF($C265-X$1&lt;År1,0,W264*(1-VLOOKUP($A265,[1]Hugst!$R$5:$W$9,MATCH(ROUNDUP((X$1)/10,0)*10,[1]Hugst!$R$4:$W$4,0))))</f>
        <v>0</v>
      </c>
      <c r="Y265" s="169">
        <f>IF($C265-Y$1&lt;År1,0,X264*(1-VLOOKUP($A265,[1]Hugst!$R$5:$W$9,MATCH(ROUNDUP((Y$1)/10,0)*10,[1]Hugst!$R$4:$W$4,0))))</f>
        <v>0</v>
      </c>
      <c r="Z265" s="169">
        <f>IF($C265-Z$1&lt;År1,0,Y264*(1-VLOOKUP($A265,[1]Hugst!$R$5:$W$9,MATCH(ROUNDUP((Z$1)/10,0)*10,[1]Hugst!$R$4:$W$4,0))))</f>
        <v>0</v>
      </c>
      <c r="AA265" s="169">
        <f>IF($C265-AA$1&lt;År1,0,Z264*(1-VLOOKUP($A265,[1]Hugst!$R$5:$W$9,MATCH(ROUNDUP((AA$1)/10,0)*10,[1]Hugst!$R$4:$W$4,0))))</f>
        <v>0</v>
      </c>
      <c r="AB265" s="169">
        <f>IF($C265-AB$1&lt;År1,0,AA264*(1-VLOOKUP($A265,[1]Hugst!$R$5:$W$9,MATCH(ROUNDUP((AB$1)/10,0)*10,[1]Hugst!$R$4:$W$4,0))))</f>
        <v>0</v>
      </c>
      <c r="AC265" s="169">
        <f>IF($C265-AC$1&lt;År1,0,AB264*(1-VLOOKUP($A265,[1]Hugst!$R$5:$W$9,MATCH(ROUNDUP((AC$1)/10,0)*10,[1]Hugst!$R$4:$W$4,0))))</f>
        <v>0</v>
      </c>
      <c r="AD265" s="169">
        <f>IF($C265-AD$1&lt;År1,0,AC264*(1-VLOOKUP($A265,[1]Hugst!$R$5:$W$9,MATCH(ROUNDUP((AD$1)/10,0)*10,[1]Hugst!$R$4:$W$4,0))))</f>
        <v>0</v>
      </c>
      <c r="AE265" s="169">
        <f>IF($C265-AE$1&lt;År1,0,AD264*(1-VLOOKUP($A265,[1]Hugst!$R$5:$W$9,MATCH(ROUNDUP((AE$1)/10,0)*10,[1]Hugst!$R$4:$W$4,0))))</f>
        <v>0</v>
      </c>
      <c r="AF265" s="169">
        <f>IF($C265-AF$1&lt;År1,0,AE264*(1-VLOOKUP($A265,[1]Hugst!$R$5:$W$9,MATCH(ROUNDUP((AF$1)/10,0)*10,[1]Hugst!$R$4:$W$4,0))))</f>
        <v>0</v>
      </c>
      <c r="AG265" s="169">
        <f>IF($C265-AG$1&lt;År1,0,AF264*(1-VLOOKUP($A265,[1]Hugst!$R$5:$W$9,MATCH(ROUNDUP((AG$1)/10,0)*10,[1]Hugst!$R$4:$W$4,0))))</f>
        <v>0</v>
      </c>
      <c r="AH265" s="169">
        <f>IF($C265-AH$1&lt;År1,0,AG264*(1-VLOOKUP($A265,[1]Hugst!$R$5:$W$9,MATCH(ROUNDUP((AH$1)/10,0)*10,[1]Hugst!$R$4:$W$4,0))))</f>
        <v>0</v>
      </c>
      <c r="AI265" s="169">
        <f>IF($C265-AI$1&lt;År1,0,AH264*(1-VLOOKUP($A265,[1]Hugst!$R$5:$W$9,MATCH(ROUNDUP((AI$1)/10,0)*10,[1]Hugst!$R$4:$W$4,0))))</f>
        <v>0</v>
      </c>
      <c r="AJ265" s="169">
        <f>IF($C265-AJ$1&lt;År1,0,AI264*(1-VLOOKUP($A265,[1]Hugst!$R$5:$W$9,MATCH(ROUNDUP((AJ$1)/10,0)*10,[1]Hugst!$R$4:$W$4,0))))</f>
        <v>0</v>
      </c>
    </row>
    <row r="266" spans="1:36" x14ac:dyDescent="0.25">
      <c r="A266" s="169" t="s">
        <v>180</v>
      </c>
      <c r="B266" s="169" t="s">
        <v>23</v>
      </c>
      <c r="C266" s="169">
        <v>2036</v>
      </c>
      <c r="D266" s="169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2015.9661769225822</v>
      </c>
      <c r="E266" s="169">
        <f t="shared" ca="1" si="6"/>
        <v>0</v>
      </c>
      <c r="F266" s="169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4543.5452949168384</v>
      </c>
      <c r="G266" s="169">
        <f ca="1">IF($C266-G$1&lt;År1,0,F265*(1-VLOOKUP($A266,[1]Hugst!$R$5:$W$9,MATCH(ROUNDUP((G$1)/10,0)*10,[1]Hugst!$R$4:$W$4,0))))</f>
        <v>4553.6591135500084</v>
      </c>
      <c r="H266" s="169">
        <f ca="1">IF($C266-H$1&lt;År1,0,G265*(1-VLOOKUP($A266,[1]Hugst!$R$5:$W$9,MATCH(ROUNDUP((H$1)/10,0)*10,[1]Hugst!$R$4:$W$4,0))))</f>
        <v>4563.8070907244482</v>
      </c>
      <c r="I266" s="169">
        <f ca="1">IF($C266-I$1&lt;År1,0,H265*(1-VLOOKUP($A266,[1]Hugst!$R$5:$W$9,MATCH(ROUNDUP((I$1)/10,0)*10,[1]Hugst!$R$4:$W$4,0))))</f>
        <v>4573.9727334231638</v>
      </c>
      <c r="J266" s="169">
        <f ca="1">IF($C266-J$1&lt;År1,0,I265*(1-VLOOKUP($A266,[1]Hugst!$R$5:$W$9,MATCH(ROUNDUP((J$1)/10,0)*10,[1]Hugst!$R$4:$W$4,0))))</f>
        <v>4584.1228010817622</v>
      </c>
      <c r="K266" s="169">
        <f ca="1">IF($C266-K$1&lt;År1,0,J265*(1-VLOOKUP($A266,[1]Hugst!$R$5:$W$9,MATCH(ROUNDUP((K$1)/10,0)*10,[1]Hugst!$R$4:$W$4,0))))</f>
        <v>4594.1905567619388</v>
      </c>
      <c r="L266" s="169">
        <f ca="1">IF($C266-L$1&lt;År1,0,K265*(1-VLOOKUP($A266,[1]Hugst!$R$5:$W$9,MATCH(ROUNDUP((L$1)/10,0)*10,[1]Hugst!$R$4:$W$4,0))))</f>
        <v>4604.0422694921162</v>
      </c>
      <c r="M266" s="169">
        <f ca="1">IF($C266-M$1&lt;År1,0,L265*(1-VLOOKUP($A266,[1]Hugst!$R$5:$W$9,MATCH(ROUNDUP((M$1)/10,0)*10,[1]Hugst!$R$4:$W$4,0))))</f>
        <v>4613.4102189421337</v>
      </c>
      <c r="N266" s="169">
        <f ca="1">IF($C266-N$1&lt;År1,0,M265*(1-VLOOKUP($A266,[1]Hugst!$R$5:$W$9,MATCH(ROUNDUP((N$1)/10,0)*10,[1]Hugst!$R$4:$W$4,0))))</f>
        <v>4621.7587047666275</v>
      </c>
      <c r="O266" s="169">
        <f ca="1">IF($C266-O$1&lt;År1,0,N265*(1-VLOOKUP($A266,[1]Hugst!$R$5:$W$9,MATCH(ROUNDUP((O$1)/10,0)*10,[1]Hugst!$R$4:$W$4,0))))</f>
        <v>4628.0160652843451</v>
      </c>
      <c r="P266" s="169">
        <f ca="1">IF($C266-P$1&lt;År1,0,O265*(1-VLOOKUP($A266,[1]Hugst!$R$5:$W$9,MATCH(ROUNDUP((P$1)/10,0)*10,[1]Hugst!$R$4:$W$4,0))))</f>
        <v>4630.0387148310256</v>
      </c>
      <c r="Q266" s="169">
        <f ca="1">IF($C266-Q$1&lt;År1,0,P265*(1-VLOOKUP($A266,[1]Hugst!$R$5:$W$9,MATCH(ROUNDUP((Q$1)/10,0)*10,[1]Hugst!$R$4:$W$4,0))))</f>
        <v>4623.5392184583234</v>
      </c>
      <c r="R266" s="169">
        <f ca="1">IF($C266-R$1&lt;År1,0,Q265*(1-VLOOKUP($A266,[1]Hugst!$R$5:$W$9,MATCH(ROUNDUP((R$1)/10,0)*10,[1]Hugst!$R$4:$W$4,0))))</f>
        <v>4599.9424413249817</v>
      </c>
      <c r="S266" s="169">
        <f ca="1">IF($C266-S$1&lt;År1,0,R265*(1-VLOOKUP($A266,[1]Hugst!$R$5:$W$9,MATCH(ROUNDUP((S$1)/10,0)*10,[1]Hugst!$R$4:$W$4,0))))</f>
        <v>4542.0978474723615</v>
      </c>
      <c r="T266" s="169">
        <f ca="1">IF($C266-T$1&lt;År1,0,S265*(1-VLOOKUP($A266,[1]Hugst!$R$5:$W$9,MATCH(ROUNDUP((T$1)/10,0)*10,[1]Hugst!$R$4:$W$4,0))))</f>
        <v>4415.7040973692729</v>
      </c>
      <c r="U266" s="169">
        <f ca="1">IF($C266-U$1&lt;År1,0,T265*(1-VLOOKUP($A266,[1]Hugst!$R$5:$W$9,MATCH(ROUNDUP((U$1)/10,0)*10,[1]Hugst!$R$4:$W$4,0))))</f>
        <v>4152.1582429942446</v>
      </c>
      <c r="V266" s="169">
        <f ca="1">IF($C266-V$1&lt;År1,0,U265*(1-VLOOKUP($A266,[1]Hugst!$R$5:$W$9,MATCH(ROUNDUP((V$1)/10,0)*10,[1]Hugst!$R$4:$W$4,0))))</f>
        <v>3614.2541179942436</v>
      </c>
      <c r="W266" s="169">
        <f>IF($C266-W$1&lt;År1,0,V265*(1-VLOOKUP($A266,[1]Hugst!$R$5:$W$9,MATCH(ROUNDUP((W$1)/10,0)*10,[1]Hugst!$R$4:$W$4,0))))</f>
        <v>0</v>
      </c>
      <c r="X266" s="169">
        <f>IF($C266-X$1&lt;År1,0,W265*(1-VLOOKUP($A266,[1]Hugst!$R$5:$W$9,MATCH(ROUNDUP((X$1)/10,0)*10,[1]Hugst!$R$4:$W$4,0))))</f>
        <v>0</v>
      </c>
      <c r="Y266" s="169">
        <f>IF($C266-Y$1&lt;År1,0,X265*(1-VLOOKUP($A266,[1]Hugst!$R$5:$W$9,MATCH(ROUNDUP((Y$1)/10,0)*10,[1]Hugst!$R$4:$W$4,0))))</f>
        <v>0</v>
      </c>
      <c r="Z266" s="169">
        <f>IF($C266-Z$1&lt;År1,0,Y265*(1-VLOOKUP($A266,[1]Hugst!$R$5:$W$9,MATCH(ROUNDUP((Z$1)/10,0)*10,[1]Hugst!$R$4:$W$4,0))))</f>
        <v>0</v>
      </c>
      <c r="AA266" s="169">
        <f>IF($C266-AA$1&lt;År1,0,Z265*(1-VLOOKUP($A266,[1]Hugst!$R$5:$W$9,MATCH(ROUNDUP((AA$1)/10,0)*10,[1]Hugst!$R$4:$W$4,0))))</f>
        <v>0</v>
      </c>
      <c r="AB266" s="169">
        <f>IF($C266-AB$1&lt;År1,0,AA265*(1-VLOOKUP($A266,[1]Hugst!$R$5:$W$9,MATCH(ROUNDUP((AB$1)/10,0)*10,[1]Hugst!$R$4:$W$4,0))))</f>
        <v>0</v>
      </c>
      <c r="AC266" s="169">
        <f>IF($C266-AC$1&lt;År1,0,AB265*(1-VLOOKUP($A266,[1]Hugst!$R$5:$W$9,MATCH(ROUNDUP((AC$1)/10,0)*10,[1]Hugst!$R$4:$W$4,0))))</f>
        <v>0</v>
      </c>
      <c r="AD266" s="169">
        <f>IF($C266-AD$1&lt;År1,0,AC265*(1-VLOOKUP($A266,[1]Hugst!$R$5:$W$9,MATCH(ROUNDUP((AD$1)/10,0)*10,[1]Hugst!$R$4:$W$4,0))))</f>
        <v>0</v>
      </c>
      <c r="AE266" s="169">
        <f>IF($C266-AE$1&lt;År1,0,AD265*(1-VLOOKUP($A266,[1]Hugst!$R$5:$W$9,MATCH(ROUNDUP((AE$1)/10,0)*10,[1]Hugst!$R$4:$W$4,0))))</f>
        <v>0</v>
      </c>
      <c r="AF266" s="169">
        <f>IF($C266-AF$1&lt;År1,0,AE265*(1-VLOOKUP($A266,[1]Hugst!$R$5:$W$9,MATCH(ROUNDUP((AF$1)/10,0)*10,[1]Hugst!$R$4:$W$4,0))))</f>
        <v>0</v>
      </c>
      <c r="AG266" s="169">
        <f>IF($C266-AG$1&lt;År1,0,AF265*(1-VLOOKUP($A266,[1]Hugst!$R$5:$W$9,MATCH(ROUNDUP((AG$1)/10,0)*10,[1]Hugst!$R$4:$W$4,0))))</f>
        <v>0</v>
      </c>
      <c r="AH266" s="169">
        <f>IF($C266-AH$1&lt;År1,0,AG265*(1-VLOOKUP($A266,[1]Hugst!$R$5:$W$9,MATCH(ROUNDUP((AH$1)/10,0)*10,[1]Hugst!$R$4:$W$4,0))))</f>
        <v>0</v>
      </c>
      <c r="AI266" s="169">
        <f>IF($C266-AI$1&lt;År1,0,AH265*(1-VLOOKUP($A266,[1]Hugst!$R$5:$W$9,MATCH(ROUNDUP((AI$1)/10,0)*10,[1]Hugst!$R$4:$W$4,0))))</f>
        <v>0</v>
      </c>
      <c r="AJ266" s="169">
        <f>IF($C266-AJ$1&lt;År1,0,AI265*(1-VLOOKUP($A266,[1]Hugst!$R$5:$W$9,MATCH(ROUNDUP((AJ$1)/10,0)*10,[1]Hugst!$R$4:$W$4,0))))</f>
        <v>0</v>
      </c>
    </row>
    <row r="267" spans="1:36" x14ac:dyDescent="0.25">
      <c r="A267" s="169" t="s">
        <v>180</v>
      </c>
      <c r="B267" s="169" t="s">
        <v>23</v>
      </c>
      <c r="C267" s="169">
        <v>2037</v>
      </c>
      <c r="D267" s="169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2005.8946367102762</v>
      </c>
      <c r="E267" s="169">
        <f t="shared" ca="1" si="6"/>
        <v>0</v>
      </c>
      <c r="F267" s="169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4533.4737547045324</v>
      </c>
      <c r="G267" s="169">
        <f ca="1">IF($C267-G$1&lt;År1,0,F266*(1-VLOOKUP($A267,[1]Hugst!$R$5:$W$9,MATCH(ROUNDUP((G$1)/10,0)*10,[1]Hugst!$R$4:$W$4,0))))</f>
        <v>4543.5452949168384</v>
      </c>
      <c r="H267" s="169">
        <f ca="1">IF($C267-H$1&lt;År1,0,G266*(1-VLOOKUP($A267,[1]Hugst!$R$5:$W$9,MATCH(ROUNDUP((H$1)/10,0)*10,[1]Hugst!$R$4:$W$4,0))))</f>
        <v>4553.6591135500084</v>
      </c>
      <c r="I267" s="169">
        <f ca="1">IF($C267-I$1&lt;År1,0,H266*(1-VLOOKUP($A267,[1]Hugst!$R$5:$W$9,MATCH(ROUNDUP((I$1)/10,0)*10,[1]Hugst!$R$4:$W$4,0))))</f>
        <v>4563.8070907244482</v>
      </c>
      <c r="J267" s="169">
        <f ca="1">IF($C267-J$1&lt;År1,0,I266*(1-VLOOKUP($A267,[1]Hugst!$R$5:$W$9,MATCH(ROUNDUP((J$1)/10,0)*10,[1]Hugst!$R$4:$W$4,0))))</f>
        <v>4573.9727334231638</v>
      </c>
      <c r="K267" s="169">
        <f ca="1">IF($C267-K$1&lt;År1,0,J266*(1-VLOOKUP($A267,[1]Hugst!$R$5:$W$9,MATCH(ROUNDUP((K$1)/10,0)*10,[1]Hugst!$R$4:$W$4,0))))</f>
        <v>4584.1228010817622</v>
      </c>
      <c r="L267" s="169">
        <f ca="1">IF($C267-L$1&lt;År1,0,K266*(1-VLOOKUP($A267,[1]Hugst!$R$5:$W$9,MATCH(ROUNDUP((L$1)/10,0)*10,[1]Hugst!$R$4:$W$4,0))))</f>
        <v>4594.1905567619388</v>
      </c>
      <c r="M267" s="169">
        <f ca="1">IF($C267-M$1&lt;År1,0,L266*(1-VLOOKUP($A267,[1]Hugst!$R$5:$W$9,MATCH(ROUNDUP((M$1)/10,0)*10,[1]Hugst!$R$4:$W$4,0))))</f>
        <v>4604.0422694921162</v>
      </c>
      <c r="N267" s="169">
        <f ca="1">IF($C267-N$1&lt;År1,0,M266*(1-VLOOKUP($A267,[1]Hugst!$R$5:$W$9,MATCH(ROUNDUP((N$1)/10,0)*10,[1]Hugst!$R$4:$W$4,0))))</f>
        <v>4613.4102189421337</v>
      </c>
      <c r="O267" s="169">
        <f ca="1">IF($C267-O$1&lt;År1,0,N266*(1-VLOOKUP($A267,[1]Hugst!$R$5:$W$9,MATCH(ROUNDUP((O$1)/10,0)*10,[1]Hugst!$R$4:$W$4,0))))</f>
        <v>4621.7587047666275</v>
      </c>
      <c r="P267" s="169">
        <f ca="1">IF($C267-P$1&lt;År1,0,O266*(1-VLOOKUP($A267,[1]Hugst!$R$5:$W$9,MATCH(ROUNDUP((P$1)/10,0)*10,[1]Hugst!$R$4:$W$4,0))))</f>
        <v>4628.0160652843451</v>
      </c>
      <c r="Q267" s="169">
        <f ca="1">IF($C267-Q$1&lt;År1,0,P266*(1-VLOOKUP($A267,[1]Hugst!$R$5:$W$9,MATCH(ROUNDUP((Q$1)/10,0)*10,[1]Hugst!$R$4:$W$4,0))))</f>
        <v>4630.0387148310256</v>
      </c>
      <c r="R267" s="169">
        <f ca="1">IF($C267-R$1&lt;År1,0,Q266*(1-VLOOKUP($A267,[1]Hugst!$R$5:$W$9,MATCH(ROUNDUP((R$1)/10,0)*10,[1]Hugst!$R$4:$W$4,0))))</f>
        <v>4623.5392184583234</v>
      </c>
      <c r="S267" s="169">
        <f ca="1">IF($C267-S$1&lt;År1,0,R266*(1-VLOOKUP($A267,[1]Hugst!$R$5:$W$9,MATCH(ROUNDUP((S$1)/10,0)*10,[1]Hugst!$R$4:$W$4,0))))</f>
        <v>4599.9424413249817</v>
      </c>
      <c r="T267" s="169">
        <f ca="1">IF($C267-T$1&lt;År1,0,S266*(1-VLOOKUP($A267,[1]Hugst!$R$5:$W$9,MATCH(ROUNDUP((T$1)/10,0)*10,[1]Hugst!$R$4:$W$4,0))))</f>
        <v>4542.0978474723615</v>
      </c>
      <c r="U267" s="169">
        <f ca="1">IF($C267-U$1&lt;År1,0,T266*(1-VLOOKUP($A267,[1]Hugst!$R$5:$W$9,MATCH(ROUNDUP((U$1)/10,0)*10,[1]Hugst!$R$4:$W$4,0))))</f>
        <v>4415.7040973692729</v>
      </c>
      <c r="V267" s="169">
        <f ca="1">IF($C267-V$1&lt;År1,0,U266*(1-VLOOKUP($A267,[1]Hugst!$R$5:$W$9,MATCH(ROUNDUP((V$1)/10,0)*10,[1]Hugst!$R$4:$W$4,0))))</f>
        <v>4152.1582429942446</v>
      </c>
      <c r="W267" s="169">
        <f ca="1">IF($C267-W$1&lt;År1,0,V266*(1-VLOOKUP($A267,[1]Hugst!$R$5:$W$9,MATCH(ROUNDUP((W$1)/10,0)*10,[1]Hugst!$R$4:$W$4,0))))</f>
        <v>3614.2541179942436</v>
      </c>
      <c r="X267" s="169">
        <f>IF($C267-X$1&lt;År1,0,W266*(1-VLOOKUP($A267,[1]Hugst!$R$5:$W$9,MATCH(ROUNDUP((X$1)/10,0)*10,[1]Hugst!$R$4:$W$4,0))))</f>
        <v>0</v>
      </c>
      <c r="Y267" s="169">
        <f>IF($C267-Y$1&lt;År1,0,X266*(1-VLOOKUP($A267,[1]Hugst!$R$5:$W$9,MATCH(ROUNDUP((Y$1)/10,0)*10,[1]Hugst!$R$4:$W$4,0))))</f>
        <v>0</v>
      </c>
      <c r="Z267" s="169">
        <f>IF($C267-Z$1&lt;År1,0,Y266*(1-VLOOKUP($A267,[1]Hugst!$R$5:$W$9,MATCH(ROUNDUP((Z$1)/10,0)*10,[1]Hugst!$R$4:$W$4,0))))</f>
        <v>0</v>
      </c>
      <c r="AA267" s="169">
        <f>IF($C267-AA$1&lt;År1,0,Z266*(1-VLOOKUP($A267,[1]Hugst!$R$5:$W$9,MATCH(ROUNDUP((AA$1)/10,0)*10,[1]Hugst!$R$4:$W$4,0))))</f>
        <v>0</v>
      </c>
      <c r="AB267" s="169">
        <f>IF($C267-AB$1&lt;År1,0,AA266*(1-VLOOKUP($A267,[1]Hugst!$R$5:$W$9,MATCH(ROUNDUP((AB$1)/10,0)*10,[1]Hugst!$R$4:$W$4,0))))</f>
        <v>0</v>
      </c>
      <c r="AC267" s="169">
        <f>IF($C267-AC$1&lt;År1,0,AB266*(1-VLOOKUP($A267,[1]Hugst!$R$5:$W$9,MATCH(ROUNDUP((AC$1)/10,0)*10,[1]Hugst!$R$4:$W$4,0))))</f>
        <v>0</v>
      </c>
      <c r="AD267" s="169">
        <f>IF($C267-AD$1&lt;År1,0,AC266*(1-VLOOKUP($A267,[1]Hugst!$R$5:$W$9,MATCH(ROUNDUP((AD$1)/10,0)*10,[1]Hugst!$R$4:$W$4,0))))</f>
        <v>0</v>
      </c>
      <c r="AE267" s="169">
        <f>IF($C267-AE$1&lt;År1,0,AD266*(1-VLOOKUP($A267,[1]Hugst!$R$5:$W$9,MATCH(ROUNDUP((AE$1)/10,0)*10,[1]Hugst!$R$4:$W$4,0))))</f>
        <v>0</v>
      </c>
      <c r="AF267" s="169">
        <f>IF($C267-AF$1&lt;År1,0,AE266*(1-VLOOKUP($A267,[1]Hugst!$R$5:$W$9,MATCH(ROUNDUP((AF$1)/10,0)*10,[1]Hugst!$R$4:$W$4,0))))</f>
        <v>0</v>
      </c>
      <c r="AG267" s="169">
        <f>IF($C267-AG$1&lt;År1,0,AF266*(1-VLOOKUP($A267,[1]Hugst!$R$5:$W$9,MATCH(ROUNDUP((AG$1)/10,0)*10,[1]Hugst!$R$4:$W$4,0))))</f>
        <v>0</v>
      </c>
      <c r="AH267" s="169">
        <f>IF($C267-AH$1&lt;År1,0,AG266*(1-VLOOKUP($A267,[1]Hugst!$R$5:$W$9,MATCH(ROUNDUP((AH$1)/10,0)*10,[1]Hugst!$R$4:$W$4,0))))</f>
        <v>0</v>
      </c>
      <c r="AI267" s="169">
        <f>IF($C267-AI$1&lt;År1,0,AH266*(1-VLOOKUP($A267,[1]Hugst!$R$5:$W$9,MATCH(ROUNDUP((AI$1)/10,0)*10,[1]Hugst!$R$4:$W$4,0))))</f>
        <v>0</v>
      </c>
      <c r="AJ267" s="169">
        <f>IF($C267-AJ$1&lt;År1,0,AI266*(1-VLOOKUP($A267,[1]Hugst!$R$5:$W$9,MATCH(ROUNDUP((AJ$1)/10,0)*10,[1]Hugst!$R$4:$W$4,0))))</f>
        <v>0</v>
      </c>
    </row>
    <row r="268" spans="1:36" x14ac:dyDescent="0.25">
      <c r="A268" s="169" t="s">
        <v>180</v>
      </c>
      <c r="B268" s="169" t="s">
        <v>23</v>
      </c>
      <c r="C268" s="169">
        <v>2038</v>
      </c>
      <c r="D268" s="169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1995.8693088628861</v>
      </c>
      <c r="E268" s="169">
        <f t="shared" ca="1" si="6"/>
        <v>0</v>
      </c>
      <c r="F268" s="169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4523.4484268571423</v>
      </c>
      <c r="G268" s="169">
        <f ca="1">IF($C268-G$1&lt;År1,0,F267*(1-VLOOKUP($A268,[1]Hugst!$R$5:$W$9,MATCH(ROUNDUP((G$1)/10,0)*10,[1]Hugst!$R$4:$W$4,0))))</f>
        <v>4533.4737547045324</v>
      </c>
      <c r="H268" s="169">
        <f ca="1">IF($C268-H$1&lt;År1,0,G267*(1-VLOOKUP($A268,[1]Hugst!$R$5:$W$9,MATCH(ROUNDUP((H$1)/10,0)*10,[1]Hugst!$R$4:$W$4,0))))</f>
        <v>4543.5452949168384</v>
      </c>
      <c r="I268" s="169">
        <f ca="1">IF($C268-I$1&lt;År1,0,H267*(1-VLOOKUP($A268,[1]Hugst!$R$5:$W$9,MATCH(ROUNDUP((I$1)/10,0)*10,[1]Hugst!$R$4:$W$4,0))))</f>
        <v>4553.6591135500084</v>
      </c>
      <c r="J268" s="169">
        <f ca="1">IF($C268-J$1&lt;År1,0,I267*(1-VLOOKUP($A268,[1]Hugst!$R$5:$W$9,MATCH(ROUNDUP((J$1)/10,0)*10,[1]Hugst!$R$4:$W$4,0))))</f>
        <v>4563.8070907244482</v>
      </c>
      <c r="K268" s="169">
        <f ca="1">IF($C268-K$1&lt;År1,0,J267*(1-VLOOKUP($A268,[1]Hugst!$R$5:$W$9,MATCH(ROUNDUP((K$1)/10,0)*10,[1]Hugst!$R$4:$W$4,0))))</f>
        <v>4573.9727334231638</v>
      </c>
      <c r="L268" s="169">
        <f ca="1">IF($C268-L$1&lt;År1,0,K267*(1-VLOOKUP($A268,[1]Hugst!$R$5:$W$9,MATCH(ROUNDUP((L$1)/10,0)*10,[1]Hugst!$R$4:$W$4,0))))</f>
        <v>4584.1228010817622</v>
      </c>
      <c r="M268" s="169">
        <f ca="1">IF($C268-M$1&lt;År1,0,L267*(1-VLOOKUP($A268,[1]Hugst!$R$5:$W$9,MATCH(ROUNDUP((M$1)/10,0)*10,[1]Hugst!$R$4:$W$4,0))))</f>
        <v>4594.1905567619388</v>
      </c>
      <c r="N268" s="169">
        <f ca="1">IF($C268-N$1&lt;År1,0,M267*(1-VLOOKUP($A268,[1]Hugst!$R$5:$W$9,MATCH(ROUNDUP((N$1)/10,0)*10,[1]Hugst!$R$4:$W$4,0))))</f>
        <v>4604.0422694921162</v>
      </c>
      <c r="O268" s="169">
        <f ca="1">IF($C268-O$1&lt;År1,0,N267*(1-VLOOKUP($A268,[1]Hugst!$R$5:$W$9,MATCH(ROUNDUP((O$1)/10,0)*10,[1]Hugst!$R$4:$W$4,0))))</f>
        <v>4613.4102189421337</v>
      </c>
      <c r="P268" s="169">
        <f ca="1">IF($C268-P$1&lt;År1,0,O267*(1-VLOOKUP($A268,[1]Hugst!$R$5:$W$9,MATCH(ROUNDUP((P$1)/10,0)*10,[1]Hugst!$R$4:$W$4,0))))</f>
        <v>4621.7587047666275</v>
      </c>
      <c r="Q268" s="169">
        <f ca="1">IF($C268-Q$1&lt;År1,0,P267*(1-VLOOKUP($A268,[1]Hugst!$R$5:$W$9,MATCH(ROUNDUP((Q$1)/10,0)*10,[1]Hugst!$R$4:$W$4,0))))</f>
        <v>4628.0160652843451</v>
      </c>
      <c r="R268" s="169">
        <f ca="1">IF($C268-R$1&lt;År1,0,Q267*(1-VLOOKUP($A268,[1]Hugst!$R$5:$W$9,MATCH(ROUNDUP((R$1)/10,0)*10,[1]Hugst!$R$4:$W$4,0))))</f>
        <v>4630.0387148310256</v>
      </c>
      <c r="S268" s="169">
        <f ca="1">IF($C268-S$1&lt;År1,0,R267*(1-VLOOKUP($A268,[1]Hugst!$R$5:$W$9,MATCH(ROUNDUP((S$1)/10,0)*10,[1]Hugst!$R$4:$W$4,0))))</f>
        <v>4623.5392184583234</v>
      </c>
      <c r="T268" s="169">
        <f ca="1">IF($C268-T$1&lt;År1,0,S267*(1-VLOOKUP($A268,[1]Hugst!$R$5:$W$9,MATCH(ROUNDUP((T$1)/10,0)*10,[1]Hugst!$R$4:$W$4,0))))</f>
        <v>4599.9424413249817</v>
      </c>
      <c r="U268" s="169">
        <f ca="1">IF($C268-U$1&lt;År1,0,T267*(1-VLOOKUP($A268,[1]Hugst!$R$5:$W$9,MATCH(ROUNDUP((U$1)/10,0)*10,[1]Hugst!$R$4:$W$4,0))))</f>
        <v>4542.0978474723615</v>
      </c>
      <c r="V268" s="169">
        <f ca="1">IF($C268-V$1&lt;År1,0,U267*(1-VLOOKUP($A268,[1]Hugst!$R$5:$W$9,MATCH(ROUNDUP((V$1)/10,0)*10,[1]Hugst!$R$4:$W$4,0))))</f>
        <v>4415.7040973692729</v>
      </c>
      <c r="W268" s="169">
        <f ca="1">IF($C268-W$1&lt;År1,0,V267*(1-VLOOKUP($A268,[1]Hugst!$R$5:$W$9,MATCH(ROUNDUP((W$1)/10,0)*10,[1]Hugst!$R$4:$W$4,0))))</f>
        <v>4152.1582429942446</v>
      </c>
      <c r="X268" s="169">
        <f ca="1">IF($C268-X$1&lt;År1,0,W267*(1-VLOOKUP($A268,[1]Hugst!$R$5:$W$9,MATCH(ROUNDUP((X$1)/10,0)*10,[1]Hugst!$R$4:$W$4,0))))</f>
        <v>3614.2541179942436</v>
      </c>
      <c r="Y268" s="169">
        <f>IF($C268-Y$1&lt;År1,0,X267*(1-VLOOKUP($A268,[1]Hugst!$R$5:$W$9,MATCH(ROUNDUP((Y$1)/10,0)*10,[1]Hugst!$R$4:$W$4,0))))</f>
        <v>0</v>
      </c>
      <c r="Z268" s="169">
        <f>IF($C268-Z$1&lt;År1,0,Y267*(1-VLOOKUP($A268,[1]Hugst!$R$5:$W$9,MATCH(ROUNDUP((Z$1)/10,0)*10,[1]Hugst!$R$4:$W$4,0))))</f>
        <v>0</v>
      </c>
      <c r="AA268" s="169">
        <f>IF($C268-AA$1&lt;År1,0,Z267*(1-VLOOKUP($A268,[1]Hugst!$R$5:$W$9,MATCH(ROUNDUP((AA$1)/10,0)*10,[1]Hugst!$R$4:$W$4,0))))</f>
        <v>0</v>
      </c>
      <c r="AB268" s="169">
        <f>IF($C268-AB$1&lt;År1,0,AA267*(1-VLOOKUP($A268,[1]Hugst!$R$5:$W$9,MATCH(ROUNDUP((AB$1)/10,0)*10,[1]Hugst!$R$4:$W$4,0))))</f>
        <v>0</v>
      </c>
      <c r="AC268" s="169">
        <f>IF($C268-AC$1&lt;År1,0,AB267*(1-VLOOKUP($A268,[1]Hugst!$R$5:$W$9,MATCH(ROUNDUP((AC$1)/10,0)*10,[1]Hugst!$R$4:$W$4,0))))</f>
        <v>0</v>
      </c>
      <c r="AD268" s="169">
        <f>IF($C268-AD$1&lt;År1,0,AC267*(1-VLOOKUP($A268,[1]Hugst!$R$5:$W$9,MATCH(ROUNDUP((AD$1)/10,0)*10,[1]Hugst!$R$4:$W$4,0))))</f>
        <v>0</v>
      </c>
      <c r="AE268" s="169">
        <f>IF($C268-AE$1&lt;År1,0,AD267*(1-VLOOKUP($A268,[1]Hugst!$R$5:$W$9,MATCH(ROUNDUP((AE$1)/10,0)*10,[1]Hugst!$R$4:$W$4,0))))</f>
        <v>0</v>
      </c>
      <c r="AF268" s="169">
        <f>IF($C268-AF$1&lt;År1,0,AE267*(1-VLOOKUP($A268,[1]Hugst!$R$5:$W$9,MATCH(ROUNDUP((AF$1)/10,0)*10,[1]Hugst!$R$4:$W$4,0))))</f>
        <v>0</v>
      </c>
      <c r="AG268" s="169">
        <f>IF($C268-AG$1&lt;År1,0,AF267*(1-VLOOKUP($A268,[1]Hugst!$R$5:$W$9,MATCH(ROUNDUP((AG$1)/10,0)*10,[1]Hugst!$R$4:$W$4,0))))</f>
        <v>0</v>
      </c>
      <c r="AH268" s="169">
        <f>IF($C268-AH$1&lt;År1,0,AG267*(1-VLOOKUP($A268,[1]Hugst!$R$5:$W$9,MATCH(ROUNDUP((AH$1)/10,0)*10,[1]Hugst!$R$4:$W$4,0))))</f>
        <v>0</v>
      </c>
      <c r="AI268" s="169">
        <f>IF($C268-AI$1&lt;År1,0,AH267*(1-VLOOKUP($A268,[1]Hugst!$R$5:$W$9,MATCH(ROUNDUP((AI$1)/10,0)*10,[1]Hugst!$R$4:$W$4,0))))</f>
        <v>0</v>
      </c>
      <c r="AJ268" s="169">
        <f>IF($C268-AJ$1&lt;År1,0,AI267*(1-VLOOKUP($A268,[1]Hugst!$R$5:$W$9,MATCH(ROUNDUP((AJ$1)/10,0)*10,[1]Hugst!$R$4:$W$4,0))))</f>
        <v>0</v>
      </c>
    </row>
    <row r="269" spans="1:36" x14ac:dyDescent="0.25">
      <c r="A269" s="169" t="s">
        <v>180</v>
      </c>
      <c r="B269" s="169" t="s">
        <v>23</v>
      </c>
      <c r="C269" s="169">
        <v>2039</v>
      </c>
      <c r="D269" s="169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1985.8920349866057</v>
      </c>
      <c r="E269" s="169">
        <f t="shared" ca="1" si="6"/>
        <v>0</v>
      </c>
      <c r="F269" s="169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4513.4711529808619</v>
      </c>
      <c r="G269" s="169">
        <f ca="1">IF($C269-G$1&lt;År1,0,F268*(1-VLOOKUP($A269,[1]Hugst!$R$5:$W$9,MATCH(ROUNDUP((G$1)/10,0)*10,[1]Hugst!$R$4:$W$4,0))))</f>
        <v>4523.4484268571423</v>
      </c>
      <c r="H269" s="169">
        <f ca="1">IF($C269-H$1&lt;År1,0,G268*(1-VLOOKUP($A269,[1]Hugst!$R$5:$W$9,MATCH(ROUNDUP((H$1)/10,0)*10,[1]Hugst!$R$4:$W$4,0))))</f>
        <v>4533.4737547045324</v>
      </c>
      <c r="I269" s="169">
        <f ca="1">IF($C269-I$1&lt;År1,0,H268*(1-VLOOKUP($A269,[1]Hugst!$R$5:$W$9,MATCH(ROUNDUP((I$1)/10,0)*10,[1]Hugst!$R$4:$W$4,0))))</f>
        <v>4543.5452949168384</v>
      </c>
      <c r="J269" s="169">
        <f ca="1">IF($C269-J$1&lt;År1,0,I268*(1-VLOOKUP($A269,[1]Hugst!$R$5:$W$9,MATCH(ROUNDUP((J$1)/10,0)*10,[1]Hugst!$R$4:$W$4,0))))</f>
        <v>4553.6591135500084</v>
      </c>
      <c r="K269" s="169">
        <f ca="1">IF($C269-K$1&lt;År1,0,J268*(1-VLOOKUP($A269,[1]Hugst!$R$5:$W$9,MATCH(ROUNDUP((K$1)/10,0)*10,[1]Hugst!$R$4:$W$4,0))))</f>
        <v>4563.8070907244482</v>
      </c>
      <c r="L269" s="169">
        <f ca="1">IF($C269-L$1&lt;År1,0,K268*(1-VLOOKUP($A269,[1]Hugst!$R$5:$W$9,MATCH(ROUNDUP((L$1)/10,0)*10,[1]Hugst!$R$4:$W$4,0))))</f>
        <v>4573.9727334231638</v>
      </c>
      <c r="M269" s="169">
        <f ca="1">IF($C269-M$1&lt;År1,0,L268*(1-VLOOKUP($A269,[1]Hugst!$R$5:$W$9,MATCH(ROUNDUP((M$1)/10,0)*10,[1]Hugst!$R$4:$W$4,0))))</f>
        <v>4584.1228010817622</v>
      </c>
      <c r="N269" s="169">
        <f ca="1">IF($C269-N$1&lt;År1,0,M268*(1-VLOOKUP($A269,[1]Hugst!$R$5:$W$9,MATCH(ROUNDUP((N$1)/10,0)*10,[1]Hugst!$R$4:$W$4,0))))</f>
        <v>4594.1905567619388</v>
      </c>
      <c r="O269" s="169">
        <f ca="1">IF($C269-O$1&lt;År1,0,N268*(1-VLOOKUP($A269,[1]Hugst!$R$5:$W$9,MATCH(ROUNDUP((O$1)/10,0)*10,[1]Hugst!$R$4:$W$4,0))))</f>
        <v>4604.0422694921162</v>
      </c>
      <c r="P269" s="169">
        <f ca="1">IF($C269-P$1&lt;År1,0,O268*(1-VLOOKUP($A269,[1]Hugst!$R$5:$W$9,MATCH(ROUNDUP((P$1)/10,0)*10,[1]Hugst!$R$4:$W$4,0))))</f>
        <v>4613.4102189421337</v>
      </c>
      <c r="Q269" s="169">
        <f ca="1">IF($C269-Q$1&lt;År1,0,P268*(1-VLOOKUP($A269,[1]Hugst!$R$5:$W$9,MATCH(ROUNDUP((Q$1)/10,0)*10,[1]Hugst!$R$4:$W$4,0))))</f>
        <v>4621.7587047666275</v>
      </c>
      <c r="R269" s="169">
        <f ca="1">IF($C269-R$1&lt;År1,0,Q268*(1-VLOOKUP($A269,[1]Hugst!$R$5:$W$9,MATCH(ROUNDUP((R$1)/10,0)*10,[1]Hugst!$R$4:$W$4,0))))</f>
        <v>4628.0160652843451</v>
      </c>
      <c r="S269" s="169">
        <f ca="1">IF($C269-S$1&lt;År1,0,R268*(1-VLOOKUP($A269,[1]Hugst!$R$5:$W$9,MATCH(ROUNDUP((S$1)/10,0)*10,[1]Hugst!$R$4:$W$4,0))))</f>
        <v>4630.0387148310256</v>
      </c>
      <c r="T269" s="169">
        <f ca="1">IF($C269-T$1&lt;År1,0,S268*(1-VLOOKUP($A269,[1]Hugst!$R$5:$W$9,MATCH(ROUNDUP((T$1)/10,0)*10,[1]Hugst!$R$4:$W$4,0))))</f>
        <v>4623.5392184583234</v>
      </c>
      <c r="U269" s="169">
        <f ca="1">IF($C269-U$1&lt;År1,0,T268*(1-VLOOKUP($A269,[1]Hugst!$R$5:$W$9,MATCH(ROUNDUP((U$1)/10,0)*10,[1]Hugst!$R$4:$W$4,0))))</f>
        <v>4599.9424413249817</v>
      </c>
      <c r="V269" s="169">
        <f ca="1">IF($C269-V$1&lt;År1,0,U268*(1-VLOOKUP($A269,[1]Hugst!$R$5:$W$9,MATCH(ROUNDUP((V$1)/10,0)*10,[1]Hugst!$R$4:$W$4,0))))</f>
        <v>4542.0978474723615</v>
      </c>
      <c r="W269" s="169">
        <f ca="1">IF($C269-W$1&lt;År1,0,V268*(1-VLOOKUP($A269,[1]Hugst!$R$5:$W$9,MATCH(ROUNDUP((W$1)/10,0)*10,[1]Hugst!$R$4:$W$4,0))))</f>
        <v>4415.7040973692729</v>
      </c>
      <c r="X269" s="169">
        <f ca="1">IF($C269-X$1&lt;År1,0,W268*(1-VLOOKUP($A269,[1]Hugst!$R$5:$W$9,MATCH(ROUNDUP((X$1)/10,0)*10,[1]Hugst!$R$4:$W$4,0))))</f>
        <v>4152.1582429942446</v>
      </c>
      <c r="Y269" s="169">
        <f ca="1">IF($C269-Y$1&lt;År1,0,X268*(1-VLOOKUP($A269,[1]Hugst!$R$5:$W$9,MATCH(ROUNDUP((Y$1)/10,0)*10,[1]Hugst!$R$4:$W$4,0))))</f>
        <v>3614.2541179942436</v>
      </c>
      <c r="Z269" s="169">
        <f>IF($C269-Z$1&lt;År1,0,Y268*(1-VLOOKUP($A269,[1]Hugst!$R$5:$W$9,MATCH(ROUNDUP((Z$1)/10,0)*10,[1]Hugst!$R$4:$W$4,0))))</f>
        <v>0</v>
      </c>
      <c r="AA269" s="169">
        <f>IF($C269-AA$1&lt;År1,0,Z268*(1-VLOOKUP($A269,[1]Hugst!$R$5:$W$9,MATCH(ROUNDUP((AA$1)/10,0)*10,[1]Hugst!$R$4:$W$4,0))))</f>
        <v>0</v>
      </c>
      <c r="AB269" s="169">
        <f>IF($C269-AB$1&lt;År1,0,AA268*(1-VLOOKUP($A269,[1]Hugst!$R$5:$W$9,MATCH(ROUNDUP((AB$1)/10,0)*10,[1]Hugst!$R$4:$W$4,0))))</f>
        <v>0</v>
      </c>
      <c r="AC269" s="169">
        <f>IF($C269-AC$1&lt;År1,0,AB268*(1-VLOOKUP($A269,[1]Hugst!$R$5:$W$9,MATCH(ROUNDUP((AC$1)/10,0)*10,[1]Hugst!$R$4:$W$4,0))))</f>
        <v>0</v>
      </c>
      <c r="AD269" s="169">
        <f>IF($C269-AD$1&lt;År1,0,AC268*(1-VLOOKUP($A269,[1]Hugst!$R$5:$W$9,MATCH(ROUNDUP((AD$1)/10,0)*10,[1]Hugst!$R$4:$W$4,0))))</f>
        <v>0</v>
      </c>
      <c r="AE269" s="169">
        <f>IF($C269-AE$1&lt;År1,0,AD268*(1-VLOOKUP($A269,[1]Hugst!$R$5:$W$9,MATCH(ROUNDUP((AE$1)/10,0)*10,[1]Hugst!$R$4:$W$4,0))))</f>
        <v>0</v>
      </c>
      <c r="AF269" s="169">
        <f>IF($C269-AF$1&lt;År1,0,AE268*(1-VLOOKUP($A269,[1]Hugst!$R$5:$W$9,MATCH(ROUNDUP((AF$1)/10,0)*10,[1]Hugst!$R$4:$W$4,0))))</f>
        <v>0</v>
      </c>
      <c r="AG269" s="169">
        <f>IF($C269-AG$1&lt;År1,0,AF268*(1-VLOOKUP($A269,[1]Hugst!$R$5:$W$9,MATCH(ROUNDUP((AG$1)/10,0)*10,[1]Hugst!$R$4:$W$4,0))))</f>
        <v>0</v>
      </c>
      <c r="AH269" s="169">
        <f>IF($C269-AH$1&lt;År1,0,AG268*(1-VLOOKUP($A269,[1]Hugst!$R$5:$W$9,MATCH(ROUNDUP((AH$1)/10,0)*10,[1]Hugst!$R$4:$W$4,0))))</f>
        <v>0</v>
      </c>
      <c r="AI269" s="169">
        <f>IF($C269-AI$1&lt;År1,0,AH268*(1-VLOOKUP($A269,[1]Hugst!$R$5:$W$9,MATCH(ROUNDUP((AI$1)/10,0)*10,[1]Hugst!$R$4:$W$4,0))))</f>
        <v>0</v>
      </c>
      <c r="AJ269" s="169">
        <f>IF($C269-AJ$1&lt;År1,0,AI268*(1-VLOOKUP($A269,[1]Hugst!$R$5:$W$9,MATCH(ROUNDUP((AJ$1)/10,0)*10,[1]Hugst!$R$4:$W$4,0))))</f>
        <v>0</v>
      </c>
    </row>
    <row r="270" spans="1:36" x14ac:dyDescent="0.25">
      <c r="A270" s="169" t="s">
        <v>180</v>
      </c>
      <c r="B270" s="169" t="s">
        <v>23</v>
      </c>
      <c r="C270" s="169">
        <v>2040</v>
      </c>
      <c r="D270" s="169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1975.9636111457221</v>
      </c>
      <c r="E270" s="169">
        <f t="shared" ca="1" si="6"/>
        <v>1.2047513726720354</v>
      </c>
      <c r="F270" s="169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4504.7474805126503</v>
      </c>
      <c r="G270" s="169">
        <f ca="1">IF($C270-G$1&lt;År1,0,F269*(1-VLOOKUP($A270,[1]Hugst!$R$5:$W$9,MATCH(ROUNDUP((G$1)/10,0)*10,[1]Hugst!$R$4:$W$4,0))))</f>
        <v>4513.4711529808619</v>
      </c>
      <c r="H270" s="169">
        <f ca="1">IF($C270-H$1&lt;År1,0,G269*(1-VLOOKUP($A270,[1]Hugst!$R$5:$W$9,MATCH(ROUNDUP((H$1)/10,0)*10,[1]Hugst!$R$4:$W$4,0))))</f>
        <v>4523.4484268571423</v>
      </c>
      <c r="I270" s="169">
        <f ca="1">IF($C270-I$1&lt;År1,0,H269*(1-VLOOKUP($A270,[1]Hugst!$R$5:$W$9,MATCH(ROUNDUP((I$1)/10,0)*10,[1]Hugst!$R$4:$W$4,0))))</f>
        <v>4533.4737547045324</v>
      </c>
      <c r="J270" s="169">
        <f ca="1">IF($C270-J$1&lt;År1,0,I269*(1-VLOOKUP($A270,[1]Hugst!$R$5:$W$9,MATCH(ROUNDUP((J$1)/10,0)*10,[1]Hugst!$R$4:$W$4,0))))</f>
        <v>4543.5452949168384</v>
      </c>
      <c r="K270" s="169">
        <f ca="1">IF($C270-K$1&lt;År1,0,J269*(1-VLOOKUP($A270,[1]Hugst!$R$5:$W$9,MATCH(ROUNDUP((K$1)/10,0)*10,[1]Hugst!$R$4:$W$4,0))))</f>
        <v>4553.6591135500084</v>
      </c>
      <c r="L270" s="169">
        <f ca="1">IF($C270-L$1&lt;År1,0,K269*(1-VLOOKUP($A270,[1]Hugst!$R$5:$W$9,MATCH(ROUNDUP((L$1)/10,0)*10,[1]Hugst!$R$4:$W$4,0))))</f>
        <v>4563.8070907244482</v>
      </c>
      <c r="M270" s="169">
        <f ca="1">IF($C270-M$1&lt;År1,0,L269*(1-VLOOKUP($A270,[1]Hugst!$R$5:$W$9,MATCH(ROUNDUP((M$1)/10,0)*10,[1]Hugst!$R$4:$W$4,0))))</f>
        <v>4573.9727334231638</v>
      </c>
      <c r="N270" s="169">
        <f ca="1">IF($C270-N$1&lt;År1,0,M269*(1-VLOOKUP($A270,[1]Hugst!$R$5:$W$9,MATCH(ROUNDUP((N$1)/10,0)*10,[1]Hugst!$R$4:$W$4,0))))</f>
        <v>4584.1228010817622</v>
      </c>
      <c r="O270" s="169">
        <f ca="1">IF($C270-O$1&lt;År1,0,N269*(1-VLOOKUP($A270,[1]Hugst!$R$5:$W$9,MATCH(ROUNDUP((O$1)/10,0)*10,[1]Hugst!$R$4:$W$4,0))))</f>
        <v>4594.1905567619388</v>
      </c>
      <c r="P270" s="169">
        <f ca="1">IF($C270-P$1&lt;År1,0,O269*(1-VLOOKUP($A270,[1]Hugst!$R$5:$W$9,MATCH(ROUNDUP((P$1)/10,0)*10,[1]Hugst!$R$4:$W$4,0))))</f>
        <v>4604.0422694921162</v>
      </c>
      <c r="Q270" s="169">
        <f ca="1">IF($C270-Q$1&lt;År1,0,P269*(1-VLOOKUP($A270,[1]Hugst!$R$5:$W$9,MATCH(ROUNDUP((Q$1)/10,0)*10,[1]Hugst!$R$4:$W$4,0))))</f>
        <v>4613.4102189421337</v>
      </c>
      <c r="R270" s="169">
        <f ca="1">IF($C270-R$1&lt;År1,0,Q269*(1-VLOOKUP($A270,[1]Hugst!$R$5:$W$9,MATCH(ROUNDUP((R$1)/10,0)*10,[1]Hugst!$R$4:$W$4,0))))</f>
        <v>4621.7587047666275</v>
      </c>
      <c r="S270" s="169">
        <f ca="1">IF($C270-S$1&lt;År1,0,R269*(1-VLOOKUP($A270,[1]Hugst!$R$5:$W$9,MATCH(ROUNDUP((S$1)/10,0)*10,[1]Hugst!$R$4:$W$4,0))))</f>
        <v>4628.0160652843451</v>
      </c>
      <c r="T270" s="169">
        <f ca="1">IF($C270-T$1&lt;År1,0,S269*(1-VLOOKUP($A270,[1]Hugst!$R$5:$W$9,MATCH(ROUNDUP((T$1)/10,0)*10,[1]Hugst!$R$4:$W$4,0))))</f>
        <v>4630.0387148310256</v>
      </c>
      <c r="U270" s="169">
        <f ca="1">IF($C270-U$1&lt;År1,0,T269*(1-VLOOKUP($A270,[1]Hugst!$R$5:$W$9,MATCH(ROUNDUP((U$1)/10,0)*10,[1]Hugst!$R$4:$W$4,0))))</f>
        <v>4623.5392184583234</v>
      </c>
      <c r="V270" s="169">
        <f ca="1">IF($C270-V$1&lt;År1,0,U269*(1-VLOOKUP($A270,[1]Hugst!$R$5:$W$9,MATCH(ROUNDUP((V$1)/10,0)*10,[1]Hugst!$R$4:$W$4,0))))</f>
        <v>4599.9424413249817</v>
      </c>
      <c r="W270" s="169">
        <f ca="1">IF($C270-W$1&lt;År1,0,V269*(1-VLOOKUP($A270,[1]Hugst!$R$5:$W$9,MATCH(ROUNDUP((W$1)/10,0)*10,[1]Hugst!$R$4:$W$4,0))))</f>
        <v>4542.0978474723615</v>
      </c>
      <c r="X270" s="169">
        <f ca="1">IF($C270-X$1&lt;År1,0,W269*(1-VLOOKUP($A270,[1]Hugst!$R$5:$W$9,MATCH(ROUNDUP((X$1)/10,0)*10,[1]Hugst!$R$4:$W$4,0))))</f>
        <v>4415.7040973692729</v>
      </c>
      <c r="Y270" s="169">
        <f ca="1">IF($C270-Y$1&lt;År1,0,X269*(1-VLOOKUP($A270,[1]Hugst!$R$5:$W$9,MATCH(ROUNDUP((Y$1)/10,0)*10,[1]Hugst!$R$4:$W$4,0))))</f>
        <v>4152.1582429942446</v>
      </c>
      <c r="Z270" s="169">
        <f ca="1">IF($C270-Z$1&lt;År1,0,Y269*(1-VLOOKUP($A270,[1]Hugst!$R$5:$W$9,MATCH(ROUNDUP((Z$1)/10,0)*10,[1]Hugst!$R$4:$W$4,0))))</f>
        <v>3613.0493666215789</v>
      </c>
      <c r="AA270" s="169">
        <f>IF($C270-AA$1&lt;År1,0,Z269*(1-VLOOKUP($A270,[1]Hugst!$R$5:$W$9,MATCH(ROUNDUP((AA$1)/10,0)*10,[1]Hugst!$R$4:$W$4,0))))</f>
        <v>0</v>
      </c>
      <c r="AB270" s="169">
        <f>IF($C270-AB$1&lt;År1,0,AA269*(1-VLOOKUP($A270,[1]Hugst!$R$5:$W$9,MATCH(ROUNDUP((AB$1)/10,0)*10,[1]Hugst!$R$4:$W$4,0))))</f>
        <v>0</v>
      </c>
      <c r="AC270" s="169">
        <f>IF($C270-AC$1&lt;År1,0,AB269*(1-VLOOKUP($A270,[1]Hugst!$R$5:$W$9,MATCH(ROUNDUP((AC$1)/10,0)*10,[1]Hugst!$R$4:$W$4,0))))</f>
        <v>0</v>
      </c>
      <c r="AD270" s="169">
        <f>IF($C270-AD$1&lt;År1,0,AC269*(1-VLOOKUP($A270,[1]Hugst!$R$5:$W$9,MATCH(ROUNDUP((AD$1)/10,0)*10,[1]Hugst!$R$4:$W$4,0))))</f>
        <v>0</v>
      </c>
      <c r="AE270" s="169">
        <f>IF($C270-AE$1&lt;År1,0,AD269*(1-VLOOKUP($A270,[1]Hugst!$R$5:$W$9,MATCH(ROUNDUP((AE$1)/10,0)*10,[1]Hugst!$R$4:$W$4,0))))</f>
        <v>0</v>
      </c>
      <c r="AF270" s="169">
        <f>IF($C270-AF$1&lt;År1,0,AE269*(1-VLOOKUP($A270,[1]Hugst!$R$5:$W$9,MATCH(ROUNDUP((AF$1)/10,0)*10,[1]Hugst!$R$4:$W$4,0))))</f>
        <v>0</v>
      </c>
      <c r="AG270" s="169">
        <f>IF($C270-AG$1&lt;År1,0,AF269*(1-VLOOKUP($A270,[1]Hugst!$R$5:$W$9,MATCH(ROUNDUP((AG$1)/10,0)*10,[1]Hugst!$R$4:$W$4,0))))</f>
        <v>0</v>
      </c>
      <c r="AH270" s="169">
        <f>IF($C270-AH$1&lt;År1,0,AG269*(1-VLOOKUP($A270,[1]Hugst!$R$5:$W$9,MATCH(ROUNDUP((AH$1)/10,0)*10,[1]Hugst!$R$4:$W$4,0))))</f>
        <v>0</v>
      </c>
      <c r="AI270" s="169">
        <f>IF($C270-AI$1&lt;År1,0,AH269*(1-VLOOKUP($A270,[1]Hugst!$R$5:$W$9,MATCH(ROUNDUP((AI$1)/10,0)*10,[1]Hugst!$R$4:$W$4,0))))</f>
        <v>0</v>
      </c>
      <c r="AJ270" s="169">
        <f>IF($C270-AJ$1&lt;År1,0,AI269*(1-VLOOKUP($A270,[1]Hugst!$R$5:$W$9,MATCH(ROUNDUP((AJ$1)/10,0)*10,[1]Hugst!$R$4:$W$4,0))))</f>
        <v>0</v>
      </c>
    </row>
    <row r="271" spans="1:36" x14ac:dyDescent="0.25">
      <c r="A271" s="169" t="s">
        <v>180</v>
      </c>
      <c r="B271" s="169" t="s">
        <v>23</v>
      </c>
      <c r="C271" s="169">
        <v>2041</v>
      </c>
      <c r="D271" s="169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1966.0843112570219</v>
      </c>
      <c r="E271" s="169">
        <f t="shared" ca="1" si="6"/>
        <v>2.5884025365376147</v>
      </c>
      <c r="F271" s="169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4496.2518317878157</v>
      </c>
      <c r="G271" s="169">
        <f ca="1">IF($C271-G$1&lt;År1,0,F270*(1-VLOOKUP($A271,[1]Hugst!$R$5:$W$9,MATCH(ROUNDUP((G$1)/10,0)*10,[1]Hugst!$R$4:$W$4,0))))</f>
        <v>4504.7474805126503</v>
      </c>
      <c r="H271" s="169">
        <f ca="1">IF($C271-H$1&lt;År1,0,G270*(1-VLOOKUP($A271,[1]Hugst!$R$5:$W$9,MATCH(ROUNDUP((H$1)/10,0)*10,[1]Hugst!$R$4:$W$4,0))))</f>
        <v>4513.4711529808619</v>
      </c>
      <c r="I271" s="169">
        <f ca="1">IF($C271-I$1&lt;År1,0,H270*(1-VLOOKUP($A271,[1]Hugst!$R$5:$W$9,MATCH(ROUNDUP((I$1)/10,0)*10,[1]Hugst!$R$4:$W$4,0))))</f>
        <v>4523.4484268571423</v>
      </c>
      <c r="J271" s="169">
        <f ca="1">IF($C271-J$1&lt;År1,0,I270*(1-VLOOKUP($A271,[1]Hugst!$R$5:$W$9,MATCH(ROUNDUP((J$1)/10,0)*10,[1]Hugst!$R$4:$W$4,0))))</f>
        <v>4533.4737547045324</v>
      </c>
      <c r="K271" s="169">
        <f ca="1">IF($C271-K$1&lt;År1,0,J270*(1-VLOOKUP($A271,[1]Hugst!$R$5:$W$9,MATCH(ROUNDUP((K$1)/10,0)*10,[1]Hugst!$R$4:$W$4,0))))</f>
        <v>4543.5452949168384</v>
      </c>
      <c r="L271" s="169">
        <f ca="1">IF($C271-L$1&lt;År1,0,K270*(1-VLOOKUP($A271,[1]Hugst!$R$5:$W$9,MATCH(ROUNDUP((L$1)/10,0)*10,[1]Hugst!$R$4:$W$4,0))))</f>
        <v>4553.6591135500084</v>
      </c>
      <c r="M271" s="169">
        <f ca="1">IF($C271-M$1&lt;År1,0,L270*(1-VLOOKUP($A271,[1]Hugst!$R$5:$W$9,MATCH(ROUNDUP((M$1)/10,0)*10,[1]Hugst!$R$4:$W$4,0))))</f>
        <v>4563.8070907244482</v>
      </c>
      <c r="N271" s="169">
        <f ca="1">IF($C271-N$1&lt;År1,0,M270*(1-VLOOKUP($A271,[1]Hugst!$R$5:$W$9,MATCH(ROUNDUP((N$1)/10,0)*10,[1]Hugst!$R$4:$W$4,0))))</f>
        <v>4573.9727334231638</v>
      </c>
      <c r="O271" s="169">
        <f ca="1">IF($C271-O$1&lt;År1,0,N270*(1-VLOOKUP($A271,[1]Hugst!$R$5:$W$9,MATCH(ROUNDUP((O$1)/10,0)*10,[1]Hugst!$R$4:$W$4,0))))</f>
        <v>4584.1228010817622</v>
      </c>
      <c r="P271" s="169">
        <f ca="1">IF($C271-P$1&lt;År1,0,O270*(1-VLOOKUP($A271,[1]Hugst!$R$5:$W$9,MATCH(ROUNDUP((P$1)/10,0)*10,[1]Hugst!$R$4:$W$4,0))))</f>
        <v>4594.1905567619388</v>
      </c>
      <c r="Q271" s="169">
        <f ca="1">IF($C271-Q$1&lt;År1,0,P270*(1-VLOOKUP($A271,[1]Hugst!$R$5:$W$9,MATCH(ROUNDUP((Q$1)/10,0)*10,[1]Hugst!$R$4:$W$4,0))))</f>
        <v>4604.0422694921162</v>
      </c>
      <c r="R271" s="169">
        <f ca="1">IF($C271-R$1&lt;År1,0,Q270*(1-VLOOKUP($A271,[1]Hugst!$R$5:$W$9,MATCH(ROUNDUP((R$1)/10,0)*10,[1]Hugst!$R$4:$W$4,0))))</f>
        <v>4613.4102189421337</v>
      </c>
      <c r="S271" s="169">
        <f ca="1">IF($C271-S$1&lt;År1,0,R270*(1-VLOOKUP($A271,[1]Hugst!$R$5:$W$9,MATCH(ROUNDUP((S$1)/10,0)*10,[1]Hugst!$R$4:$W$4,0))))</f>
        <v>4621.7587047666275</v>
      </c>
      <c r="T271" s="169">
        <f ca="1">IF($C271-T$1&lt;År1,0,S270*(1-VLOOKUP($A271,[1]Hugst!$R$5:$W$9,MATCH(ROUNDUP((T$1)/10,0)*10,[1]Hugst!$R$4:$W$4,0))))</f>
        <v>4628.0160652843451</v>
      </c>
      <c r="U271" s="169">
        <f ca="1">IF($C271-U$1&lt;År1,0,T270*(1-VLOOKUP($A271,[1]Hugst!$R$5:$W$9,MATCH(ROUNDUP((U$1)/10,0)*10,[1]Hugst!$R$4:$W$4,0))))</f>
        <v>4630.0387148310256</v>
      </c>
      <c r="V271" s="169">
        <f ca="1">IF($C271-V$1&lt;År1,0,U270*(1-VLOOKUP($A271,[1]Hugst!$R$5:$W$9,MATCH(ROUNDUP((V$1)/10,0)*10,[1]Hugst!$R$4:$W$4,0))))</f>
        <v>4623.5392184583234</v>
      </c>
      <c r="W271" s="169">
        <f ca="1">IF($C271-W$1&lt;År1,0,V270*(1-VLOOKUP($A271,[1]Hugst!$R$5:$W$9,MATCH(ROUNDUP((W$1)/10,0)*10,[1]Hugst!$R$4:$W$4,0))))</f>
        <v>4599.9424413249817</v>
      </c>
      <c r="X271" s="169">
        <f ca="1">IF($C271-X$1&lt;År1,0,W270*(1-VLOOKUP($A271,[1]Hugst!$R$5:$W$9,MATCH(ROUNDUP((X$1)/10,0)*10,[1]Hugst!$R$4:$W$4,0))))</f>
        <v>4542.0978474723615</v>
      </c>
      <c r="Y271" s="169">
        <f ca="1">IF($C271-Y$1&lt;År1,0,X270*(1-VLOOKUP($A271,[1]Hugst!$R$5:$W$9,MATCH(ROUNDUP((Y$1)/10,0)*10,[1]Hugst!$R$4:$W$4,0))))</f>
        <v>4415.7040973692729</v>
      </c>
      <c r="Z271" s="169">
        <f ca="1">IF($C271-Z$1&lt;År1,0,Y270*(1-VLOOKUP($A271,[1]Hugst!$R$5:$W$9,MATCH(ROUNDUP((Z$1)/10,0)*10,[1]Hugst!$R$4:$W$4,0))))</f>
        <v>4150.7741902465796</v>
      </c>
      <c r="AA271" s="169">
        <f ca="1">IF($C271-AA$1&lt;År1,0,Z270*(1-VLOOKUP($A271,[1]Hugst!$R$5:$W$9,MATCH(ROUNDUP((AA$1)/10,0)*10,[1]Hugst!$R$4:$W$4,0))))</f>
        <v>3611.8450168327054</v>
      </c>
      <c r="AB271" s="169">
        <f>IF($C271-AB$1&lt;År1,0,AA270*(1-VLOOKUP($A271,[1]Hugst!$R$5:$W$9,MATCH(ROUNDUP((AB$1)/10,0)*10,[1]Hugst!$R$4:$W$4,0))))</f>
        <v>0</v>
      </c>
      <c r="AC271" s="169">
        <f>IF($C271-AC$1&lt;År1,0,AB270*(1-VLOOKUP($A271,[1]Hugst!$R$5:$W$9,MATCH(ROUNDUP((AC$1)/10,0)*10,[1]Hugst!$R$4:$W$4,0))))</f>
        <v>0</v>
      </c>
      <c r="AD271" s="169">
        <f>IF($C271-AD$1&lt;År1,0,AC270*(1-VLOOKUP($A271,[1]Hugst!$R$5:$W$9,MATCH(ROUNDUP((AD$1)/10,0)*10,[1]Hugst!$R$4:$W$4,0))))</f>
        <v>0</v>
      </c>
      <c r="AE271" s="169">
        <f>IF($C271-AE$1&lt;År1,0,AD270*(1-VLOOKUP($A271,[1]Hugst!$R$5:$W$9,MATCH(ROUNDUP((AE$1)/10,0)*10,[1]Hugst!$R$4:$W$4,0))))</f>
        <v>0</v>
      </c>
      <c r="AF271" s="169">
        <f>IF($C271-AF$1&lt;År1,0,AE270*(1-VLOOKUP($A271,[1]Hugst!$R$5:$W$9,MATCH(ROUNDUP((AF$1)/10,0)*10,[1]Hugst!$R$4:$W$4,0))))</f>
        <v>0</v>
      </c>
      <c r="AG271" s="169">
        <f>IF($C271-AG$1&lt;År1,0,AF270*(1-VLOOKUP($A271,[1]Hugst!$R$5:$W$9,MATCH(ROUNDUP((AG$1)/10,0)*10,[1]Hugst!$R$4:$W$4,0))))</f>
        <v>0</v>
      </c>
      <c r="AH271" s="169">
        <f>IF($C271-AH$1&lt;År1,0,AG270*(1-VLOOKUP($A271,[1]Hugst!$R$5:$W$9,MATCH(ROUNDUP((AH$1)/10,0)*10,[1]Hugst!$R$4:$W$4,0))))</f>
        <v>0</v>
      </c>
      <c r="AI271" s="169">
        <f>IF($C271-AI$1&lt;År1,0,AH270*(1-VLOOKUP($A271,[1]Hugst!$R$5:$W$9,MATCH(ROUNDUP((AI$1)/10,0)*10,[1]Hugst!$R$4:$W$4,0))))</f>
        <v>0</v>
      </c>
      <c r="AJ271" s="169">
        <f>IF($C271-AJ$1&lt;År1,0,AI270*(1-VLOOKUP($A271,[1]Hugst!$R$5:$W$9,MATCH(ROUNDUP((AJ$1)/10,0)*10,[1]Hugst!$R$4:$W$4,0))))</f>
        <v>0</v>
      </c>
    </row>
    <row r="272" spans="1:36" x14ac:dyDescent="0.25">
      <c r="A272" s="169" t="s">
        <v>180</v>
      </c>
      <c r="B272" s="169" t="s">
        <v>23</v>
      </c>
      <c r="C272" s="169">
        <v>2042</v>
      </c>
      <c r="D272" s="169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1956.2541487842791</v>
      </c>
      <c r="E272" s="169">
        <f t="shared" ca="1" si="6"/>
        <v>4.0594411014899379</v>
      </c>
      <c r="F272" s="169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4487.8927078800252</v>
      </c>
      <c r="G272" s="169">
        <f ca="1">IF($C272-G$1&lt;År1,0,F271*(1-VLOOKUP($A272,[1]Hugst!$R$5:$W$9,MATCH(ROUNDUP((G$1)/10,0)*10,[1]Hugst!$R$4:$W$4,0))))</f>
        <v>4496.2518317878157</v>
      </c>
      <c r="H272" s="169">
        <f ca="1">IF($C272-H$1&lt;År1,0,G271*(1-VLOOKUP($A272,[1]Hugst!$R$5:$W$9,MATCH(ROUNDUP((H$1)/10,0)*10,[1]Hugst!$R$4:$W$4,0))))</f>
        <v>4504.7474805126503</v>
      </c>
      <c r="I272" s="169">
        <f ca="1">IF($C272-I$1&lt;År1,0,H271*(1-VLOOKUP($A272,[1]Hugst!$R$5:$W$9,MATCH(ROUNDUP((I$1)/10,0)*10,[1]Hugst!$R$4:$W$4,0))))</f>
        <v>4513.4711529808619</v>
      </c>
      <c r="J272" s="169">
        <f ca="1">IF($C272-J$1&lt;År1,0,I271*(1-VLOOKUP($A272,[1]Hugst!$R$5:$W$9,MATCH(ROUNDUP((J$1)/10,0)*10,[1]Hugst!$R$4:$W$4,0))))</f>
        <v>4523.4484268571423</v>
      </c>
      <c r="K272" s="169">
        <f ca="1">IF($C272-K$1&lt;År1,0,J271*(1-VLOOKUP($A272,[1]Hugst!$R$5:$W$9,MATCH(ROUNDUP((K$1)/10,0)*10,[1]Hugst!$R$4:$W$4,0))))</f>
        <v>4533.4737547045324</v>
      </c>
      <c r="L272" s="169">
        <f ca="1">IF($C272-L$1&lt;År1,0,K271*(1-VLOOKUP($A272,[1]Hugst!$R$5:$W$9,MATCH(ROUNDUP((L$1)/10,0)*10,[1]Hugst!$R$4:$W$4,0))))</f>
        <v>4543.5452949168384</v>
      </c>
      <c r="M272" s="169">
        <f ca="1">IF($C272-M$1&lt;År1,0,L271*(1-VLOOKUP($A272,[1]Hugst!$R$5:$W$9,MATCH(ROUNDUP((M$1)/10,0)*10,[1]Hugst!$R$4:$W$4,0))))</f>
        <v>4553.6591135500084</v>
      </c>
      <c r="N272" s="169">
        <f ca="1">IF($C272-N$1&lt;År1,0,M271*(1-VLOOKUP($A272,[1]Hugst!$R$5:$W$9,MATCH(ROUNDUP((N$1)/10,0)*10,[1]Hugst!$R$4:$W$4,0))))</f>
        <v>4563.8070907244482</v>
      </c>
      <c r="O272" s="169">
        <f ca="1">IF($C272-O$1&lt;År1,0,N271*(1-VLOOKUP($A272,[1]Hugst!$R$5:$W$9,MATCH(ROUNDUP((O$1)/10,0)*10,[1]Hugst!$R$4:$W$4,0))))</f>
        <v>4573.9727334231638</v>
      </c>
      <c r="P272" s="169">
        <f ca="1">IF($C272-P$1&lt;År1,0,O271*(1-VLOOKUP($A272,[1]Hugst!$R$5:$W$9,MATCH(ROUNDUP((P$1)/10,0)*10,[1]Hugst!$R$4:$W$4,0))))</f>
        <v>4584.1228010817622</v>
      </c>
      <c r="Q272" s="169">
        <f ca="1">IF($C272-Q$1&lt;År1,0,P271*(1-VLOOKUP($A272,[1]Hugst!$R$5:$W$9,MATCH(ROUNDUP((Q$1)/10,0)*10,[1]Hugst!$R$4:$W$4,0))))</f>
        <v>4594.1905567619388</v>
      </c>
      <c r="R272" s="169">
        <f ca="1">IF($C272-R$1&lt;År1,0,Q271*(1-VLOOKUP($A272,[1]Hugst!$R$5:$W$9,MATCH(ROUNDUP((R$1)/10,0)*10,[1]Hugst!$R$4:$W$4,0))))</f>
        <v>4604.0422694921162</v>
      </c>
      <c r="S272" s="169">
        <f ca="1">IF($C272-S$1&lt;År1,0,R271*(1-VLOOKUP($A272,[1]Hugst!$R$5:$W$9,MATCH(ROUNDUP((S$1)/10,0)*10,[1]Hugst!$R$4:$W$4,0))))</f>
        <v>4613.4102189421337</v>
      </c>
      <c r="T272" s="169">
        <f ca="1">IF($C272-T$1&lt;År1,0,S271*(1-VLOOKUP($A272,[1]Hugst!$R$5:$W$9,MATCH(ROUNDUP((T$1)/10,0)*10,[1]Hugst!$R$4:$W$4,0))))</f>
        <v>4621.7587047666275</v>
      </c>
      <c r="U272" s="169">
        <f ca="1">IF($C272-U$1&lt;År1,0,T271*(1-VLOOKUP($A272,[1]Hugst!$R$5:$W$9,MATCH(ROUNDUP((U$1)/10,0)*10,[1]Hugst!$R$4:$W$4,0))))</f>
        <v>4628.0160652843451</v>
      </c>
      <c r="V272" s="169">
        <f ca="1">IF($C272-V$1&lt;År1,0,U271*(1-VLOOKUP($A272,[1]Hugst!$R$5:$W$9,MATCH(ROUNDUP((V$1)/10,0)*10,[1]Hugst!$R$4:$W$4,0))))</f>
        <v>4630.0387148310256</v>
      </c>
      <c r="W272" s="169">
        <f ca="1">IF($C272-W$1&lt;År1,0,V271*(1-VLOOKUP($A272,[1]Hugst!$R$5:$W$9,MATCH(ROUNDUP((W$1)/10,0)*10,[1]Hugst!$R$4:$W$4,0))))</f>
        <v>4623.5392184583234</v>
      </c>
      <c r="X272" s="169">
        <f ca="1">IF($C272-X$1&lt;År1,0,W271*(1-VLOOKUP($A272,[1]Hugst!$R$5:$W$9,MATCH(ROUNDUP((X$1)/10,0)*10,[1]Hugst!$R$4:$W$4,0))))</f>
        <v>4599.9424413249817</v>
      </c>
      <c r="Y272" s="169">
        <f ca="1">IF($C272-Y$1&lt;År1,0,X271*(1-VLOOKUP($A272,[1]Hugst!$R$5:$W$9,MATCH(ROUNDUP((Y$1)/10,0)*10,[1]Hugst!$R$4:$W$4,0))))</f>
        <v>4542.0978474723615</v>
      </c>
      <c r="Z272" s="169">
        <f ca="1">IF($C272-Z$1&lt;År1,0,Y271*(1-VLOOKUP($A272,[1]Hugst!$R$5:$W$9,MATCH(ROUNDUP((Z$1)/10,0)*10,[1]Hugst!$R$4:$W$4,0))))</f>
        <v>4414.2321960034833</v>
      </c>
      <c r="AA272" s="169">
        <f ca="1">IF($C272-AA$1&lt;År1,0,Z271*(1-VLOOKUP($A272,[1]Hugst!$R$5:$W$9,MATCH(ROUNDUP((AA$1)/10,0)*10,[1]Hugst!$R$4:$W$4,0))))</f>
        <v>4149.3905988498309</v>
      </c>
      <c r="AB272" s="169">
        <f ca="1">IF($C272-AB$1&lt;År1,0,AA271*(1-VLOOKUP($A272,[1]Hugst!$R$5:$W$9,MATCH(ROUNDUP((AB$1)/10,0)*10,[1]Hugst!$R$4:$W$4,0))))</f>
        <v>3610.6410684937614</v>
      </c>
      <c r="AC272" s="169">
        <f>IF($C272-AC$1&lt;År1,0,AB271*(1-VLOOKUP($A272,[1]Hugst!$R$5:$W$9,MATCH(ROUNDUP((AC$1)/10,0)*10,[1]Hugst!$R$4:$W$4,0))))</f>
        <v>0</v>
      </c>
      <c r="AD272" s="169">
        <f>IF($C272-AD$1&lt;År1,0,AC271*(1-VLOOKUP($A272,[1]Hugst!$R$5:$W$9,MATCH(ROUNDUP((AD$1)/10,0)*10,[1]Hugst!$R$4:$W$4,0))))</f>
        <v>0</v>
      </c>
      <c r="AE272" s="169">
        <f>IF($C272-AE$1&lt;År1,0,AD271*(1-VLOOKUP($A272,[1]Hugst!$R$5:$W$9,MATCH(ROUNDUP((AE$1)/10,0)*10,[1]Hugst!$R$4:$W$4,0))))</f>
        <v>0</v>
      </c>
      <c r="AF272" s="169">
        <f>IF($C272-AF$1&lt;År1,0,AE271*(1-VLOOKUP($A272,[1]Hugst!$R$5:$W$9,MATCH(ROUNDUP((AF$1)/10,0)*10,[1]Hugst!$R$4:$W$4,0))))</f>
        <v>0</v>
      </c>
      <c r="AG272" s="169">
        <f>IF($C272-AG$1&lt;År1,0,AF271*(1-VLOOKUP($A272,[1]Hugst!$R$5:$W$9,MATCH(ROUNDUP((AG$1)/10,0)*10,[1]Hugst!$R$4:$W$4,0))))</f>
        <v>0</v>
      </c>
      <c r="AH272" s="169">
        <f>IF($C272-AH$1&lt;År1,0,AG271*(1-VLOOKUP($A272,[1]Hugst!$R$5:$W$9,MATCH(ROUNDUP((AH$1)/10,0)*10,[1]Hugst!$R$4:$W$4,0))))</f>
        <v>0</v>
      </c>
      <c r="AI272" s="169">
        <f>IF($C272-AI$1&lt;År1,0,AH271*(1-VLOOKUP($A272,[1]Hugst!$R$5:$W$9,MATCH(ROUNDUP((AI$1)/10,0)*10,[1]Hugst!$R$4:$W$4,0))))</f>
        <v>0</v>
      </c>
      <c r="AJ272" s="169">
        <f>IF($C272-AJ$1&lt;År1,0,AI271*(1-VLOOKUP($A272,[1]Hugst!$R$5:$W$9,MATCH(ROUNDUP((AJ$1)/10,0)*10,[1]Hugst!$R$4:$W$4,0))))</f>
        <v>0</v>
      </c>
    </row>
    <row r="273" spans="1:36" x14ac:dyDescent="0.25">
      <c r="A273" s="169" t="s">
        <v>180</v>
      </c>
      <c r="B273" s="169" t="s">
        <v>23</v>
      </c>
      <c r="C273" s="169">
        <v>2043</v>
      </c>
      <c r="D273" s="169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1946.4730075820771</v>
      </c>
      <c r="E273" s="169">
        <f t="shared" ca="1" si="6"/>
        <v>5.5721205702720908</v>
      </c>
      <c r="F273" s="169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4479.6242461466054</v>
      </c>
      <c r="G273" s="169">
        <f ca="1">IF($C273-G$1&lt;År1,0,F272*(1-VLOOKUP($A273,[1]Hugst!$R$5:$W$9,MATCH(ROUNDUP((G$1)/10,0)*10,[1]Hugst!$R$4:$W$4,0))))</f>
        <v>4487.8927078800252</v>
      </c>
      <c r="H273" s="169">
        <f ca="1">IF($C273-H$1&lt;År1,0,G272*(1-VLOOKUP($A273,[1]Hugst!$R$5:$W$9,MATCH(ROUNDUP((H$1)/10,0)*10,[1]Hugst!$R$4:$W$4,0))))</f>
        <v>4496.2518317878157</v>
      </c>
      <c r="I273" s="169">
        <f ca="1">IF($C273-I$1&lt;År1,0,H272*(1-VLOOKUP($A273,[1]Hugst!$R$5:$W$9,MATCH(ROUNDUP((I$1)/10,0)*10,[1]Hugst!$R$4:$W$4,0))))</f>
        <v>4504.7474805126503</v>
      </c>
      <c r="J273" s="169">
        <f ca="1">IF($C273-J$1&lt;År1,0,I272*(1-VLOOKUP($A273,[1]Hugst!$R$5:$W$9,MATCH(ROUNDUP((J$1)/10,0)*10,[1]Hugst!$R$4:$W$4,0))))</f>
        <v>4513.4711529808619</v>
      </c>
      <c r="K273" s="169">
        <f ca="1">IF($C273-K$1&lt;År1,0,J272*(1-VLOOKUP($A273,[1]Hugst!$R$5:$W$9,MATCH(ROUNDUP((K$1)/10,0)*10,[1]Hugst!$R$4:$W$4,0))))</f>
        <v>4523.4484268571423</v>
      </c>
      <c r="L273" s="169">
        <f ca="1">IF($C273-L$1&lt;År1,0,K272*(1-VLOOKUP($A273,[1]Hugst!$R$5:$W$9,MATCH(ROUNDUP((L$1)/10,0)*10,[1]Hugst!$R$4:$W$4,0))))</f>
        <v>4533.4737547045324</v>
      </c>
      <c r="M273" s="169">
        <f ca="1">IF($C273-M$1&lt;År1,0,L272*(1-VLOOKUP($A273,[1]Hugst!$R$5:$W$9,MATCH(ROUNDUP((M$1)/10,0)*10,[1]Hugst!$R$4:$W$4,0))))</f>
        <v>4543.5452949168384</v>
      </c>
      <c r="N273" s="169">
        <f ca="1">IF($C273-N$1&lt;År1,0,M272*(1-VLOOKUP($A273,[1]Hugst!$R$5:$W$9,MATCH(ROUNDUP((N$1)/10,0)*10,[1]Hugst!$R$4:$W$4,0))))</f>
        <v>4553.6591135500084</v>
      </c>
      <c r="O273" s="169">
        <f ca="1">IF($C273-O$1&lt;År1,0,N272*(1-VLOOKUP($A273,[1]Hugst!$R$5:$W$9,MATCH(ROUNDUP((O$1)/10,0)*10,[1]Hugst!$R$4:$W$4,0))))</f>
        <v>4563.8070907244482</v>
      </c>
      <c r="P273" s="169">
        <f ca="1">IF($C273-P$1&lt;År1,0,O272*(1-VLOOKUP($A273,[1]Hugst!$R$5:$W$9,MATCH(ROUNDUP((P$1)/10,0)*10,[1]Hugst!$R$4:$W$4,0))))</f>
        <v>4573.9727334231638</v>
      </c>
      <c r="Q273" s="169">
        <f ca="1">IF($C273-Q$1&lt;År1,0,P272*(1-VLOOKUP($A273,[1]Hugst!$R$5:$W$9,MATCH(ROUNDUP((Q$1)/10,0)*10,[1]Hugst!$R$4:$W$4,0))))</f>
        <v>4584.1228010817622</v>
      </c>
      <c r="R273" s="169">
        <f ca="1">IF($C273-R$1&lt;År1,0,Q272*(1-VLOOKUP($A273,[1]Hugst!$R$5:$W$9,MATCH(ROUNDUP((R$1)/10,0)*10,[1]Hugst!$R$4:$W$4,0))))</f>
        <v>4594.1905567619388</v>
      </c>
      <c r="S273" s="169">
        <f ca="1">IF($C273-S$1&lt;År1,0,R272*(1-VLOOKUP($A273,[1]Hugst!$R$5:$W$9,MATCH(ROUNDUP((S$1)/10,0)*10,[1]Hugst!$R$4:$W$4,0))))</f>
        <v>4604.0422694921162</v>
      </c>
      <c r="T273" s="169">
        <f ca="1">IF($C273-T$1&lt;År1,0,S272*(1-VLOOKUP($A273,[1]Hugst!$R$5:$W$9,MATCH(ROUNDUP((T$1)/10,0)*10,[1]Hugst!$R$4:$W$4,0))))</f>
        <v>4613.4102189421337</v>
      </c>
      <c r="U273" s="169">
        <f ca="1">IF($C273-U$1&lt;År1,0,T272*(1-VLOOKUP($A273,[1]Hugst!$R$5:$W$9,MATCH(ROUNDUP((U$1)/10,0)*10,[1]Hugst!$R$4:$W$4,0))))</f>
        <v>4621.7587047666275</v>
      </c>
      <c r="V273" s="169">
        <f ca="1">IF($C273-V$1&lt;År1,0,U272*(1-VLOOKUP($A273,[1]Hugst!$R$5:$W$9,MATCH(ROUNDUP((V$1)/10,0)*10,[1]Hugst!$R$4:$W$4,0))))</f>
        <v>4628.0160652843451</v>
      </c>
      <c r="W273" s="169">
        <f ca="1">IF($C273-W$1&lt;År1,0,V272*(1-VLOOKUP($A273,[1]Hugst!$R$5:$W$9,MATCH(ROUNDUP((W$1)/10,0)*10,[1]Hugst!$R$4:$W$4,0))))</f>
        <v>4630.0387148310256</v>
      </c>
      <c r="X273" s="169">
        <f ca="1">IF($C273-X$1&lt;År1,0,W272*(1-VLOOKUP($A273,[1]Hugst!$R$5:$W$9,MATCH(ROUNDUP((X$1)/10,0)*10,[1]Hugst!$R$4:$W$4,0))))</f>
        <v>4623.5392184583234</v>
      </c>
      <c r="Y273" s="169">
        <f ca="1">IF($C273-Y$1&lt;År1,0,X272*(1-VLOOKUP($A273,[1]Hugst!$R$5:$W$9,MATCH(ROUNDUP((Y$1)/10,0)*10,[1]Hugst!$R$4:$W$4,0))))</f>
        <v>4599.9424413249817</v>
      </c>
      <c r="Z273" s="169">
        <f ca="1">IF($C273-Z$1&lt;År1,0,Y272*(1-VLOOKUP($A273,[1]Hugst!$R$5:$W$9,MATCH(ROUNDUP((Z$1)/10,0)*10,[1]Hugst!$R$4:$W$4,0))))</f>
        <v>4540.5838148565372</v>
      </c>
      <c r="AA273" s="169">
        <f ca="1">IF($C273-AA$1&lt;År1,0,Z272*(1-VLOOKUP($A273,[1]Hugst!$R$5:$W$9,MATCH(ROUNDUP((AA$1)/10,0)*10,[1]Hugst!$R$4:$W$4,0))))</f>
        <v>4412.7607852714827</v>
      </c>
      <c r="AB273" s="169">
        <f ca="1">IF($C273-AB$1&lt;År1,0,AA272*(1-VLOOKUP($A273,[1]Hugst!$R$5:$W$9,MATCH(ROUNDUP((AB$1)/10,0)*10,[1]Hugst!$R$4:$W$4,0))))</f>
        <v>4148.0074686502148</v>
      </c>
      <c r="AC273" s="169">
        <f ca="1">IF($C273-AC$1&lt;År1,0,AB272*(1-VLOOKUP($A273,[1]Hugst!$R$5:$W$9,MATCH(ROUNDUP((AC$1)/10,0)*10,[1]Hugst!$R$4:$W$4,0))))</f>
        <v>3609.4375214709303</v>
      </c>
      <c r="AD273" s="169">
        <f>IF($C273-AD$1&lt;År1,0,AC272*(1-VLOOKUP($A273,[1]Hugst!$R$5:$W$9,MATCH(ROUNDUP((AD$1)/10,0)*10,[1]Hugst!$R$4:$W$4,0))))</f>
        <v>0</v>
      </c>
      <c r="AE273" s="169">
        <f>IF($C273-AE$1&lt;År1,0,AD272*(1-VLOOKUP($A273,[1]Hugst!$R$5:$W$9,MATCH(ROUNDUP((AE$1)/10,0)*10,[1]Hugst!$R$4:$W$4,0))))</f>
        <v>0</v>
      </c>
      <c r="AF273" s="169">
        <f>IF($C273-AF$1&lt;År1,0,AE272*(1-VLOOKUP($A273,[1]Hugst!$R$5:$W$9,MATCH(ROUNDUP((AF$1)/10,0)*10,[1]Hugst!$R$4:$W$4,0))))</f>
        <v>0</v>
      </c>
      <c r="AG273" s="169">
        <f>IF($C273-AG$1&lt;År1,0,AF272*(1-VLOOKUP($A273,[1]Hugst!$R$5:$W$9,MATCH(ROUNDUP((AG$1)/10,0)*10,[1]Hugst!$R$4:$W$4,0))))</f>
        <v>0</v>
      </c>
      <c r="AH273" s="169">
        <f>IF($C273-AH$1&lt;År1,0,AG272*(1-VLOOKUP($A273,[1]Hugst!$R$5:$W$9,MATCH(ROUNDUP((AH$1)/10,0)*10,[1]Hugst!$R$4:$W$4,0))))</f>
        <v>0</v>
      </c>
      <c r="AI273" s="169">
        <f>IF($C273-AI$1&lt;År1,0,AH272*(1-VLOOKUP($A273,[1]Hugst!$R$5:$W$9,MATCH(ROUNDUP((AI$1)/10,0)*10,[1]Hugst!$R$4:$W$4,0))))</f>
        <v>0</v>
      </c>
      <c r="AJ273" s="169">
        <f>IF($C273-AJ$1&lt;År1,0,AI272*(1-VLOOKUP($A273,[1]Hugst!$R$5:$W$9,MATCH(ROUNDUP((AJ$1)/10,0)*10,[1]Hugst!$R$4:$W$4,0))))</f>
        <v>0</v>
      </c>
    </row>
    <row r="274" spans="1:36" x14ac:dyDescent="0.25">
      <c r="A274" s="169" t="s">
        <v>180</v>
      </c>
      <c r="B274" s="169" t="s">
        <v>23</v>
      </c>
      <c r="C274" s="169">
        <v>2044</v>
      </c>
      <c r="D274" s="169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1936.7407073150425</v>
      </c>
      <c r="E274" s="169">
        <f t="shared" ca="1" si="6"/>
        <v>7.1035773438488832</v>
      </c>
      <c r="F274" s="169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4471.4234026531476</v>
      </c>
      <c r="G274" s="169">
        <f ca="1">IF($C274-G$1&lt;År1,0,F273*(1-VLOOKUP($A274,[1]Hugst!$R$5:$W$9,MATCH(ROUNDUP((G$1)/10,0)*10,[1]Hugst!$R$4:$W$4,0))))</f>
        <v>4479.6242461466054</v>
      </c>
      <c r="H274" s="169">
        <f ca="1">IF($C274-H$1&lt;År1,0,G273*(1-VLOOKUP($A274,[1]Hugst!$R$5:$W$9,MATCH(ROUNDUP((H$1)/10,0)*10,[1]Hugst!$R$4:$W$4,0))))</f>
        <v>4487.8927078800252</v>
      </c>
      <c r="I274" s="169">
        <f ca="1">IF($C274-I$1&lt;År1,0,H273*(1-VLOOKUP($A274,[1]Hugst!$R$5:$W$9,MATCH(ROUNDUP((I$1)/10,0)*10,[1]Hugst!$R$4:$W$4,0))))</f>
        <v>4496.2518317878157</v>
      </c>
      <c r="J274" s="169">
        <f ca="1">IF($C274-J$1&lt;År1,0,I273*(1-VLOOKUP($A274,[1]Hugst!$R$5:$W$9,MATCH(ROUNDUP((J$1)/10,0)*10,[1]Hugst!$R$4:$W$4,0))))</f>
        <v>4504.7474805126503</v>
      </c>
      <c r="K274" s="169">
        <f ca="1">IF($C274-K$1&lt;År1,0,J273*(1-VLOOKUP($A274,[1]Hugst!$R$5:$W$9,MATCH(ROUNDUP((K$1)/10,0)*10,[1]Hugst!$R$4:$W$4,0))))</f>
        <v>4513.4711529808619</v>
      </c>
      <c r="L274" s="169">
        <f ca="1">IF($C274-L$1&lt;År1,0,K273*(1-VLOOKUP($A274,[1]Hugst!$R$5:$W$9,MATCH(ROUNDUP((L$1)/10,0)*10,[1]Hugst!$R$4:$W$4,0))))</f>
        <v>4523.4484268571423</v>
      </c>
      <c r="M274" s="169">
        <f ca="1">IF($C274-M$1&lt;År1,0,L273*(1-VLOOKUP($A274,[1]Hugst!$R$5:$W$9,MATCH(ROUNDUP((M$1)/10,0)*10,[1]Hugst!$R$4:$W$4,0))))</f>
        <v>4533.4737547045324</v>
      </c>
      <c r="N274" s="169">
        <f ca="1">IF($C274-N$1&lt;År1,0,M273*(1-VLOOKUP($A274,[1]Hugst!$R$5:$W$9,MATCH(ROUNDUP((N$1)/10,0)*10,[1]Hugst!$R$4:$W$4,0))))</f>
        <v>4543.5452949168384</v>
      </c>
      <c r="O274" s="169">
        <f ca="1">IF($C274-O$1&lt;År1,0,N273*(1-VLOOKUP($A274,[1]Hugst!$R$5:$W$9,MATCH(ROUNDUP((O$1)/10,0)*10,[1]Hugst!$R$4:$W$4,0))))</f>
        <v>4553.6591135500084</v>
      </c>
      <c r="P274" s="169">
        <f ca="1">IF($C274-P$1&lt;År1,0,O273*(1-VLOOKUP($A274,[1]Hugst!$R$5:$W$9,MATCH(ROUNDUP((P$1)/10,0)*10,[1]Hugst!$R$4:$W$4,0))))</f>
        <v>4563.8070907244482</v>
      </c>
      <c r="Q274" s="169">
        <f ca="1">IF($C274-Q$1&lt;År1,0,P273*(1-VLOOKUP($A274,[1]Hugst!$R$5:$W$9,MATCH(ROUNDUP((Q$1)/10,0)*10,[1]Hugst!$R$4:$W$4,0))))</f>
        <v>4573.9727334231638</v>
      </c>
      <c r="R274" s="169">
        <f ca="1">IF($C274-R$1&lt;År1,0,Q273*(1-VLOOKUP($A274,[1]Hugst!$R$5:$W$9,MATCH(ROUNDUP((R$1)/10,0)*10,[1]Hugst!$R$4:$W$4,0))))</f>
        <v>4584.1228010817622</v>
      </c>
      <c r="S274" s="169">
        <f ca="1">IF($C274-S$1&lt;År1,0,R273*(1-VLOOKUP($A274,[1]Hugst!$R$5:$W$9,MATCH(ROUNDUP((S$1)/10,0)*10,[1]Hugst!$R$4:$W$4,0))))</f>
        <v>4594.1905567619388</v>
      </c>
      <c r="T274" s="169">
        <f ca="1">IF($C274-T$1&lt;År1,0,S273*(1-VLOOKUP($A274,[1]Hugst!$R$5:$W$9,MATCH(ROUNDUP((T$1)/10,0)*10,[1]Hugst!$R$4:$W$4,0))))</f>
        <v>4604.0422694921162</v>
      </c>
      <c r="U274" s="169">
        <f ca="1">IF($C274-U$1&lt;År1,0,T273*(1-VLOOKUP($A274,[1]Hugst!$R$5:$W$9,MATCH(ROUNDUP((U$1)/10,0)*10,[1]Hugst!$R$4:$W$4,0))))</f>
        <v>4613.4102189421337</v>
      </c>
      <c r="V274" s="169">
        <f ca="1">IF($C274-V$1&lt;År1,0,U273*(1-VLOOKUP($A274,[1]Hugst!$R$5:$W$9,MATCH(ROUNDUP((V$1)/10,0)*10,[1]Hugst!$R$4:$W$4,0))))</f>
        <v>4621.7587047666275</v>
      </c>
      <c r="W274" s="169">
        <f ca="1">IF($C274-W$1&lt;År1,0,V273*(1-VLOOKUP($A274,[1]Hugst!$R$5:$W$9,MATCH(ROUNDUP((W$1)/10,0)*10,[1]Hugst!$R$4:$W$4,0))))</f>
        <v>4628.0160652843451</v>
      </c>
      <c r="X274" s="169">
        <f ca="1">IF($C274-X$1&lt;År1,0,W273*(1-VLOOKUP($A274,[1]Hugst!$R$5:$W$9,MATCH(ROUNDUP((X$1)/10,0)*10,[1]Hugst!$R$4:$W$4,0))))</f>
        <v>4630.0387148310256</v>
      </c>
      <c r="Y274" s="169">
        <f ca="1">IF($C274-Y$1&lt;År1,0,X273*(1-VLOOKUP($A274,[1]Hugst!$R$5:$W$9,MATCH(ROUNDUP((Y$1)/10,0)*10,[1]Hugst!$R$4:$W$4,0))))</f>
        <v>4623.5392184583234</v>
      </c>
      <c r="Z274" s="169">
        <f ca="1">IF($C274-Z$1&lt;År1,0,Y273*(1-VLOOKUP($A274,[1]Hugst!$R$5:$W$9,MATCH(ROUNDUP((Z$1)/10,0)*10,[1]Hugst!$R$4:$W$4,0))))</f>
        <v>4598.4091271778734</v>
      </c>
      <c r="AA274" s="169">
        <f ca="1">IF($C274-AA$1&lt;År1,0,Z273*(1-VLOOKUP($A274,[1]Hugst!$R$5:$W$9,MATCH(ROUNDUP((AA$1)/10,0)*10,[1]Hugst!$R$4:$W$4,0))))</f>
        <v>4539.0702869182514</v>
      </c>
      <c r="AB274" s="169">
        <f ca="1">IF($C274-AB$1&lt;År1,0,AA273*(1-VLOOKUP($A274,[1]Hugst!$R$5:$W$9,MATCH(ROUNDUP((AB$1)/10,0)*10,[1]Hugst!$R$4:$W$4,0))))</f>
        <v>4411.2898650097259</v>
      </c>
      <c r="AC274" s="169">
        <f ca="1">IF($C274-AC$1&lt;År1,0,AB273*(1-VLOOKUP($A274,[1]Hugst!$R$5:$W$9,MATCH(ROUNDUP((AC$1)/10,0)*10,[1]Hugst!$R$4:$W$4,0))))</f>
        <v>4146.6247994939986</v>
      </c>
      <c r="AD274" s="169">
        <f ca="1">IF($C274-AD$1&lt;År1,0,AC273*(1-VLOOKUP($A274,[1]Hugst!$R$5:$W$9,MATCH(ROUNDUP((AD$1)/10,0)*10,[1]Hugst!$R$4:$W$4,0))))</f>
        <v>3608.2343756304399</v>
      </c>
      <c r="AE274" s="169">
        <f>IF($C274-AE$1&lt;År1,0,AD273*(1-VLOOKUP($A274,[1]Hugst!$R$5:$W$9,MATCH(ROUNDUP((AE$1)/10,0)*10,[1]Hugst!$R$4:$W$4,0))))</f>
        <v>0</v>
      </c>
      <c r="AF274" s="169">
        <f>IF($C274-AF$1&lt;År1,0,AE273*(1-VLOOKUP($A274,[1]Hugst!$R$5:$W$9,MATCH(ROUNDUP((AF$1)/10,0)*10,[1]Hugst!$R$4:$W$4,0))))</f>
        <v>0</v>
      </c>
      <c r="AG274" s="169">
        <f>IF($C274-AG$1&lt;År1,0,AF273*(1-VLOOKUP($A274,[1]Hugst!$R$5:$W$9,MATCH(ROUNDUP((AG$1)/10,0)*10,[1]Hugst!$R$4:$W$4,0))))</f>
        <v>0</v>
      </c>
      <c r="AH274" s="169">
        <f>IF($C274-AH$1&lt;År1,0,AG273*(1-VLOOKUP($A274,[1]Hugst!$R$5:$W$9,MATCH(ROUNDUP((AH$1)/10,0)*10,[1]Hugst!$R$4:$W$4,0))))</f>
        <v>0</v>
      </c>
      <c r="AI274" s="169">
        <f>IF($C274-AI$1&lt;År1,0,AH273*(1-VLOOKUP($A274,[1]Hugst!$R$5:$W$9,MATCH(ROUNDUP((AI$1)/10,0)*10,[1]Hugst!$R$4:$W$4,0))))</f>
        <v>0</v>
      </c>
      <c r="AJ274" s="169">
        <f>IF($C274-AJ$1&lt;År1,0,AI273*(1-VLOOKUP($A274,[1]Hugst!$R$5:$W$9,MATCH(ROUNDUP((AJ$1)/10,0)*10,[1]Hugst!$R$4:$W$4,0))))</f>
        <v>0</v>
      </c>
    </row>
    <row r="275" spans="1:36" x14ac:dyDescent="0.25">
      <c r="A275" s="169" t="s">
        <v>180</v>
      </c>
      <c r="B275" s="169" t="s">
        <v>23</v>
      </c>
      <c r="C275" s="169">
        <v>2045</v>
      </c>
      <c r="D275" s="169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1927.0570361638966</v>
      </c>
      <c r="E275" s="169">
        <f t="shared" ca="1" si="6"/>
        <v>8.6423892242310103</v>
      </c>
      <c r="F275" s="169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4463.2785433823838</v>
      </c>
      <c r="G275" s="169">
        <f ca="1">IF($C275-G$1&lt;År1,0,F274*(1-VLOOKUP($A275,[1]Hugst!$R$5:$W$9,MATCH(ROUNDUP((G$1)/10,0)*10,[1]Hugst!$R$4:$W$4,0))))</f>
        <v>4471.4234026531476</v>
      </c>
      <c r="H275" s="169">
        <f ca="1">IF($C275-H$1&lt;År1,0,G274*(1-VLOOKUP($A275,[1]Hugst!$R$5:$W$9,MATCH(ROUNDUP((H$1)/10,0)*10,[1]Hugst!$R$4:$W$4,0))))</f>
        <v>4479.6242461466054</v>
      </c>
      <c r="I275" s="169">
        <f ca="1">IF($C275-I$1&lt;År1,0,H274*(1-VLOOKUP($A275,[1]Hugst!$R$5:$W$9,MATCH(ROUNDUP((I$1)/10,0)*10,[1]Hugst!$R$4:$W$4,0))))</f>
        <v>4487.8927078800252</v>
      </c>
      <c r="J275" s="169">
        <f ca="1">IF($C275-J$1&lt;År1,0,I274*(1-VLOOKUP($A275,[1]Hugst!$R$5:$W$9,MATCH(ROUNDUP((J$1)/10,0)*10,[1]Hugst!$R$4:$W$4,0))))</f>
        <v>4496.2518317878157</v>
      </c>
      <c r="K275" s="169">
        <f ca="1">IF($C275-K$1&lt;År1,0,J274*(1-VLOOKUP($A275,[1]Hugst!$R$5:$W$9,MATCH(ROUNDUP((K$1)/10,0)*10,[1]Hugst!$R$4:$W$4,0))))</f>
        <v>4504.7474805126503</v>
      </c>
      <c r="L275" s="169">
        <f ca="1">IF($C275-L$1&lt;År1,0,K274*(1-VLOOKUP($A275,[1]Hugst!$R$5:$W$9,MATCH(ROUNDUP((L$1)/10,0)*10,[1]Hugst!$R$4:$W$4,0))))</f>
        <v>4513.4711529808619</v>
      </c>
      <c r="M275" s="169">
        <f ca="1">IF($C275-M$1&lt;År1,0,L274*(1-VLOOKUP($A275,[1]Hugst!$R$5:$W$9,MATCH(ROUNDUP((M$1)/10,0)*10,[1]Hugst!$R$4:$W$4,0))))</f>
        <v>4523.4484268571423</v>
      </c>
      <c r="N275" s="169">
        <f ca="1">IF($C275-N$1&lt;År1,0,M274*(1-VLOOKUP($A275,[1]Hugst!$R$5:$W$9,MATCH(ROUNDUP((N$1)/10,0)*10,[1]Hugst!$R$4:$W$4,0))))</f>
        <v>4533.4737547045324</v>
      </c>
      <c r="O275" s="169">
        <f ca="1">IF($C275-O$1&lt;År1,0,N274*(1-VLOOKUP($A275,[1]Hugst!$R$5:$W$9,MATCH(ROUNDUP((O$1)/10,0)*10,[1]Hugst!$R$4:$W$4,0))))</f>
        <v>4543.5452949168384</v>
      </c>
      <c r="P275" s="169">
        <f ca="1">IF($C275-P$1&lt;År1,0,O274*(1-VLOOKUP($A275,[1]Hugst!$R$5:$W$9,MATCH(ROUNDUP((P$1)/10,0)*10,[1]Hugst!$R$4:$W$4,0))))</f>
        <v>4553.6591135500084</v>
      </c>
      <c r="Q275" s="169">
        <f ca="1">IF($C275-Q$1&lt;År1,0,P274*(1-VLOOKUP($A275,[1]Hugst!$R$5:$W$9,MATCH(ROUNDUP((Q$1)/10,0)*10,[1]Hugst!$R$4:$W$4,0))))</f>
        <v>4563.8070907244482</v>
      </c>
      <c r="R275" s="169">
        <f ca="1">IF($C275-R$1&lt;År1,0,Q274*(1-VLOOKUP($A275,[1]Hugst!$R$5:$W$9,MATCH(ROUNDUP((R$1)/10,0)*10,[1]Hugst!$R$4:$W$4,0))))</f>
        <v>4573.9727334231638</v>
      </c>
      <c r="S275" s="169">
        <f ca="1">IF($C275-S$1&lt;År1,0,R274*(1-VLOOKUP($A275,[1]Hugst!$R$5:$W$9,MATCH(ROUNDUP((S$1)/10,0)*10,[1]Hugst!$R$4:$W$4,0))))</f>
        <v>4584.1228010817622</v>
      </c>
      <c r="T275" s="169">
        <f ca="1">IF($C275-T$1&lt;År1,0,S274*(1-VLOOKUP($A275,[1]Hugst!$R$5:$W$9,MATCH(ROUNDUP((T$1)/10,0)*10,[1]Hugst!$R$4:$W$4,0))))</f>
        <v>4594.1905567619388</v>
      </c>
      <c r="U275" s="169">
        <f ca="1">IF($C275-U$1&lt;År1,0,T274*(1-VLOOKUP($A275,[1]Hugst!$R$5:$W$9,MATCH(ROUNDUP((U$1)/10,0)*10,[1]Hugst!$R$4:$W$4,0))))</f>
        <v>4604.0422694921162</v>
      </c>
      <c r="V275" s="169">
        <f ca="1">IF($C275-V$1&lt;År1,0,U274*(1-VLOOKUP($A275,[1]Hugst!$R$5:$W$9,MATCH(ROUNDUP((V$1)/10,0)*10,[1]Hugst!$R$4:$W$4,0))))</f>
        <v>4613.4102189421337</v>
      </c>
      <c r="W275" s="169">
        <f ca="1">IF($C275-W$1&lt;År1,0,V274*(1-VLOOKUP($A275,[1]Hugst!$R$5:$W$9,MATCH(ROUNDUP((W$1)/10,0)*10,[1]Hugst!$R$4:$W$4,0))))</f>
        <v>4621.7587047666275</v>
      </c>
      <c r="X275" s="169">
        <f ca="1">IF($C275-X$1&lt;År1,0,W274*(1-VLOOKUP($A275,[1]Hugst!$R$5:$W$9,MATCH(ROUNDUP((X$1)/10,0)*10,[1]Hugst!$R$4:$W$4,0))))</f>
        <v>4628.0160652843451</v>
      </c>
      <c r="Y275" s="169">
        <f ca="1">IF($C275-Y$1&lt;År1,0,X274*(1-VLOOKUP($A275,[1]Hugst!$R$5:$W$9,MATCH(ROUNDUP((Y$1)/10,0)*10,[1]Hugst!$R$4:$W$4,0))))</f>
        <v>4630.0387148310256</v>
      </c>
      <c r="Z275" s="169">
        <f ca="1">IF($C275-Z$1&lt;År1,0,Y274*(1-VLOOKUP($A275,[1]Hugst!$R$5:$W$9,MATCH(ROUNDUP((Z$1)/10,0)*10,[1]Hugst!$R$4:$W$4,0))))</f>
        <v>4621.9980387188371</v>
      </c>
      <c r="AA275" s="169">
        <f ca="1">IF($C275-AA$1&lt;År1,0,Z274*(1-VLOOKUP($A275,[1]Hugst!$R$5:$W$9,MATCH(ROUNDUP((AA$1)/10,0)*10,[1]Hugst!$R$4:$W$4,0))))</f>
        <v>4596.8763241354809</v>
      </c>
      <c r="AB275" s="169">
        <f ca="1">IF($C275-AB$1&lt;År1,0,AA274*(1-VLOOKUP($A275,[1]Hugst!$R$5:$W$9,MATCH(ROUNDUP((AB$1)/10,0)*10,[1]Hugst!$R$4:$W$4,0))))</f>
        <v>4537.5572634892787</v>
      </c>
      <c r="AC275" s="169">
        <f ca="1">IF($C275-AC$1&lt;År1,0,AB274*(1-VLOOKUP($A275,[1]Hugst!$R$5:$W$9,MATCH(ROUNDUP((AC$1)/10,0)*10,[1]Hugst!$R$4:$W$4,0))))</f>
        <v>4409.8194350547228</v>
      </c>
      <c r="AD275" s="169">
        <f ca="1">IF($C275-AD$1&lt;År1,0,AC274*(1-VLOOKUP($A275,[1]Hugst!$R$5:$W$9,MATCH(ROUNDUP((AD$1)/10,0)*10,[1]Hugst!$R$4:$W$4,0))))</f>
        <v>4145.2425912275012</v>
      </c>
      <c r="AE275" s="169">
        <f ca="1">IF($C275-AE$1&lt;År1,0,AD274*(1-VLOOKUP($A275,[1]Hugst!$R$5:$W$9,MATCH(ROUNDUP((AE$1)/10,0)*10,[1]Hugst!$R$4:$W$4,0))))</f>
        <v>3607.0316308385632</v>
      </c>
      <c r="AF275" s="169">
        <f>IF($C275-AF$1&lt;År1,0,AE274*(1-VLOOKUP($A275,[1]Hugst!$R$5:$W$9,MATCH(ROUNDUP((AF$1)/10,0)*10,[1]Hugst!$R$4:$W$4,0))))</f>
        <v>0</v>
      </c>
      <c r="AG275" s="169">
        <f>IF($C275-AG$1&lt;År1,0,AF274*(1-VLOOKUP($A275,[1]Hugst!$R$5:$W$9,MATCH(ROUNDUP((AG$1)/10,0)*10,[1]Hugst!$R$4:$W$4,0))))</f>
        <v>0</v>
      </c>
      <c r="AH275" s="169">
        <f>IF($C275-AH$1&lt;År1,0,AG274*(1-VLOOKUP($A275,[1]Hugst!$R$5:$W$9,MATCH(ROUNDUP((AH$1)/10,0)*10,[1]Hugst!$R$4:$W$4,0))))</f>
        <v>0</v>
      </c>
      <c r="AI275" s="169">
        <f>IF($C275-AI$1&lt;År1,0,AH274*(1-VLOOKUP($A275,[1]Hugst!$R$5:$W$9,MATCH(ROUNDUP((AI$1)/10,0)*10,[1]Hugst!$R$4:$W$4,0))))</f>
        <v>0</v>
      </c>
      <c r="AJ275" s="169">
        <f>IF($C275-AJ$1&lt;År1,0,AI274*(1-VLOOKUP($A275,[1]Hugst!$R$5:$W$9,MATCH(ROUNDUP((AJ$1)/10,0)*10,[1]Hugst!$R$4:$W$4,0))))</f>
        <v>0</v>
      </c>
    </row>
    <row r="276" spans="1:36" x14ac:dyDescent="0.25">
      <c r="A276" s="169" t="s">
        <v>180</v>
      </c>
      <c r="B276" s="169" t="s">
        <v>23</v>
      </c>
      <c r="C276" s="169">
        <v>2046</v>
      </c>
      <c r="D276" s="169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1917.4217671758233</v>
      </c>
      <c r="E276" s="169">
        <f t="shared" ca="1" si="6"/>
        <v>10.182854666112689</v>
      </c>
      <c r="F276" s="169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4455.1837398361922</v>
      </c>
      <c r="G276" s="169">
        <f ca="1">IF($C276-G$1&lt;År1,0,F275*(1-VLOOKUP($A276,[1]Hugst!$R$5:$W$9,MATCH(ROUNDUP((G$1)/10,0)*10,[1]Hugst!$R$4:$W$4,0))))</f>
        <v>4463.2785433823838</v>
      </c>
      <c r="H276" s="169">
        <f ca="1">IF($C276-H$1&lt;År1,0,G275*(1-VLOOKUP($A276,[1]Hugst!$R$5:$W$9,MATCH(ROUNDUP((H$1)/10,0)*10,[1]Hugst!$R$4:$W$4,0))))</f>
        <v>4471.4234026531476</v>
      </c>
      <c r="I276" s="169">
        <f ca="1">IF($C276-I$1&lt;År1,0,H275*(1-VLOOKUP($A276,[1]Hugst!$R$5:$W$9,MATCH(ROUNDUP((I$1)/10,0)*10,[1]Hugst!$R$4:$W$4,0))))</f>
        <v>4479.6242461466054</v>
      </c>
      <c r="J276" s="169">
        <f ca="1">IF($C276-J$1&lt;År1,0,I275*(1-VLOOKUP($A276,[1]Hugst!$R$5:$W$9,MATCH(ROUNDUP((J$1)/10,0)*10,[1]Hugst!$R$4:$W$4,0))))</f>
        <v>4487.8927078800252</v>
      </c>
      <c r="K276" s="169">
        <f ca="1">IF($C276-K$1&lt;År1,0,J275*(1-VLOOKUP($A276,[1]Hugst!$R$5:$W$9,MATCH(ROUNDUP((K$1)/10,0)*10,[1]Hugst!$R$4:$W$4,0))))</f>
        <v>4496.2518317878157</v>
      </c>
      <c r="L276" s="169">
        <f ca="1">IF($C276-L$1&lt;År1,0,K275*(1-VLOOKUP($A276,[1]Hugst!$R$5:$W$9,MATCH(ROUNDUP((L$1)/10,0)*10,[1]Hugst!$R$4:$W$4,0))))</f>
        <v>4504.7474805126503</v>
      </c>
      <c r="M276" s="169">
        <f ca="1">IF($C276-M$1&lt;År1,0,L275*(1-VLOOKUP($A276,[1]Hugst!$R$5:$W$9,MATCH(ROUNDUP((M$1)/10,0)*10,[1]Hugst!$R$4:$W$4,0))))</f>
        <v>4513.4711529808619</v>
      </c>
      <c r="N276" s="169">
        <f ca="1">IF($C276-N$1&lt;År1,0,M275*(1-VLOOKUP($A276,[1]Hugst!$R$5:$W$9,MATCH(ROUNDUP((N$1)/10,0)*10,[1]Hugst!$R$4:$W$4,0))))</f>
        <v>4523.4484268571423</v>
      </c>
      <c r="O276" s="169">
        <f ca="1">IF($C276-O$1&lt;År1,0,N275*(1-VLOOKUP($A276,[1]Hugst!$R$5:$W$9,MATCH(ROUNDUP((O$1)/10,0)*10,[1]Hugst!$R$4:$W$4,0))))</f>
        <v>4533.4737547045324</v>
      </c>
      <c r="P276" s="169">
        <f ca="1">IF($C276-P$1&lt;År1,0,O275*(1-VLOOKUP($A276,[1]Hugst!$R$5:$W$9,MATCH(ROUNDUP((P$1)/10,0)*10,[1]Hugst!$R$4:$W$4,0))))</f>
        <v>4543.5452949168384</v>
      </c>
      <c r="Q276" s="169">
        <f ca="1">IF($C276-Q$1&lt;År1,0,P275*(1-VLOOKUP($A276,[1]Hugst!$R$5:$W$9,MATCH(ROUNDUP((Q$1)/10,0)*10,[1]Hugst!$R$4:$W$4,0))))</f>
        <v>4553.6591135500084</v>
      </c>
      <c r="R276" s="169">
        <f ca="1">IF($C276-R$1&lt;År1,0,Q275*(1-VLOOKUP($A276,[1]Hugst!$R$5:$W$9,MATCH(ROUNDUP((R$1)/10,0)*10,[1]Hugst!$R$4:$W$4,0))))</f>
        <v>4563.8070907244482</v>
      </c>
      <c r="S276" s="169">
        <f ca="1">IF($C276-S$1&lt;År1,0,R275*(1-VLOOKUP($A276,[1]Hugst!$R$5:$W$9,MATCH(ROUNDUP((S$1)/10,0)*10,[1]Hugst!$R$4:$W$4,0))))</f>
        <v>4573.9727334231638</v>
      </c>
      <c r="T276" s="169">
        <f ca="1">IF($C276-T$1&lt;År1,0,S275*(1-VLOOKUP($A276,[1]Hugst!$R$5:$W$9,MATCH(ROUNDUP((T$1)/10,0)*10,[1]Hugst!$R$4:$W$4,0))))</f>
        <v>4584.1228010817622</v>
      </c>
      <c r="U276" s="169">
        <f ca="1">IF($C276-U$1&lt;År1,0,T275*(1-VLOOKUP($A276,[1]Hugst!$R$5:$W$9,MATCH(ROUNDUP((U$1)/10,0)*10,[1]Hugst!$R$4:$W$4,0))))</f>
        <v>4594.1905567619388</v>
      </c>
      <c r="V276" s="169">
        <f ca="1">IF($C276-V$1&lt;År1,0,U275*(1-VLOOKUP($A276,[1]Hugst!$R$5:$W$9,MATCH(ROUNDUP((V$1)/10,0)*10,[1]Hugst!$R$4:$W$4,0))))</f>
        <v>4604.0422694921162</v>
      </c>
      <c r="W276" s="169">
        <f ca="1">IF($C276-W$1&lt;År1,0,V275*(1-VLOOKUP($A276,[1]Hugst!$R$5:$W$9,MATCH(ROUNDUP((W$1)/10,0)*10,[1]Hugst!$R$4:$W$4,0))))</f>
        <v>4613.4102189421337</v>
      </c>
      <c r="X276" s="169">
        <f ca="1">IF($C276-X$1&lt;År1,0,W275*(1-VLOOKUP($A276,[1]Hugst!$R$5:$W$9,MATCH(ROUNDUP((X$1)/10,0)*10,[1]Hugst!$R$4:$W$4,0))))</f>
        <v>4621.7587047666275</v>
      </c>
      <c r="Y276" s="169">
        <f ca="1">IF($C276-Y$1&lt;År1,0,X275*(1-VLOOKUP($A276,[1]Hugst!$R$5:$W$9,MATCH(ROUNDUP((Y$1)/10,0)*10,[1]Hugst!$R$4:$W$4,0))))</f>
        <v>4628.0160652843451</v>
      </c>
      <c r="Z276" s="169">
        <f ca="1">IF($C276-Z$1&lt;År1,0,Y275*(1-VLOOKUP($A276,[1]Hugst!$R$5:$W$9,MATCH(ROUNDUP((Z$1)/10,0)*10,[1]Hugst!$R$4:$W$4,0))))</f>
        <v>4628.4953685927485</v>
      </c>
      <c r="AA276" s="169">
        <f ca="1">IF($C276-AA$1&lt;År1,0,Z275*(1-VLOOKUP($A276,[1]Hugst!$R$5:$W$9,MATCH(ROUNDUP((AA$1)/10,0)*10,[1]Hugst!$R$4:$W$4,0))))</f>
        <v>4620.4573727059305</v>
      </c>
      <c r="AB276" s="169">
        <f ca="1">IF($C276-AB$1&lt;År1,0,AA275*(1-VLOOKUP($A276,[1]Hugst!$R$5:$W$9,MATCH(ROUNDUP((AB$1)/10,0)*10,[1]Hugst!$R$4:$W$4,0))))</f>
        <v>4595.3440320274358</v>
      </c>
      <c r="AC276" s="169">
        <f ca="1">IF($C276-AC$1&lt;År1,0,AB275*(1-VLOOKUP($A276,[1]Hugst!$R$5:$W$9,MATCH(ROUNDUP((AC$1)/10,0)*10,[1]Hugst!$R$4:$W$4,0))))</f>
        <v>4536.044744401449</v>
      </c>
      <c r="AD276" s="169">
        <f ca="1">IF($C276-AD$1&lt;År1,0,AC275*(1-VLOOKUP($A276,[1]Hugst!$R$5:$W$9,MATCH(ROUNDUP((AD$1)/10,0)*10,[1]Hugst!$R$4:$W$4,0))))</f>
        <v>4408.3494952430383</v>
      </c>
      <c r="AE276" s="169">
        <f ca="1">IF($C276-AE$1&lt;År1,0,AD275*(1-VLOOKUP($A276,[1]Hugst!$R$5:$W$9,MATCH(ROUNDUP((AE$1)/10,0)*10,[1]Hugst!$R$4:$W$4,0))))</f>
        <v>4143.8608436970926</v>
      </c>
      <c r="AF276" s="169">
        <f ca="1">IF($C276-AF$1&lt;År1,0,AE275*(1-VLOOKUP($A276,[1]Hugst!$R$5:$W$9,MATCH(ROUNDUP((AF$1)/10,0)*10,[1]Hugst!$R$4:$W$4,0))))</f>
        <v>3605.8292869616171</v>
      </c>
      <c r="AG276" s="169">
        <f>IF($C276-AG$1&lt;År1,0,AF275*(1-VLOOKUP($A276,[1]Hugst!$R$5:$W$9,MATCH(ROUNDUP((AG$1)/10,0)*10,[1]Hugst!$R$4:$W$4,0))))</f>
        <v>0</v>
      </c>
      <c r="AH276" s="169">
        <f>IF($C276-AH$1&lt;År1,0,AG275*(1-VLOOKUP($A276,[1]Hugst!$R$5:$W$9,MATCH(ROUNDUP((AH$1)/10,0)*10,[1]Hugst!$R$4:$W$4,0))))</f>
        <v>0</v>
      </c>
      <c r="AI276" s="169">
        <f>IF($C276-AI$1&lt;År1,0,AH275*(1-VLOOKUP($A276,[1]Hugst!$R$5:$W$9,MATCH(ROUNDUP((AI$1)/10,0)*10,[1]Hugst!$R$4:$W$4,0))))</f>
        <v>0</v>
      </c>
      <c r="AJ276" s="169">
        <f>IF($C276-AJ$1&lt;År1,0,AI275*(1-VLOOKUP($A276,[1]Hugst!$R$5:$W$9,MATCH(ROUNDUP((AJ$1)/10,0)*10,[1]Hugst!$R$4:$W$4,0))))</f>
        <v>0</v>
      </c>
    </row>
    <row r="277" spans="1:36" x14ac:dyDescent="0.25">
      <c r="A277" s="169" t="s">
        <v>180</v>
      </c>
      <c r="B277" s="169" t="s">
        <v>23</v>
      </c>
      <c r="C277" s="169">
        <v>2047</v>
      </c>
      <c r="D277" s="169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1907.8346664362689</v>
      </c>
      <c r="E277" s="169">
        <f t="shared" ca="1" si="6"/>
        <v>11.722132402952411</v>
      </c>
      <c r="F277" s="169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4447.1359168334775</v>
      </c>
      <c r="G277" s="169">
        <f ca="1">IF($C277-G$1&lt;År1,0,F276*(1-VLOOKUP($A277,[1]Hugst!$R$5:$W$9,MATCH(ROUNDUP((G$1)/10,0)*10,[1]Hugst!$R$4:$W$4,0))))</f>
        <v>4455.1837398361922</v>
      </c>
      <c r="H277" s="169">
        <f ca="1">IF($C277-H$1&lt;År1,0,G276*(1-VLOOKUP($A277,[1]Hugst!$R$5:$W$9,MATCH(ROUNDUP((H$1)/10,0)*10,[1]Hugst!$R$4:$W$4,0))))</f>
        <v>4463.2785433823838</v>
      </c>
      <c r="I277" s="169">
        <f ca="1">IF($C277-I$1&lt;År1,0,H276*(1-VLOOKUP($A277,[1]Hugst!$R$5:$W$9,MATCH(ROUNDUP((I$1)/10,0)*10,[1]Hugst!$R$4:$W$4,0))))</f>
        <v>4471.4234026531476</v>
      </c>
      <c r="J277" s="169">
        <f ca="1">IF($C277-J$1&lt;År1,0,I276*(1-VLOOKUP($A277,[1]Hugst!$R$5:$W$9,MATCH(ROUNDUP((J$1)/10,0)*10,[1]Hugst!$R$4:$W$4,0))))</f>
        <v>4479.6242461466054</v>
      </c>
      <c r="K277" s="169">
        <f ca="1">IF($C277-K$1&lt;År1,0,J276*(1-VLOOKUP($A277,[1]Hugst!$R$5:$W$9,MATCH(ROUNDUP((K$1)/10,0)*10,[1]Hugst!$R$4:$W$4,0))))</f>
        <v>4487.8927078800252</v>
      </c>
      <c r="L277" s="169">
        <f ca="1">IF($C277-L$1&lt;År1,0,K276*(1-VLOOKUP($A277,[1]Hugst!$R$5:$W$9,MATCH(ROUNDUP((L$1)/10,0)*10,[1]Hugst!$R$4:$W$4,0))))</f>
        <v>4496.2518317878157</v>
      </c>
      <c r="M277" s="169">
        <f ca="1">IF($C277-M$1&lt;År1,0,L276*(1-VLOOKUP($A277,[1]Hugst!$R$5:$W$9,MATCH(ROUNDUP((M$1)/10,0)*10,[1]Hugst!$R$4:$W$4,0))))</f>
        <v>4504.7474805126503</v>
      </c>
      <c r="N277" s="169">
        <f ca="1">IF($C277-N$1&lt;År1,0,M276*(1-VLOOKUP($A277,[1]Hugst!$R$5:$W$9,MATCH(ROUNDUP((N$1)/10,0)*10,[1]Hugst!$R$4:$W$4,0))))</f>
        <v>4513.4711529808619</v>
      </c>
      <c r="O277" s="169">
        <f ca="1">IF($C277-O$1&lt;År1,0,N276*(1-VLOOKUP($A277,[1]Hugst!$R$5:$W$9,MATCH(ROUNDUP((O$1)/10,0)*10,[1]Hugst!$R$4:$W$4,0))))</f>
        <v>4523.4484268571423</v>
      </c>
      <c r="P277" s="169">
        <f ca="1">IF($C277-P$1&lt;År1,0,O276*(1-VLOOKUP($A277,[1]Hugst!$R$5:$W$9,MATCH(ROUNDUP((P$1)/10,0)*10,[1]Hugst!$R$4:$W$4,0))))</f>
        <v>4533.4737547045324</v>
      </c>
      <c r="Q277" s="169">
        <f ca="1">IF($C277-Q$1&lt;År1,0,P276*(1-VLOOKUP($A277,[1]Hugst!$R$5:$W$9,MATCH(ROUNDUP((Q$1)/10,0)*10,[1]Hugst!$R$4:$W$4,0))))</f>
        <v>4543.5452949168384</v>
      </c>
      <c r="R277" s="169">
        <f ca="1">IF($C277-R$1&lt;År1,0,Q276*(1-VLOOKUP($A277,[1]Hugst!$R$5:$W$9,MATCH(ROUNDUP((R$1)/10,0)*10,[1]Hugst!$R$4:$W$4,0))))</f>
        <v>4553.6591135500084</v>
      </c>
      <c r="S277" s="169">
        <f ca="1">IF($C277-S$1&lt;År1,0,R276*(1-VLOOKUP($A277,[1]Hugst!$R$5:$W$9,MATCH(ROUNDUP((S$1)/10,0)*10,[1]Hugst!$R$4:$W$4,0))))</f>
        <v>4563.8070907244482</v>
      </c>
      <c r="T277" s="169">
        <f ca="1">IF($C277-T$1&lt;År1,0,S276*(1-VLOOKUP($A277,[1]Hugst!$R$5:$W$9,MATCH(ROUNDUP((T$1)/10,0)*10,[1]Hugst!$R$4:$W$4,0))))</f>
        <v>4573.9727334231638</v>
      </c>
      <c r="U277" s="169">
        <f ca="1">IF($C277-U$1&lt;År1,0,T276*(1-VLOOKUP($A277,[1]Hugst!$R$5:$W$9,MATCH(ROUNDUP((U$1)/10,0)*10,[1]Hugst!$R$4:$W$4,0))))</f>
        <v>4584.1228010817622</v>
      </c>
      <c r="V277" s="169">
        <f ca="1">IF($C277-V$1&lt;År1,0,U276*(1-VLOOKUP($A277,[1]Hugst!$R$5:$W$9,MATCH(ROUNDUP((V$1)/10,0)*10,[1]Hugst!$R$4:$W$4,0))))</f>
        <v>4594.1905567619388</v>
      </c>
      <c r="W277" s="169">
        <f ca="1">IF($C277-W$1&lt;År1,0,V276*(1-VLOOKUP($A277,[1]Hugst!$R$5:$W$9,MATCH(ROUNDUP((W$1)/10,0)*10,[1]Hugst!$R$4:$W$4,0))))</f>
        <v>4604.0422694921162</v>
      </c>
      <c r="X277" s="169">
        <f ca="1">IF($C277-X$1&lt;År1,0,W276*(1-VLOOKUP($A277,[1]Hugst!$R$5:$W$9,MATCH(ROUNDUP((X$1)/10,0)*10,[1]Hugst!$R$4:$W$4,0))))</f>
        <v>4613.4102189421337</v>
      </c>
      <c r="Y277" s="169">
        <f ca="1">IF($C277-Y$1&lt;År1,0,X276*(1-VLOOKUP($A277,[1]Hugst!$R$5:$W$9,MATCH(ROUNDUP((Y$1)/10,0)*10,[1]Hugst!$R$4:$W$4,0))))</f>
        <v>4621.7587047666275</v>
      </c>
      <c r="Z277" s="169">
        <f ca="1">IF($C277-Z$1&lt;År1,0,Y276*(1-VLOOKUP($A277,[1]Hugst!$R$5:$W$9,MATCH(ROUNDUP((Z$1)/10,0)*10,[1]Hugst!$R$4:$W$4,0))))</f>
        <v>4626.4733932625841</v>
      </c>
      <c r="AA277" s="169">
        <f ca="1">IF($C277-AA$1&lt;År1,0,Z276*(1-VLOOKUP($A277,[1]Hugst!$R$5:$W$9,MATCH(ROUNDUP((AA$1)/10,0)*10,[1]Hugst!$R$4:$W$4,0))))</f>
        <v>4626.9525368032173</v>
      </c>
      <c r="AB277" s="169">
        <f ca="1">IF($C277-AB$1&lt;År1,0,AA276*(1-VLOOKUP($A277,[1]Hugst!$R$5:$W$9,MATCH(ROUNDUP((AB$1)/10,0)*10,[1]Hugst!$R$4:$W$4,0))))</f>
        <v>4618.9172202483624</v>
      </c>
      <c r="AC277" s="169">
        <f ca="1">IF($C277-AC$1&lt;År1,0,AB276*(1-VLOOKUP($A277,[1]Hugst!$R$5:$W$9,MATCH(ROUNDUP((AC$1)/10,0)*10,[1]Hugst!$R$4:$W$4,0))))</f>
        <v>4593.812250683427</v>
      </c>
      <c r="AD277" s="169">
        <f ca="1">IF($C277-AD$1&lt;År1,0,AC276*(1-VLOOKUP($A277,[1]Hugst!$R$5:$W$9,MATCH(ROUNDUP((AD$1)/10,0)*10,[1]Hugst!$R$4:$W$4,0))))</f>
        <v>4534.5327294866483</v>
      </c>
      <c r="AE277" s="169">
        <f ca="1">IF($C277-AE$1&lt;År1,0,AD276*(1-VLOOKUP($A277,[1]Hugst!$R$5:$W$9,MATCH(ROUNDUP((AE$1)/10,0)*10,[1]Hugst!$R$4:$W$4,0))))</f>
        <v>4406.8800454112907</v>
      </c>
      <c r="AF277" s="169">
        <f ca="1">IF($C277-AF$1&lt;År1,0,AE276*(1-VLOOKUP($A277,[1]Hugst!$R$5:$W$9,MATCH(ROUNDUP((AF$1)/10,0)*10,[1]Hugst!$R$4:$W$4,0))))</f>
        <v>4142.4795567491938</v>
      </c>
      <c r="AG277" s="169">
        <f ca="1">IF($C277-AG$1&lt;År1,0,AF276*(1-VLOOKUP($A277,[1]Hugst!$R$5:$W$9,MATCH(ROUNDUP((AG$1)/10,0)*10,[1]Hugst!$R$4:$W$4,0))))</f>
        <v>3604.6273438659632</v>
      </c>
      <c r="AH277" s="169">
        <f>IF($C277-AH$1&lt;År1,0,AG276*(1-VLOOKUP($A277,[1]Hugst!$R$5:$W$9,MATCH(ROUNDUP((AH$1)/10,0)*10,[1]Hugst!$R$4:$W$4,0))))</f>
        <v>0</v>
      </c>
      <c r="AI277" s="169">
        <f>IF($C277-AI$1&lt;År1,0,AH276*(1-VLOOKUP($A277,[1]Hugst!$R$5:$W$9,MATCH(ROUNDUP((AI$1)/10,0)*10,[1]Hugst!$R$4:$W$4,0))))</f>
        <v>0</v>
      </c>
      <c r="AJ277" s="169">
        <f>IF($C277-AJ$1&lt;År1,0,AI276*(1-VLOOKUP($A277,[1]Hugst!$R$5:$W$9,MATCH(ROUNDUP((AJ$1)/10,0)*10,[1]Hugst!$R$4:$W$4,0))))</f>
        <v>0</v>
      </c>
    </row>
    <row r="278" spans="1:36" x14ac:dyDescent="0.25">
      <c r="A278" s="169" t="s">
        <v>180</v>
      </c>
      <c r="B278" s="169" t="s">
        <v>23</v>
      </c>
      <c r="C278" s="169">
        <v>2048</v>
      </c>
      <c r="D278" s="169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1898.2954971522668</v>
      </c>
      <c r="E278" s="169">
        <f t="shared" ca="1" si="6"/>
        <v>13.258811260428047</v>
      </c>
      <c r="F278" s="169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4439.133426406951</v>
      </c>
      <c r="G278" s="169">
        <f ca="1">IF($C278-G$1&lt;År1,0,F277*(1-VLOOKUP($A278,[1]Hugst!$R$5:$W$9,MATCH(ROUNDUP((G$1)/10,0)*10,[1]Hugst!$R$4:$W$4,0))))</f>
        <v>4447.1359168334775</v>
      </c>
      <c r="H278" s="169">
        <f ca="1">IF($C278-H$1&lt;År1,0,G277*(1-VLOOKUP($A278,[1]Hugst!$R$5:$W$9,MATCH(ROUNDUP((H$1)/10,0)*10,[1]Hugst!$R$4:$W$4,0))))</f>
        <v>4455.1837398361922</v>
      </c>
      <c r="I278" s="169">
        <f ca="1">IF($C278-I$1&lt;År1,0,H277*(1-VLOOKUP($A278,[1]Hugst!$R$5:$W$9,MATCH(ROUNDUP((I$1)/10,0)*10,[1]Hugst!$R$4:$W$4,0))))</f>
        <v>4463.2785433823838</v>
      </c>
      <c r="J278" s="169">
        <f ca="1">IF($C278-J$1&lt;År1,0,I277*(1-VLOOKUP($A278,[1]Hugst!$R$5:$W$9,MATCH(ROUNDUP((J$1)/10,0)*10,[1]Hugst!$R$4:$W$4,0))))</f>
        <v>4471.4234026531476</v>
      </c>
      <c r="K278" s="169">
        <f ca="1">IF($C278-K$1&lt;År1,0,J277*(1-VLOOKUP($A278,[1]Hugst!$R$5:$W$9,MATCH(ROUNDUP((K$1)/10,0)*10,[1]Hugst!$R$4:$W$4,0))))</f>
        <v>4479.6242461466054</v>
      </c>
      <c r="L278" s="169">
        <f ca="1">IF($C278-L$1&lt;År1,0,K277*(1-VLOOKUP($A278,[1]Hugst!$R$5:$W$9,MATCH(ROUNDUP((L$1)/10,0)*10,[1]Hugst!$R$4:$W$4,0))))</f>
        <v>4487.8927078800252</v>
      </c>
      <c r="M278" s="169">
        <f ca="1">IF($C278-M$1&lt;År1,0,L277*(1-VLOOKUP($A278,[1]Hugst!$R$5:$W$9,MATCH(ROUNDUP((M$1)/10,0)*10,[1]Hugst!$R$4:$W$4,0))))</f>
        <v>4496.2518317878157</v>
      </c>
      <c r="N278" s="169">
        <f ca="1">IF($C278-N$1&lt;År1,0,M277*(1-VLOOKUP($A278,[1]Hugst!$R$5:$W$9,MATCH(ROUNDUP((N$1)/10,0)*10,[1]Hugst!$R$4:$W$4,0))))</f>
        <v>4504.7474805126503</v>
      </c>
      <c r="O278" s="169">
        <f ca="1">IF($C278-O$1&lt;År1,0,N277*(1-VLOOKUP($A278,[1]Hugst!$R$5:$W$9,MATCH(ROUNDUP((O$1)/10,0)*10,[1]Hugst!$R$4:$W$4,0))))</f>
        <v>4513.4711529808619</v>
      </c>
      <c r="P278" s="169">
        <f ca="1">IF($C278-P$1&lt;År1,0,O277*(1-VLOOKUP($A278,[1]Hugst!$R$5:$W$9,MATCH(ROUNDUP((P$1)/10,0)*10,[1]Hugst!$R$4:$W$4,0))))</f>
        <v>4523.4484268571423</v>
      </c>
      <c r="Q278" s="169">
        <f ca="1">IF($C278-Q$1&lt;År1,0,P277*(1-VLOOKUP($A278,[1]Hugst!$R$5:$W$9,MATCH(ROUNDUP((Q$1)/10,0)*10,[1]Hugst!$R$4:$W$4,0))))</f>
        <v>4533.4737547045324</v>
      </c>
      <c r="R278" s="169">
        <f ca="1">IF($C278-R$1&lt;År1,0,Q277*(1-VLOOKUP($A278,[1]Hugst!$R$5:$W$9,MATCH(ROUNDUP((R$1)/10,0)*10,[1]Hugst!$R$4:$W$4,0))))</f>
        <v>4543.5452949168384</v>
      </c>
      <c r="S278" s="169">
        <f ca="1">IF($C278-S$1&lt;År1,0,R277*(1-VLOOKUP($A278,[1]Hugst!$R$5:$W$9,MATCH(ROUNDUP((S$1)/10,0)*10,[1]Hugst!$R$4:$W$4,0))))</f>
        <v>4553.6591135500084</v>
      </c>
      <c r="T278" s="169">
        <f ca="1">IF($C278-T$1&lt;År1,0,S277*(1-VLOOKUP($A278,[1]Hugst!$R$5:$W$9,MATCH(ROUNDUP((T$1)/10,0)*10,[1]Hugst!$R$4:$W$4,0))))</f>
        <v>4563.8070907244482</v>
      </c>
      <c r="U278" s="169">
        <f ca="1">IF($C278-U$1&lt;År1,0,T277*(1-VLOOKUP($A278,[1]Hugst!$R$5:$W$9,MATCH(ROUNDUP((U$1)/10,0)*10,[1]Hugst!$R$4:$W$4,0))))</f>
        <v>4573.9727334231638</v>
      </c>
      <c r="V278" s="169">
        <f ca="1">IF($C278-V$1&lt;År1,0,U277*(1-VLOOKUP($A278,[1]Hugst!$R$5:$W$9,MATCH(ROUNDUP((V$1)/10,0)*10,[1]Hugst!$R$4:$W$4,0))))</f>
        <v>4584.1228010817622</v>
      </c>
      <c r="W278" s="169">
        <f ca="1">IF($C278-W$1&lt;År1,0,V277*(1-VLOOKUP($A278,[1]Hugst!$R$5:$W$9,MATCH(ROUNDUP((W$1)/10,0)*10,[1]Hugst!$R$4:$W$4,0))))</f>
        <v>4594.1905567619388</v>
      </c>
      <c r="X278" s="169">
        <f ca="1">IF($C278-X$1&lt;År1,0,W277*(1-VLOOKUP($A278,[1]Hugst!$R$5:$W$9,MATCH(ROUNDUP((X$1)/10,0)*10,[1]Hugst!$R$4:$W$4,0))))</f>
        <v>4604.0422694921162</v>
      </c>
      <c r="Y278" s="169">
        <f ca="1">IF($C278-Y$1&lt;År1,0,X277*(1-VLOOKUP($A278,[1]Hugst!$R$5:$W$9,MATCH(ROUNDUP((Y$1)/10,0)*10,[1]Hugst!$R$4:$W$4,0))))</f>
        <v>4613.4102189421337</v>
      </c>
      <c r="Z278" s="169">
        <f ca="1">IF($C278-Z$1&lt;År1,0,Y277*(1-VLOOKUP($A278,[1]Hugst!$R$5:$W$9,MATCH(ROUNDUP((Z$1)/10,0)*10,[1]Hugst!$R$4:$W$4,0))))</f>
        <v>4620.2181185317058</v>
      </c>
      <c r="AA278" s="169">
        <f ca="1">IF($C278-AA$1&lt;År1,0,Z277*(1-VLOOKUP($A278,[1]Hugst!$R$5:$W$9,MATCH(ROUNDUP((AA$1)/10,0)*10,[1]Hugst!$R$4:$W$4,0))))</f>
        <v>4624.93123546483</v>
      </c>
      <c r="AB278" s="169">
        <f ca="1">IF($C278-AB$1&lt;År1,0,AA277*(1-VLOOKUP($A278,[1]Hugst!$R$5:$W$9,MATCH(ROUNDUP((AB$1)/10,0)*10,[1]Hugst!$R$4:$W$4,0))))</f>
        <v>4625.4102192909495</v>
      </c>
      <c r="AC278" s="169">
        <f ca="1">IF($C278-AC$1&lt;År1,0,AB277*(1-VLOOKUP($A278,[1]Hugst!$R$5:$W$9,MATCH(ROUNDUP((AC$1)/10,0)*10,[1]Hugst!$R$4:$W$4,0))))</f>
        <v>4617.3775811749465</v>
      </c>
      <c r="AD278" s="169">
        <f ca="1">IF($C278-AD$1&lt;År1,0,AC277*(1-VLOOKUP($A278,[1]Hugst!$R$5:$W$9,MATCH(ROUNDUP((AD$1)/10,0)*10,[1]Hugst!$R$4:$W$4,0))))</f>
        <v>4592.280979933199</v>
      </c>
      <c r="AE278" s="169">
        <f ca="1">IF($C278-AE$1&lt;År1,0,AD277*(1-VLOOKUP($A278,[1]Hugst!$R$5:$W$9,MATCH(ROUNDUP((AE$1)/10,0)*10,[1]Hugst!$R$4:$W$4,0))))</f>
        <v>4533.0212185768196</v>
      </c>
      <c r="AF278" s="169">
        <f ca="1">IF($C278-AF$1&lt;År1,0,AE277*(1-VLOOKUP($A278,[1]Hugst!$R$5:$W$9,MATCH(ROUNDUP((AF$1)/10,0)*10,[1]Hugst!$R$4:$W$4,0))))</f>
        <v>4405.4110853961538</v>
      </c>
      <c r="AG278" s="169">
        <f ca="1">IF($C278-AG$1&lt;År1,0,AF277*(1-VLOOKUP($A278,[1]Hugst!$R$5:$W$9,MATCH(ROUNDUP((AG$1)/10,0)*10,[1]Hugst!$R$4:$W$4,0))))</f>
        <v>4141.0987302302774</v>
      </c>
      <c r="AH278" s="169">
        <f ca="1">IF($C278-AH$1&lt;År1,0,AG277*(1-VLOOKUP($A278,[1]Hugst!$R$5:$W$9,MATCH(ROUNDUP((AH$1)/10,0)*10,[1]Hugst!$R$4:$W$4,0))))</f>
        <v>3603.4258014180082</v>
      </c>
      <c r="AI278" s="169">
        <f>IF($C278-AI$1&lt;År1,0,AH277*(1-VLOOKUP($A278,[1]Hugst!$R$5:$W$9,MATCH(ROUNDUP((AI$1)/10,0)*10,[1]Hugst!$R$4:$W$4,0))))</f>
        <v>0</v>
      </c>
      <c r="AJ278" s="169">
        <f>IF($C278-AJ$1&lt;År1,0,AI277*(1-VLOOKUP($A278,[1]Hugst!$R$5:$W$9,MATCH(ROUNDUP((AJ$1)/10,0)*10,[1]Hugst!$R$4:$W$4,0))))</f>
        <v>0</v>
      </c>
    </row>
    <row r="279" spans="1:36" x14ac:dyDescent="0.25">
      <c r="A279" s="169" t="s">
        <v>180</v>
      </c>
      <c r="B279" s="169" t="s">
        <v>23</v>
      </c>
      <c r="C279" s="169">
        <v>2049</v>
      </c>
      <c r="D279" s="169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1888.8040216906302</v>
      </c>
      <c r="E279" s="169">
        <f t="shared" ca="1" si="6"/>
        <v>14.792195063026156</v>
      </c>
      <c r="F279" s="169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4431.1753347479125</v>
      </c>
      <c r="G279" s="169">
        <f ca="1">IF($C279-G$1&lt;År1,0,F278*(1-VLOOKUP($A279,[1]Hugst!$R$5:$W$9,MATCH(ROUNDUP((G$1)/10,0)*10,[1]Hugst!$R$4:$W$4,0))))</f>
        <v>4439.133426406951</v>
      </c>
      <c r="H279" s="169">
        <f ca="1">IF($C279-H$1&lt;År1,0,G278*(1-VLOOKUP($A279,[1]Hugst!$R$5:$W$9,MATCH(ROUNDUP((H$1)/10,0)*10,[1]Hugst!$R$4:$W$4,0))))</f>
        <v>4447.1359168334775</v>
      </c>
      <c r="I279" s="169">
        <f ca="1">IF($C279-I$1&lt;År1,0,H278*(1-VLOOKUP($A279,[1]Hugst!$R$5:$W$9,MATCH(ROUNDUP((I$1)/10,0)*10,[1]Hugst!$R$4:$W$4,0))))</f>
        <v>4455.1837398361922</v>
      </c>
      <c r="J279" s="169">
        <f ca="1">IF($C279-J$1&lt;År1,0,I278*(1-VLOOKUP($A279,[1]Hugst!$R$5:$W$9,MATCH(ROUNDUP((J$1)/10,0)*10,[1]Hugst!$R$4:$W$4,0))))</f>
        <v>4463.2785433823838</v>
      </c>
      <c r="K279" s="169">
        <f ca="1">IF($C279-K$1&lt;År1,0,J278*(1-VLOOKUP($A279,[1]Hugst!$R$5:$W$9,MATCH(ROUNDUP((K$1)/10,0)*10,[1]Hugst!$R$4:$W$4,0))))</f>
        <v>4471.4234026531476</v>
      </c>
      <c r="L279" s="169">
        <f ca="1">IF($C279-L$1&lt;År1,0,K278*(1-VLOOKUP($A279,[1]Hugst!$R$5:$W$9,MATCH(ROUNDUP((L$1)/10,0)*10,[1]Hugst!$R$4:$W$4,0))))</f>
        <v>4479.6242461466054</v>
      </c>
      <c r="M279" s="169">
        <f ca="1">IF($C279-M$1&lt;År1,0,L278*(1-VLOOKUP($A279,[1]Hugst!$R$5:$W$9,MATCH(ROUNDUP((M$1)/10,0)*10,[1]Hugst!$R$4:$W$4,0))))</f>
        <v>4487.8927078800252</v>
      </c>
      <c r="N279" s="169">
        <f ca="1">IF($C279-N$1&lt;År1,0,M278*(1-VLOOKUP($A279,[1]Hugst!$R$5:$W$9,MATCH(ROUNDUP((N$1)/10,0)*10,[1]Hugst!$R$4:$W$4,0))))</f>
        <v>4496.2518317878157</v>
      </c>
      <c r="O279" s="169">
        <f ca="1">IF($C279-O$1&lt;År1,0,N278*(1-VLOOKUP($A279,[1]Hugst!$R$5:$W$9,MATCH(ROUNDUP((O$1)/10,0)*10,[1]Hugst!$R$4:$W$4,0))))</f>
        <v>4504.7474805126503</v>
      </c>
      <c r="P279" s="169">
        <f ca="1">IF($C279-P$1&lt;År1,0,O278*(1-VLOOKUP($A279,[1]Hugst!$R$5:$W$9,MATCH(ROUNDUP((P$1)/10,0)*10,[1]Hugst!$R$4:$W$4,0))))</f>
        <v>4513.4711529808619</v>
      </c>
      <c r="Q279" s="169">
        <f ca="1">IF($C279-Q$1&lt;År1,0,P278*(1-VLOOKUP($A279,[1]Hugst!$R$5:$W$9,MATCH(ROUNDUP((Q$1)/10,0)*10,[1]Hugst!$R$4:$W$4,0))))</f>
        <v>4523.4484268571423</v>
      </c>
      <c r="R279" s="169">
        <f ca="1">IF($C279-R$1&lt;År1,0,Q278*(1-VLOOKUP($A279,[1]Hugst!$R$5:$W$9,MATCH(ROUNDUP((R$1)/10,0)*10,[1]Hugst!$R$4:$W$4,0))))</f>
        <v>4533.4737547045324</v>
      </c>
      <c r="S279" s="169">
        <f ca="1">IF($C279-S$1&lt;År1,0,R278*(1-VLOOKUP($A279,[1]Hugst!$R$5:$W$9,MATCH(ROUNDUP((S$1)/10,0)*10,[1]Hugst!$R$4:$W$4,0))))</f>
        <v>4543.5452949168384</v>
      </c>
      <c r="T279" s="169">
        <f ca="1">IF($C279-T$1&lt;År1,0,S278*(1-VLOOKUP($A279,[1]Hugst!$R$5:$W$9,MATCH(ROUNDUP((T$1)/10,0)*10,[1]Hugst!$R$4:$W$4,0))))</f>
        <v>4553.6591135500084</v>
      </c>
      <c r="U279" s="169">
        <f ca="1">IF($C279-U$1&lt;År1,0,T278*(1-VLOOKUP($A279,[1]Hugst!$R$5:$W$9,MATCH(ROUNDUP((U$1)/10,0)*10,[1]Hugst!$R$4:$W$4,0))))</f>
        <v>4563.8070907244482</v>
      </c>
      <c r="V279" s="169">
        <f ca="1">IF($C279-V$1&lt;År1,0,U278*(1-VLOOKUP($A279,[1]Hugst!$R$5:$W$9,MATCH(ROUNDUP((V$1)/10,0)*10,[1]Hugst!$R$4:$W$4,0))))</f>
        <v>4573.9727334231638</v>
      </c>
      <c r="W279" s="169">
        <f ca="1">IF($C279-W$1&lt;År1,0,V278*(1-VLOOKUP($A279,[1]Hugst!$R$5:$W$9,MATCH(ROUNDUP((W$1)/10,0)*10,[1]Hugst!$R$4:$W$4,0))))</f>
        <v>4584.1228010817622</v>
      </c>
      <c r="X279" s="169">
        <f ca="1">IF($C279-X$1&lt;År1,0,W278*(1-VLOOKUP($A279,[1]Hugst!$R$5:$W$9,MATCH(ROUNDUP((X$1)/10,0)*10,[1]Hugst!$R$4:$W$4,0))))</f>
        <v>4594.1905567619388</v>
      </c>
      <c r="Y279" s="169">
        <f ca="1">IF($C279-Y$1&lt;År1,0,X278*(1-VLOOKUP($A279,[1]Hugst!$R$5:$W$9,MATCH(ROUNDUP((Y$1)/10,0)*10,[1]Hugst!$R$4:$W$4,0))))</f>
        <v>4604.0422694921162</v>
      </c>
      <c r="Z279" s="169">
        <f ca="1">IF($C279-Z$1&lt;År1,0,Y278*(1-VLOOKUP($A279,[1]Hugst!$R$5:$W$9,MATCH(ROUNDUP((Z$1)/10,0)*10,[1]Hugst!$R$4:$W$4,0))))</f>
        <v>4611.8724155358195</v>
      </c>
      <c r="AA279" s="169">
        <f ca="1">IF($C279-AA$1&lt;År1,0,Z278*(1-VLOOKUP($A279,[1]Hugst!$R$5:$W$9,MATCH(ROUNDUP((AA$1)/10,0)*10,[1]Hugst!$R$4:$W$4,0))))</f>
        <v>4618.6780458255289</v>
      </c>
      <c r="AB279" s="169">
        <f ca="1">IF($C279-AB$1&lt;År1,0,AA278*(1-VLOOKUP($A279,[1]Hugst!$R$5:$W$9,MATCH(ROUNDUP((AB$1)/10,0)*10,[1]Hugst!$R$4:$W$4,0))))</f>
        <v>4623.3895917196751</v>
      </c>
      <c r="AC279" s="169">
        <f ca="1">IF($C279-AC$1&lt;År1,0,AB278*(1-VLOOKUP($A279,[1]Hugst!$R$5:$W$9,MATCH(ROUNDUP((AC$1)/10,0)*10,[1]Hugst!$R$4:$W$4,0))))</f>
        <v>4623.868415884519</v>
      </c>
      <c r="AD279" s="169">
        <f ca="1">IF($C279-AD$1&lt;År1,0,AC278*(1-VLOOKUP($A279,[1]Hugst!$R$5:$W$9,MATCH(ROUNDUP((AD$1)/10,0)*10,[1]Hugst!$R$4:$W$4,0))))</f>
        <v>4615.8384553145552</v>
      </c>
      <c r="AE279" s="169">
        <f ca="1">IF($C279-AE$1&lt;År1,0,AD278*(1-VLOOKUP($A279,[1]Hugst!$R$5:$W$9,MATCH(ROUNDUP((AE$1)/10,0)*10,[1]Hugst!$R$4:$W$4,0))))</f>
        <v>4590.7502196065543</v>
      </c>
      <c r="AF279" s="169">
        <f ca="1">IF($C279-AF$1&lt;År1,0,AE278*(1-VLOOKUP($A279,[1]Hugst!$R$5:$W$9,MATCH(ROUNDUP((AF$1)/10,0)*10,[1]Hugst!$R$4:$W$4,0))))</f>
        <v>4531.5102115039608</v>
      </c>
      <c r="AG279" s="169">
        <f ca="1">IF($C279-AG$1&lt;År1,0,AF278*(1-VLOOKUP($A279,[1]Hugst!$R$5:$W$9,MATCH(ROUNDUP((AG$1)/10,0)*10,[1]Hugst!$R$4:$W$4,0))))</f>
        <v>4403.9426150343552</v>
      </c>
      <c r="AH279" s="169">
        <f ca="1">IF($C279-AH$1&lt;År1,0,AG278*(1-VLOOKUP($A279,[1]Hugst!$R$5:$W$9,MATCH(ROUNDUP((AH$1)/10,0)*10,[1]Hugst!$R$4:$W$4,0))))</f>
        <v>4139.7183639868672</v>
      </c>
      <c r="AI279" s="169">
        <f ca="1">IF($C279-AI$1&lt;År1,0,AH278*(1-VLOOKUP($A279,[1]Hugst!$R$5:$W$9,MATCH(ROUNDUP((AI$1)/10,0)*10,[1]Hugst!$R$4:$W$4,0))))</f>
        <v>3602.2246594842022</v>
      </c>
      <c r="AJ279" s="169">
        <f>IF($C279-AJ$1&lt;År1,0,AI278*(1-VLOOKUP($A279,[1]Hugst!$R$5:$W$9,MATCH(ROUNDUP((AJ$1)/10,0)*10,[1]Hugst!$R$4:$W$4,0))))</f>
        <v>0</v>
      </c>
    </row>
    <row r="280" spans="1:36" x14ac:dyDescent="0.25">
      <c r="A280" s="169" t="s">
        <v>180</v>
      </c>
      <c r="B280" s="169" t="s">
        <v>23</v>
      </c>
      <c r="C280" s="169">
        <v>2050</v>
      </c>
      <c r="D280" s="169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1879.3600025942178</v>
      </c>
      <c r="E280" s="169">
        <f t="shared" ca="1" si="6"/>
        <v>24.727135959925363</v>
      </c>
      <c r="F280" s="169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4431.6662565483994</v>
      </c>
      <c r="G280" s="169">
        <f ca="1">IF($C280-G$1&lt;År1,0,F279*(1-VLOOKUP($A280,[1]Hugst!$R$5:$W$9,MATCH(ROUNDUP((G$1)/10,0)*10,[1]Hugst!$R$4:$W$4,0))))</f>
        <v>4431.1753347479125</v>
      </c>
      <c r="H280" s="169">
        <f ca="1">IF($C280-H$1&lt;År1,0,G279*(1-VLOOKUP($A280,[1]Hugst!$R$5:$W$9,MATCH(ROUNDUP((H$1)/10,0)*10,[1]Hugst!$R$4:$W$4,0))))</f>
        <v>4439.133426406951</v>
      </c>
      <c r="I280" s="169">
        <f ca="1">IF($C280-I$1&lt;År1,0,H279*(1-VLOOKUP($A280,[1]Hugst!$R$5:$W$9,MATCH(ROUNDUP((I$1)/10,0)*10,[1]Hugst!$R$4:$W$4,0))))</f>
        <v>4447.1359168334775</v>
      </c>
      <c r="J280" s="169">
        <f ca="1">IF($C280-J$1&lt;År1,0,I279*(1-VLOOKUP($A280,[1]Hugst!$R$5:$W$9,MATCH(ROUNDUP((J$1)/10,0)*10,[1]Hugst!$R$4:$W$4,0))))</f>
        <v>4455.1837398361922</v>
      </c>
      <c r="K280" s="169">
        <f ca="1">IF($C280-K$1&lt;År1,0,J279*(1-VLOOKUP($A280,[1]Hugst!$R$5:$W$9,MATCH(ROUNDUP((K$1)/10,0)*10,[1]Hugst!$R$4:$W$4,0))))</f>
        <v>4463.2785433823838</v>
      </c>
      <c r="L280" s="169">
        <f ca="1">IF($C280-L$1&lt;År1,0,K279*(1-VLOOKUP($A280,[1]Hugst!$R$5:$W$9,MATCH(ROUNDUP((L$1)/10,0)*10,[1]Hugst!$R$4:$W$4,0))))</f>
        <v>4471.4234026531476</v>
      </c>
      <c r="M280" s="169">
        <f ca="1">IF($C280-M$1&lt;År1,0,L279*(1-VLOOKUP($A280,[1]Hugst!$R$5:$W$9,MATCH(ROUNDUP((M$1)/10,0)*10,[1]Hugst!$R$4:$W$4,0))))</f>
        <v>4479.6242461466054</v>
      </c>
      <c r="N280" s="169">
        <f ca="1">IF($C280-N$1&lt;År1,0,M279*(1-VLOOKUP($A280,[1]Hugst!$R$5:$W$9,MATCH(ROUNDUP((N$1)/10,0)*10,[1]Hugst!$R$4:$W$4,0))))</f>
        <v>4487.8927078800252</v>
      </c>
      <c r="O280" s="169">
        <f ca="1">IF($C280-O$1&lt;År1,0,N279*(1-VLOOKUP($A280,[1]Hugst!$R$5:$W$9,MATCH(ROUNDUP((O$1)/10,0)*10,[1]Hugst!$R$4:$W$4,0))))</f>
        <v>4496.2518317878157</v>
      </c>
      <c r="P280" s="169">
        <f ca="1">IF($C280-P$1&lt;År1,0,O279*(1-VLOOKUP($A280,[1]Hugst!$R$5:$W$9,MATCH(ROUNDUP((P$1)/10,0)*10,[1]Hugst!$R$4:$W$4,0))))</f>
        <v>4504.7474805126503</v>
      </c>
      <c r="Q280" s="169">
        <f ca="1">IF($C280-Q$1&lt;År1,0,P279*(1-VLOOKUP($A280,[1]Hugst!$R$5:$W$9,MATCH(ROUNDUP((Q$1)/10,0)*10,[1]Hugst!$R$4:$W$4,0))))</f>
        <v>4513.4711529808619</v>
      </c>
      <c r="R280" s="169">
        <f ca="1">IF($C280-R$1&lt;År1,0,Q279*(1-VLOOKUP($A280,[1]Hugst!$R$5:$W$9,MATCH(ROUNDUP((R$1)/10,0)*10,[1]Hugst!$R$4:$W$4,0))))</f>
        <v>4523.4484268571423</v>
      </c>
      <c r="S280" s="169">
        <f ca="1">IF($C280-S$1&lt;År1,0,R279*(1-VLOOKUP($A280,[1]Hugst!$R$5:$W$9,MATCH(ROUNDUP((S$1)/10,0)*10,[1]Hugst!$R$4:$W$4,0))))</f>
        <v>4533.4737547045324</v>
      </c>
      <c r="T280" s="169">
        <f ca="1">IF($C280-T$1&lt;År1,0,S279*(1-VLOOKUP($A280,[1]Hugst!$R$5:$W$9,MATCH(ROUNDUP((T$1)/10,0)*10,[1]Hugst!$R$4:$W$4,0))))</f>
        <v>4543.5452949168384</v>
      </c>
      <c r="U280" s="169">
        <f ca="1">IF($C280-U$1&lt;År1,0,T279*(1-VLOOKUP($A280,[1]Hugst!$R$5:$W$9,MATCH(ROUNDUP((U$1)/10,0)*10,[1]Hugst!$R$4:$W$4,0))))</f>
        <v>4553.6591135500084</v>
      </c>
      <c r="V280" s="169">
        <f ca="1">IF($C280-V$1&lt;År1,0,U279*(1-VLOOKUP($A280,[1]Hugst!$R$5:$W$9,MATCH(ROUNDUP((V$1)/10,0)*10,[1]Hugst!$R$4:$W$4,0))))</f>
        <v>4563.8070907244482</v>
      </c>
      <c r="W280" s="169">
        <f ca="1">IF($C280-W$1&lt;År1,0,V279*(1-VLOOKUP($A280,[1]Hugst!$R$5:$W$9,MATCH(ROUNDUP((W$1)/10,0)*10,[1]Hugst!$R$4:$W$4,0))))</f>
        <v>4573.9727334231638</v>
      </c>
      <c r="X280" s="169">
        <f ca="1">IF($C280-X$1&lt;År1,0,W279*(1-VLOOKUP($A280,[1]Hugst!$R$5:$W$9,MATCH(ROUNDUP((X$1)/10,0)*10,[1]Hugst!$R$4:$W$4,0))))</f>
        <v>4584.1228010817622</v>
      </c>
      <c r="Y280" s="169">
        <f ca="1">IF($C280-Y$1&lt;År1,0,X279*(1-VLOOKUP($A280,[1]Hugst!$R$5:$W$9,MATCH(ROUNDUP((Y$1)/10,0)*10,[1]Hugst!$R$4:$W$4,0))))</f>
        <v>4594.1905567619388</v>
      </c>
      <c r="Z280" s="169">
        <f ca="1">IF($C280-Z$1&lt;År1,0,Y279*(1-VLOOKUP($A280,[1]Hugst!$R$5:$W$9,MATCH(ROUNDUP((Z$1)/10,0)*10,[1]Hugst!$R$4:$W$4,0))))</f>
        <v>4602.5075887356188</v>
      </c>
      <c r="AA280" s="169">
        <f ca="1">IF($C280-AA$1&lt;År1,0,Z279*(1-VLOOKUP($A280,[1]Hugst!$R$5:$W$9,MATCH(ROUNDUP((AA$1)/10,0)*10,[1]Hugst!$R$4:$W$4,0))))</f>
        <v>4610.3351247306409</v>
      </c>
      <c r="AB280" s="169">
        <f ca="1">IF($C280-AB$1&lt;År1,0,AA279*(1-VLOOKUP($A280,[1]Hugst!$R$5:$W$9,MATCH(ROUNDUP((AB$1)/10,0)*10,[1]Hugst!$R$4:$W$4,0))))</f>
        <v>4617.1384864769207</v>
      </c>
      <c r="AC280" s="169">
        <f ca="1">IF($C280-AC$1&lt;År1,0,AB279*(1-VLOOKUP($A280,[1]Hugst!$R$5:$W$9,MATCH(ROUNDUP((AC$1)/10,0)*10,[1]Hugst!$R$4:$W$4,0))))</f>
        <v>4621.8484618557686</v>
      </c>
      <c r="AD280" s="169">
        <f ca="1">IF($C280-AD$1&lt;År1,0,AC279*(1-VLOOKUP($A280,[1]Hugst!$R$5:$W$9,MATCH(ROUNDUP((AD$1)/10,0)*10,[1]Hugst!$R$4:$W$4,0))))</f>
        <v>4622.3271264125578</v>
      </c>
      <c r="AE280" s="169">
        <f ca="1">IF($C280-AE$1&lt;År1,0,AD279*(1-VLOOKUP($A280,[1]Hugst!$R$5:$W$9,MATCH(ROUNDUP((AE$1)/10,0)*10,[1]Hugst!$R$4:$W$4,0))))</f>
        <v>4614.299842496117</v>
      </c>
      <c r="AF280" s="169">
        <f ca="1">IF($C280-AF$1&lt;År1,0,AE279*(1-VLOOKUP($A280,[1]Hugst!$R$5:$W$9,MATCH(ROUNDUP((AF$1)/10,0)*10,[1]Hugst!$R$4:$W$4,0))))</f>
        <v>4589.219969533352</v>
      </c>
      <c r="AG280" s="169">
        <f ca="1">IF($C280-AG$1&lt;År1,0,AF279*(1-VLOOKUP($A280,[1]Hugst!$R$5:$W$9,MATCH(ROUNDUP((AG$1)/10,0)*10,[1]Hugst!$R$4:$W$4,0))))</f>
        <v>4529.9997081001266</v>
      </c>
      <c r="AH280" s="169">
        <f ca="1">IF($C280-AH$1&lt;År1,0,AG279*(1-VLOOKUP($A280,[1]Hugst!$R$5:$W$9,MATCH(ROUNDUP((AH$1)/10,0)*10,[1]Hugst!$R$4:$W$4,0))))</f>
        <v>4402.4746341626769</v>
      </c>
      <c r="AI280" s="169">
        <f ca="1">IF($C280-AI$1&lt;År1,0,AH279*(1-VLOOKUP($A280,[1]Hugst!$R$5:$W$9,MATCH(ROUNDUP((AI$1)/10,0)*10,[1]Hugst!$R$4:$W$4,0))))</f>
        <v>4138.3384578655387</v>
      </c>
      <c r="AJ280" s="169">
        <f ca="1">IF($C280-AJ$1&lt;År1,0,AI279*(1-VLOOKUP($A280,[1]Hugst!$R$5:$W$9,MATCH(ROUNDUP((AJ$1)/10,0)*10,[1]Hugst!$R$4:$W$4,0))))</f>
        <v>3592.6187270589107</v>
      </c>
    </row>
    <row r="281" spans="1:36" x14ac:dyDescent="0.25">
      <c r="A281" s="169" t="s">
        <v>180</v>
      </c>
      <c r="B281" s="169" t="s">
        <v>24</v>
      </c>
      <c r="C281" s="169">
        <v>2020</v>
      </c>
      <c r="D281" s="169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318.07499999999709</v>
      </c>
      <c r="E281" s="169">
        <f>IF(C281=2020,SUM(G281:AJ281),SUM(F280:AJ280)-SUM(G281:AJ281))</f>
        <v>0</v>
      </c>
      <c r="F281" s="169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590.49588200574033</v>
      </c>
      <c r="G281" s="169">
        <f>IF($C281-G$1&lt;År1,0,F280*(1-VLOOKUP($A281,[1]Hugst!$R$5:$W$9,MATCH(ROUNDUP((G$1)/10,0)*10,[1]Hugst!$R$4:$W$4,0))))</f>
        <v>0</v>
      </c>
      <c r="H281" s="169">
        <f>IF($C281-H$1&lt;År1,0,G280*(1-VLOOKUP($A281,[1]Hugst!$R$5:$W$9,MATCH(ROUNDUP((H$1)/10,0)*10,[1]Hugst!$R$4:$W$4,0))))</f>
        <v>0</v>
      </c>
      <c r="I281" s="169">
        <f>IF($C281-I$1&lt;År1,0,H280*(1-VLOOKUP($A281,[1]Hugst!$R$5:$W$9,MATCH(ROUNDUP((I$1)/10,0)*10,[1]Hugst!$R$4:$W$4,0))))</f>
        <v>0</v>
      </c>
      <c r="J281" s="169">
        <f>IF($C281-J$1&lt;År1,0,I280*(1-VLOOKUP($A281,[1]Hugst!$R$5:$W$9,MATCH(ROUNDUP((J$1)/10,0)*10,[1]Hugst!$R$4:$W$4,0))))</f>
        <v>0</v>
      </c>
      <c r="K281" s="169">
        <f>IF($C281-K$1&lt;År1,0,J280*(1-VLOOKUP($A281,[1]Hugst!$R$5:$W$9,MATCH(ROUNDUP((K$1)/10,0)*10,[1]Hugst!$R$4:$W$4,0))))</f>
        <v>0</v>
      </c>
      <c r="L281" s="169">
        <f>IF($C281-L$1&lt;År1,0,K280*(1-VLOOKUP($A281,[1]Hugst!$R$5:$W$9,MATCH(ROUNDUP((L$1)/10,0)*10,[1]Hugst!$R$4:$W$4,0))))</f>
        <v>0</v>
      </c>
      <c r="M281" s="169">
        <f>IF($C281-M$1&lt;År1,0,L280*(1-VLOOKUP($A281,[1]Hugst!$R$5:$W$9,MATCH(ROUNDUP((M$1)/10,0)*10,[1]Hugst!$R$4:$W$4,0))))</f>
        <v>0</v>
      </c>
      <c r="N281" s="169">
        <f>IF($C281-N$1&lt;År1,0,M280*(1-VLOOKUP($A281,[1]Hugst!$R$5:$W$9,MATCH(ROUNDUP((N$1)/10,0)*10,[1]Hugst!$R$4:$W$4,0))))</f>
        <v>0</v>
      </c>
      <c r="O281" s="169">
        <f>IF($C281-O$1&lt;År1,0,N280*(1-VLOOKUP($A281,[1]Hugst!$R$5:$W$9,MATCH(ROUNDUP((O$1)/10,0)*10,[1]Hugst!$R$4:$W$4,0))))</f>
        <v>0</v>
      </c>
      <c r="P281" s="169">
        <f>IF($C281-P$1&lt;År1,0,O280*(1-VLOOKUP($A281,[1]Hugst!$R$5:$W$9,MATCH(ROUNDUP((P$1)/10,0)*10,[1]Hugst!$R$4:$W$4,0))))</f>
        <v>0</v>
      </c>
      <c r="Q281" s="169">
        <f>IF($C281-Q$1&lt;År1,0,P280*(1-VLOOKUP($A281,[1]Hugst!$R$5:$W$9,MATCH(ROUNDUP((Q$1)/10,0)*10,[1]Hugst!$R$4:$W$4,0))))</f>
        <v>0</v>
      </c>
      <c r="R281" s="169">
        <f>IF($C281-R$1&lt;År1,0,Q280*(1-VLOOKUP($A281,[1]Hugst!$R$5:$W$9,MATCH(ROUNDUP((R$1)/10,0)*10,[1]Hugst!$R$4:$W$4,0))))</f>
        <v>0</v>
      </c>
      <c r="S281" s="169">
        <f>IF($C281-S$1&lt;År1,0,R280*(1-VLOOKUP($A281,[1]Hugst!$R$5:$W$9,MATCH(ROUNDUP((S$1)/10,0)*10,[1]Hugst!$R$4:$W$4,0))))</f>
        <v>0</v>
      </c>
      <c r="T281" s="169">
        <f>IF($C281-T$1&lt;År1,0,S280*(1-VLOOKUP($A281,[1]Hugst!$R$5:$W$9,MATCH(ROUNDUP((T$1)/10,0)*10,[1]Hugst!$R$4:$W$4,0))))</f>
        <v>0</v>
      </c>
      <c r="U281" s="169">
        <f>IF($C281-U$1&lt;År1,0,T280*(1-VLOOKUP($A281,[1]Hugst!$R$5:$W$9,MATCH(ROUNDUP((U$1)/10,0)*10,[1]Hugst!$R$4:$W$4,0))))</f>
        <v>0</v>
      </c>
      <c r="V281" s="169">
        <f>IF($C281-V$1&lt;År1,0,U280*(1-VLOOKUP($A281,[1]Hugst!$R$5:$W$9,MATCH(ROUNDUP((V$1)/10,0)*10,[1]Hugst!$R$4:$W$4,0))))</f>
        <v>0</v>
      </c>
      <c r="W281" s="169">
        <f>IF($C281-W$1&lt;År1,0,V280*(1-VLOOKUP($A281,[1]Hugst!$R$5:$W$9,MATCH(ROUNDUP((W$1)/10,0)*10,[1]Hugst!$R$4:$W$4,0))))</f>
        <v>0</v>
      </c>
      <c r="X281" s="169">
        <f>IF($C281-X$1&lt;År1,0,W280*(1-VLOOKUP($A281,[1]Hugst!$R$5:$W$9,MATCH(ROUNDUP((X$1)/10,0)*10,[1]Hugst!$R$4:$W$4,0))))</f>
        <v>0</v>
      </c>
      <c r="Y281" s="169">
        <f>IF($C281-Y$1&lt;År1,0,X280*(1-VLOOKUP($A281,[1]Hugst!$R$5:$W$9,MATCH(ROUNDUP((Y$1)/10,0)*10,[1]Hugst!$R$4:$W$4,0))))</f>
        <v>0</v>
      </c>
      <c r="Z281" s="169">
        <f>IF($C281-Z$1&lt;År1,0,Y280*(1-VLOOKUP($A281,[1]Hugst!$R$5:$W$9,MATCH(ROUNDUP((Z$1)/10,0)*10,[1]Hugst!$R$4:$W$4,0))))</f>
        <v>0</v>
      </c>
      <c r="AA281" s="169">
        <f>IF($C281-AA$1&lt;År1,0,Z280*(1-VLOOKUP($A281,[1]Hugst!$R$5:$W$9,MATCH(ROUNDUP((AA$1)/10,0)*10,[1]Hugst!$R$4:$W$4,0))))</f>
        <v>0</v>
      </c>
      <c r="AB281" s="169">
        <f>IF($C281-AB$1&lt;År1,0,AA280*(1-VLOOKUP($A281,[1]Hugst!$R$5:$W$9,MATCH(ROUNDUP((AB$1)/10,0)*10,[1]Hugst!$R$4:$W$4,0))))</f>
        <v>0</v>
      </c>
      <c r="AC281" s="169">
        <f>IF($C281-AC$1&lt;År1,0,AB280*(1-VLOOKUP($A281,[1]Hugst!$R$5:$W$9,MATCH(ROUNDUP((AC$1)/10,0)*10,[1]Hugst!$R$4:$W$4,0))))</f>
        <v>0</v>
      </c>
      <c r="AD281" s="169">
        <f>IF($C281-AD$1&lt;År1,0,AC280*(1-VLOOKUP($A281,[1]Hugst!$R$5:$W$9,MATCH(ROUNDUP((AD$1)/10,0)*10,[1]Hugst!$R$4:$W$4,0))))</f>
        <v>0</v>
      </c>
      <c r="AE281" s="169">
        <f>IF($C281-AE$1&lt;År1,0,AD280*(1-VLOOKUP($A281,[1]Hugst!$R$5:$W$9,MATCH(ROUNDUP((AE$1)/10,0)*10,[1]Hugst!$R$4:$W$4,0))))</f>
        <v>0</v>
      </c>
      <c r="AF281" s="169">
        <f>IF($C281-AF$1&lt;År1,0,AE280*(1-VLOOKUP($A281,[1]Hugst!$R$5:$W$9,MATCH(ROUNDUP((AF$1)/10,0)*10,[1]Hugst!$R$4:$W$4,0))))</f>
        <v>0</v>
      </c>
      <c r="AG281" s="169">
        <f>IF($C281-AG$1&lt;År1,0,AF280*(1-VLOOKUP($A281,[1]Hugst!$R$5:$W$9,MATCH(ROUNDUP((AG$1)/10,0)*10,[1]Hugst!$R$4:$W$4,0))))</f>
        <v>0</v>
      </c>
      <c r="AH281" s="169">
        <f>IF($C281-AH$1&lt;År1,0,AG280*(1-VLOOKUP($A281,[1]Hugst!$R$5:$W$9,MATCH(ROUNDUP((AH$1)/10,0)*10,[1]Hugst!$R$4:$W$4,0))))</f>
        <v>0</v>
      </c>
      <c r="AI281" s="169">
        <f>IF($C281-AI$1&lt;År1,0,AH280*(1-VLOOKUP($A281,[1]Hugst!$R$5:$W$9,MATCH(ROUNDUP((AI$1)/10,0)*10,[1]Hugst!$R$4:$W$4,0))))</f>
        <v>0</v>
      </c>
      <c r="AJ281" s="169">
        <f>IF($C281-AJ$1&lt;År1,0,AI280*(1-VLOOKUP($A281,[1]Hugst!$R$5:$W$9,MATCH(ROUNDUP((AJ$1)/10,0)*10,[1]Hugst!$R$4:$W$4,0))))</f>
        <v>0</v>
      </c>
    </row>
    <row r="282" spans="1:36" x14ac:dyDescent="0.25">
      <c r="A282" s="169" t="s">
        <v>180</v>
      </c>
      <c r="B282" s="169" t="s">
        <v>24</v>
      </c>
      <c r="C282" s="169">
        <v>2021</v>
      </c>
      <c r="D282" s="169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475.52212499999587</v>
      </c>
      <c r="E282" s="169">
        <f t="shared" ref="E282:E310" ca="1" si="7">IF(C282=2020,SUM(G282:AJ282),SUM(F281:AJ281)-SUM(G282:AJ282))</f>
        <v>0</v>
      </c>
      <c r="F282" s="169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747.9430070057391</v>
      </c>
      <c r="G282" s="169">
        <f ca="1">IF($C282-G$1&lt;År1,0,F281*(1-VLOOKUP($A282,[1]Hugst!$R$5:$W$9,MATCH(ROUNDUP((G$1)/10,0)*10,[1]Hugst!$R$4:$W$4,0))))</f>
        <v>590.49588200574033</v>
      </c>
      <c r="H282" s="169">
        <f>IF($C282-H$1&lt;År1,0,G281*(1-VLOOKUP($A282,[1]Hugst!$R$5:$W$9,MATCH(ROUNDUP((H$1)/10,0)*10,[1]Hugst!$R$4:$W$4,0))))</f>
        <v>0</v>
      </c>
      <c r="I282" s="169">
        <f>IF($C282-I$1&lt;År1,0,H281*(1-VLOOKUP($A282,[1]Hugst!$R$5:$W$9,MATCH(ROUNDUP((I$1)/10,0)*10,[1]Hugst!$R$4:$W$4,0))))</f>
        <v>0</v>
      </c>
      <c r="J282" s="169">
        <f>IF($C282-J$1&lt;År1,0,I281*(1-VLOOKUP($A282,[1]Hugst!$R$5:$W$9,MATCH(ROUNDUP((J$1)/10,0)*10,[1]Hugst!$R$4:$W$4,0))))</f>
        <v>0</v>
      </c>
      <c r="K282" s="169">
        <f>IF($C282-K$1&lt;År1,0,J281*(1-VLOOKUP($A282,[1]Hugst!$R$5:$W$9,MATCH(ROUNDUP((K$1)/10,0)*10,[1]Hugst!$R$4:$W$4,0))))</f>
        <v>0</v>
      </c>
      <c r="L282" s="169">
        <f>IF($C282-L$1&lt;År1,0,K281*(1-VLOOKUP($A282,[1]Hugst!$R$5:$W$9,MATCH(ROUNDUP((L$1)/10,0)*10,[1]Hugst!$R$4:$W$4,0))))</f>
        <v>0</v>
      </c>
      <c r="M282" s="169">
        <f>IF($C282-M$1&lt;År1,0,L281*(1-VLOOKUP($A282,[1]Hugst!$R$5:$W$9,MATCH(ROUNDUP((M$1)/10,0)*10,[1]Hugst!$R$4:$W$4,0))))</f>
        <v>0</v>
      </c>
      <c r="N282" s="169">
        <f>IF($C282-N$1&lt;År1,0,M281*(1-VLOOKUP($A282,[1]Hugst!$R$5:$W$9,MATCH(ROUNDUP((N$1)/10,0)*10,[1]Hugst!$R$4:$W$4,0))))</f>
        <v>0</v>
      </c>
      <c r="O282" s="169">
        <f>IF($C282-O$1&lt;År1,0,N281*(1-VLOOKUP($A282,[1]Hugst!$R$5:$W$9,MATCH(ROUNDUP((O$1)/10,0)*10,[1]Hugst!$R$4:$W$4,0))))</f>
        <v>0</v>
      </c>
      <c r="P282" s="169">
        <f>IF($C282-P$1&lt;År1,0,O281*(1-VLOOKUP($A282,[1]Hugst!$R$5:$W$9,MATCH(ROUNDUP((P$1)/10,0)*10,[1]Hugst!$R$4:$W$4,0))))</f>
        <v>0</v>
      </c>
      <c r="Q282" s="169">
        <f>IF($C282-Q$1&lt;År1,0,P281*(1-VLOOKUP($A282,[1]Hugst!$R$5:$W$9,MATCH(ROUNDUP((Q$1)/10,0)*10,[1]Hugst!$R$4:$W$4,0))))</f>
        <v>0</v>
      </c>
      <c r="R282" s="169">
        <f>IF($C282-R$1&lt;År1,0,Q281*(1-VLOOKUP($A282,[1]Hugst!$R$5:$W$9,MATCH(ROUNDUP((R$1)/10,0)*10,[1]Hugst!$R$4:$W$4,0))))</f>
        <v>0</v>
      </c>
      <c r="S282" s="169">
        <f>IF($C282-S$1&lt;År1,0,R281*(1-VLOOKUP($A282,[1]Hugst!$R$5:$W$9,MATCH(ROUNDUP((S$1)/10,0)*10,[1]Hugst!$R$4:$W$4,0))))</f>
        <v>0</v>
      </c>
      <c r="T282" s="169">
        <f>IF($C282-T$1&lt;År1,0,S281*(1-VLOOKUP($A282,[1]Hugst!$R$5:$W$9,MATCH(ROUNDUP((T$1)/10,0)*10,[1]Hugst!$R$4:$W$4,0))))</f>
        <v>0</v>
      </c>
      <c r="U282" s="169">
        <f>IF($C282-U$1&lt;År1,0,T281*(1-VLOOKUP($A282,[1]Hugst!$R$5:$W$9,MATCH(ROUNDUP((U$1)/10,0)*10,[1]Hugst!$R$4:$W$4,0))))</f>
        <v>0</v>
      </c>
      <c r="V282" s="169">
        <f>IF($C282-V$1&lt;År1,0,U281*(1-VLOOKUP($A282,[1]Hugst!$R$5:$W$9,MATCH(ROUNDUP((V$1)/10,0)*10,[1]Hugst!$R$4:$W$4,0))))</f>
        <v>0</v>
      </c>
      <c r="W282" s="169">
        <f>IF($C282-W$1&lt;År1,0,V281*(1-VLOOKUP($A282,[1]Hugst!$R$5:$W$9,MATCH(ROUNDUP((W$1)/10,0)*10,[1]Hugst!$R$4:$W$4,0))))</f>
        <v>0</v>
      </c>
      <c r="X282" s="169">
        <f>IF($C282-X$1&lt;År1,0,W281*(1-VLOOKUP($A282,[1]Hugst!$R$5:$W$9,MATCH(ROUNDUP((X$1)/10,0)*10,[1]Hugst!$R$4:$W$4,0))))</f>
        <v>0</v>
      </c>
      <c r="Y282" s="169">
        <f>IF($C282-Y$1&lt;År1,0,X281*(1-VLOOKUP($A282,[1]Hugst!$R$5:$W$9,MATCH(ROUNDUP((Y$1)/10,0)*10,[1]Hugst!$R$4:$W$4,0))))</f>
        <v>0</v>
      </c>
      <c r="Z282" s="169">
        <f>IF($C282-Z$1&lt;År1,0,Y281*(1-VLOOKUP($A282,[1]Hugst!$R$5:$W$9,MATCH(ROUNDUP((Z$1)/10,0)*10,[1]Hugst!$R$4:$W$4,0))))</f>
        <v>0</v>
      </c>
      <c r="AA282" s="169">
        <f>IF($C282-AA$1&lt;År1,0,Z281*(1-VLOOKUP($A282,[1]Hugst!$R$5:$W$9,MATCH(ROUNDUP((AA$1)/10,0)*10,[1]Hugst!$R$4:$W$4,0))))</f>
        <v>0</v>
      </c>
      <c r="AB282" s="169">
        <f>IF($C282-AB$1&lt;År1,0,AA281*(1-VLOOKUP($A282,[1]Hugst!$R$5:$W$9,MATCH(ROUNDUP((AB$1)/10,0)*10,[1]Hugst!$R$4:$W$4,0))))</f>
        <v>0</v>
      </c>
      <c r="AC282" s="169">
        <f>IF($C282-AC$1&lt;År1,0,AB281*(1-VLOOKUP($A282,[1]Hugst!$R$5:$W$9,MATCH(ROUNDUP((AC$1)/10,0)*10,[1]Hugst!$R$4:$W$4,0))))</f>
        <v>0</v>
      </c>
      <c r="AD282" s="169">
        <f>IF($C282-AD$1&lt;År1,0,AC281*(1-VLOOKUP($A282,[1]Hugst!$R$5:$W$9,MATCH(ROUNDUP((AD$1)/10,0)*10,[1]Hugst!$R$4:$W$4,0))))</f>
        <v>0</v>
      </c>
      <c r="AE282" s="169">
        <f>IF($C282-AE$1&lt;År1,0,AD281*(1-VLOOKUP($A282,[1]Hugst!$R$5:$W$9,MATCH(ROUNDUP((AE$1)/10,0)*10,[1]Hugst!$R$4:$W$4,0))))</f>
        <v>0</v>
      </c>
      <c r="AF282" s="169">
        <f>IF($C282-AF$1&lt;År1,0,AE281*(1-VLOOKUP($A282,[1]Hugst!$R$5:$W$9,MATCH(ROUNDUP((AF$1)/10,0)*10,[1]Hugst!$R$4:$W$4,0))))</f>
        <v>0</v>
      </c>
      <c r="AG282" s="169">
        <f>IF($C282-AG$1&lt;År1,0,AF281*(1-VLOOKUP($A282,[1]Hugst!$R$5:$W$9,MATCH(ROUNDUP((AG$1)/10,0)*10,[1]Hugst!$R$4:$W$4,0))))</f>
        <v>0</v>
      </c>
      <c r="AH282" s="169">
        <f>IF($C282-AH$1&lt;År1,0,AG281*(1-VLOOKUP($A282,[1]Hugst!$R$5:$W$9,MATCH(ROUNDUP((AH$1)/10,0)*10,[1]Hugst!$R$4:$W$4,0))))</f>
        <v>0</v>
      </c>
      <c r="AI282" s="169">
        <f>IF($C282-AI$1&lt;År1,0,AH281*(1-VLOOKUP($A282,[1]Hugst!$R$5:$W$9,MATCH(ROUNDUP((AI$1)/10,0)*10,[1]Hugst!$R$4:$W$4,0))))</f>
        <v>0</v>
      </c>
      <c r="AJ282" s="169">
        <f>IF($C282-AJ$1&lt;År1,0,AI281*(1-VLOOKUP($A282,[1]Hugst!$R$5:$W$9,MATCH(ROUNDUP((AJ$1)/10,0)*10,[1]Hugst!$R$4:$W$4,0))))</f>
        <v>0</v>
      </c>
    </row>
    <row r="283" spans="1:36" x14ac:dyDescent="0.25">
      <c r="A283" s="169" t="s">
        <v>180</v>
      </c>
      <c r="B283" s="169" t="s">
        <v>24</v>
      </c>
      <c r="C283" s="169">
        <v>2022</v>
      </c>
      <c r="D283" s="169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552.66326437500175</v>
      </c>
      <c r="E283" s="169">
        <f t="shared" ca="1" si="7"/>
        <v>0</v>
      </c>
      <c r="F283" s="169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825.08414638074498</v>
      </c>
      <c r="G283" s="169">
        <f ca="1">IF($C283-G$1&lt;År1,0,F282*(1-VLOOKUP($A283,[1]Hugst!$R$5:$W$9,MATCH(ROUNDUP((G$1)/10,0)*10,[1]Hugst!$R$4:$W$4,0))))</f>
        <v>747.9430070057391</v>
      </c>
      <c r="H283" s="169">
        <f ca="1">IF($C283-H$1&lt;År1,0,G282*(1-VLOOKUP($A283,[1]Hugst!$R$5:$W$9,MATCH(ROUNDUP((H$1)/10,0)*10,[1]Hugst!$R$4:$W$4,0))))</f>
        <v>590.49588200574033</v>
      </c>
      <c r="I283" s="169">
        <f>IF($C283-I$1&lt;År1,0,H282*(1-VLOOKUP($A283,[1]Hugst!$R$5:$W$9,MATCH(ROUNDUP((I$1)/10,0)*10,[1]Hugst!$R$4:$W$4,0))))</f>
        <v>0</v>
      </c>
      <c r="J283" s="169">
        <f>IF($C283-J$1&lt;År1,0,I282*(1-VLOOKUP($A283,[1]Hugst!$R$5:$W$9,MATCH(ROUNDUP((J$1)/10,0)*10,[1]Hugst!$R$4:$W$4,0))))</f>
        <v>0</v>
      </c>
      <c r="K283" s="169">
        <f>IF($C283-K$1&lt;År1,0,J282*(1-VLOOKUP($A283,[1]Hugst!$R$5:$W$9,MATCH(ROUNDUP((K$1)/10,0)*10,[1]Hugst!$R$4:$W$4,0))))</f>
        <v>0</v>
      </c>
      <c r="L283" s="169">
        <f>IF($C283-L$1&lt;År1,0,K282*(1-VLOOKUP($A283,[1]Hugst!$R$5:$W$9,MATCH(ROUNDUP((L$1)/10,0)*10,[1]Hugst!$R$4:$W$4,0))))</f>
        <v>0</v>
      </c>
      <c r="M283" s="169">
        <f>IF($C283-M$1&lt;År1,0,L282*(1-VLOOKUP($A283,[1]Hugst!$R$5:$W$9,MATCH(ROUNDUP((M$1)/10,0)*10,[1]Hugst!$R$4:$W$4,0))))</f>
        <v>0</v>
      </c>
      <c r="N283" s="169">
        <f>IF($C283-N$1&lt;År1,0,M282*(1-VLOOKUP($A283,[1]Hugst!$R$5:$W$9,MATCH(ROUNDUP((N$1)/10,0)*10,[1]Hugst!$R$4:$W$4,0))))</f>
        <v>0</v>
      </c>
      <c r="O283" s="169">
        <f>IF($C283-O$1&lt;År1,0,N282*(1-VLOOKUP($A283,[1]Hugst!$R$5:$W$9,MATCH(ROUNDUP((O$1)/10,0)*10,[1]Hugst!$R$4:$W$4,0))))</f>
        <v>0</v>
      </c>
      <c r="P283" s="169">
        <f>IF($C283-P$1&lt;År1,0,O282*(1-VLOOKUP($A283,[1]Hugst!$R$5:$W$9,MATCH(ROUNDUP((P$1)/10,0)*10,[1]Hugst!$R$4:$W$4,0))))</f>
        <v>0</v>
      </c>
      <c r="Q283" s="169">
        <f>IF($C283-Q$1&lt;År1,0,P282*(1-VLOOKUP($A283,[1]Hugst!$R$5:$W$9,MATCH(ROUNDUP((Q$1)/10,0)*10,[1]Hugst!$R$4:$W$4,0))))</f>
        <v>0</v>
      </c>
      <c r="R283" s="169">
        <f>IF($C283-R$1&lt;År1,0,Q282*(1-VLOOKUP($A283,[1]Hugst!$R$5:$W$9,MATCH(ROUNDUP((R$1)/10,0)*10,[1]Hugst!$R$4:$W$4,0))))</f>
        <v>0</v>
      </c>
      <c r="S283" s="169">
        <f>IF($C283-S$1&lt;År1,0,R282*(1-VLOOKUP($A283,[1]Hugst!$R$5:$W$9,MATCH(ROUNDUP((S$1)/10,0)*10,[1]Hugst!$R$4:$W$4,0))))</f>
        <v>0</v>
      </c>
      <c r="T283" s="169">
        <f>IF($C283-T$1&lt;År1,0,S282*(1-VLOOKUP($A283,[1]Hugst!$R$5:$W$9,MATCH(ROUNDUP((T$1)/10,0)*10,[1]Hugst!$R$4:$W$4,0))))</f>
        <v>0</v>
      </c>
      <c r="U283" s="169">
        <f>IF($C283-U$1&lt;År1,0,T282*(1-VLOOKUP($A283,[1]Hugst!$R$5:$W$9,MATCH(ROUNDUP((U$1)/10,0)*10,[1]Hugst!$R$4:$W$4,0))))</f>
        <v>0</v>
      </c>
      <c r="V283" s="169">
        <f>IF($C283-V$1&lt;År1,0,U282*(1-VLOOKUP($A283,[1]Hugst!$R$5:$W$9,MATCH(ROUNDUP((V$1)/10,0)*10,[1]Hugst!$R$4:$W$4,0))))</f>
        <v>0</v>
      </c>
      <c r="W283" s="169">
        <f>IF($C283-W$1&lt;År1,0,V282*(1-VLOOKUP($A283,[1]Hugst!$R$5:$W$9,MATCH(ROUNDUP((W$1)/10,0)*10,[1]Hugst!$R$4:$W$4,0))))</f>
        <v>0</v>
      </c>
      <c r="X283" s="169">
        <f>IF($C283-X$1&lt;År1,0,W282*(1-VLOOKUP($A283,[1]Hugst!$R$5:$W$9,MATCH(ROUNDUP((X$1)/10,0)*10,[1]Hugst!$R$4:$W$4,0))))</f>
        <v>0</v>
      </c>
      <c r="Y283" s="169">
        <f>IF($C283-Y$1&lt;År1,0,X282*(1-VLOOKUP($A283,[1]Hugst!$R$5:$W$9,MATCH(ROUNDUP((Y$1)/10,0)*10,[1]Hugst!$R$4:$W$4,0))))</f>
        <v>0</v>
      </c>
      <c r="Z283" s="169">
        <f>IF($C283-Z$1&lt;År1,0,Y282*(1-VLOOKUP($A283,[1]Hugst!$R$5:$W$9,MATCH(ROUNDUP((Z$1)/10,0)*10,[1]Hugst!$R$4:$W$4,0))))</f>
        <v>0</v>
      </c>
      <c r="AA283" s="169">
        <f>IF($C283-AA$1&lt;År1,0,Z282*(1-VLOOKUP($A283,[1]Hugst!$R$5:$W$9,MATCH(ROUNDUP((AA$1)/10,0)*10,[1]Hugst!$R$4:$W$4,0))))</f>
        <v>0</v>
      </c>
      <c r="AB283" s="169">
        <f>IF($C283-AB$1&lt;År1,0,AA282*(1-VLOOKUP($A283,[1]Hugst!$R$5:$W$9,MATCH(ROUNDUP((AB$1)/10,0)*10,[1]Hugst!$R$4:$W$4,0))))</f>
        <v>0</v>
      </c>
      <c r="AC283" s="169">
        <f>IF($C283-AC$1&lt;År1,0,AB282*(1-VLOOKUP($A283,[1]Hugst!$R$5:$W$9,MATCH(ROUNDUP((AC$1)/10,0)*10,[1]Hugst!$R$4:$W$4,0))))</f>
        <v>0</v>
      </c>
      <c r="AD283" s="169">
        <f>IF($C283-AD$1&lt;År1,0,AC282*(1-VLOOKUP($A283,[1]Hugst!$R$5:$W$9,MATCH(ROUNDUP((AD$1)/10,0)*10,[1]Hugst!$R$4:$W$4,0))))</f>
        <v>0</v>
      </c>
      <c r="AE283" s="169">
        <f>IF($C283-AE$1&lt;År1,0,AD282*(1-VLOOKUP($A283,[1]Hugst!$R$5:$W$9,MATCH(ROUNDUP((AE$1)/10,0)*10,[1]Hugst!$R$4:$W$4,0))))</f>
        <v>0</v>
      </c>
      <c r="AF283" s="169">
        <f>IF($C283-AF$1&lt;År1,0,AE282*(1-VLOOKUP($A283,[1]Hugst!$R$5:$W$9,MATCH(ROUNDUP((AF$1)/10,0)*10,[1]Hugst!$R$4:$W$4,0))))</f>
        <v>0</v>
      </c>
      <c r="AG283" s="169">
        <f>IF($C283-AG$1&lt;År1,0,AF282*(1-VLOOKUP($A283,[1]Hugst!$R$5:$W$9,MATCH(ROUNDUP((AG$1)/10,0)*10,[1]Hugst!$R$4:$W$4,0))))</f>
        <v>0</v>
      </c>
      <c r="AH283" s="169">
        <f>IF($C283-AH$1&lt;År1,0,AG282*(1-VLOOKUP($A283,[1]Hugst!$R$5:$W$9,MATCH(ROUNDUP((AH$1)/10,0)*10,[1]Hugst!$R$4:$W$4,0))))</f>
        <v>0</v>
      </c>
      <c r="AI283" s="169">
        <f>IF($C283-AI$1&lt;År1,0,AH282*(1-VLOOKUP($A283,[1]Hugst!$R$5:$W$9,MATCH(ROUNDUP((AI$1)/10,0)*10,[1]Hugst!$R$4:$W$4,0))))</f>
        <v>0</v>
      </c>
      <c r="AJ283" s="169">
        <f>IF($C283-AJ$1&lt;År1,0,AI282*(1-VLOOKUP($A283,[1]Hugst!$R$5:$W$9,MATCH(ROUNDUP((AJ$1)/10,0)*10,[1]Hugst!$R$4:$W$4,0))))</f>
        <v>0</v>
      </c>
    </row>
    <row r="284" spans="1:36" x14ac:dyDescent="0.25">
      <c r="A284" s="169" t="s">
        <v>180</v>
      </c>
      <c r="B284" s="169" t="s">
        <v>24</v>
      </c>
      <c r="C284" s="169">
        <v>2023</v>
      </c>
      <c r="D284" s="169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589.65932305312708</v>
      </c>
      <c r="E284" s="169">
        <f t="shared" ca="1" si="7"/>
        <v>0</v>
      </c>
      <c r="F284" s="169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862.08020505887032</v>
      </c>
      <c r="G284" s="169">
        <f ca="1">IF($C284-G$1&lt;År1,0,F283*(1-VLOOKUP($A284,[1]Hugst!$R$5:$W$9,MATCH(ROUNDUP((G$1)/10,0)*10,[1]Hugst!$R$4:$W$4,0))))</f>
        <v>825.08414638074498</v>
      </c>
      <c r="H284" s="169">
        <f ca="1">IF($C284-H$1&lt;År1,0,G283*(1-VLOOKUP($A284,[1]Hugst!$R$5:$W$9,MATCH(ROUNDUP((H$1)/10,0)*10,[1]Hugst!$R$4:$W$4,0))))</f>
        <v>747.9430070057391</v>
      </c>
      <c r="I284" s="169">
        <f ca="1">IF($C284-I$1&lt;År1,0,H283*(1-VLOOKUP($A284,[1]Hugst!$R$5:$W$9,MATCH(ROUNDUP((I$1)/10,0)*10,[1]Hugst!$R$4:$W$4,0))))</f>
        <v>590.49588200574033</v>
      </c>
      <c r="J284" s="169">
        <f>IF($C284-J$1&lt;År1,0,I283*(1-VLOOKUP($A284,[1]Hugst!$R$5:$W$9,MATCH(ROUNDUP((J$1)/10,0)*10,[1]Hugst!$R$4:$W$4,0))))</f>
        <v>0</v>
      </c>
      <c r="K284" s="169">
        <f>IF($C284-K$1&lt;År1,0,J283*(1-VLOOKUP($A284,[1]Hugst!$R$5:$W$9,MATCH(ROUNDUP((K$1)/10,0)*10,[1]Hugst!$R$4:$W$4,0))))</f>
        <v>0</v>
      </c>
      <c r="L284" s="169">
        <f>IF($C284-L$1&lt;År1,0,K283*(1-VLOOKUP($A284,[1]Hugst!$R$5:$W$9,MATCH(ROUNDUP((L$1)/10,0)*10,[1]Hugst!$R$4:$W$4,0))))</f>
        <v>0</v>
      </c>
      <c r="M284" s="169">
        <f>IF($C284-M$1&lt;År1,0,L283*(1-VLOOKUP($A284,[1]Hugst!$R$5:$W$9,MATCH(ROUNDUP((M$1)/10,0)*10,[1]Hugst!$R$4:$W$4,0))))</f>
        <v>0</v>
      </c>
      <c r="N284" s="169">
        <f>IF($C284-N$1&lt;År1,0,M283*(1-VLOOKUP($A284,[1]Hugst!$R$5:$W$9,MATCH(ROUNDUP((N$1)/10,0)*10,[1]Hugst!$R$4:$W$4,0))))</f>
        <v>0</v>
      </c>
      <c r="O284" s="169">
        <f>IF($C284-O$1&lt;År1,0,N283*(1-VLOOKUP($A284,[1]Hugst!$R$5:$W$9,MATCH(ROUNDUP((O$1)/10,0)*10,[1]Hugst!$R$4:$W$4,0))))</f>
        <v>0</v>
      </c>
      <c r="P284" s="169">
        <f>IF($C284-P$1&lt;År1,0,O283*(1-VLOOKUP($A284,[1]Hugst!$R$5:$W$9,MATCH(ROUNDUP((P$1)/10,0)*10,[1]Hugst!$R$4:$W$4,0))))</f>
        <v>0</v>
      </c>
      <c r="Q284" s="169">
        <f>IF($C284-Q$1&lt;År1,0,P283*(1-VLOOKUP($A284,[1]Hugst!$R$5:$W$9,MATCH(ROUNDUP((Q$1)/10,0)*10,[1]Hugst!$R$4:$W$4,0))))</f>
        <v>0</v>
      </c>
      <c r="R284" s="169">
        <f>IF($C284-R$1&lt;År1,0,Q283*(1-VLOOKUP($A284,[1]Hugst!$R$5:$W$9,MATCH(ROUNDUP((R$1)/10,0)*10,[1]Hugst!$R$4:$W$4,0))))</f>
        <v>0</v>
      </c>
      <c r="S284" s="169">
        <f>IF($C284-S$1&lt;År1,0,R283*(1-VLOOKUP($A284,[1]Hugst!$R$5:$W$9,MATCH(ROUNDUP((S$1)/10,0)*10,[1]Hugst!$R$4:$W$4,0))))</f>
        <v>0</v>
      </c>
      <c r="T284" s="169">
        <f>IF($C284-T$1&lt;År1,0,S283*(1-VLOOKUP($A284,[1]Hugst!$R$5:$W$9,MATCH(ROUNDUP((T$1)/10,0)*10,[1]Hugst!$R$4:$W$4,0))))</f>
        <v>0</v>
      </c>
      <c r="U284" s="169">
        <f>IF($C284-U$1&lt;År1,0,T283*(1-VLOOKUP($A284,[1]Hugst!$R$5:$W$9,MATCH(ROUNDUP((U$1)/10,0)*10,[1]Hugst!$R$4:$W$4,0))))</f>
        <v>0</v>
      </c>
      <c r="V284" s="169">
        <f>IF($C284-V$1&lt;År1,0,U283*(1-VLOOKUP($A284,[1]Hugst!$R$5:$W$9,MATCH(ROUNDUP((V$1)/10,0)*10,[1]Hugst!$R$4:$W$4,0))))</f>
        <v>0</v>
      </c>
      <c r="W284" s="169">
        <f>IF($C284-W$1&lt;År1,0,V283*(1-VLOOKUP($A284,[1]Hugst!$R$5:$W$9,MATCH(ROUNDUP((W$1)/10,0)*10,[1]Hugst!$R$4:$W$4,0))))</f>
        <v>0</v>
      </c>
      <c r="X284" s="169">
        <f>IF($C284-X$1&lt;År1,0,W283*(1-VLOOKUP($A284,[1]Hugst!$R$5:$W$9,MATCH(ROUNDUP((X$1)/10,0)*10,[1]Hugst!$R$4:$W$4,0))))</f>
        <v>0</v>
      </c>
      <c r="Y284" s="169">
        <f>IF($C284-Y$1&lt;År1,0,X283*(1-VLOOKUP($A284,[1]Hugst!$R$5:$W$9,MATCH(ROUNDUP((Y$1)/10,0)*10,[1]Hugst!$R$4:$W$4,0))))</f>
        <v>0</v>
      </c>
      <c r="Z284" s="169">
        <f>IF($C284-Z$1&lt;År1,0,Y283*(1-VLOOKUP($A284,[1]Hugst!$R$5:$W$9,MATCH(ROUNDUP((Z$1)/10,0)*10,[1]Hugst!$R$4:$W$4,0))))</f>
        <v>0</v>
      </c>
      <c r="AA284" s="169">
        <f>IF($C284-AA$1&lt;År1,0,Z283*(1-VLOOKUP($A284,[1]Hugst!$R$5:$W$9,MATCH(ROUNDUP((AA$1)/10,0)*10,[1]Hugst!$R$4:$W$4,0))))</f>
        <v>0</v>
      </c>
      <c r="AB284" s="169">
        <f>IF($C284-AB$1&lt;År1,0,AA283*(1-VLOOKUP($A284,[1]Hugst!$R$5:$W$9,MATCH(ROUNDUP((AB$1)/10,0)*10,[1]Hugst!$R$4:$W$4,0))))</f>
        <v>0</v>
      </c>
      <c r="AC284" s="169">
        <f>IF($C284-AC$1&lt;År1,0,AB283*(1-VLOOKUP($A284,[1]Hugst!$R$5:$W$9,MATCH(ROUNDUP((AC$1)/10,0)*10,[1]Hugst!$R$4:$W$4,0))))</f>
        <v>0</v>
      </c>
      <c r="AD284" s="169">
        <f>IF($C284-AD$1&lt;År1,0,AC283*(1-VLOOKUP($A284,[1]Hugst!$R$5:$W$9,MATCH(ROUNDUP((AD$1)/10,0)*10,[1]Hugst!$R$4:$W$4,0))))</f>
        <v>0</v>
      </c>
      <c r="AE284" s="169">
        <f>IF($C284-AE$1&lt;År1,0,AD283*(1-VLOOKUP($A284,[1]Hugst!$R$5:$W$9,MATCH(ROUNDUP((AE$1)/10,0)*10,[1]Hugst!$R$4:$W$4,0))))</f>
        <v>0</v>
      </c>
      <c r="AF284" s="169">
        <f>IF($C284-AF$1&lt;År1,0,AE283*(1-VLOOKUP($A284,[1]Hugst!$R$5:$W$9,MATCH(ROUNDUP((AF$1)/10,0)*10,[1]Hugst!$R$4:$W$4,0))))</f>
        <v>0</v>
      </c>
      <c r="AG284" s="169">
        <f>IF($C284-AG$1&lt;År1,0,AF283*(1-VLOOKUP($A284,[1]Hugst!$R$5:$W$9,MATCH(ROUNDUP((AG$1)/10,0)*10,[1]Hugst!$R$4:$W$4,0))))</f>
        <v>0</v>
      </c>
      <c r="AH284" s="169">
        <f>IF($C284-AH$1&lt;År1,0,AG283*(1-VLOOKUP($A284,[1]Hugst!$R$5:$W$9,MATCH(ROUNDUP((AH$1)/10,0)*10,[1]Hugst!$R$4:$W$4,0))))</f>
        <v>0</v>
      </c>
      <c r="AI284" s="169">
        <f>IF($C284-AI$1&lt;År1,0,AH283*(1-VLOOKUP($A284,[1]Hugst!$R$5:$W$9,MATCH(ROUNDUP((AI$1)/10,0)*10,[1]Hugst!$R$4:$W$4,0))))</f>
        <v>0</v>
      </c>
      <c r="AJ284" s="169">
        <f>IF($C284-AJ$1&lt;År1,0,AI283*(1-VLOOKUP($A284,[1]Hugst!$R$5:$W$9,MATCH(ROUNDUP((AJ$1)/10,0)*10,[1]Hugst!$R$4:$W$4,0))))</f>
        <v>0</v>
      </c>
    </row>
    <row r="285" spans="1:36" x14ac:dyDescent="0.25">
      <c r="A285" s="169" t="s">
        <v>180</v>
      </c>
      <c r="B285" s="169" t="s">
        <v>24</v>
      </c>
      <c r="C285" s="169">
        <v>2024</v>
      </c>
      <c r="D285" s="169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606.59071393785325</v>
      </c>
      <c r="E285" s="169">
        <f t="shared" ca="1" si="7"/>
        <v>0</v>
      </c>
      <c r="F285" s="169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879.01159594359649</v>
      </c>
      <c r="G285" s="169">
        <f ca="1">IF($C285-G$1&lt;År1,0,F284*(1-VLOOKUP($A285,[1]Hugst!$R$5:$W$9,MATCH(ROUNDUP((G$1)/10,0)*10,[1]Hugst!$R$4:$W$4,0))))</f>
        <v>862.08020505887032</v>
      </c>
      <c r="H285" s="169">
        <f ca="1">IF($C285-H$1&lt;År1,0,G284*(1-VLOOKUP($A285,[1]Hugst!$R$5:$W$9,MATCH(ROUNDUP((H$1)/10,0)*10,[1]Hugst!$R$4:$W$4,0))))</f>
        <v>825.08414638074498</v>
      </c>
      <c r="I285" s="169">
        <f ca="1">IF($C285-I$1&lt;År1,0,H284*(1-VLOOKUP($A285,[1]Hugst!$R$5:$W$9,MATCH(ROUNDUP((I$1)/10,0)*10,[1]Hugst!$R$4:$W$4,0))))</f>
        <v>747.9430070057391</v>
      </c>
      <c r="J285" s="169">
        <f ca="1">IF($C285-J$1&lt;År1,0,I284*(1-VLOOKUP($A285,[1]Hugst!$R$5:$W$9,MATCH(ROUNDUP((J$1)/10,0)*10,[1]Hugst!$R$4:$W$4,0))))</f>
        <v>590.49588200574033</v>
      </c>
      <c r="K285" s="169">
        <f>IF($C285-K$1&lt;År1,0,J284*(1-VLOOKUP($A285,[1]Hugst!$R$5:$W$9,MATCH(ROUNDUP((K$1)/10,0)*10,[1]Hugst!$R$4:$W$4,0))))</f>
        <v>0</v>
      </c>
      <c r="L285" s="169">
        <f>IF($C285-L$1&lt;År1,0,K284*(1-VLOOKUP($A285,[1]Hugst!$R$5:$W$9,MATCH(ROUNDUP((L$1)/10,0)*10,[1]Hugst!$R$4:$W$4,0))))</f>
        <v>0</v>
      </c>
      <c r="M285" s="169">
        <f>IF($C285-M$1&lt;År1,0,L284*(1-VLOOKUP($A285,[1]Hugst!$R$5:$W$9,MATCH(ROUNDUP((M$1)/10,0)*10,[1]Hugst!$R$4:$W$4,0))))</f>
        <v>0</v>
      </c>
      <c r="N285" s="169">
        <f>IF($C285-N$1&lt;År1,0,M284*(1-VLOOKUP($A285,[1]Hugst!$R$5:$W$9,MATCH(ROUNDUP((N$1)/10,0)*10,[1]Hugst!$R$4:$W$4,0))))</f>
        <v>0</v>
      </c>
      <c r="O285" s="169">
        <f>IF($C285-O$1&lt;År1,0,N284*(1-VLOOKUP($A285,[1]Hugst!$R$5:$W$9,MATCH(ROUNDUP((O$1)/10,0)*10,[1]Hugst!$R$4:$W$4,0))))</f>
        <v>0</v>
      </c>
      <c r="P285" s="169">
        <f>IF($C285-P$1&lt;År1,0,O284*(1-VLOOKUP($A285,[1]Hugst!$R$5:$W$9,MATCH(ROUNDUP((P$1)/10,0)*10,[1]Hugst!$R$4:$W$4,0))))</f>
        <v>0</v>
      </c>
      <c r="Q285" s="169">
        <f>IF($C285-Q$1&lt;År1,0,P284*(1-VLOOKUP($A285,[1]Hugst!$R$5:$W$9,MATCH(ROUNDUP((Q$1)/10,0)*10,[1]Hugst!$R$4:$W$4,0))))</f>
        <v>0</v>
      </c>
      <c r="R285" s="169">
        <f>IF($C285-R$1&lt;År1,0,Q284*(1-VLOOKUP($A285,[1]Hugst!$R$5:$W$9,MATCH(ROUNDUP((R$1)/10,0)*10,[1]Hugst!$R$4:$W$4,0))))</f>
        <v>0</v>
      </c>
      <c r="S285" s="169">
        <f>IF($C285-S$1&lt;År1,0,R284*(1-VLOOKUP($A285,[1]Hugst!$R$5:$W$9,MATCH(ROUNDUP((S$1)/10,0)*10,[1]Hugst!$R$4:$W$4,0))))</f>
        <v>0</v>
      </c>
      <c r="T285" s="169">
        <f>IF($C285-T$1&lt;År1,0,S284*(1-VLOOKUP($A285,[1]Hugst!$R$5:$W$9,MATCH(ROUNDUP((T$1)/10,0)*10,[1]Hugst!$R$4:$W$4,0))))</f>
        <v>0</v>
      </c>
      <c r="U285" s="169">
        <f>IF($C285-U$1&lt;År1,0,T284*(1-VLOOKUP($A285,[1]Hugst!$R$5:$W$9,MATCH(ROUNDUP((U$1)/10,0)*10,[1]Hugst!$R$4:$W$4,0))))</f>
        <v>0</v>
      </c>
      <c r="V285" s="169">
        <f>IF($C285-V$1&lt;År1,0,U284*(1-VLOOKUP($A285,[1]Hugst!$R$5:$W$9,MATCH(ROUNDUP((V$1)/10,0)*10,[1]Hugst!$R$4:$W$4,0))))</f>
        <v>0</v>
      </c>
      <c r="W285" s="169">
        <f>IF($C285-W$1&lt;År1,0,V284*(1-VLOOKUP($A285,[1]Hugst!$R$5:$W$9,MATCH(ROUNDUP((W$1)/10,0)*10,[1]Hugst!$R$4:$W$4,0))))</f>
        <v>0</v>
      </c>
      <c r="X285" s="169">
        <f>IF($C285-X$1&lt;År1,0,W284*(1-VLOOKUP($A285,[1]Hugst!$R$5:$W$9,MATCH(ROUNDUP((X$1)/10,0)*10,[1]Hugst!$R$4:$W$4,0))))</f>
        <v>0</v>
      </c>
      <c r="Y285" s="169">
        <f>IF($C285-Y$1&lt;År1,0,X284*(1-VLOOKUP($A285,[1]Hugst!$R$5:$W$9,MATCH(ROUNDUP((Y$1)/10,0)*10,[1]Hugst!$R$4:$W$4,0))))</f>
        <v>0</v>
      </c>
      <c r="Z285" s="169">
        <f>IF($C285-Z$1&lt;År1,0,Y284*(1-VLOOKUP($A285,[1]Hugst!$R$5:$W$9,MATCH(ROUNDUP((Z$1)/10,0)*10,[1]Hugst!$R$4:$W$4,0))))</f>
        <v>0</v>
      </c>
      <c r="AA285" s="169">
        <f>IF($C285-AA$1&lt;År1,0,Z284*(1-VLOOKUP($A285,[1]Hugst!$R$5:$W$9,MATCH(ROUNDUP((AA$1)/10,0)*10,[1]Hugst!$R$4:$W$4,0))))</f>
        <v>0</v>
      </c>
      <c r="AB285" s="169">
        <f>IF($C285-AB$1&lt;År1,0,AA284*(1-VLOOKUP($A285,[1]Hugst!$R$5:$W$9,MATCH(ROUNDUP((AB$1)/10,0)*10,[1]Hugst!$R$4:$W$4,0))))</f>
        <v>0</v>
      </c>
      <c r="AC285" s="169">
        <f>IF($C285-AC$1&lt;År1,0,AB284*(1-VLOOKUP($A285,[1]Hugst!$R$5:$W$9,MATCH(ROUNDUP((AC$1)/10,0)*10,[1]Hugst!$R$4:$W$4,0))))</f>
        <v>0</v>
      </c>
      <c r="AD285" s="169">
        <f>IF($C285-AD$1&lt;År1,0,AC284*(1-VLOOKUP($A285,[1]Hugst!$R$5:$W$9,MATCH(ROUNDUP((AD$1)/10,0)*10,[1]Hugst!$R$4:$W$4,0))))</f>
        <v>0</v>
      </c>
      <c r="AE285" s="169">
        <f>IF($C285-AE$1&lt;År1,0,AD284*(1-VLOOKUP($A285,[1]Hugst!$R$5:$W$9,MATCH(ROUNDUP((AE$1)/10,0)*10,[1]Hugst!$R$4:$W$4,0))))</f>
        <v>0</v>
      </c>
      <c r="AF285" s="169">
        <f>IF($C285-AF$1&lt;År1,0,AE284*(1-VLOOKUP($A285,[1]Hugst!$R$5:$W$9,MATCH(ROUNDUP((AF$1)/10,0)*10,[1]Hugst!$R$4:$W$4,0))))</f>
        <v>0</v>
      </c>
      <c r="AG285" s="169">
        <f>IF($C285-AG$1&lt;År1,0,AF284*(1-VLOOKUP($A285,[1]Hugst!$R$5:$W$9,MATCH(ROUNDUP((AG$1)/10,0)*10,[1]Hugst!$R$4:$W$4,0))))</f>
        <v>0</v>
      </c>
      <c r="AH285" s="169">
        <f>IF($C285-AH$1&lt;År1,0,AG284*(1-VLOOKUP($A285,[1]Hugst!$R$5:$W$9,MATCH(ROUNDUP((AH$1)/10,0)*10,[1]Hugst!$R$4:$W$4,0))))</f>
        <v>0</v>
      </c>
      <c r="AI285" s="169">
        <f>IF($C285-AI$1&lt;År1,0,AH284*(1-VLOOKUP($A285,[1]Hugst!$R$5:$W$9,MATCH(ROUNDUP((AI$1)/10,0)*10,[1]Hugst!$R$4:$W$4,0))))</f>
        <v>0</v>
      </c>
      <c r="AJ285" s="169">
        <f>IF($C285-AJ$1&lt;År1,0,AI284*(1-VLOOKUP($A285,[1]Hugst!$R$5:$W$9,MATCH(ROUNDUP((AJ$1)/10,0)*10,[1]Hugst!$R$4:$W$4,0))))</f>
        <v>0</v>
      </c>
    </row>
    <row r="286" spans="1:36" x14ac:dyDescent="0.25">
      <c r="A286" s="169" t="s">
        <v>180</v>
      </c>
      <c r="B286" s="169" t="s">
        <v>24</v>
      </c>
      <c r="C286" s="169">
        <v>2025</v>
      </c>
      <c r="D286" s="169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613.49760411816487</v>
      </c>
      <c r="E286" s="169">
        <f t="shared" ca="1" si="7"/>
        <v>0</v>
      </c>
      <c r="F286" s="169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885.91848612390811</v>
      </c>
      <c r="G286" s="169">
        <f ca="1">IF($C286-G$1&lt;År1,0,F285*(1-VLOOKUP($A286,[1]Hugst!$R$5:$W$9,MATCH(ROUNDUP((G$1)/10,0)*10,[1]Hugst!$R$4:$W$4,0))))</f>
        <v>879.01159594359649</v>
      </c>
      <c r="H286" s="169">
        <f ca="1">IF($C286-H$1&lt;År1,0,G285*(1-VLOOKUP($A286,[1]Hugst!$R$5:$W$9,MATCH(ROUNDUP((H$1)/10,0)*10,[1]Hugst!$R$4:$W$4,0))))</f>
        <v>862.08020505887032</v>
      </c>
      <c r="I286" s="169">
        <f ca="1">IF($C286-I$1&lt;År1,0,H285*(1-VLOOKUP($A286,[1]Hugst!$R$5:$W$9,MATCH(ROUNDUP((I$1)/10,0)*10,[1]Hugst!$R$4:$W$4,0))))</f>
        <v>825.08414638074498</v>
      </c>
      <c r="J286" s="169">
        <f ca="1">IF($C286-J$1&lt;År1,0,I285*(1-VLOOKUP($A286,[1]Hugst!$R$5:$W$9,MATCH(ROUNDUP((J$1)/10,0)*10,[1]Hugst!$R$4:$W$4,0))))</f>
        <v>747.9430070057391</v>
      </c>
      <c r="K286" s="169">
        <f ca="1">IF($C286-K$1&lt;År1,0,J285*(1-VLOOKUP($A286,[1]Hugst!$R$5:$W$9,MATCH(ROUNDUP((K$1)/10,0)*10,[1]Hugst!$R$4:$W$4,0))))</f>
        <v>590.49588200574033</v>
      </c>
      <c r="L286" s="169">
        <f>IF($C286-L$1&lt;År1,0,K285*(1-VLOOKUP($A286,[1]Hugst!$R$5:$W$9,MATCH(ROUNDUP((L$1)/10,0)*10,[1]Hugst!$R$4:$W$4,0))))</f>
        <v>0</v>
      </c>
      <c r="M286" s="169">
        <f>IF($C286-M$1&lt;År1,0,L285*(1-VLOOKUP($A286,[1]Hugst!$R$5:$W$9,MATCH(ROUNDUP((M$1)/10,0)*10,[1]Hugst!$R$4:$W$4,0))))</f>
        <v>0</v>
      </c>
      <c r="N286" s="169">
        <f>IF($C286-N$1&lt;År1,0,M285*(1-VLOOKUP($A286,[1]Hugst!$R$5:$W$9,MATCH(ROUNDUP((N$1)/10,0)*10,[1]Hugst!$R$4:$W$4,0))))</f>
        <v>0</v>
      </c>
      <c r="O286" s="169">
        <f>IF($C286-O$1&lt;År1,0,N285*(1-VLOOKUP($A286,[1]Hugst!$R$5:$W$9,MATCH(ROUNDUP((O$1)/10,0)*10,[1]Hugst!$R$4:$W$4,0))))</f>
        <v>0</v>
      </c>
      <c r="P286" s="169">
        <f>IF($C286-P$1&lt;År1,0,O285*(1-VLOOKUP($A286,[1]Hugst!$R$5:$W$9,MATCH(ROUNDUP((P$1)/10,0)*10,[1]Hugst!$R$4:$W$4,0))))</f>
        <v>0</v>
      </c>
      <c r="Q286" s="169">
        <f>IF($C286-Q$1&lt;År1,0,P285*(1-VLOOKUP($A286,[1]Hugst!$R$5:$W$9,MATCH(ROUNDUP((Q$1)/10,0)*10,[1]Hugst!$R$4:$W$4,0))))</f>
        <v>0</v>
      </c>
      <c r="R286" s="169">
        <f>IF($C286-R$1&lt;År1,0,Q285*(1-VLOOKUP($A286,[1]Hugst!$R$5:$W$9,MATCH(ROUNDUP((R$1)/10,0)*10,[1]Hugst!$R$4:$W$4,0))))</f>
        <v>0</v>
      </c>
      <c r="S286" s="169">
        <f>IF($C286-S$1&lt;År1,0,R285*(1-VLOOKUP($A286,[1]Hugst!$R$5:$W$9,MATCH(ROUNDUP((S$1)/10,0)*10,[1]Hugst!$R$4:$W$4,0))))</f>
        <v>0</v>
      </c>
      <c r="T286" s="169">
        <f>IF($C286-T$1&lt;År1,0,S285*(1-VLOOKUP($A286,[1]Hugst!$R$5:$W$9,MATCH(ROUNDUP((T$1)/10,0)*10,[1]Hugst!$R$4:$W$4,0))))</f>
        <v>0</v>
      </c>
      <c r="U286" s="169">
        <f>IF($C286-U$1&lt;År1,0,T285*(1-VLOOKUP($A286,[1]Hugst!$R$5:$W$9,MATCH(ROUNDUP((U$1)/10,0)*10,[1]Hugst!$R$4:$W$4,0))))</f>
        <v>0</v>
      </c>
      <c r="V286" s="169">
        <f>IF($C286-V$1&lt;År1,0,U285*(1-VLOOKUP($A286,[1]Hugst!$R$5:$W$9,MATCH(ROUNDUP((V$1)/10,0)*10,[1]Hugst!$R$4:$W$4,0))))</f>
        <v>0</v>
      </c>
      <c r="W286" s="169">
        <f>IF($C286-W$1&lt;År1,0,V285*(1-VLOOKUP($A286,[1]Hugst!$R$5:$W$9,MATCH(ROUNDUP((W$1)/10,0)*10,[1]Hugst!$R$4:$W$4,0))))</f>
        <v>0</v>
      </c>
      <c r="X286" s="169">
        <f>IF($C286-X$1&lt;År1,0,W285*(1-VLOOKUP($A286,[1]Hugst!$R$5:$W$9,MATCH(ROUNDUP((X$1)/10,0)*10,[1]Hugst!$R$4:$W$4,0))))</f>
        <v>0</v>
      </c>
      <c r="Y286" s="169">
        <f>IF($C286-Y$1&lt;År1,0,X285*(1-VLOOKUP($A286,[1]Hugst!$R$5:$W$9,MATCH(ROUNDUP((Y$1)/10,0)*10,[1]Hugst!$R$4:$W$4,0))))</f>
        <v>0</v>
      </c>
      <c r="Z286" s="169">
        <f>IF($C286-Z$1&lt;År1,0,Y285*(1-VLOOKUP($A286,[1]Hugst!$R$5:$W$9,MATCH(ROUNDUP((Z$1)/10,0)*10,[1]Hugst!$R$4:$W$4,0))))</f>
        <v>0</v>
      </c>
      <c r="AA286" s="169">
        <f>IF($C286-AA$1&lt;År1,0,Z285*(1-VLOOKUP($A286,[1]Hugst!$R$5:$W$9,MATCH(ROUNDUP((AA$1)/10,0)*10,[1]Hugst!$R$4:$W$4,0))))</f>
        <v>0</v>
      </c>
      <c r="AB286" s="169">
        <f>IF($C286-AB$1&lt;År1,0,AA285*(1-VLOOKUP($A286,[1]Hugst!$R$5:$W$9,MATCH(ROUNDUP((AB$1)/10,0)*10,[1]Hugst!$R$4:$W$4,0))))</f>
        <v>0</v>
      </c>
      <c r="AC286" s="169">
        <f>IF($C286-AC$1&lt;År1,0,AB285*(1-VLOOKUP($A286,[1]Hugst!$R$5:$W$9,MATCH(ROUNDUP((AC$1)/10,0)*10,[1]Hugst!$R$4:$W$4,0))))</f>
        <v>0</v>
      </c>
      <c r="AD286" s="169">
        <f>IF($C286-AD$1&lt;År1,0,AC285*(1-VLOOKUP($A286,[1]Hugst!$R$5:$W$9,MATCH(ROUNDUP((AD$1)/10,0)*10,[1]Hugst!$R$4:$W$4,0))))</f>
        <v>0</v>
      </c>
      <c r="AE286" s="169">
        <f>IF($C286-AE$1&lt;År1,0,AD285*(1-VLOOKUP($A286,[1]Hugst!$R$5:$W$9,MATCH(ROUNDUP((AE$1)/10,0)*10,[1]Hugst!$R$4:$W$4,0))))</f>
        <v>0</v>
      </c>
      <c r="AF286" s="169">
        <f>IF($C286-AF$1&lt;År1,0,AE285*(1-VLOOKUP($A286,[1]Hugst!$R$5:$W$9,MATCH(ROUNDUP((AF$1)/10,0)*10,[1]Hugst!$R$4:$W$4,0))))</f>
        <v>0</v>
      </c>
      <c r="AG286" s="169">
        <f>IF($C286-AG$1&lt;År1,0,AF285*(1-VLOOKUP($A286,[1]Hugst!$R$5:$W$9,MATCH(ROUNDUP((AG$1)/10,0)*10,[1]Hugst!$R$4:$W$4,0))))</f>
        <v>0</v>
      </c>
      <c r="AH286" s="169">
        <f>IF($C286-AH$1&lt;År1,0,AG285*(1-VLOOKUP($A286,[1]Hugst!$R$5:$W$9,MATCH(ROUNDUP((AH$1)/10,0)*10,[1]Hugst!$R$4:$W$4,0))))</f>
        <v>0</v>
      </c>
      <c r="AI286" s="169">
        <f>IF($C286-AI$1&lt;År1,0,AH285*(1-VLOOKUP($A286,[1]Hugst!$R$5:$W$9,MATCH(ROUNDUP((AI$1)/10,0)*10,[1]Hugst!$R$4:$W$4,0))))</f>
        <v>0</v>
      </c>
      <c r="AJ286" s="169">
        <f>IF($C286-AJ$1&lt;År1,0,AI285*(1-VLOOKUP($A286,[1]Hugst!$R$5:$W$9,MATCH(ROUNDUP((AJ$1)/10,0)*10,[1]Hugst!$R$4:$W$4,0))))</f>
        <v>0</v>
      </c>
    </row>
    <row r="287" spans="1:36" x14ac:dyDescent="0.25">
      <c r="A287" s="169" t="s">
        <v>180</v>
      </c>
      <c r="B287" s="169" t="s">
        <v>24</v>
      </c>
      <c r="C287" s="169">
        <v>2026</v>
      </c>
      <c r="D287" s="169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615.40003797258373</v>
      </c>
      <c r="E287" s="169">
        <f t="shared" ca="1" si="7"/>
        <v>0</v>
      </c>
      <c r="F287" s="169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887.82091997832697</v>
      </c>
      <c r="G287" s="169">
        <f ca="1">IF($C287-G$1&lt;År1,0,F286*(1-VLOOKUP($A287,[1]Hugst!$R$5:$W$9,MATCH(ROUNDUP((G$1)/10,0)*10,[1]Hugst!$R$4:$W$4,0))))</f>
        <v>885.91848612390811</v>
      </c>
      <c r="H287" s="169">
        <f ca="1">IF($C287-H$1&lt;År1,0,G286*(1-VLOOKUP($A287,[1]Hugst!$R$5:$W$9,MATCH(ROUNDUP((H$1)/10,0)*10,[1]Hugst!$R$4:$W$4,0))))</f>
        <v>879.01159594359649</v>
      </c>
      <c r="I287" s="169">
        <f ca="1">IF($C287-I$1&lt;År1,0,H286*(1-VLOOKUP($A287,[1]Hugst!$R$5:$W$9,MATCH(ROUNDUP((I$1)/10,0)*10,[1]Hugst!$R$4:$W$4,0))))</f>
        <v>862.08020505887032</v>
      </c>
      <c r="J287" s="169">
        <f ca="1">IF($C287-J$1&lt;År1,0,I286*(1-VLOOKUP($A287,[1]Hugst!$R$5:$W$9,MATCH(ROUNDUP((J$1)/10,0)*10,[1]Hugst!$R$4:$W$4,0))))</f>
        <v>825.08414638074498</v>
      </c>
      <c r="K287" s="169">
        <f ca="1">IF($C287-K$1&lt;År1,0,J286*(1-VLOOKUP($A287,[1]Hugst!$R$5:$W$9,MATCH(ROUNDUP((K$1)/10,0)*10,[1]Hugst!$R$4:$W$4,0))))</f>
        <v>747.9430070057391</v>
      </c>
      <c r="L287" s="169">
        <f ca="1">IF($C287-L$1&lt;År1,0,K286*(1-VLOOKUP($A287,[1]Hugst!$R$5:$W$9,MATCH(ROUNDUP((L$1)/10,0)*10,[1]Hugst!$R$4:$W$4,0))))</f>
        <v>590.49588200574033</v>
      </c>
      <c r="M287" s="169">
        <f>IF($C287-M$1&lt;År1,0,L286*(1-VLOOKUP($A287,[1]Hugst!$R$5:$W$9,MATCH(ROUNDUP((M$1)/10,0)*10,[1]Hugst!$R$4:$W$4,0))))</f>
        <v>0</v>
      </c>
      <c r="N287" s="169">
        <f>IF($C287-N$1&lt;År1,0,M286*(1-VLOOKUP($A287,[1]Hugst!$R$5:$W$9,MATCH(ROUNDUP((N$1)/10,0)*10,[1]Hugst!$R$4:$W$4,0))))</f>
        <v>0</v>
      </c>
      <c r="O287" s="169">
        <f>IF($C287-O$1&lt;År1,0,N286*(1-VLOOKUP($A287,[1]Hugst!$R$5:$W$9,MATCH(ROUNDUP((O$1)/10,0)*10,[1]Hugst!$R$4:$W$4,0))))</f>
        <v>0</v>
      </c>
      <c r="P287" s="169">
        <f>IF($C287-P$1&lt;År1,0,O286*(1-VLOOKUP($A287,[1]Hugst!$R$5:$W$9,MATCH(ROUNDUP((P$1)/10,0)*10,[1]Hugst!$R$4:$W$4,0))))</f>
        <v>0</v>
      </c>
      <c r="Q287" s="169">
        <f>IF($C287-Q$1&lt;År1,0,P286*(1-VLOOKUP($A287,[1]Hugst!$R$5:$W$9,MATCH(ROUNDUP((Q$1)/10,0)*10,[1]Hugst!$R$4:$W$4,0))))</f>
        <v>0</v>
      </c>
      <c r="R287" s="169">
        <f>IF($C287-R$1&lt;År1,0,Q286*(1-VLOOKUP($A287,[1]Hugst!$R$5:$W$9,MATCH(ROUNDUP((R$1)/10,0)*10,[1]Hugst!$R$4:$W$4,0))))</f>
        <v>0</v>
      </c>
      <c r="S287" s="169">
        <f>IF($C287-S$1&lt;År1,0,R286*(1-VLOOKUP($A287,[1]Hugst!$R$5:$W$9,MATCH(ROUNDUP((S$1)/10,0)*10,[1]Hugst!$R$4:$W$4,0))))</f>
        <v>0</v>
      </c>
      <c r="T287" s="169">
        <f>IF($C287-T$1&lt;År1,0,S286*(1-VLOOKUP($A287,[1]Hugst!$R$5:$W$9,MATCH(ROUNDUP((T$1)/10,0)*10,[1]Hugst!$R$4:$W$4,0))))</f>
        <v>0</v>
      </c>
      <c r="U287" s="169">
        <f>IF($C287-U$1&lt;År1,0,T286*(1-VLOOKUP($A287,[1]Hugst!$R$5:$W$9,MATCH(ROUNDUP((U$1)/10,0)*10,[1]Hugst!$R$4:$W$4,0))))</f>
        <v>0</v>
      </c>
      <c r="V287" s="169">
        <f>IF($C287-V$1&lt;År1,0,U286*(1-VLOOKUP($A287,[1]Hugst!$R$5:$W$9,MATCH(ROUNDUP((V$1)/10,0)*10,[1]Hugst!$R$4:$W$4,0))))</f>
        <v>0</v>
      </c>
      <c r="W287" s="169">
        <f>IF($C287-W$1&lt;År1,0,V286*(1-VLOOKUP($A287,[1]Hugst!$R$5:$W$9,MATCH(ROUNDUP((W$1)/10,0)*10,[1]Hugst!$R$4:$W$4,0))))</f>
        <v>0</v>
      </c>
      <c r="X287" s="169">
        <f>IF($C287-X$1&lt;År1,0,W286*(1-VLOOKUP($A287,[1]Hugst!$R$5:$W$9,MATCH(ROUNDUP((X$1)/10,0)*10,[1]Hugst!$R$4:$W$4,0))))</f>
        <v>0</v>
      </c>
      <c r="Y287" s="169">
        <f>IF($C287-Y$1&lt;År1,0,X286*(1-VLOOKUP($A287,[1]Hugst!$R$5:$W$9,MATCH(ROUNDUP((Y$1)/10,0)*10,[1]Hugst!$R$4:$W$4,0))))</f>
        <v>0</v>
      </c>
      <c r="Z287" s="169">
        <f>IF($C287-Z$1&lt;År1,0,Y286*(1-VLOOKUP($A287,[1]Hugst!$R$5:$W$9,MATCH(ROUNDUP((Z$1)/10,0)*10,[1]Hugst!$R$4:$W$4,0))))</f>
        <v>0</v>
      </c>
      <c r="AA287" s="169">
        <f>IF($C287-AA$1&lt;År1,0,Z286*(1-VLOOKUP($A287,[1]Hugst!$R$5:$W$9,MATCH(ROUNDUP((AA$1)/10,0)*10,[1]Hugst!$R$4:$W$4,0))))</f>
        <v>0</v>
      </c>
      <c r="AB287" s="169">
        <f>IF($C287-AB$1&lt;År1,0,AA286*(1-VLOOKUP($A287,[1]Hugst!$R$5:$W$9,MATCH(ROUNDUP((AB$1)/10,0)*10,[1]Hugst!$R$4:$W$4,0))))</f>
        <v>0</v>
      </c>
      <c r="AC287" s="169">
        <f>IF($C287-AC$1&lt;År1,0,AB286*(1-VLOOKUP($A287,[1]Hugst!$R$5:$W$9,MATCH(ROUNDUP((AC$1)/10,0)*10,[1]Hugst!$R$4:$W$4,0))))</f>
        <v>0</v>
      </c>
      <c r="AD287" s="169">
        <f>IF($C287-AD$1&lt;År1,0,AC286*(1-VLOOKUP($A287,[1]Hugst!$R$5:$W$9,MATCH(ROUNDUP((AD$1)/10,0)*10,[1]Hugst!$R$4:$W$4,0))))</f>
        <v>0</v>
      </c>
      <c r="AE287" s="169">
        <f>IF($C287-AE$1&lt;År1,0,AD286*(1-VLOOKUP($A287,[1]Hugst!$R$5:$W$9,MATCH(ROUNDUP((AE$1)/10,0)*10,[1]Hugst!$R$4:$W$4,0))))</f>
        <v>0</v>
      </c>
      <c r="AF287" s="169">
        <f>IF($C287-AF$1&lt;År1,0,AE286*(1-VLOOKUP($A287,[1]Hugst!$R$5:$W$9,MATCH(ROUNDUP((AF$1)/10,0)*10,[1]Hugst!$R$4:$W$4,0))))</f>
        <v>0</v>
      </c>
      <c r="AG287" s="169">
        <f>IF($C287-AG$1&lt;År1,0,AF286*(1-VLOOKUP($A287,[1]Hugst!$R$5:$W$9,MATCH(ROUNDUP((AG$1)/10,0)*10,[1]Hugst!$R$4:$W$4,0))))</f>
        <v>0</v>
      </c>
      <c r="AH287" s="169">
        <f>IF($C287-AH$1&lt;År1,0,AG286*(1-VLOOKUP($A287,[1]Hugst!$R$5:$W$9,MATCH(ROUNDUP((AH$1)/10,0)*10,[1]Hugst!$R$4:$W$4,0))))</f>
        <v>0</v>
      </c>
      <c r="AI287" s="169">
        <f>IF($C287-AI$1&lt;År1,0,AH286*(1-VLOOKUP($A287,[1]Hugst!$R$5:$W$9,MATCH(ROUNDUP((AI$1)/10,0)*10,[1]Hugst!$R$4:$W$4,0))))</f>
        <v>0</v>
      </c>
      <c r="AJ287" s="169">
        <f>IF($C287-AJ$1&lt;År1,0,AI286*(1-VLOOKUP($A287,[1]Hugst!$R$5:$W$9,MATCH(ROUNDUP((AJ$1)/10,0)*10,[1]Hugst!$R$4:$W$4,0))))</f>
        <v>0</v>
      </c>
    </row>
    <row r="288" spans="1:36" x14ac:dyDescent="0.25">
      <c r="A288" s="169" t="s">
        <v>180</v>
      </c>
      <c r="B288" s="169" t="s">
        <v>24</v>
      </c>
      <c r="C288" s="169">
        <v>2027</v>
      </c>
      <c r="D288" s="169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614.80799872021817</v>
      </c>
      <c r="E288" s="169">
        <f t="shared" ca="1" si="7"/>
        <v>0</v>
      </c>
      <c r="F288" s="169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887.2288807259614</v>
      </c>
      <c r="G288" s="169">
        <f ca="1">IF($C288-G$1&lt;År1,0,F287*(1-VLOOKUP($A288,[1]Hugst!$R$5:$W$9,MATCH(ROUNDUP((G$1)/10,0)*10,[1]Hugst!$R$4:$W$4,0))))</f>
        <v>887.82091997832697</v>
      </c>
      <c r="H288" s="169">
        <f ca="1">IF($C288-H$1&lt;År1,0,G287*(1-VLOOKUP($A288,[1]Hugst!$R$5:$W$9,MATCH(ROUNDUP((H$1)/10,0)*10,[1]Hugst!$R$4:$W$4,0))))</f>
        <v>885.91848612390811</v>
      </c>
      <c r="I288" s="169">
        <f ca="1">IF($C288-I$1&lt;År1,0,H287*(1-VLOOKUP($A288,[1]Hugst!$R$5:$W$9,MATCH(ROUNDUP((I$1)/10,0)*10,[1]Hugst!$R$4:$W$4,0))))</f>
        <v>879.01159594359649</v>
      </c>
      <c r="J288" s="169">
        <f ca="1">IF($C288-J$1&lt;År1,0,I287*(1-VLOOKUP($A288,[1]Hugst!$R$5:$W$9,MATCH(ROUNDUP((J$1)/10,0)*10,[1]Hugst!$R$4:$W$4,0))))</f>
        <v>862.08020505887032</v>
      </c>
      <c r="K288" s="169">
        <f ca="1">IF($C288-K$1&lt;År1,0,J287*(1-VLOOKUP($A288,[1]Hugst!$R$5:$W$9,MATCH(ROUNDUP((K$1)/10,0)*10,[1]Hugst!$R$4:$W$4,0))))</f>
        <v>825.08414638074498</v>
      </c>
      <c r="L288" s="169">
        <f ca="1">IF($C288-L$1&lt;År1,0,K287*(1-VLOOKUP($A288,[1]Hugst!$R$5:$W$9,MATCH(ROUNDUP((L$1)/10,0)*10,[1]Hugst!$R$4:$W$4,0))))</f>
        <v>747.9430070057391</v>
      </c>
      <c r="M288" s="169">
        <f ca="1">IF($C288-M$1&lt;År1,0,L287*(1-VLOOKUP($A288,[1]Hugst!$R$5:$W$9,MATCH(ROUNDUP((M$1)/10,0)*10,[1]Hugst!$R$4:$W$4,0))))</f>
        <v>590.49588200574033</v>
      </c>
      <c r="N288" s="169">
        <f>IF($C288-N$1&lt;År1,0,M287*(1-VLOOKUP($A288,[1]Hugst!$R$5:$W$9,MATCH(ROUNDUP((N$1)/10,0)*10,[1]Hugst!$R$4:$W$4,0))))</f>
        <v>0</v>
      </c>
      <c r="O288" s="169">
        <f>IF($C288-O$1&lt;År1,0,N287*(1-VLOOKUP($A288,[1]Hugst!$R$5:$W$9,MATCH(ROUNDUP((O$1)/10,0)*10,[1]Hugst!$R$4:$W$4,0))))</f>
        <v>0</v>
      </c>
      <c r="P288" s="169">
        <f>IF($C288-P$1&lt;År1,0,O287*(1-VLOOKUP($A288,[1]Hugst!$R$5:$W$9,MATCH(ROUNDUP((P$1)/10,0)*10,[1]Hugst!$R$4:$W$4,0))))</f>
        <v>0</v>
      </c>
      <c r="Q288" s="169">
        <f>IF($C288-Q$1&lt;År1,0,P287*(1-VLOOKUP($A288,[1]Hugst!$R$5:$W$9,MATCH(ROUNDUP((Q$1)/10,0)*10,[1]Hugst!$R$4:$W$4,0))))</f>
        <v>0</v>
      </c>
      <c r="R288" s="169">
        <f>IF($C288-R$1&lt;År1,0,Q287*(1-VLOOKUP($A288,[1]Hugst!$R$5:$W$9,MATCH(ROUNDUP((R$1)/10,0)*10,[1]Hugst!$R$4:$W$4,0))))</f>
        <v>0</v>
      </c>
      <c r="S288" s="169">
        <f>IF($C288-S$1&lt;År1,0,R287*(1-VLOOKUP($A288,[1]Hugst!$R$5:$W$9,MATCH(ROUNDUP((S$1)/10,0)*10,[1]Hugst!$R$4:$W$4,0))))</f>
        <v>0</v>
      </c>
      <c r="T288" s="169">
        <f>IF($C288-T$1&lt;År1,0,S287*(1-VLOOKUP($A288,[1]Hugst!$R$5:$W$9,MATCH(ROUNDUP((T$1)/10,0)*10,[1]Hugst!$R$4:$W$4,0))))</f>
        <v>0</v>
      </c>
      <c r="U288" s="169">
        <f>IF($C288-U$1&lt;År1,0,T287*(1-VLOOKUP($A288,[1]Hugst!$R$5:$W$9,MATCH(ROUNDUP((U$1)/10,0)*10,[1]Hugst!$R$4:$W$4,0))))</f>
        <v>0</v>
      </c>
      <c r="V288" s="169">
        <f>IF($C288-V$1&lt;År1,0,U287*(1-VLOOKUP($A288,[1]Hugst!$R$5:$W$9,MATCH(ROUNDUP((V$1)/10,0)*10,[1]Hugst!$R$4:$W$4,0))))</f>
        <v>0</v>
      </c>
      <c r="W288" s="169">
        <f>IF($C288-W$1&lt;År1,0,V287*(1-VLOOKUP($A288,[1]Hugst!$R$5:$W$9,MATCH(ROUNDUP((W$1)/10,0)*10,[1]Hugst!$R$4:$W$4,0))))</f>
        <v>0</v>
      </c>
      <c r="X288" s="169">
        <f>IF($C288-X$1&lt;År1,0,W287*(1-VLOOKUP($A288,[1]Hugst!$R$5:$W$9,MATCH(ROUNDUP((X$1)/10,0)*10,[1]Hugst!$R$4:$W$4,0))))</f>
        <v>0</v>
      </c>
      <c r="Y288" s="169">
        <f>IF($C288-Y$1&lt;År1,0,X287*(1-VLOOKUP($A288,[1]Hugst!$R$5:$W$9,MATCH(ROUNDUP((Y$1)/10,0)*10,[1]Hugst!$R$4:$W$4,0))))</f>
        <v>0</v>
      </c>
      <c r="Z288" s="169">
        <f>IF($C288-Z$1&lt;År1,0,Y287*(1-VLOOKUP($A288,[1]Hugst!$R$5:$W$9,MATCH(ROUNDUP((Z$1)/10,0)*10,[1]Hugst!$R$4:$W$4,0))))</f>
        <v>0</v>
      </c>
      <c r="AA288" s="169">
        <f>IF($C288-AA$1&lt;År1,0,Z287*(1-VLOOKUP($A288,[1]Hugst!$R$5:$W$9,MATCH(ROUNDUP((AA$1)/10,0)*10,[1]Hugst!$R$4:$W$4,0))))</f>
        <v>0</v>
      </c>
      <c r="AB288" s="169">
        <f>IF($C288-AB$1&lt;År1,0,AA287*(1-VLOOKUP($A288,[1]Hugst!$R$5:$W$9,MATCH(ROUNDUP((AB$1)/10,0)*10,[1]Hugst!$R$4:$W$4,0))))</f>
        <v>0</v>
      </c>
      <c r="AC288" s="169">
        <f>IF($C288-AC$1&lt;År1,0,AB287*(1-VLOOKUP($A288,[1]Hugst!$R$5:$W$9,MATCH(ROUNDUP((AC$1)/10,0)*10,[1]Hugst!$R$4:$W$4,0))))</f>
        <v>0</v>
      </c>
      <c r="AD288" s="169">
        <f>IF($C288-AD$1&lt;År1,0,AC287*(1-VLOOKUP($A288,[1]Hugst!$R$5:$W$9,MATCH(ROUNDUP((AD$1)/10,0)*10,[1]Hugst!$R$4:$W$4,0))))</f>
        <v>0</v>
      </c>
      <c r="AE288" s="169">
        <f>IF($C288-AE$1&lt;År1,0,AD287*(1-VLOOKUP($A288,[1]Hugst!$R$5:$W$9,MATCH(ROUNDUP((AE$1)/10,0)*10,[1]Hugst!$R$4:$W$4,0))))</f>
        <v>0</v>
      </c>
      <c r="AF288" s="169">
        <f>IF($C288-AF$1&lt;År1,0,AE287*(1-VLOOKUP($A288,[1]Hugst!$R$5:$W$9,MATCH(ROUNDUP((AF$1)/10,0)*10,[1]Hugst!$R$4:$W$4,0))))</f>
        <v>0</v>
      </c>
      <c r="AG288" s="169">
        <f>IF($C288-AG$1&lt;År1,0,AF287*(1-VLOOKUP($A288,[1]Hugst!$R$5:$W$9,MATCH(ROUNDUP((AG$1)/10,0)*10,[1]Hugst!$R$4:$W$4,0))))</f>
        <v>0</v>
      </c>
      <c r="AH288" s="169">
        <f>IF($C288-AH$1&lt;År1,0,AG287*(1-VLOOKUP($A288,[1]Hugst!$R$5:$W$9,MATCH(ROUNDUP((AH$1)/10,0)*10,[1]Hugst!$R$4:$W$4,0))))</f>
        <v>0</v>
      </c>
      <c r="AI288" s="169">
        <f>IF($C288-AI$1&lt;År1,0,AH287*(1-VLOOKUP($A288,[1]Hugst!$R$5:$W$9,MATCH(ROUNDUP((AI$1)/10,0)*10,[1]Hugst!$R$4:$W$4,0))))</f>
        <v>0</v>
      </c>
      <c r="AJ288" s="169">
        <f>IF($C288-AJ$1&lt;År1,0,AI287*(1-VLOOKUP($A288,[1]Hugst!$R$5:$W$9,MATCH(ROUNDUP((AJ$1)/10,0)*10,[1]Hugst!$R$4:$W$4,0))))</f>
        <v>0</v>
      </c>
    </row>
    <row r="289" spans="1:36" x14ac:dyDescent="0.25">
      <c r="A289" s="169" t="s">
        <v>180</v>
      </c>
      <c r="B289" s="169" t="s">
        <v>24</v>
      </c>
      <c r="C289" s="169">
        <v>2028</v>
      </c>
      <c r="D289" s="169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612.9764391953704</v>
      </c>
      <c r="E289" s="169">
        <f t="shared" ca="1" si="7"/>
        <v>0</v>
      </c>
      <c r="F289" s="169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885.39732120111364</v>
      </c>
      <c r="G289" s="169">
        <f ca="1">IF($C289-G$1&lt;År1,0,F288*(1-VLOOKUP($A289,[1]Hugst!$R$5:$W$9,MATCH(ROUNDUP((G$1)/10,0)*10,[1]Hugst!$R$4:$W$4,0))))</f>
        <v>887.2288807259614</v>
      </c>
      <c r="H289" s="169">
        <f ca="1">IF($C289-H$1&lt;År1,0,G288*(1-VLOOKUP($A289,[1]Hugst!$R$5:$W$9,MATCH(ROUNDUP((H$1)/10,0)*10,[1]Hugst!$R$4:$W$4,0))))</f>
        <v>887.82091997832697</v>
      </c>
      <c r="I289" s="169">
        <f ca="1">IF($C289-I$1&lt;År1,0,H288*(1-VLOOKUP($A289,[1]Hugst!$R$5:$W$9,MATCH(ROUNDUP((I$1)/10,0)*10,[1]Hugst!$R$4:$W$4,0))))</f>
        <v>885.91848612390811</v>
      </c>
      <c r="J289" s="169">
        <f ca="1">IF($C289-J$1&lt;År1,0,I288*(1-VLOOKUP($A289,[1]Hugst!$R$5:$W$9,MATCH(ROUNDUP((J$1)/10,0)*10,[1]Hugst!$R$4:$W$4,0))))</f>
        <v>879.01159594359649</v>
      </c>
      <c r="K289" s="169">
        <f ca="1">IF($C289-K$1&lt;År1,0,J288*(1-VLOOKUP($A289,[1]Hugst!$R$5:$W$9,MATCH(ROUNDUP((K$1)/10,0)*10,[1]Hugst!$R$4:$W$4,0))))</f>
        <v>862.08020505887032</v>
      </c>
      <c r="L289" s="169">
        <f ca="1">IF($C289-L$1&lt;År1,0,K288*(1-VLOOKUP($A289,[1]Hugst!$R$5:$W$9,MATCH(ROUNDUP((L$1)/10,0)*10,[1]Hugst!$R$4:$W$4,0))))</f>
        <v>825.08414638074498</v>
      </c>
      <c r="M289" s="169">
        <f ca="1">IF($C289-M$1&lt;År1,0,L288*(1-VLOOKUP($A289,[1]Hugst!$R$5:$W$9,MATCH(ROUNDUP((M$1)/10,0)*10,[1]Hugst!$R$4:$W$4,0))))</f>
        <v>747.9430070057391</v>
      </c>
      <c r="N289" s="169">
        <f ca="1">IF($C289-N$1&lt;År1,0,M288*(1-VLOOKUP($A289,[1]Hugst!$R$5:$W$9,MATCH(ROUNDUP((N$1)/10,0)*10,[1]Hugst!$R$4:$W$4,0))))</f>
        <v>590.49588200574033</v>
      </c>
      <c r="O289" s="169">
        <f>IF($C289-O$1&lt;År1,0,N288*(1-VLOOKUP($A289,[1]Hugst!$R$5:$W$9,MATCH(ROUNDUP((O$1)/10,0)*10,[1]Hugst!$R$4:$W$4,0))))</f>
        <v>0</v>
      </c>
      <c r="P289" s="169">
        <f>IF($C289-P$1&lt;År1,0,O288*(1-VLOOKUP($A289,[1]Hugst!$R$5:$W$9,MATCH(ROUNDUP((P$1)/10,0)*10,[1]Hugst!$R$4:$W$4,0))))</f>
        <v>0</v>
      </c>
      <c r="Q289" s="169">
        <f>IF($C289-Q$1&lt;År1,0,P288*(1-VLOOKUP($A289,[1]Hugst!$R$5:$W$9,MATCH(ROUNDUP((Q$1)/10,0)*10,[1]Hugst!$R$4:$W$4,0))))</f>
        <v>0</v>
      </c>
      <c r="R289" s="169">
        <f>IF($C289-R$1&lt;År1,0,Q288*(1-VLOOKUP($A289,[1]Hugst!$R$5:$W$9,MATCH(ROUNDUP((R$1)/10,0)*10,[1]Hugst!$R$4:$W$4,0))))</f>
        <v>0</v>
      </c>
      <c r="S289" s="169">
        <f>IF($C289-S$1&lt;År1,0,R288*(1-VLOOKUP($A289,[1]Hugst!$R$5:$W$9,MATCH(ROUNDUP((S$1)/10,0)*10,[1]Hugst!$R$4:$W$4,0))))</f>
        <v>0</v>
      </c>
      <c r="T289" s="169">
        <f>IF($C289-T$1&lt;År1,0,S288*(1-VLOOKUP($A289,[1]Hugst!$R$5:$W$9,MATCH(ROUNDUP((T$1)/10,0)*10,[1]Hugst!$R$4:$W$4,0))))</f>
        <v>0</v>
      </c>
      <c r="U289" s="169">
        <f>IF($C289-U$1&lt;År1,0,T288*(1-VLOOKUP($A289,[1]Hugst!$R$5:$W$9,MATCH(ROUNDUP((U$1)/10,0)*10,[1]Hugst!$R$4:$W$4,0))))</f>
        <v>0</v>
      </c>
      <c r="V289" s="169">
        <f>IF($C289-V$1&lt;År1,0,U288*(1-VLOOKUP($A289,[1]Hugst!$R$5:$W$9,MATCH(ROUNDUP((V$1)/10,0)*10,[1]Hugst!$R$4:$W$4,0))))</f>
        <v>0</v>
      </c>
      <c r="W289" s="169">
        <f>IF($C289-W$1&lt;År1,0,V288*(1-VLOOKUP($A289,[1]Hugst!$R$5:$W$9,MATCH(ROUNDUP((W$1)/10,0)*10,[1]Hugst!$R$4:$W$4,0))))</f>
        <v>0</v>
      </c>
      <c r="X289" s="169">
        <f>IF($C289-X$1&lt;År1,0,W288*(1-VLOOKUP($A289,[1]Hugst!$R$5:$W$9,MATCH(ROUNDUP((X$1)/10,0)*10,[1]Hugst!$R$4:$W$4,0))))</f>
        <v>0</v>
      </c>
      <c r="Y289" s="169">
        <f>IF($C289-Y$1&lt;År1,0,X288*(1-VLOOKUP($A289,[1]Hugst!$R$5:$W$9,MATCH(ROUNDUP((Y$1)/10,0)*10,[1]Hugst!$R$4:$W$4,0))))</f>
        <v>0</v>
      </c>
      <c r="Z289" s="169">
        <f>IF($C289-Z$1&lt;År1,0,Y288*(1-VLOOKUP($A289,[1]Hugst!$R$5:$W$9,MATCH(ROUNDUP((Z$1)/10,0)*10,[1]Hugst!$R$4:$W$4,0))))</f>
        <v>0</v>
      </c>
      <c r="AA289" s="169">
        <f>IF($C289-AA$1&lt;År1,0,Z288*(1-VLOOKUP($A289,[1]Hugst!$R$5:$W$9,MATCH(ROUNDUP((AA$1)/10,0)*10,[1]Hugst!$R$4:$W$4,0))))</f>
        <v>0</v>
      </c>
      <c r="AB289" s="169">
        <f>IF($C289-AB$1&lt;År1,0,AA288*(1-VLOOKUP($A289,[1]Hugst!$R$5:$W$9,MATCH(ROUNDUP((AB$1)/10,0)*10,[1]Hugst!$R$4:$W$4,0))))</f>
        <v>0</v>
      </c>
      <c r="AC289" s="169">
        <f>IF($C289-AC$1&lt;År1,0,AB288*(1-VLOOKUP($A289,[1]Hugst!$R$5:$W$9,MATCH(ROUNDUP((AC$1)/10,0)*10,[1]Hugst!$R$4:$W$4,0))))</f>
        <v>0</v>
      </c>
      <c r="AD289" s="169">
        <f>IF($C289-AD$1&lt;År1,0,AC288*(1-VLOOKUP($A289,[1]Hugst!$R$5:$W$9,MATCH(ROUNDUP((AD$1)/10,0)*10,[1]Hugst!$R$4:$W$4,0))))</f>
        <v>0</v>
      </c>
      <c r="AE289" s="169">
        <f>IF($C289-AE$1&lt;År1,0,AD288*(1-VLOOKUP($A289,[1]Hugst!$R$5:$W$9,MATCH(ROUNDUP((AE$1)/10,0)*10,[1]Hugst!$R$4:$W$4,0))))</f>
        <v>0</v>
      </c>
      <c r="AF289" s="169">
        <f>IF($C289-AF$1&lt;År1,0,AE288*(1-VLOOKUP($A289,[1]Hugst!$R$5:$W$9,MATCH(ROUNDUP((AF$1)/10,0)*10,[1]Hugst!$R$4:$W$4,0))))</f>
        <v>0</v>
      </c>
      <c r="AG289" s="169">
        <f>IF($C289-AG$1&lt;År1,0,AF288*(1-VLOOKUP($A289,[1]Hugst!$R$5:$W$9,MATCH(ROUNDUP((AG$1)/10,0)*10,[1]Hugst!$R$4:$W$4,0))))</f>
        <v>0</v>
      </c>
      <c r="AH289" s="169">
        <f>IF($C289-AH$1&lt;År1,0,AG288*(1-VLOOKUP($A289,[1]Hugst!$R$5:$W$9,MATCH(ROUNDUP((AH$1)/10,0)*10,[1]Hugst!$R$4:$W$4,0))))</f>
        <v>0</v>
      </c>
      <c r="AI289" s="169">
        <f>IF($C289-AI$1&lt;År1,0,AH288*(1-VLOOKUP($A289,[1]Hugst!$R$5:$W$9,MATCH(ROUNDUP((AI$1)/10,0)*10,[1]Hugst!$R$4:$W$4,0))))</f>
        <v>0</v>
      </c>
      <c r="AJ289" s="169">
        <f>IF($C289-AJ$1&lt;År1,0,AI288*(1-VLOOKUP($A289,[1]Hugst!$R$5:$W$9,MATCH(ROUNDUP((AJ$1)/10,0)*10,[1]Hugst!$R$4:$W$4,0))))</f>
        <v>0</v>
      </c>
    </row>
    <row r="290" spans="1:36" x14ac:dyDescent="0.25">
      <c r="A290" s="169" t="s">
        <v>180</v>
      </c>
      <c r="B290" s="169" t="s">
        <v>24</v>
      </c>
      <c r="C290" s="169">
        <v>2029</v>
      </c>
      <c r="D290" s="169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610.53279723375726</v>
      </c>
      <c r="E290" s="169">
        <f t="shared" ca="1" si="7"/>
        <v>0</v>
      </c>
      <c r="F290" s="169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882.9536792395005</v>
      </c>
      <c r="G290" s="169">
        <f ca="1">IF($C290-G$1&lt;År1,0,F289*(1-VLOOKUP($A290,[1]Hugst!$R$5:$W$9,MATCH(ROUNDUP((G$1)/10,0)*10,[1]Hugst!$R$4:$W$4,0))))</f>
        <v>885.39732120111364</v>
      </c>
      <c r="H290" s="169">
        <f ca="1">IF($C290-H$1&lt;År1,0,G289*(1-VLOOKUP($A290,[1]Hugst!$R$5:$W$9,MATCH(ROUNDUP((H$1)/10,0)*10,[1]Hugst!$R$4:$W$4,0))))</f>
        <v>887.2288807259614</v>
      </c>
      <c r="I290" s="169">
        <f ca="1">IF($C290-I$1&lt;År1,0,H289*(1-VLOOKUP($A290,[1]Hugst!$R$5:$W$9,MATCH(ROUNDUP((I$1)/10,0)*10,[1]Hugst!$R$4:$W$4,0))))</f>
        <v>887.82091997832697</v>
      </c>
      <c r="J290" s="169">
        <f ca="1">IF($C290-J$1&lt;År1,0,I289*(1-VLOOKUP($A290,[1]Hugst!$R$5:$W$9,MATCH(ROUNDUP((J$1)/10,0)*10,[1]Hugst!$R$4:$W$4,0))))</f>
        <v>885.91848612390811</v>
      </c>
      <c r="K290" s="169">
        <f ca="1">IF($C290-K$1&lt;År1,0,J289*(1-VLOOKUP($A290,[1]Hugst!$R$5:$W$9,MATCH(ROUNDUP((K$1)/10,0)*10,[1]Hugst!$R$4:$W$4,0))))</f>
        <v>879.01159594359649</v>
      </c>
      <c r="L290" s="169">
        <f ca="1">IF($C290-L$1&lt;År1,0,K289*(1-VLOOKUP($A290,[1]Hugst!$R$5:$W$9,MATCH(ROUNDUP((L$1)/10,0)*10,[1]Hugst!$R$4:$W$4,0))))</f>
        <v>862.08020505887032</v>
      </c>
      <c r="M290" s="169">
        <f ca="1">IF($C290-M$1&lt;År1,0,L289*(1-VLOOKUP($A290,[1]Hugst!$R$5:$W$9,MATCH(ROUNDUP((M$1)/10,0)*10,[1]Hugst!$R$4:$W$4,0))))</f>
        <v>825.08414638074498</v>
      </c>
      <c r="N290" s="169">
        <f ca="1">IF($C290-N$1&lt;År1,0,M289*(1-VLOOKUP($A290,[1]Hugst!$R$5:$W$9,MATCH(ROUNDUP((N$1)/10,0)*10,[1]Hugst!$R$4:$W$4,0))))</f>
        <v>747.9430070057391</v>
      </c>
      <c r="O290" s="169">
        <f ca="1">IF($C290-O$1&lt;År1,0,N289*(1-VLOOKUP($A290,[1]Hugst!$R$5:$W$9,MATCH(ROUNDUP((O$1)/10,0)*10,[1]Hugst!$R$4:$W$4,0))))</f>
        <v>590.49588200574033</v>
      </c>
      <c r="P290" s="169">
        <f>IF($C290-P$1&lt;År1,0,O289*(1-VLOOKUP($A290,[1]Hugst!$R$5:$W$9,MATCH(ROUNDUP((P$1)/10,0)*10,[1]Hugst!$R$4:$W$4,0))))</f>
        <v>0</v>
      </c>
      <c r="Q290" s="169">
        <f>IF($C290-Q$1&lt;År1,0,P289*(1-VLOOKUP($A290,[1]Hugst!$R$5:$W$9,MATCH(ROUNDUP((Q$1)/10,0)*10,[1]Hugst!$R$4:$W$4,0))))</f>
        <v>0</v>
      </c>
      <c r="R290" s="169">
        <f>IF($C290-R$1&lt;År1,0,Q289*(1-VLOOKUP($A290,[1]Hugst!$R$5:$W$9,MATCH(ROUNDUP((R$1)/10,0)*10,[1]Hugst!$R$4:$W$4,0))))</f>
        <v>0</v>
      </c>
      <c r="S290" s="169">
        <f>IF($C290-S$1&lt;År1,0,R289*(1-VLOOKUP($A290,[1]Hugst!$R$5:$W$9,MATCH(ROUNDUP((S$1)/10,0)*10,[1]Hugst!$R$4:$W$4,0))))</f>
        <v>0</v>
      </c>
      <c r="T290" s="169">
        <f>IF($C290-T$1&lt;År1,0,S289*(1-VLOOKUP($A290,[1]Hugst!$R$5:$W$9,MATCH(ROUNDUP((T$1)/10,0)*10,[1]Hugst!$R$4:$W$4,0))))</f>
        <v>0</v>
      </c>
      <c r="U290" s="169">
        <f>IF($C290-U$1&lt;År1,0,T289*(1-VLOOKUP($A290,[1]Hugst!$R$5:$W$9,MATCH(ROUNDUP((U$1)/10,0)*10,[1]Hugst!$R$4:$W$4,0))))</f>
        <v>0</v>
      </c>
      <c r="V290" s="169">
        <f>IF($C290-V$1&lt;År1,0,U289*(1-VLOOKUP($A290,[1]Hugst!$R$5:$W$9,MATCH(ROUNDUP((V$1)/10,0)*10,[1]Hugst!$R$4:$W$4,0))))</f>
        <v>0</v>
      </c>
      <c r="W290" s="169">
        <f>IF($C290-W$1&lt;År1,0,V289*(1-VLOOKUP($A290,[1]Hugst!$R$5:$W$9,MATCH(ROUNDUP((W$1)/10,0)*10,[1]Hugst!$R$4:$W$4,0))))</f>
        <v>0</v>
      </c>
      <c r="X290" s="169">
        <f>IF($C290-X$1&lt;År1,0,W289*(1-VLOOKUP($A290,[1]Hugst!$R$5:$W$9,MATCH(ROUNDUP((X$1)/10,0)*10,[1]Hugst!$R$4:$W$4,0))))</f>
        <v>0</v>
      </c>
      <c r="Y290" s="169">
        <f>IF($C290-Y$1&lt;År1,0,X289*(1-VLOOKUP($A290,[1]Hugst!$R$5:$W$9,MATCH(ROUNDUP((Y$1)/10,0)*10,[1]Hugst!$R$4:$W$4,0))))</f>
        <v>0</v>
      </c>
      <c r="Z290" s="169">
        <f>IF($C290-Z$1&lt;År1,0,Y289*(1-VLOOKUP($A290,[1]Hugst!$R$5:$W$9,MATCH(ROUNDUP((Z$1)/10,0)*10,[1]Hugst!$R$4:$W$4,0))))</f>
        <v>0</v>
      </c>
      <c r="AA290" s="169">
        <f>IF($C290-AA$1&lt;År1,0,Z289*(1-VLOOKUP($A290,[1]Hugst!$R$5:$W$9,MATCH(ROUNDUP((AA$1)/10,0)*10,[1]Hugst!$R$4:$W$4,0))))</f>
        <v>0</v>
      </c>
      <c r="AB290" s="169">
        <f>IF($C290-AB$1&lt;År1,0,AA289*(1-VLOOKUP($A290,[1]Hugst!$R$5:$W$9,MATCH(ROUNDUP((AB$1)/10,0)*10,[1]Hugst!$R$4:$W$4,0))))</f>
        <v>0</v>
      </c>
      <c r="AC290" s="169">
        <f>IF($C290-AC$1&lt;År1,0,AB289*(1-VLOOKUP($A290,[1]Hugst!$R$5:$W$9,MATCH(ROUNDUP((AC$1)/10,0)*10,[1]Hugst!$R$4:$W$4,0))))</f>
        <v>0</v>
      </c>
      <c r="AD290" s="169">
        <f>IF($C290-AD$1&lt;År1,0,AC289*(1-VLOOKUP($A290,[1]Hugst!$R$5:$W$9,MATCH(ROUNDUP((AD$1)/10,0)*10,[1]Hugst!$R$4:$W$4,0))))</f>
        <v>0</v>
      </c>
      <c r="AE290" s="169">
        <f>IF($C290-AE$1&lt;År1,0,AD289*(1-VLOOKUP($A290,[1]Hugst!$R$5:$W$9,MATCH(ROUNDUP((AE$1)/10,0)*10,[1]Hugst!$R$4:$W$4,0))))</f>
        <v>0</v>
      </c>
      <c r="AF290" s="169">
        <f>IF($C290-AF$1&lt;År1,0,AE289*(1-VLOOKUP($A290,[1]Hugst!$R$5:$W$9,MATCH(ROUNDUP((AF$1)/10,0)*10,[1]Hugst!$R$4:$W$4,0))))</f>
        <v>0</v>
      </c>
      <c r="AG290" s="169">
        <f>IF($C290-AG$1&lt;År1,0,AF289*(1-VLOOKUP($A290,[1]Hugst!$R$5:$W$9,MATCH(ROUNDUP((AG$1)/10,0)*10,[1]Hugst!$R$4:$W$4,0))))</f>
        <v>0</v>
      </c>
      <c r="AH290" s="169">
        <f>IF($C290-AH$1&lt;År1,0,AG289*(1-VLOOKUP($A290,[1]Hugst!$R$5:$W$9,MATCH(ROUNDUP((AH$1)/10,0)*10,[1]Hugst!$R$4:$W$4,0))))</f>
        <v>0</v>
      </c>
      <c r="AI290" s="169">
        <f>IF($C290-AI$1&lt;År1,0,AH289*(1-VLOOKUP($A290,[1]Hugst!$R$5:$W$9,MATCH(ROUNDUP((AI$1)/10,0)*10,[1]Hugst!$R$4:$W$4,0))))</f>
        <v>0</v>
      </c>
      <c r="AJ290" s="169">
        <f>IF($C290-AJ$1&lt;År1,0,AI289*(1-VLOOKUP($A290,[1]Hugst!$R$5:$W$9,MATCH(ROUNDUP((AJ$1)/10,0)*10,[1]Hugst!$R$4:$W$4,0))))</f>
        <v>0</v>
      </c>
    </row>
    <row r="291" spans="1:36" x14ac:dyDescent="0.25">
      <c r="A291" s="169" t="s">
        <v>180</v>
      </c>
      <c r="B291" s="169" t="s">
        <v>24</v>
      </c>
      <c r="C291" s="169">
        <v>2030</v>
      </c>
      <c r="D291" s="169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607.79075336478263</v>
      </c>
      <c r="E291" s="169">
        <f t="shared" ca="1" si="7"/>
        <v>0</v>
      </c>
      <c r="F291" s="169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880.21163537052587</v>
      </c>
      <c r="G291" s="169">
        <f ca="1">IF($C291-G$1&lt;År1,0,F290*(1-VLOOKUP($A291,[1]Hugst!$R$5:$W$9,MATCH(ROUNDUP((G$1)/10,0)*10,[1]Hugst!$R$4:$W$4,0))))</f>
        <v>882.9536792395005</v>
      </c>
      <c r="H291" s="169">
        <f ca="1">IF($C291-H$1&lt;År1,0,G290*(1-VLOOKUP($A291,[1]Hugst!$R$5:$W$9,MATCH(ROUNDUP((H$1)/10,0)*10,[1]Hugst!$R$4:$W$4,0))))</f>
        <v>885.39732120111364</v>
      </c>
      <c r="I291" s="169">
        <f ca="1">IF($C291-I$1&lt;År1,0,H290*(1-VLOOKUP($A291,[1]Hugst!$R$5:$W$9,MATCH(ROUNDUP((I$1)/10,0)*10,[1]Hugst!$R$4:$W$4,0))))</f>
        <v>887.2288807259614</v>
      </c>
      <c r="J291" s="169">
        <f ca="1">IF($C291-J$1&lt;År1,0,I290*(1-VLOOKUP($A291,[1]Hugst!$R$5:$W$9,MATCH(ROUNDUP((J$1)/10,0)*10,[1]Hugst!$R$4:$W$4,0))))</f>
        <v>887.82091997832697</v>
      </c>
      <c r="K291" s="169">
        <f ca="1">IF($C291-K$1&lt;År1,0,J290*(1-VLOOKUP($A291,[1]Hugst!$R$5:$W$9,MATCH(ROUNDUP((K$1)/10,0)*10,[1]Hugst!$R$4:$W$4,0))))</f>
        <v>885.91848612390811</v>
      </c>
      <c r="L291" s="169">
        <f ca="1">IF($C291-L$1&lt;År1,0,K290*(1-VLOOKUP($A291,[1]Hugst!$R$5:$W$9,MATCH(ROUNDUP((L$1)/10,0)*10,[1]Hugst!$R$4:$W$4,0))))</f>
        <v>879.01159594359649</v>
      </c>
      <c r="M291" s="169">
        <f ca="1">IF($C291-M$1&lt;År1,0,L290*(1-VLOOKUP($A291,[1]Hugst!$R$5:$W$9,MATCH(ROUNDUP((M$1)/10,0)*10,[1]Hugst!$R$4:$W$4,0))))</f>
        <v>862.08020505887032</v>
      </c>
      <c r="N291" s="169">
        <f ca="1">IF($C291-N$1&lt;År1,0,M290*(1-VLOOKUP($A291,[1]Hugst!$R$5:$W$9,MATCH(ROUNDUP((N$1)/10,0)*10,[1]Hugst!$R$4:$W$4,0))))</f>
        <v>825.08414638074498</v>
      </c>
      <c r="O291" s="169">
        <f ca="1">IF($C291-O$1&lt;År1,0,N290*(1-VLOOKUP($A291,[1]Hugst!$R$5:$W$9,MATCH(ROUNDUP((O$1)/10,0)*10,[1]Hugst!$R$4:$W$4,0))))</f>
        <v>747.9430070057391</v>
      </c>
      <c r="P291" s="169">
        <f ca="1">IF($C291-P$1&lt;År1,0,O290*(1-VLOOKUP($A291,[1]Hugst!$R$5:$W$9,MATCH(ROUNDUP((P$1)/10,0)*10,[1]Hugst!$R$4:$W$4,0))))</f>
        <v>590.49588200574033</v>
      </c>
      <c r="Q291" s="169">
        <f>IF($C291-Q$1&lt;År1,0,P290*(1-VLOOKUP($A291,[1]Hugst!$R$5:$W$9,MATCH(ROUNDUP((Q$1)/10,0)*10,[1]Hugst!$R$4:$W$4,0))))</f>
        <v>0</v>
      </c>
      <c r="R291" s="169">
        <f>IF($C291-R$1&lt;År1,0,Q290*(1-VLOOKUP($A291,[1]Hugst!$R$5:$W$9,MATCH(ROUNDUP((R$1)/10,0)*10,[1]Hugst!$R$4:$W$4,0))))</f>
        <v>0</v>
      </c>
      <c r="S291" s="169">
        <f>IF($C291-S$1&lt;År1,0,R290*(1-VLOOKUP($A291,[1]Hugst!$R$5:$W$9,MATCH(ROUNDUP((S$1)/10,0)*10,[1]Hugst!$R$4:$W$4,0))))</f>
        <v>0</v>
      </c>
      <c r="T291" s="169">
        <f>IF($C291-T$1&lt;År1,0,S290*(1-VLOOKUP($A291,[1]Hugst!$R$5:$W$9,MATCH(ROUNDUP((T$1)/10,0)*10,[1]Hugst!$R$4:$W$4,0))))</f>
        <v>0</v>
      </c>
      <c r="U291" s="169">
        <f>IF($C291-U$1&lt;År1,0,T290*(1-VLOOKUP($A291,[1]Hugst!$R$5:$W$9,MATCH(ROUNDUP((U$1)/10,0)*10,[1]Hugst!$R$4:$W$4,0))))</f>
        <v>0</v>
      </c>
      <c r="V291" s="169">
        <f>IF($C291-V$1&lt;År1,0,U290*(1-VLOOKUP($A291,[1]Hugst!$R$5:$W$9,MATCH(ROUNDUP((V$1)/10,0)*10,[1]Hugst!$R$4:$W$4,0))))</f>
        <v>0</v>
      </c>
      <c r="W291" s="169">
        <f>IF($C291-W$1&lt;År1,0,V290*(1-VLOOKUP($A291,[1]Hugst!$R$5:$W$9,MATCH(ROUNDUP((W$1)/10,0)*10,[1]Hugst!$R$4:$W$4,0))))</f>
        <v>0</v>
      </c>
      <c r="X291" s="169">
        <f>IF($C291-X$1&lt;År1,0,W290*(1-VLOOKUP($A291,[1]Hugst!$R$5:$W$9,MATCH(ROUNDUP((X$1)/10,0)*10,[1]Hugst!$R$4:$W$4,0))))</f>
        <v>0</v>
      </c>
      <c r="Y291" s="169">
        <f>IF($C291-Y$1&lt;År1,0,X290*(1-VLOOKUP($A291,[1]Hugst!$R$5:$W$9,MATCH(ROUNDUP((Y$1)/10,0)*10,[1]Hugst!$R$4:$W$4,0))))</f>
        <v>0</v>
      </c>
      <c r="Z291" s="169">
        <f>IF($C291-Z$1&lt;År1,0,Y290*(1-VLOOKUP($A291,[1]Hugst!$R$5:$W$9,MATCH(ROUNDUP((Z$1)/10,0)*10,[1]Hugst!$R$4:$W$4,0))))</f>
        <v>0</v>
      </c>
      <c r="AA291" s="169">
        <f>IF($C291-AA$1&lt;År1,0,Z290*(1-VLOOKUP($A291,[1]Hugst!$R$5:$W$9,MATCH(ROUNDUP((AA$1)/10,0)*10,[1]Hugst!$R$4:$W$4,0))))</f>
        <v>0</v>
      </c>
      <c r="AB291" s="169">
        <f>IF($C291-AB$1&lt;År1,0,AA290*(1-VLOOKUP($A291,[1]Hugst!$R$5:$W$9,MATCH(ROUNDUP((AB$1)/10,0)*10,[1]Hugst!$R$4:$W$4,0))))</f>
        <v>0</v>
      </c>
      <c r="AC291" s="169">
        <f>IF($C291-AC$1&lt;År1,0,AB290*(1-VLOOKUP($A291,[1]Hugst!$R$5:$W$9,MATCH(ROUNDUP((AC$1)/10,0)*10,[1]Hugst!$R$4:$W$4,0))))</f>
        <v>0</v>
      </c>
      <c r="AD291" s="169">
        <f>IF($C291-AD$1&lt;År1,0,AC290*(1-VLOOKUP($A291,[1]Hugst!$R$5:$W$9,MATCH(ROUNDUP((AD$1)/10,0)*10,[1]Hugst!$R$4:$W$4,0))))</f>
        <v>0</v>
      </c>
      <c r="AE291" s="169">
        <f>IF($C291-AE$1&lt;År1,0,AD290*(1-VLOOKUP($A291,[1]Hugst!$R$5:$W$9,MATCH(ROUNDUP((AE$1)/10,0)*10,[1]Hugst!$R$4:$W$4,0))))</f>
        <v>0</v>
      </c>
      <c r="AF291" s="169">
        <f>IF($C291-AF$1&lt;År1,0,AE290*(1-VLOOKUP($A291,[1]Hugst!$R$5:$W$9,MATCH(ROUNDUP((AF$1)/10,0)*10,[1]Hugst!$R$4:$W$4,0))))</f>
        <v>0</v>
      </c>
      <c r="AG291" s="169">
        <f>IF($C291-AG$1&lt;År1,0,AF290*(1-VLOOKUP($A291,[1]Hugst!$R$5:$W$9,MATCH(ROUNDUP((AG$1)/10,0)*10,[1]Hugst!$R$4:$W$4,0))))</f>
        <v>0</v>
      </c>
      <c r="AH291" s="169">
        <f>IF($C291-AH$1&lt;År1,0,AG290*(1-VLOOKUP($A291,[1]Hugst!$R$5:$W$9,MATCH(ROUNDUP((AH$1)/10,0)*10,[1]Hugst!$R$4:$W$4,0))))</f>
        <v>0</v>
      </c>
      <c r="AI291" s="169">
        <f>IF($C291-AI$1&lt;År1,0,AH290*(1-VLOOKUP($A291,[1]Hugst!$R$5:$W$9,MATCH(ROUNDUP((AI$1)/10,0)*10,[1]Hugst!$R$4:$W$4,0))))</f>
        <v>0</v>
      </c>
      <c r="AJ291" s="169">
        <f>IF($C291-AJ$1&lt;År1,0,AI290*(1-VLOOKUP($A291,[1]Hugst!$R$5:$W$9,MATCH(ROUNDUP((AJ$1)/10,0)*10,[1]Hugst!$R$4:$W$4,0))))</f>
        <v>0</v>
      </c>
    </row>
    <row r="292" spans="1:36" x14ac:dyDescent="0.25">
      <c r="A292" s="169" t="s">
        <v>180</v>
      </c>
      <c r="B292" s="169" t="s">
        <v>24</v>
      </c>
      <c r="C292" s="169">
        <v>2031</v>
      </c>
      <c r="D292" s="169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604.90710965654671</v>
      </c>
      <c r="E292" s="169">
        <f t="shared" ca="1" si="7"/>
        <v>0</v>
      </c>
      <c r="F292" s="169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877.32799166229108</v>
      </c>
      <c r="G292" s="169">
        <f ca="1">IF($C292-G$1&lt;År1,0,F291*(1-VLOOKUP($A292,[1]Hugst!$R$5:$W$9,MATCH(ROUNDUP((G$1)/10,0)*10,[1]Hugst!$R$4:$W$4,0))))</f>
        <v>880.21163537052587</v>
      </c>
      <c r="H292" s="169">
        <f ca="1">IF($C292-H$1&lt;År1,0,G291*(1-VLOOKUP($A292,[1]Hugst!$R$5:$W$9,MATCH(ROUNDUP((H$1)/10,0)*10,[1]Hugst!$R$4:$W$4,0))))</f>
        <v>882.9536792395005</v>
      </c>
      <c r="I292" s="169">
        <f ca="1">IF($C292-I$1&lt;År1,0,H291*(1-VLOOKUP($A292,[1]Hugst!$R$5:$W$9,MATCH(ROUNDUP((I$1)/10,0)*10,[1]Hugst!$R$4:$W$4,0))))</f>
        <v>885.39732120111364</v>
      </c>
      <c r="J292" s="169">
        <f ca="1">IF($C292-J$1&lt;År1,0,I291*(1-VLOOKUP($A292,[1]Hugst!$R$5:$W$9,MATCH(ROUNDUP((J$1)/10,0)*10,[1]Hugst!$R$4:$W$4,0))))</f>
        <v>887.2288807259614</v>
      </c>
      <c r="K292" s="169">
        <f ca="1">IF($C292-K$1&lt;År1,0,J291*(1-VLOOKUP($A292,[1]Hugst!$R$5:$W$9,MATCH(ROUNDUP((K$1)/10,0)*10,[1]Hugst!$R$4:$W$4,0))))</f>
        <v>887.82091997832697</v>
      </c>
      <c r="L292" s="169">
        <f ca="1">IF($C292-L$1&lt;År1,0,K291*(1-VLOOKUP($A292,[1]Hugst!$R$5:$W$9,MATCH(ROUNDUP((L$1)/10,0)*10,[1]Hugst!$R$4:$W$4,0))))</f>
        <v>885.91848612390811</v>
      </c>
      <c r="M292" s="169">
        <f ca="1">IF($C292-M$1&lt;År1,0,L291*(1-VLOOKUP($A292,[1]Hugst!$R$5:$W$9,MATCH(ROUNDUP((M$1)/10,0)*10,[1]Hugst!$R$4:$W$4,0))))</f>
        <v>879.01159594359649</v>
      </c>
      <c r="N292" s="169">
        <f ca="1">IF($C292-N$1&lt;År1,0,M291*(1-VLOOKUP($A292,[1]Hugst!$R$5:$W$9,MATCH(ROUNDUP((N$1)/10,0)*10,[1]Hugst!$R$4:$W$4,0))))</f>
        <v>862.08020505887032</v>
      </c>
      <c r="O292" s="169">
        <f ca="1">IF($C292-O$1&lt;År1,0,N291*(1-VLOOKUP($A292,[1]Hugst!$R$5:$W$9,MATCH(ROUNDUP((O$1)/10,0)*10,[1]Hugst!$R$4:$W$4,0))))</f>
        <v>825.08414638074498</v>
      </c>
      <c r="P292" s="169">
        <f ca="1">IF($C292-P$1&lt;År1,0,O291*(1-VLOOKUP($A292,[1]Hugst!$R$5:$W$9,MATCH(ROUNDUP((P$1)/10,0)*10,[1]Hugst!$R$4:$W$4,0))))</f>
        <v>747.9430070057391</v>
      </c>
      <c r="Q292" s="169">
        <f ca="1">IF($C292-Q$1&lt;År1,0,P291*(1-VLOOKUP($A292,[1]Hugst!$R$5:$W$9,MATCH(ROUNDUP((Q$1)/10,0)*10,[1]Hugst!$R$4:$W$4,0))))</f>
        <v>590.49588200574033</v>
      </c>
      <c r="R292" s="169">
        <f>IF($C292-R$1&lt;År1,0,Q291*(1-VLOOKUP($A292,[1]Hugst!$R$5:$W$9,MATCH(ROUNDUP((R$1)/10,0)*10,[1]Hugst!$R$4:$W$4,0))))</f>
        <v>0</v>
      </c>
      <c r="S292" s="169">
        <f>IF($C292-S$1&lt;År1,0,R291*(1-VLOOKUP($A292,[1]Hugst!$R$5:$W$9,MATCH(ROUNDUP((S$1)/10,0)*10,[1]Hugst!$R$4:$W$4,0))))</f>
        <v>0</v>
      </c>
      <c r="T292" s="169">
        <f>IF($C292-T$1&lt;År1,0,S291*(1-VLOOKUP($A292,[1]Hugst!$R$5:$W$9,MATCH(ROUNDUP((T$1)/10,0)*10,[1]Hugst!$R$4:$W$4,0))))</f>
        <v>0</v>
      </c>
      <c r="U292" s="169">
        <f>IF($C292-U$1&lt;År1,0,T291*(1-VLOOKUP($A292,[1]Hugst!$R$5:$W$9,MATCH(ROUNDUP((U$1)/10,0)*10,[1]Hugst!$R$4:$W$4,0))))</f>
        <v>0</v>
      </c>
      <c r="V292" s="169">
        <f>IF($C292-V$1&lt;År1,0,U291*(1-VLOOKUP($A292,[1]Hugst!$R$5:$W$9,MATCH(ROUNDUP((V$1)/10,0)*10,[1]Hugst!$R$4:$W$4,0))))</f>
        <v>0</v>
      </c>
      <c r="W292" s="169">
        <f>IF($C292-W$1&lt;År1,0,V291*(1-VLOOKUP($A292,[1]Hugst!$R$5:$W$9,MATCH(ROUNDUP((W$1)/10,0)*10,[1]Hugst!$R$4:$W$4,0))))</f>
        <v>0</v>
      </c>
      <c r="X292" s="169">
        <f>IF($C292-X$1&lt;År1,0,W291*(1-VLOOKUP($A292,[1]Hugst!$R$5:$W$9,MATCH(ROUNDUP((X$1)/10,0)*10,[1]Hugst!$R$4:$W$4,0))))</f>
        <v>0</v>
      </c>
      <c r="Y292" s="169">
        <f>IF($C292-Y$1&lt;År1,0,X291*(1-VLOOKUP($A292,[1]Hugst!$R$5:$W$9,MATCH(ROUNDUP((Y$1)/10,0)*10,[1]Hugst!$R$4:$W$4,0))))</f>
        <v>0</v>
      </c>
      <c r="Z292" s="169">
        <f>IF($C292-Z$1&lt;År1,0,Y291*(1-VLOOKUP($A292,[1]Hugst!$R$5:$W$9,MATCH(ROUNDUP((Z$1)/10,0)*10,[1]Hugst!$R$4:$W$4,0))))</f>
        <v>0</v>
      </c>
      <c r="AA292" s="169">
        <f>IF($C292-AA$1&lt;År1,0,Z291*(1-VLOOKUP($A292,[1]Hugst!$R$5:$W$9,MATCH(ROUNDUP((AA$1)/10,0)*10,[1]Hugst!$R$4:$W$4,0))))</f>
        <v>0</v>
      </c>
      <c r="AB292" s="169">
        <f>IF($C292-AB$1&lt;År1,0,AA291*(1-VLOOKUP($A292,[1]Hugst!$R$5:$W$9,MATCH(ROUNDUP((AB$1)/10,0)*10,[1]Hugst!$R$4:$W$4,0))))</f>
        <v>0</v>
      </c>
      <c r="AC292" s="169">
        <f>IF($C292-AC$1&lt;År1,0,AB291*(1-VLOOKUP($A292,[1]Hugst!$R$5:$W$9,MATCH(ROUNDUP((AC$1)/10,0)*10,[1]Hugst!$R$4:$W$4,0))))</f>
        <v>0</v>
      </c>
      <c r="AD292" s="169">
        <f>IF($C292-AD$1&lt;År1,0,AC291*(1-VLOOKUP($A292,[1]Hugst!$R$5:$W$9,MATCH(ROUNDUP((AD$1)/10,0)*10,[1]Hugst!$R$4:$W$4,0))))</f>
        <v>0</v>
      </c>
      <c r="AE292" s="169">
        <f>IF($C292-AE$1&lt;År1,0,AD291*(1-VLOOKUP($A292,[1]Hugst!$R$5:$W$9,MATCH(ROUNDUP((AE$1)/10,0)*10,[1]Hugst!$R$4:$W$4,0))))</f>
        <v>0</v>
      </c>
      <c r="AF292" s="169">
        <f>IF($C292-AF$1&lt;År1,0,AE291*(1-VLOOKUP($A292,[1]Hugst!$R$5:$W$9,MATCH(ROUNDUP((AF$1)/10,0)*10,[1]Hugst!$R$4:$W$4,0))))</f>
        <v>0</v>
      </c>
      <c r="AG292" s="169">
        <f>IF($C292-AG$1&lt;År1,0,AF291*(1-VLOOKUP($A292,[1]Hugst!$R$5:$W$9,MATCH(ROUNDUP((AG$1)/10,0)*10,[1]Hugst!$R$4:$W$4,0))))</f>
        <v>0</v>
      </c>
      <c r="AH292" s="169">
        <f>IF($C292-AH$1&lt;År1,0,AG291*(1-VLOOKUP($A292,[1]Hugst!$R$5:$W$9,MATCH(ROUNDUP((AH$1)/10,0)*10,[1]Hugst!$R$4:$W$4,0))))</f>
        <v>0</v>
      </c>
      <c r="AI292" s="169">
        <f>IF($C292-AI$1&lt;År1,0,AH291*(1-VLOOKUP($A292,[1]Hugst!$R$5:$W$9,MATCH(ROUNDUP((AI$1)/10,0)*10,[1]Hugst!$R$4:$W$4,0))))</f>
        <v>0</v>
      </c>
      <c r="AJ292" s="169">
        <f>IF($C292-AJ$1&lt;År1,0,AI291*(1-VLOOKUP($A292,[1]Hugst!$R$5:$W$9,MATCH(ROUNDUP((AJ$1)/10,0)*10,[1]Hugst!$R$4:$W$4,0))))</f>
        <v>0</v>
      </c>
    </row>
    <row r="293" spans="1:36" x14ac:dyDescent="0.25">
      <c r="A293" s="169" t="s">
        <v>180</v>
      </c>
      <c r="B293" s="169" t="s">
        <v>24</v>
      </c>
      <c r="C293" s="169">
        <v>2032</v>
      </c>
      <c r="D293" s="169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601.9602291375636</v>
      </c>
      <c r="E293" s="169">
        <f t="shared" ca="1" si="7"/>
        <v>0</v>
      </c>
      <c r="F293" s="169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874.38111114330798</v>
      </c>
      <c r="G293" s="169">
        <f ca="1">IF($C293-G$1&lt;År1,0,F292*(1-VLOOKUP($A293,[1]Hugst!$R$5:$W$9,MATCH(ROUNDUP((G$1)/10,0)*10,[1]Hugst!$R$4:$W$4,0))))</f>
        <v>877.32799166229108</v>
      </c>
      <c r="H293" s="169">
        <f ca="1">IF($C293-H$1&lt;År1,0,G292*(1-VLOOKUP($A293,[1]Hugst!$R$5:$W$9,MATCH(ROUNDUP((H$1)/10,0)*10,[1]Hugst!$R$4:$W$4,0))))</f>
        <v>880.21163537052587</v>
      </c>
      <c r="I293" s="169">
        <f ca="1">IF($C293-I$1&lt;År1,0,H292*(1-VLOOKUP($A293,[1]Hugst!$R$5:$W$9,MATCH(ROUNDUP((I$1)/10,0)*10,[1]Hugst!$R$4:$W$4,0))))</f>
        <v>882.9536792395005</v>
      </c>
      <c r="J293" s="169">
        <f ca="1">IF($C293-J$1&lt;År1,0,I292*(1-VLOOKUP($A293,[1]Hugst!$R$5:$W$9,MATCH(ROUNDUP((J$1)/10,0)*10,[1]Hugst!$R$4:$W$4,0))))</f>
        <v>885.39732120111364</v>
      </c>
      <c r="K293" s="169">
        <f ca="1">IF($C293-K$1&lt;År1,0,J292*(1-VLOOKUP($A293,[1]Hugst!$R$5:$W$9,MATCH(ROUNDUP((K$1)/10,0)*10,[1]Hugst!$R$4:$W$4,0))))</f>
        <v>887.2288807259614</v>
      </c>
      <c r="L293" s="169">
        <f ca="1">IF($C293-L$1&lt;År1,0,K292*(1-VLOOKUP($A293,[1]Hugst!$R$5:$W$9,MATCH(ROUNDUP((L$1)/10,0)*10,[1]Hugst!$R$4:$W$4,0))))</f>
        <v>887.82091997832697</v>
      </c>
      <c r="M293" s="169">
        <f ca="1">IF($C293-M$1&lt;År1,0,L292*(1-VLOOKUP($A293,[1]Hugst!$R$5:$W$9,MATCH(ROUNDUP((M$1)/10,0)*10,[1]Hugst!$R$4:$W$4,0))))</f>
        <v>885.91848612390811</v>
      </c>
      <c r="N293" s="169">
        <f ca="1">IF($C293-N$1&lt;År1,0,M292*(1-VLOOKUP($A293,[1]Hugst!$R$5:$W$9,MATCH(ROUNDUP((N$1)/10,0)*10,[1]Hugst!$R$4:$W$4,0))))</f>
        <v>879.01159594359649</v>
      </c>
      <c r="O293" s="169">
        <f ca="1">IF($C293-O$1&lt;År1,0,N292*(1-VLOOKUP($A293,[1]Hugst!$R$5:$W$9,MATCH(ROUNDUP((O$1)/10,0)*10,[1]Hugst!$R$4:$W$4,0))))</f>
        <v>862.08020505887032</v>
      </c>
      <c r="P293" s="169">
        <f ca="1">IF($C293-P$1&lt;År1,0,O292*(1-VLOOKUP($A293,[1]Hugst!$R$5:$W$9,MATCH(ROUNDUP((P$1)/10,0)*10,[1]Hugst!$R$4:$W$4,0))))</f>
        <v>825.08414638074498</v>
      </c>
      <c r="Q293" s="169">
        <f ca="1">IF($C293-Q$1&lt;År1,0,P292*(1-VLOOKUP($A293,[1]Hugst!$R$5:$W$9,MATCH(ROUNDUP((Q$1)/10,0)*10,[1]Hugst!$R$4:$W$4,0))))</f>
        <v>747.9430070057391</v>
      </c>
      <c r="R293" s="169">
        <f ca="1">IF($C293-R$1&lt;År1,0,Q292*(1-VLOOKUP($A293,[1]Hugst!$R$5:$W$9,MATCH(ROUNDUP((R$1)/10,0)*10,[1]Hugst!$R$4:$W$4,0))))</f>
        <v>590.49588200574033</v>
      </c>
      <c r="S293" s="169">
        <f>IF($C293-S$1&lt;År1,0,R292*(1-VLOOKUP($A293,[1]Hugst!$R$5:$W$9,MATCH(ROUNDUP((S$1)/10,0)*10,[1]Hugst!$R$4:$W$4,0))))</f>
        <v>0</v>
      </c>
      <c r="T293" s="169">
        <f>IF($C293-T$1&lt;År1,0,S292*(1-VLOOKUP($A293,[1]Hugst!$R$5:$W$9,MATCH(ROUNDUP((T$1)/10,0)*10,[1]Hugst!$R$4:$W$4,0))))</f>
        <v>0</v>
      </c>
      <c r="U293" s="169">
        <f>IF($C293-U$1&lt;År1,0,T292*(1-VLOOKUP($A293,[1]Hugst!$R$5:$W$9,MATCH(ROUNDUP((U$1)/10,0)*10,[1]Hugst!$R$4:$W$4,0))))</f>
        <v>0</v>
      </c>
      <c r="V293" s="169">
        <f>IF($C293-V$1&lt;År1,0,U292*(1-VLOOKUP($A293,[1]Hugst!$R$5:$W$9,MATCH(ROUNDUP((V$1)/10,0)*10,[1]Hugst!$R$4:$W$4,0))))</f>
        <v>0</v>
      </c>
      <c r="W293" s="169">
        <f>IF($C293-W$1&lt;År1,0,V292*(1-VLOOKUP($A293,[1]Hugst!$R$5:$W$9,MATCH(ROUNDUP((W$1)/10,0)*10,[1]Hugst!$R$4:$W$4,0))))</f>
        <v>0</v>
      </c>
      <c r="X293" s="169">
        <f>IF($C293-X$1&lt;År1,0,W292*(1-VLOOKUP($A293,[1]Hugst!$R$5:$W$9,MATCH(ROUNDUP((X$1)/10,0)*10,[1]Hugst!$R$4:$W$4,0))))</f>
        <v>0</v>
      </c>
      <c r="Y293" s="169">
        <f>IF($C293-Y$1&lt;År1,0,X292*(1-VLOOKUP($A293,[1]Hugst!$R$5:$W$9,MATCH(ROUNDUP((Y$1)/10,0)*10,[1]Hugst!$R$4:$W$4,0))))</f>
        <v>0</v>
      </c>
      <c r="Z293" s="169">
        <f>IF($C293-Z$1&lt;År1,0,Y292*(1-VLOOKUP($A293,[1]Hugst!$R$5:$W$9,MATCH(ROUNDUP((Z$1)/10,0)*10,[1]Hugst!$R$4:$W$4,0))))</f>
        <v>0</v>
      </c>
      <c r="AA293" s="169">
        <f>IF($C293-AA$1&lt;År1,0,Z292*(1-VLOOKUP($A293,[1]Hugst!$R$5:$W$9,MATCH(ROUNDUP((AA$1)/10,0)*10,[1]Hugst!$R$4:$W$4,0))))</f>
        <v>0</v>
      </c>
      <c r="AB293" s="169">
        <f>IF($C293-AB$1&lt;År1,0,AA292*(1-VLOOKUP($A293,[1]Hugst!$R$5:$W$9,MATCH(ROUNDUP((AB$1)/10,0)*10,[1]Hugst!$R$4:$W$4,0))))</f>
        <v>0</v>
      </c>
      <c r="AC293" s="169">
        <f>IF($C293-AC$1&lt;År1,0,AB292*(1-VLOOKUP($A293,[1]Hugst!$R$5:$W$9,MATCH(ROUNDUP((AC$1)/10,0)*10,[1]Hugst!$R$4:$W$4,0))))</f>
        <v>0</v>
      </c>
      <c r="AD293" s="169">
        <f>IF($C293-AD$1&lt;År1,0,AC292*(1-VLOOKUP($A293,[1]Hugst!$R$5:$W$9,MATCH(ROUNDUP((AD$1)/10,0)*10,[1]Hugst!$R$4:$W$4,0))))</f>
        <v>0</v>
      </c>
      <c r="AE293" s="169">
        <f>IF($C293-AE$1&lt;År1,0,AD292*(1-VLOOKUP($A293,[1]Hugst!$R$5:$W$9,MATCH(ROUNDUP((AE$1)/10,0)*10,[1]Hugst!$R$4:$W$4,0))))</f>
        <v>0</v>
      </c>
      <c r="AF293" s="169">
        <f>IF($C293-AF$1&lt;År1,0,AE292*(1-VLOOKUP($A293,[1]Hugst!$R$5:$W$9,MATCH(ROUNDUP((AF$1)/10,0)*10,[1]Hugst!$R$4:$W$4,0))))</f>
        <v>0</v>
      </c>
      <c r="AG293" s="169">
        <f>IF($C293-AG$1&lt;År1,0,AF292*(1-VLOOKUP($A293,[1]Hugst!$R$5:$W$9,MATCH(ROUNDUP((AG$1)/10,0)*10,[1]Hugst!$R$4:$W$4,0))))</f>
        <v>0</v>
      </c>
      <c r="AH293" s="169">
        <f>IF($C293-AH$1&lt;År1,0,AG292*(1-VLOOKUP($A293,[1]Hugst!$R$5:$W$9,MATCH(ROUNDUP((AH$1)/10,0)*10,[1]Hugst!$R$4:$W$4,0))))</f>
        <v>0</v>
      </c>
      <c r="AI293" s="169">
        <f>IF($C293-AI$1&lt;År1,0,AH292*(1-VLOOKUP($A293,[1]Hugst!$R$5:$W$9,MATCH(ROUNDUP((AI$1)/10,0)*10,[1]Hugst!$R$4:$W$4,0))))</f>
        <v>0</v>
      </c>
      <c r="AJ293" s="169">
        <f>IF($C293-AJ$1&lt;År1,0,AI292*(1-VLOOKUP($A293,[1]Hugst!$R$5:$W$9,MATCH(ROUNDUP((AJ$1)/10,0)*10,[1]Hugst!$R$4:$W$4,0))))</f>
        <v>0</v>
      </c>
    </row>
    <row r="294" spans="1:36" x14ac:dyDescent="0.25">
      <c r="A294" s="169" t="s">
        <v>180</v>
      </c>
      <c r="B294" s="169" t="s">
        <v>24</v>
      </c>
      <c r="C294" s="169">
        <v>2033</v>
      </c>
      <c r="D294" s="169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598.98925550652348</v>
      </c>
      <c r="E294" s="169">
        <f t="shared" ca="1" si="7"/>
        <v>0</v>
      </c>
      <c r="F294" s="169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871.41013751226785</v>
      </c>
      <c r="G294" s="169">
        <f ca="1">IF($C294-G$1&lt;År1,0,F293*(1-VLOOKUP($A294,[1]Hugst!$R$5:$W$9,MATCH(ROUNDUP((G$1)/10,0)*10,[1]Hugst!$R$4:$W$4,0))))</f>
        <v>874.38111114330798</v>
      </c>
      <c r="H294" s="169">
        <f ca="1">IF($C294-H$1&lt;År1,0,G293*(1-VLOOKUP($A294,[1]Hugst!$R$5:$W$9,MATCH(ROUNDUP((H$1)/10,0)*10,[1]Hugst!$R$4:$W$4,0))))</f>
        <v>877.32799166229108</v>
      </c>
      <c r="I294" s="169">
        <f ca="1">IF($C294-I$1&lt;År1,0,H293*(1-VLOOKUP($A294,[1]Hugst!$R$5:$W$9,MATCH(ROUNDUP((I$1)/10,0)*10,[1]Hugst!$R$4:$W$4,0))))</f>
        <v>880.21163537052587</v>
      </c>
      <c r="J294" s="169">
        <f ca="1">IF($C294-J$1&lt;År1,0,I293*(1-VLOOKUP($A294,[1]Hugst!$R$5:$W$9,MATCH(ROUNDUP((J$1)/10,0)*10,[1]Hugst!$R$4:$W$4,0))))</f>
        <v>882.9536792395005</v>
      </c>
      <c r="K294" s="169">
        <f ca="1">IF($C294-K$1&lt;År1,0,J293*(1-VLOOKUP($A294,[1]Hugst!$R$5:$W$9,MATCH(ROUNDUP((K$1)/10,0)*10,[1]Hugst!$R$4:$W$4,0))))</f>
        <v>885.39732120111364</v>
      </c>
      <c r="L294" s="169">
        <f ca="1">IF($C294-L$1&lt;År1,0,K293*(1-VLOOKUP($A294,[1]Hugst!$R$5:$W$9,MATCH(ROUNDUP((L$1)/10,0)*10,[1]Hugst!$R$4:$W$4,0))))</f>
        <v>887.2288807259614</v>
      </c>
      <c r="M294" s="169">
        <f ca="1">IF($C294-M$1&lt;År1,0,L293*(1-VLOOKUP($A294,[1]Hugst!$R$5:$W$9,MATCH(ROUNDUP((M$1)/10,0)*10,[1]Hugst!$R$4:$W$4,0))))</f>
        <v>887.82091997832697</v>
      </c>
      <c r="N294" s="169">
        <f ca="1">IF($C294-N$1&lt;År1,0,M293*(1-VLOOKUP($A294,[1]Hugst!$R$5:$W$9,MATCH(ROUNDUP((N$1)/10,0)*10,[1]Hugst!$R$4:$W$4,0))))</f>
        <v>885.91848612390811</v>
      </c>
      <c r="O294" s="169">
        <f ca="1">IF($C294-O$1&lt;År1,0,N293*(1-VLOOKUP($A294,[1]Hugst!$R$5:$W$9,MATCH(ROUNDUP((O$1)/10,0)*10,[1]Hugst!$R$4:$W$4,0))))</f>
        <v>879.01159594359649</v>
      </c>
      <c r="P294" s="169">
        <f ca="1">IF($C294-P$1&lt;År1,0,O293*(1-VLOOKUP($A294,[1]Hugst!$R$5:$W$9,MATCH(ROUNDUP((P$1)/10,0)*10,[1]Hugst!$R$4:$W$4,0))))</f>
        <v>862.08020505887032</v>
      </c>
      <c r="Q294" s="169">
        <f ca="1">IF($C294-Q$1&lt;År1,0,P293*(1-VLOOKUP($A294,[1]Hugst!$R$5:$W$9,MATCH(ROUNDUP((Q$1)/10,0)*10,[1]Hugst!$R$4:$W$4,0))))</f>
        <v>825.08414638074498</v>
      </c>
      <c r="R294" s="169">
        <f ca="1">IF($C294-R$1&lt;År1,0,Q293*(1-VLOOKUP($A294,[1]Hugst!$R$5:$W$9,MATCH(ROUNDUP((R$1)/10,0)*10,[1]Hugst!$R$4:$W$4,0))))</f>
        <v>747.9430070057391</v>
      </c>
      <c r="S294" s="169">
        <f ca="1">IF($C294-S$1&lt;År1,0,R293*(1-VLOOKUP($A294,[1]Hugst!$R$5:$W$9,MATCH(ROUNDUP((S$1)/10,0)*10,[1]Hugst!$R$4:$W$4,0))))</f>
        <v>590.49588200574033</v>
      </c>
      <c r="T294" s="169">
        <f>IF($C294-T$1&lt;År1,0,S293*(1-VLOOKUP($A294,[1]Hugst!$R$5:$W$9,MATCH(ROUNDUP((T$1)/10,0)*10,[1]Hugst!$R$4:$W$4,0))))</f>
        <v>0</v>
      </c>
      <c r="U294" s="169">
        <f>IF($C294-U$1&lt;År1,0,T293*(1-VLOOKUP($A294,[1]Hugst!$R$5:$W$9,MATCH(ROUNDUP((U$1)/10,0)*10,[1]Hugst!$R$4:$W$4,0))))</f>
        <v>0</v>
      </c>
      <c r="V294" s="169">
        <f>IF($C294-V$1&lt;År1,0,U293*(1-VLOOKUP($A294,[1]Hugst!$R$5:$W$9,MATCH(ROUNDUP((V$1)/10,0)*10,[1]Hugst!$R$4:$W$4,0))))</f>
        <v>0</v>
      </c>
      <c r="W294" s="169">
        <f>IF($C294-W$1&lt;År1,0,V293*(1-VLOOKUP($A294,[1]Hugst!$R$5:$W$9,MATCH(ROUNDUP((W$1)/10,0)*10,[1]Hugst!$R$4:$W$4,0))))</f>
        <v>0</v>
      </c>
      <c r="X294" s="169">
        <f>IF($C294-X$1&lt;År1,0,W293*(1-VLOOKUP($A294,[1]Hugst!$R$5:$W$9,MATCH(ROUNDUP((X$1)/10,0)*10,[1]Hugst!$R$4:$W$4,0))))</f>
        <v>0</v>
      </c>
      <c r="Y294" s="169">
        <f>IF($C294-Y$1&lt;År1,0,X293*(1-VLOOKUP($A294,[1]Hugst!$R$5:$W$9,MATCH(ROUNDUP((Y$1)/10,0)*10,[1]Hugst!$R$4:$W$4,0))))</f>
        <v>0</v>
      </c>
      <c r="Z294" s="169">
        <f>IF($C294-Z$1&lt;År1,0,Y293*(1-VLOOKUP($A294,[1]Hugst!$R$5:$W$9,MATCH(ROUNDUP((Z$1)/10,0)*10,[1]Hugst!$R$4:$W$4,0))))</f>
        <v>0</v>
      </c>
      <c r="AA294" s="169">
        <f>IF($C294-AA$1&lt;År1,0,Z293*(1-VLOOKUP($A294,[1]Hugst!$R$5:$W$9,MATCH(ROUNDUP((AA$1)/10,0)*10,[1]Hugst!$R$4:$W$4,0))))</f>
        <v>0</v>
      </c>
      <c r="AB294" s="169">
        <f>IF($C294-AB$1&lt;År1,0,AA293*(1-VLOOKUP($A294,[1]Hugst!$R$5:$W$9,MATCH(ROUNDUP((AB$1)/10,0)*10,[1]Hugst!$R$4:$W$4,0))))</f>
        <v>0</v>
      </c>
      <c r="AC294" s="169">
        <f>IF($C294-AC$1&lt;År1,0,AB293*(1-VLOOKUP($A294,[1]Hugst!$R$5:$W$9,MATCH(ROUNDUP((AC$1)/10,0)*10,[1]Hugst!$R$4:$W$4,0))))</f>
        <v>0</v>
      </c>
      <c r="AD294" s="169">
        <f>IF($C294-AD$1&lt;År1,0,AC293*(1-VLOOKUP($A294,[1]Hugst!$R$5:$W$9,MATCH(ROUNDUP((AD$1)/10,0)*10,[1]Hugst!$R$4:$W$4,0))))</f>
        <v>0</v>
      </c>
      <c r="AE294" s="169">
        <f>IF($C294-AE$1&lt;År1,0,AD293*(1-VLOOKUP($A294,[1]Hugst!$R$5:$W$9,MATCH(ROUNDUP((AE$1)/10,0)*10,[1]Hugst!$R$4:$W$4,0))))</f>
        <v>0</v>
      </c>
      <c r="AF294" s="169">
        <f>IF($C294-AF$1&lt;År1,0,AE293*(1-VLOOKUP($A294,[1]Hugst!$R$5:$W$9,MATCH(ROUNDUP((AF$1)/10,0)*10,[1]Hugst!$R$4:$W$4,0))))</f>
        <v>0</v>
      </c>
      <c r="AG294" s="169">
        <f>IF($C294-AG$1&lt;År1,0,AF293*(1-VLOOKUP($A294,[1]Hugst!$R$5:$W$9,MATCH(ROUNDUP((AG$1)/10,0)*10,[1]Hugst!$R$4:$W$4,0))))</f>
        <v>0</v>
      </c>
      <c r="AH294" s="169">
        <f>IF($C294-AH$1&lt;År1,0,AG293*(1-VLOOKUP($A294,[1]Hugst!$R$5:$W$9,MATCH(ROUNDUP((AH$1)/10,0)*10,[1]Hugst!$R$4:$W$4,0))))</f>
        <v>0</v>
      </c>
      <c r="AI294" s="169">
        <f>IF($C294-AI$1&lt;År1,0,AH293*(1-VLOOKUP($A294,[1]Hugst!$R$5:$W$9,MATCH(ROUNDUP((AI$1)/10,0)*10,[1]Hugst!$R$4:$W$4,0))))</f>
        <v>0</v>
      </c>
      <c r="AJ294" s="169">
        <f>IF($C294-AJ$1&lt;År1,0,AI293*(1-VLOOKUP($A294,[1]Hugst!$R$5:$W$9,MATCH(ROUNDUP((AJ$1)/10,0)*10,[1]Hugst!$R$4:$W$4,0))))</f>
        <v>0</v>
      </c>
    </row>
    <row r="295" spans="1:36" x14ac:dyDescent="0.25">
      <c r="A295" s="169" t="s">
        <v>180</v>
      </c>
      <c r="B295" s="169" t="s">
        <v>24</v>
      </c>
      <c r="C295" s="169">
        <v>2034</v>
      </c>
      <c r="D295" s="169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596.01372298631395</v>
      </c>
      <c r="E295" s="169">
        <f t="shared" ca="1" si="7"/>
        <v>0</v>
      </c>
      <c r="F295" s="169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868.43460499205833</v>
      </c>
      <c r="G295" s="169">
        <f ca="1">IF($C295-G$1&lt;År1,0,F294*(1-VLOOKUP($A295,[1]Hugst!$R$5:$W$9,MATCH(ROUNDUP((G$1)/10,0)*10,[1]Hugst!$R$4:$W$4,0))))</f>
        <v>871.41013751226785</v>
      </c>
      <c r="H295" s="169">
        <f ca="1">IF($C295-H$1&lt;År1,0,G294*(1-VLOOKUP($A295,[1]Hugst!$R$5:$W$9,MATCH(ROUNDUP((H$1)/10,0)*10,[1]Hugst!$R$4:$W$4,0))))</f>
        <v>874.38111114330798</v>
      </c>
      <c r="I295" s="169">
        <f ca="1">IF($C295-I$1&lt;År1,0,H294*(1-VLOOKUP($A295,[1]Hugst!$R$5:$W$9,MATCH(ROUNDUP((I$1)/10,0)*10,[1]Hugst!$R$4:$W$4,0))))</f>
        <v>877.32799166229108</v>
      </c>
      <c r="J295" s="169">
        <f ca="1">IF($C295-J$1&lt;År1,0,I294*(1-VLOOKUP($A295,[1]Hugst!$R$5:$W$9,MATCH(ROUNDUP((J$1)/10,0)*10,[1]Hugst!$R$4:$W$4,0))))</f>
        <v>880.21163537052587</v>
      </c>
      <c r="K295" s="169">
        <f ca="1">IF($C295-K$1&lt;År1,0,J294*(1-VLOOKUP($A295,[1]Hugst!$R$5:$W$9,MATCH(ROUNDUP((K$1)/10,0)*10,[1]Hugst!$R$4:$W$4,0))))</f>
        <v>882.9536792395005</v>
      </c>
      <c r="L295" s="169">
        <f ca="1">IF($C295-L$1&lt;År1,0,K294*(1-VLOOKUP($A295,[1]Hugst!$R$5:$W$9,MATCH(ROUNDUP((L$1)/10,0)*10,[1]Hugst!$R$4:$W$4,0))))</f>
        <v>885.39732120111364</v>
      </c>
      <c r="M295" s="169">
        <f ca="1">IF($C295-M$1&lt;År1,0,L294*(1-VLOOKUP($A295,[1]Hugst!$R$5:$W$9,MATCH(ROUNDUP((M$1)/10,0)*10,[1]Hugst!$R$4:$W$4,0))))</f>
        <v>887.2288807259614</v>
      </c>
      <c r="N295" s="169">
        <f ca="1">IF($C295-N$1&lt;År1,0,M294*(1-VLOOKUP($A295,[1]Hugst!$R$5:$W$9,MATCH(ROUNDUP((N$1)/10,0)*10,[1]Hugst!$R$4:$W$4,0))))</f>
        <v>887.82091997832697</v>
      </c>
      <c r="O295" s="169">
        <f ca="1">IF($C295-O$1&lt;År1,0,N294*(1-VLOOKUP($A295,[1]Hugst!$R$5:$W$9,MATCH(ROUNDUP((O$1)/10,0)*10,[1]Hugst!$R$4:$W$4,0))))</f>
        <v>885.91848612390811</v>
      </c>
      <c r="P295" s="169">
        <f ca="1">IF($C295-P$1&lt;År1,0,O294*(1-VLOOKUP($A295,[1]Hugst!$R$5:$W$9,MATCH(ROUNDUP((P$1)/10,0)*10,[1]Hugst!$R$4:$W$4,0))))</f>
        <v>879.01159594359649</v>
      </c>
      <c r="Q295" s="169">
        <f ca="1">IF($C295-Q$1&lt;År1,0,P294*(1-VLOOKUP($A295,[1]Hugst!$R$5:$W$9,MATCH(ROUNDUP((Q$1)/10,0)*10,[1]Hugst!$R$4:$W$4,0))))</f>
        <v>862.08020505887032</v>
      </c>
      <c r="R295" s="169">
        <f ca="1">IF($C295-R$1&lt;År1,0,Q294*(1-VLOOKUP($A295,[1]Hugst!$R$5:$W$9,MATCH(ROUNDUP((R$1)/10,0)*10,[1]Hugst!$R$4:$W$4,0))))</f>
        <v>825.08414638074498</v>
      </c>
      <c r="S295" s="169">
        <f ca="1">IF($C295-S$1&lt;År1,0,R294*(1-VLOOKUP($A295,[1]Hugst!$R$5:$W$9,MATCH(ROUNDUP((S$1)/10,0)*10,[1]Hugst!$R$4:$W$4,0))))</f>
        <v>747.9430070057391</v>
      </c>
      <c r="T295" s="169">
        <f ca="1">IF($C295-T$1&lt;År1,0,S294*(1-VLOOKUP($A295,[1]Hugst!$R$5:$W$9,MATCH(ROUNDUP((T$1)/10,0)*10,[1]Hugst!$R$4:$W$4,0))))</f>
        <v>590.49588200574033</v>
      </c>
      <c r="U295" s="169">
        <f>IF($C295-U$1&lt;År1,0,T294*(1-VLOOKUP($A295,[1]Hugst!$R$5:$W$9,MATCH(ROUNDUP((U$1)/10,0)*10,[1]Hugst!$R$4:$W$4,0))))</f>
        <v>0</v>
      </c>
      <c r="V295" s="169">
        <f>IF($C295-V$1&lt;År1,0,U294*(1-VLOOKUP($A295,[1]Hugst!$R$5:$W$9,MATCH(ROUNDUP((V$1)/10,0)*10,[1]Hugst!$R$4:$W$4,0))))</f>
        <v>0</v>
      </c>
      <c r="W295" s="169">
        <f>IF($C295-W$1&lt;År1,0,V294*(1-VLOOKUP($A295,[1]Hugst!$R$5:$W$9,MATCH(ROUNDUP((W$1)/10,0)*10,[1]Hugst!$R$4:$W$4,0))))</f>
        <v>0</v>
      </c>
      <c r="X295" s="169">
        <f>IF($C295-X$1&lt;År1,0,W294*(1-VLOOKUP($A295,[1]Hugst!$R$5:$W$9,MATCH(ROUNDUP((X$1)/10,0)*10,[1]Hugst!$R$4:$W$4,0))))</f>
        <v>0</v>
      </c>
      <c r="Y295" s="169">
        <f>IF($C295-Y$1&lt;År1,0,X294*(1-VLOOKUP($A295,[1]Hugst!$R$5:$W$9,MATCH(ROUNDUP((Y$1)/10,0)*10,[1]Hugst!$R$4:$W$4,0))))</f>
        <v>0</v>
      </c>
      <c r="Z295" s="169">
        <f>IF($C295-Z$1&lt;År1,0,Y294*(1-VLOOKUP($A295,[1]Hugst!$R$5:$W$9,MATCH(ROUNDUP((Z$1)/10,0)*10,[1]Hugst!$R$4:$W$4,0))))</f>
        <v>0</v>
      </c>
      <c r="AA295" s="169">
        <f>IF($C295-AA$1&lt;År1,0,Z294*(1-VLOOKUP($A295,[1]Hugst!$R$5:$W$9,MATCH(ROUNDUP((AA$1)/10,0)*10,[1]Hugst!$R$4:$W$4,0))))</f>
        <v>0</v>
      </c>
      <c r="AB295" s="169">
        <f>IF($C295-AB$1&lt;År1,0,AA294*(1-VLOOKUP($A295,[1]Hugst!$R$5:$W$9,MATCH(ROUNDUP((AB$1)/10,0)*10,[1]Hugst!$R$4:$W$4,0))))</f>
        <v>0</v>
      </c>
      <c r="AC295" s="169">
        <f>IF($C295-AC$1&lt;År1,0,AB294*(1-VLOOKUP($A295,[1]Hugst!$R$5:$W$9,MATCH(ROUNDUP((AC$1)/10,0)*10,[1]Hugst!$R$4:$W$4,0))))</f>
        <v>0</v>
      </c>
      <c r="AD295" s="169">
        <f>IF($C295-AD$1&lt;År1,0,AC294*(1-VLOOKUP($A295,[1]Hugst!$R$5:$W$9,MATCH(ROUNDUP((AD$1)/10,0)*10,[1]Hugst!$R$4:$W$4,0))))</f>
        <v>0</v>
      </c>
      <c r="AE295" s="169">
        <f>IF($C295-AE$1&lt;År1,0,AD294*(1-VLOOKUP($A295,[1]Hugst!$R$5:$W$9,MATCH(ROUNDUP((AE$1)/10,0)*10,[1]Hugst!$R$4:$W$4,0))))</f>
        <v>0</v>
      </c>
      <c r="AF295" s="169">
        <f>IF($C295-AF$1&lt;År1,0,AE294*(1-VLOOKUP($A295,[1]Hugst!$R$5:$W$9,MATCH(ROUNDUP((AF$1)/10,0)*10,[1]Hugst!$R$4:$W$4,0))))</f>
        <v>0</v>
      </c>
      <c r="AG295" s="169">
        <f>IF($C295-AG$1&lt;År1,0,AF294*(1-VLOOKUP($A295,[1]Hugst!$R$5:$W$9,MATCH(ROUNDUP((AG$1)/10,0)*10,[1]Hugst!$R$4:$W$4,0))))</f>
        <v>0</v>
      </c>
      <c r="AH295" s="169">
        <f>IF($C295-AH$1&lt;År1,0,AG294*(1-VLOOKUP($A295,[1]Hugst!$R$5:$W$9,MATCH(ROUNDUP((AH$1)/10,0)*10,[1]Hugst!$R$4:$W$4,0))))</f>
        <v>0</v>
      </c>
      <c r="AI295" s="169">
        <f>IF($C295-AI$1&lt;År1,0,AH294*(1-VLOOKUP($A295,[1]Hugst!$R$5:$W$9,MATCH(ROUNDUP((AI$1)/10,0)*10,[1]Hugst!$R$4:$W$4,0))))</f>
        <v>0</v>
      </c>
      <c r="AJ295" s="169">
        <f>IF($C295-AJ$1&lt;År1,0,AI294*(1-VLOOKUP($A295,[1]Hugst!$R$5:$W$9,MATCH(ROUNDUP((AJ$1)/10,0)*10,[1]Hugst!$R$4:$W$4,0))))</f>
        <v>0</v>
      </c>
    </row>
    <row r="296" spans="1:36" x14ac:dyDescent="0.25">
      <c r="A296" s="169" t="s">
        <v>180</v>
      </c>
      <c r="B296" s="169" t="s">
        <v>24</v>
      </c>
      <c r="C296" s="169">
        <v>2035</v>
      </c>
      <c r="D296" s="169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593.04336125005466</v>
      </c>
      <c r="E296" s="169">
        <f t="shared" ca="1" si="7"/>
        <v>0</v>
      </c>
      <c r="F296" s="169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865.46424325579903</v>
      </c>
      <c r="G296" s="169">
        <f ca="1">IF($C296-G$1&lt;År1,0,F295*(1-VLOOKUP($A296,[1]Hugst!$R$5:$W$9,MATCH(ROUNDUP((G$1)/10,0)*10,[1]Hugst!$R$4:$W$4,0))))</f>
        <v>868.43460499205833</v>
      </c>
      <c r="H296" s="169">
        <f ca="1">IF($C296-H$1&lt;År1,0,G295*(1-VLOOKUP($A296,[1]Hugst!$R$5:$W$9,MATCH(ROUNDUP((H$1)/10,0)*10,[1]Hugst!$R$4:$W$4,0))))</f>
        <v>871.41013751226785</v>
      </c>
      <c r="I296" s="169">
        <f ca="1">IF($C296-I$1&lt;År1,0,H295*(1-VLOOKUP($A296,[1]Hugst!$R$5:$W$9,MATCH(ROUNDUP((I$1)/10,0)*10,[1]Hugst!$R$4:$W$4,0))))</f>
        <v>874.38111114330798</v>
      </c>
      <c r="J296" s="169">
        <f ca="1">IF($C296-J$1&lt;År1,0,I295*(1-VLOOKUP($A296,[1]Hugst!$R$5:$W$9,MATCH(ROUNDUP((J$1)/10,0)*10,[1]Hugst!$R$4:$W$4,0))))</f>
        <v>877.32799166229108</v>
      </c>
      <c r="K296" s="169">
        <f ca="1">IF($C296-K$1&lt;År1,0,J295*(1-VLOOKUP($A296,[1]Hugst!$R$5:$W$9,MATCH(ROUNDUP((K$1)/10,0)*10,[1]Hugst!$R$4:$W$4,0))))</f>
        <v>880.21163537052587</v>
      </c>
      <c r="L296" s="169">
        <f ca="1">IF($C296-L$1&lt;År1,0,K295*(1-VLOOKUP($A296,[1]Hugst!$R$5:$W$9,MATCH(ROUNDUP((L$1)/10,0)*10,[1]Hugst!$R$4:$W$4,0))))</f>
        <v>882.9536792395005</v>
      </c>
      <c r="M296" s="169">
        <f ca="1">IF($C296-M$1&lt;År1,0,L295*(1-VLOOKUP($A296,[1]Hugst!$R$5:$W$9,MATCH(ROUNDUP((M$1)/10,0)*10,[1]Hugst!$R$4:$W$4,0))))</f>
        <v>885.39732120111364</v>
      </c>
      <c r="N296" s="169">
        <f ca="1">IF($C296-N$1&lt;År1,0,M295*(1-VLOOKUP($A296,[1]Hugst!$R$5:$W$9,MATCH(ROUNDUP((N$1)/10,0)*10,[1]Hugst!$R$4:$W$4,0))))</f>
        <v>887.2288807259614</v>
      </c>
      <c r="O296" s="169">
        <f ca="1">IF($C296-O$1&lt;År1,0,N295*(1-VLOOKUP($A296,[1]Hugst!$R$5:$W$9,MATCH(ROUNDUP((O$1)/10,0)*10,[1]Hugst!$R$4:$W$4,0))))</f>
        <v>887.82091997832697</v>
      </c>
      <c r="P296" s="169">
        <f ca="1">IF($C296-P$1&lt;År1,0,O295*(1-VLOOKUP($A296,[1]Hugst!$R$5:$W$9,MATCH(ROUNDUP((P$1)/10,0)*10,[1]Hugst!$R$4:$W$4,0))))</f>
        <v>885.91848612390811</v>
      </c>
      <c r="Q296" s="169">
        <f ca="1">IF($C296-Q$1&lt;År1,0,P295*(1-VLOOKUP($A296,[1]Hugst!$R$5:$W$9,MATCH(ROUNDUP((Q$1)/10,0)*10,[1]Hugst!$R$4:$W$4,0))))</f>
        <v>879.01159594359649</v>
      </c>
      <c r="R296" s="169">
        <f ca="1">IF($C296-R$1&lt;År1,0,Q295*(1-VLOOKUP($A296,[1]Hugst!$R$5:$W$9,MATCH(ROUNDUP((R$1)/10,0)*10,[1]Hugst!$R$4:$W$4,0))))</f>
        <v>862.08020505887032</v>
      </c>
      <c r="S296" s="169">
        <f ca="1">IF($C296-S$1&lt;År1,0,R295*(1-VLOOKUP($A296,[1]Hugst!$R$5:$W$9,MATCH(ROUNDUP((S$1)/10,0)*10,[1]Hugst!$R$4:$W$4,0))))</f>
        <v>825.08414638074498</v>
      </c>
      <c r="T296" s="169">
        <f ca="1">IF($C296-T$1&lt;År1,0,S295*(1-VLOOKUP($A296,[1]Hugst!$R$5:$W$9,MATCH(ROUNDUP((T$1)/10,0)*10,[1]Hugst!$R$4:$W$4,0))))</f>
        <v>747.9430070057391</v>
      </c>
      <c r="U296" s="169">
        <f ca="1">IF($C296-U$1&lt;År1,0,T295*(1-VLOOKUP($A296,[1]Hugst!$R$5:$W$9,MATCH(ROUNDUP((U$1)/10,0)*10,[1]Hugst!$R$4:$W$4,0))))</f>
        <v>590.49588200574033</v>
      </c>
      <c r="V296" s="169">
        <f>IF($C296-V$1&lt;År1,0,U295*(1-VLOOKUP($A296,[1]Hugst!$R$5:$W$9,MATCH(ROUNDUP((V$1)/10,0)*10,[1]Hugst!$R$4:$W$4,0))))</f>
        <v>0</v>
      </c>
      <c r="W296" s="169">
        <f>IF($C296-W$1&lt;År1,0,V295*(1-VLOOKUP($A296,[1]Hugst!$R$5:$W$9,MATCH(ROUNDUP((W$1)/10,0)*10,[1]Hugst!$R$4:$W$4,0))))</f>
        <v>0</v>
      </c>
      <c r="X296" s="169">
        <f>IF($C296-X$1&lt;År1,0,W295*(1-VLOOKUP($A296,[1]Hugst!$R$5:$W$9,MATCH(ROUNDUP((X$1)/10,0)*10,[1]Hugst!$R$4:$W$4,0))))</f>
        <v>0</v>
      </c>
      <c r="Y296" s="169">
        <f>IF($C296-Y$1&lt;År1,0,X295*(1-VLOOKUP($A296,[1]Hugst!$R$5:$W$9,MATCH(ROUNDUP((Y$1)/10,0)*10,[1]Hugst!$R$4:$W$4,0))))</f>
        <v>0</v>
      </c>
      <c r="Z296" s="169">
        <f>IF($C296-Z$1&lt;År1,0,Y295*(1-VLOOKUP($A296,[1]Hugst!$R$5:$W$9,MATCH(ROUNDUP((Z$1)/10,0)*10,[1]Hugst!$R$4:$W$4,0))))</f>
        <v>0</v>
      </c>
      <c r="AA296" s="169">
        <f>IF($C296-AA$1&lt;År1,0,Z295*(1-VLOOKUP($A296,[1]Hugst!$R$5:$W$9,MATCH(ROUNDUP((AA$1)/10,0)*10,[1]Hugst!$R$4:$W$4,0))))</f>
        <v>0</v>
      </c>
      <c r="AB296" s="169">
        <f>IF($C296-AB$1&lt;År1,0,AA295*(1-VLOOKUP($A296,[1]Hugst!$R$5:$W$9,MATCH(ROUNDUP((AB$1)/10,0)*10,[1]Hugst!$R$4:$W$4,0))))</f>
        <v>0</v>
      </c>
      <c r="AC296" s="169">
        <f>IF($C296-AC$1&lt;År1,0,AB295*(1-VLOOKUP($A296,[1]Hugst!$R$5:$W$9,MATCH(ROUNDUP((AC$1)/10,0)*10,[1]Hugst!$R$4:$W$4,0))))</f>
        <v>0</v>
      </c>
      <c r="AD296" s="169">
        <f>IF($C296-AD$1&lt;År1,0,AC295*(1-VLOOKUP($A296,[1]Hugst!$R$5:$W$9,MATCH(ROUNDUP((AD$1)/10,0)*10,[1]Hugst!$R$4:$W$4,0))))</f>
        <v>0</v>
      </c>
      <c r="AE296" s="169">
        <f>IF($C296-AE$1&lt;År1,0,AD295*(1-VLOOKUP($A296,[1]Hugst!$R$5:$W$9,MATCH(ROUNDUP((AE$1)/10,0)*10,[1]Hugst!$R$4:$W$4,0))))</f>
        <v>0</v>
      </c>
      <c r="AF296" s="169">
        <f>IF($C296-AF$1&lt;År1,0,AE295*(1-VLOOKUP($A296,[1]Hugst!$R$5:$W$9,MATCH(ROUNDUP((AF$1)/10,0)*10,[1]Hugst!$R$4:$W$4,0))))</f>
        <v>0</v>
      </c>
      <c r="AG296" s="169">
        <f>IF($C296-AG$1&lt;År1,0,AF295*(1-VLOOKUP($A296,[1]Hugst!$R$5:$W$9,MATCH(ROUNDUP((AG$1)/10,0)*10,[1]Hugst!$R$4:$W$4,0))))</f>
        <v>0</v>
      </c>
      <c r="AH296" s="169">
        <f>IF($C296-AH$1&lt;År1,0,AG295*(1-VLOOKUP($A296,[1]Hugst!$R$5:$W$9,MATCH(ROUNDUP((AH$1)/10,0)*10,[1]Hugst!$R$4:$W$4,0))))</f>
        <v>0</v>
      </c>
      <c r="AI296" s="169">
        <f>IF($C296-AI$1&lt;År1,0,AH295*(1-VLOOKUP($A296,[1]Hugst!$R$5:$W$9,MATCH(ROUNDUP((AI$1)/10,0)*10,[1]Hugst!$R$4:$W$4,0))))</f>
        <v>0</v>
      </c>
      <c r="AJ296" s="169">
        <f>IF($C296-AJ$1&lt;År1,0,AI295*(1-VLOOKUP($A296,[1]Hugst!$R$5:$W$9,MATCH(ROUNDUP((AJ$1)/10,0)*10,[1]Hugst!$R$4:$W$4,0))))</f>
        <v>0</v>
      </c>
    </row>
    <row r="297" spans="1:36" x14ac:dyDescent="0.25">
      <c r="A297" s="169" t="s">
        <v>180</v>
      </c>
      <c r="B297" s="169" t="s">
        <v>24</v>
      </c>
      <c r="C297" s="169">
        <v>2036</v>
      </c>
      <c r="D297" s="169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590.08299788312706</v>
      </c>
      <c r="E297" s="169">
        <f t="shared" ca="1" si="7"/>
        <v>0</v>
      </c>
      <c r="F297" s="169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862.50387988887144</v>
      </c>
      <c r="G297" s="169">
        <f ca="1">IF($C297-G$1&lt;År1,0,F296*(1-VLOOKUP($A297,[1]Hugst!$R$5:$W$9,MATCH(ROUNDUP((G$1)/10,0)*10,[1]Hugst!$R$4:$W$4,0))))</f>
        <v>865.46424325579903</v>
      </c>
      <c r="H297" s="169">
        <f ca="1">IF($C297-H$1&lt;År1,0,G296*(1-VLOOKUP($A297,[1]Hugst!$R$5:$W$9,MATCH(ROUNDUP((H$1)/10,0)*10,[1]Hugst!$R$4:$W$4,0))))</f>
        <v>868.43460499205833</v>
      </c>
      <c r="I297" s="169">
        <f ca="1">IF($C297-I$1&lt;År1,0,H296*(1-VLOOKUP($A297,[1]Hugst!$R$5:$W$9,MATCH(ROUNDUP((I$1)/10,0)*10,[1]Hugst!$R$4:$W$4,0))))</f>
        <v>871.41013751226785</v>
      </c>
      <c r="J297" s="169">
        <f ca="1">IF($C297-J$1&lt;År1,0,I296*(1-VLOOKUP($A297,[1]Hugst!$R$5:$W$9,MATCH(ROUNDUP((J$1)/10,0)*10,[1]Hugst!$R$4:$W$4,0))))</f>
        <v>874.38111114330798</v>
      </c>
      <c r="K297" s="169">
        <f ca="1">IF($C297-K$1&lt;År1,0,J296*(1-VLOOKUP($A297,[1]Hugst!$R$5:$W$9,MATCH(ROUNDUP((K$1)/10,0)*10,[1]Hugst!$R$4:$W$4,0))))</f>
        <v>877.32799166229108</v>
      </c>
      <c r="L297" s="169">
        <f ca="1">IF($C297-L$1&lt;År1,0,K296*(1-VLOOKUP($A297,[1]Hugst!$R$5:$W$9,MATCH(ROUNDUP((L$1)/10,0)*10,[1]Hugst!$R$4:$W$4,0))))</f>
        <v>880.21163537052587</v>
      </c>
      <c r="M297" s="169">
        <f ca="1">IF($C297-M$1&lt;År1,0,L296*(1-VLOOKUP($A297,[1]Hugst!$R$5:$W$9,MATCH(ROUNDUP((M$1)/10,0)*10,[1]Hugst!$R$4:$W$4,0))))</f>
        <v>882.9536792395005</v>
      </c>
      <c r="N297" s="169">
        <f ca="1">IF($C297-N$1&lt;År1,0,M296*(1-VLOOKUP($A297,[1]Hugst!$R$5:$W$9,MATCH(ROUNDUP((N$1)/10,0)*10,[1]Hugst!$R$4:$W$4,0))))</f>
        <v>885.39732120111364</v>
      </c>
      <c r="O297" s="169">
        <f ca="1">IF($C297-O$1&lt;År1,0,N296*(1-VLOOKUP($A297,[1]Hugst!$R$5:$W$9,MATCH(ROUNDUP((O$1)/10,0)*10,[1]Hugst!$R$4:$W$4,0))))</f>
        <v>887.2288807259614</v>
      </c>
      <c r="P297" s="169">
        <f ca="1">IF($C297-P$1&lt;År1,0,O296*(1-VLOOKUP($A297,[1]Hugst!$R$5:$W$9,MATCH(ROUNDUP((P$1)/10,0)*10,[1]Hugst!$R$4:$W$4,0))))</f>
        <v>887.82091997832697</v>
      </c>
      <c r="Q297" s="169">
        <f ca="1">IF($C297-Q$1&lt;År1,0,P296*(1-VLOOKUP($A297,[1]Hugst!$R$5:$W$9,MATCH(ROUNDUP((Q$1)/10,0)*10,[1]Hugst!$R$4:$W$4,0))))</f>
        <v>885.91848612390811</v>
      </c>
      <c r="R297" s="169">
        <f ca="1">IF($C297-R$1&lt;År1,0,Q296*(1-VLOOKUP($A297,[1]Hugst!$R$5:$W$9,MATCH(ROUNDUP((R$1)/10,0)*10,[1]Hugst!$R$4:$W$4,0))))</f>
        <v>879.01159594359649</v>
      </c>
      <c r="S297" s="169">
        <f ca="1">IF($C297-S$1&lt;År1,0,R296*(1-VLOOKUP($A297,[1]Hugst!$R$5:$W$9,MATCH(ROUNDUP((S$1)/10,0)*10,[1]Hugst!$R$4:$W$4,0))))</f>
        <v>862.08020505887032</v>
      </c>
      <c r="T297" s="169">
        <f ca="1">IF($C297-T$1&lt;År1,0,S296*(1-VLOOKUP($A297,[1]Hugst!$R$5:$W$9,MATCH(ROUNDUP((T$1)/10,0)*10,[1]Hugst!$R$4:$W$4,0))))</f>
        <v>825.08414638074498</v>
      </c>
      <c r="U297" s="169">
        <f ca="1">IF($C297-U$1&lt;År1,0,T296*(1-VLOOKUP($A297,[1]Hugst!$R$5:$W$9,MATCH(ROUNDUP((U$1)/10,0)*10,[1]Hugst!$R$4:$W$4,0))))</f>
        <v>747.9430070057391</v>
      </c>
      <c r="V297" s="169">
        <f ca="1">IF($C297-V$1&lt;År1,0,U296*(1-VLOOKUP($A297,[1]Hugst!$R$5:$W$9,MATCH(ROUNDUP((V$1)/10,0)*10,[1]Hugst!$R$4:$W$4,0))))</f>
        <v>590.49588200574033</v>
      </c>
      <c r="W297" s="169">
        <f>IF($C297-W$1&lt;År1,0,V296*(1-VLOOKUP($A297,[1]Hugst!$R$5:$W$9,MATCH(ROUNDUP((W$1)/10,0)*10,[1]Hugst!$R$4:$W$4,0))))</f>
        <v>0</v>
      </c>
      <c r="X297" s="169">
        <f>IF($C297-X$1&lt;År1,0,W296*(1-VLOOKUP($A297,[1]Hugst!$R$5:$W$9,MATCH(ROUNDUP((X$1)/10,0)*10,[1]Hugst!$R$4:$W$4,0))))</f>
        <v>0</v>
      </c>
      <c r="Y297" s="169">
        <f>IF($C297-Y$1&lt;År1,0,X296*(1-VLOOKUP($A297,[1]Hugst!$R$5:$W$9,MATCH(ROUNDUP((Y$1)/10,0)*10,[1]Hugst!$R$4:$W$4,0))))</f>
        <v>0</v>
      </c>
      <c r="Z297" s="169">
        <f>IF($C297-Z$1&lt;År1,0,Y296*(1-VLOOKUP($A297,[1]Hugst!$R$5:$W$9,MATCH(ROUNDUP((Z$1)/10,0)*10,[1]Hugst!$R$4:$W$4,0))))</f>
        <v>0</v>
      </c>
      <c r="AA297" s="169">
        <f>IF($C297-AA$1&lt;År1,0,Z296*(1-VLOOKUP($A297,[1]Hugst!$R$5:$W$9,MATCH(ROUNDUP((AA$1)/10,0)*10,[1]Hugst!$R$4:$W$4,0))))</f>
        <v>0</v>
      </c>
      <c r="AB297" s="169">
        <f>IF($C297-AB$1&lt;År1,0,AA296*(1-VLOOKUP($A297,[1]Hugst!$R$5:$W$9,MATCH(ROUNDUP((AB$1)/10,0)*10,[1]Hugst!$R$4:$W$4,0))))</f>
        <v>0</v>
      </c>
      <c r="AC297" s="169">
        <f>IF($C297-AC$1&lt;År1,0,AB296*(1-VLOOKUP($A297,[1]Hugst!$R$5:$W$9,MATCH(ROUNDUP((AC$1)/10,0)*10,[1]Hugst!$R$4:$W$4,0))))</f>
        <v>0</v>
      </c>
      <c r="AD297" s="169">
        <f>IF($C297-AD$1&lt;År1,0,AC296*(1-VLOOKUP($A297,[1]Hugst!$R$5:$W$9,MATCH(ROUNDUP((AD$1)/10,0)*10,[1]Hugst!$R$4:$W$4,0))))</f>
        <v>0</v>
      </c>
      <c r="AE297" s="169">
        <f>IF($C297-AE$1&lt;År1,0,AD296*(1-VLOOKUP($A297,[1]Hugst!$R$5:$W$9,MATCH(ROUNDUP((AE$1)/10,0)*10,[1]Hugst!$R$4:$W$4,0))))</f>
        <v>0</v>
      </c>
      <c r="AF297" s="169">
        <f>IF($C297-AF$1&lt;År1,0,AE296*(1-VLOOKUP($A297,[1]Hugst!$R$5:$W$9,MATCH(ROUNDUP((AF$1)/10,0)*10,[1]Hugst!$R$4:$W$4,0))))</f>
        <v>0</v>
      </c>
      <c r="AG297" s="169">
        <f>IF($C297-AG$1&lt;År1,0,AF296*(1-VLOOKUP($A297,[1]Hugst!$R$5:$W$9,MATCH(ROUNDUP((AG$1)/10,0)*10,[1]Hugst!$R$4:$W$4,0))))</f>
        <v>0</v>
      </c>
      <c r="AH297" s="169">
        <f>IF($C297-AH$1&lt;År1,0,AG296*(1-VLOOKUP($A297,[1]Hugst!$R$5:$W$9,MATCH(ROUNDUP((AH$1)/10,0)*10,[1]Hugst!$R$4:$W$4,0))))</f>
        <v>0</v>
      </c>
      <c r="AI297" s="169">
        <f>IF($C297-AI$1&lt;År1,0,AH296*(1-VLOOKUP($A297,[1]Hugst!$R$5:$W$9,MATCH(ROUNDUP((AI$1)/10,0)*10,[1]Hugst!$R$4:$W$4,0))))</f>
        <v>0</v>
      </c>
      <c r="AJ297" s="169">
        <f>IF($C297-AJ$1&lt;År1,0,AI296*(1-VLOOKUP($A297,[1]Hugst!$R$5:$W$9,MATCH(ROUNDUP((AJ$1)/10,0)*10,[1]Hugst!$R$4:$W$4,0))))</f>
        <v>0</v>
      </c>
    </row>
    <row r="298" spans="1:36" x14ac:dyDescent="0.25">
      <c r="A298" s="169" t="s">
        <v>180</v>
      </c>
      <c r="B298" s="169" t="s">
        <v>24</v>
      </c>
      <c r="C298" s="169">
        <v>2037</v>
      </c>
      <c r="D298" s="169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587.13500961338104</v>
      </c>
      <c r="E298" s="169">
        <f t="shared" ca="1" si="7"/>
        <v>0</v>
      </c>
      <c r="F298" s="169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859.55589161912542</v>
      </c>
      <c r="G298" s="169">
        <f ca="1">IF($C298-G$1&lt;År1,0,F297*(1-VLOOKUP($A298,[1]Hugst!$R$5:$W$9,MATCH(ROUNDUP((G$1)/10,0)*10,[1]Hugst!$R$4:$W$4,0))))</f>
        <v>862.50387988887144</v>
      </c>
      <c r="H298" s="169">
        <f ca="1">IF($C298-H$1&lt;År1,0,G297*(1-VLOOKUP($A298,[1]Hugst!$R$5:$W$9,MATCH(ROUNDUP((H$1)/10,0)*10,[1]Hugst!$R$4:$W$4,0))))</f>
        <v>865.46424325579903</v>
      </c>
      <c r="I298" s="169">
        <f ca="1">IF($C298-I$1&lt;År1,0,H297*(1-VLOOKUP($A298,[1]Hugst!$R$5:$W$9,MATCH(ROUNDUP((I$1)/10,0)*10,[1]Hugst!$R$4:$W$4,0))))</f>
        <v>868.43460499205833</v>
      </c>
      <c r="J298" s="169">
        <f ca="1">IF($C298-J$1&lt;År1,0,I297*(1-VLOOKUP($A298,[1]Hugst!$R$5:$W$9,MATCH(ROUNDUP((J$1)/10,0)*10,[1]Hugst!$R$4:$W$4,0))))</f>
        <v>871.41013751226785</v>
      </c>
      <c r="K298" s="169">
        <f ca="1">IF($C298-K$1&lt;År1,0,J297*(1-VLOOKUP($A298,[1]Hugst!$R$5:$W$9,MATCH(ROUNDUP((K$1)/10,0)*10,[1]Hugst!$R$4:$W$4,0))))</f>
        <v>874.38111114330798</v>
      </c>
      <c r="L298" s="169">
        <f ca="1">IF($C298-L$1&lt;År1,0,K297*(1-VLOOKUP($A298,[1]Hugst!$R$5:$W$9,MATCH(ROUNDUP((L$1)/10,0)*10,[1]Hugst!$R$4:$W$4,0))))</f>
        <v>877.32799166229108</v>
      </c>
      <c r="M298" s="169">
        <f ca="1">IF($C298-M$1&lt;År1,0,L297*(1-VLOOKUP($A298,[1]Hugst!$R$5:$W$9,MATCH(ROUNDUP((M$1)/10,0)*10,[1]Hugst!$R$4:$W$4,0))))</f>
        <v>880.21163537052587</v>
      </c>
      <c r="N298" s="169">
        <f ca="1">IF($C298-N$1&lt;År1,0,M297*(1-VLOOKUP($A298,[1]Hugst!$R$5:$W$9,MATCH(ROUNDUP((N$1)/10,0)*10,[1]Hugst!$R$4:$W$4,0))))</f>
        <v>882.9536792395005</v>
      </c>
      <c r="O298" s="169">
        <f ca="1">IF($C298-O$1&lt;År1,0,N297*(1-VLOOKUP($A298,[1]Hugst!$R$5:$W$9,MATCH(ROUNDUP((O$1)/10,0)*10,[1]Hugst!$R$4:$W$4,0))))</f>
        <v>885.39732120111364</v>
      </c>
      <c r="P298" s="169">
        <f ca="1">IF($C298-P$1&lt;År1,0,O297*(1-VLOOKUP($A298,[1]Hugst!$R$5:$W$9,MATCH(ROUNDUP((P$1)/10,0)*10,[1]Hugst!$R$4:$W$4,0))))</f>
        <v>887.2288807259614</v>
      </c>
      <c r="Q298" s="169">
        <f ca="1">IF($C298-Q$1&lt;År1,0,P297*(1-VLOOKUP($A298,[1]Hugst!$R$5:$W$9,MATCH(ROUNDUP((Q$1)/10,0)*10,[1]Hugst!$R$4:$W$4,0))))</f>
        <v>887.82091997832697</v>
      </c>
      <c r="R298" s="169">
        <f ca="1">IF($C298-R$1&lt;År1,0,Q297*(1-VLOOKUP($A298,[1]Hugst!$R$5:$W$9,MATCH(ROUNDUP((R$1)/10,0)*10,[1]Hugst!$R$4:$W$4,0))))</f>
        <v>885.91848612390811</v>
      </c>
      <c r="S298" s="169">
        <f ca="1">IF($C298-S$1&lt;År1,0,R297*(1-VLOOKUP($A298,[1]Hugst!$R$5:$W$9,MATCH(ROUNDUP((S$1)/10,0)*10,[1]Hugst!$R$4:$W$4,0))))</f>
        <v>879.01159594359649</v>
      </c>
      <c r="T298" s="169">
        <f ca="1">IF($C298-T$1&lt;År1,0,S297*(1-VLOOKUP($A298,[1]Hugst!$R$5:$W$9,MATCH(ROUNDUP((T$1)/10,0)*10,[1]Hugst!$R$4:$W$4,0))))</f>
        <v>862.08020505887032</v>
      </c>
      <c r="U298" s="169">
        <f ca="1">IF($C298-U$1&lt;År1,0,T297*(1-VLOOKUP($A298,[1]Hugst!$R$5:$W$9,MATCH(ROUNDUP((U$1)/10,0)*10,[1]Hugst!$R$4:$W$4,0))))</f>
        <v>825.08414638074498</v>
      </c>
      <c r="V298" s="169">
        <f ca="1">IF($C298-V$1&lt;År1,0,U297*(1-VLOOKUP($A298,[1]Hugst!$R$5:$W$9,MATCH(ROUNDUP((V$1)/10,0)*10,[1]Hugst!$R$4:$W$4,0))))</f>
        <v>747.9430070057391</v>
      </c>
      <c r="W298" s="169">
        <f ca="1">IF($C298-W$1&lt;År1,0,V297*(1-VLOOKUP($A298,[1]Hugst!$R$5:$W$9,MATCH(ROUNDUP((W$1)/10,0)*10,[1]Hugst!$R$4:$W$4,0))))</f>
        <v>590.49588200574033</v>
      </c>
      <c r="X298" s="169">
        <f>IF($C298-X$1&lt;År1,0,W297*(1-VLOOKUP($A298,[1]Hugst!$R$5:$W$9,MATCH(ROUNDUP((X$1)/10,0)*10,[1]Hugst!$R$4:$W$4,0))))</f>
        <v>0</v>
      </c>
      <c r="Y298" s="169">
        <f>IF($C298-Y$1&lt;År1,0,X297*(1-VLOOKUP($A298,[1]Hugst!$R$5:$W$9,MATCH(ROUNDUP((Y$1)/10,0)*10,[1]Hugst!$R$4:$W$4,0))))</f>
        <v>0</v>
      </c>
      <c r="Z298" s="169">
        <f>IF($C298-Z$1&lt;År1,0,Y297*(1-VLOOKUP($A298,[1]Hugst!$R$5:$W$9,MATCH(ROUNDUP((Z$1)/10,0)*10,[1]Hugst!$R$4:$W$4,0))))</f>
        <v>0</v>
      </c>
      <c r="AA298" s="169">
        <f>IF($C298-AA$1&lt;År1,0,Z297*(1-VLOOKUP($A298,[1]Hugst!$R$5:$W$9,MATCH(ROUNDUP((AA$1)/10,0)*10,[1]Hugst!$R$4:$W$4,0))))</f>
        <v>0</v>
      </c>
      <c r="AB298" s="169">
        <f>IF($C298-AB$1&lt;År1,0,AA297*(1-VLOOKUP($A298,[1]Hugst!$R$5:$W$9,MATCH(ROUNDUP((AB$1)/10,0)*10,[1]Hugst!$R$4:$W$4,0))))</f>
        <v>0</v>
      </c>
      <c r="AC298" s="169">
        <f>IF($C298-AC$1&lt;År1,0,AB297*(1-VLOOKUP($A298,[1]Hugst!$R$5:$W$9,MATCH(ROUNDUP((AC$1)/10,0)*10,[1]Hugst!$R$4:$W$4,0))))</f>
        <v>0</v>
      </c>
      <c r="AD298" s="169">
        <f>IF($C298-AD$1&lt;År1,0,AC297*(1-VLOOKUP($A298,[1]Hugst!$R$5:$W$9,MATCH(ROUNDUP((AD$1)/10,0)*10,[1]Hugst!$R$4:$W$4,0))))</f>
        <v>0</v>
      </c>
      <c r="AE298" s="169">
        <f>IF($C298-AE$1&lt;År1,0,AD297*(1-VLOOKUP($A298,[1]Hugst!$R$5:$W$9,MATCH(ROUNDUP((AE$1)/10,0)*10,[1]Hugst!$R$4:$W$4,0))))</f>
        <v>0</v>
      </c>
      <c r="AF298" s="169">
        <f>IF($C298-AF$1&lt;År1,0,AE297*(1-VLOOKUP($A298,[1]Hugst!$R$5:$W$9,MATCH(ROUNDUP((AF$1)/10,0)*10,[1]Hugst!$R$4:$W$4,0))))</f>
        <v>0</v>
      </c>
      <c r="AG298" s="169">
        <f>IF($C298-AG$1&lt;År1,0,AF297*(1-VLOOKUP($A298,[1]Hugst!$R$5:$W$9,MATCH(ROUNDUP((AG$1)/10,0)*10,[1]Hugst!$R$4:$W$4,0))))</f>
        <v>0</v>
      </c>
      <c r="AH298" s="169">
        <f>IF($C298-AH$1&lt;År1,0,AG297*(1-VLOOKUP($A298,[1]Hugst!$R$5:$W$9,MATCH(ROUNDUP((AH$1)/10,0)*10,[1]Hugst!$R$4:$W$4,0))))</f>
        <v>0</v>
      </c>
      <c r="AI298" s="169">
        <f>IF($C298-AI$1&lt;År1,0,AH297*(1-VLOOKUP($A298,[1]Hugst!$R$5:$W$9,MATCH(ROUNDUP((AI$1)/10,0)*10,[1]Hugst!$R$4:$W$4,0))))</f>
        <v>0</v>
      </c>
      <c r="AJ298" s="169">
        <f>IF($C298-AJ$1&lt;År1,0,AI297*(1-VLOOKUP($A298,[1]Hugst!$R$5:$W$9,MATCH(ROUNDUP((AJ$1)/10,0)*10,[1]Hugst!$R$4:$W$4,0))))</f>
        <v>0</v>
      </c>
    </row>
    <row r="299" spans="1:36" x14ac:dyDescent="0.25">
      <c r="A299" s="169" t="s">
        <v>180</v>
      </c>
      <c r="B299" s="169" t="s">
        <v>24</v>
      </c>
      <c r="C299" s="169">
        <v>2038</v>
      </c>
      <c r="D299" s="169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584.20054792515202</v>
      </c>
      <c r="E299" s="169">
        <f t="shared" ca="1" si="7"/>
        <v>0</v>
      </c>
      <c r="F299" s="169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856.6214299308964</v>
      </c>
      <c r="G299" s="169">
        <f ca="1">IF($C299-G$1&lt;År1,0,F298*(1-VLOOKUP($A299,[1]Hugst!$R$5:$W$9,MATCH(ROUNDUP((G$1)/10,0)*10,[1]Hugst!$R$4:$W$4,0))))</f>
        <v>859.55589161912542</v>
      </c>
      <c r="H299" s="169">
        <f ca="1">IF($C299-H$1&lt;År1,0,G298*(1-VLOOKUP($A299,[1]Hugst!$R$5:$W$9,MATCH(ROUNDUP((H$1)/10,0)*10,[1]Hugst!$R$4:$W$4,0))))</f>
        <v>862.50387988887144</v>
      </c>
      <c r="I299" s="169">
        <f ca="1">IF($C299-I$1&lt;År1,0,H298*(1-VLOOKUP($A299,[1]Hugst!$R$5:$W$9,MATCH(ROUNDUP((I$1)/10,0)*10,[1]Hugst!$R$4:$W$4,0))))</f>
        <v>865.46424325579903</v>
      </c>
      <c r="J299" s="169">
        <f ca="1">IF($C299-J$1&lt;År1,0,I298*(1-VLOOKUP($A299,[1]Hugst!$R$5:$W$9,MATCH(ROUNDUP((J$1)/10,0)*10,[1]Hugst!$R$4:$W$4,0))))</f>
        <v>868.43460499205833</v>
      </c>
      <c r="K299" s="169">
        <f ca="1">IF($C299-K$1&lt;År1,0,J298*(1-VLOOKUP($A299,[1]Hugst!$R$5:$W$9,MATCH(ROUNDUP((K$1)/10,0)*10,[1]Hugst!$R$4:$W$4,0))))</f>
        <v>871.41013751226785</v>
      </c>
      <c r="L299" s="169">
        <f ca="1">IF($C299-L$1&lt;År1,0,K298*(1-VLOOKUP($A299,[1]Hugst!$R$5:$W$9,MATCH(ROUNDUP((L$1)/10,0)*10,[1]Hugst!$R$4:$W$4,0))))</f>
        <v>874.38111114330798</v>
      </c>
      <c r="M299" s="169">
        <f ca="1">IF($C299-M$1&lt;År1,0,L298*(1-VLOOKUP($A299,[1]Hugst!$R$5:$W$9,MATCH(ROUNDUP((M$1)/10,0)*10,[1]Hugst!$R$4:$W$4,0))))</f>
        <v>877.32799166229108</v>
      </c>
      <c r="N299" s="169">
        <f ca="1">IF($C299-N$1&lt;År1,0,M298*(1-VLOOKUP($A299,[1]Hugst!$R$5:$W$9,MATCH(ROUNDUP((N$1)/10,0)*10,[1]Hugst!$R$4:$W$4,0))))</f>
        <v>880.21163537052587</v>
      </c>
      <c r="O299" s="169">
        <f ca="1">IF($C299-O$1&lt;År1,0,N298*(1-VLOOKUP($A299,[1]Hugst!$R$5:$W$9,MATCH(ROUNDUP((O$1)/10,0)*10,[1]Hugst!$R$4:$W$4,0))))</f>
        <v>882.9536792395005</v>
      </c>
      <c r="P299" s="169">
        <f ca="1">IF($C299-P$1&lt;År1,0,O298*(1-VLOOKUP($A299,[1]Hugst!$R$5:$W$9,MATCH(ROUNDUP((P$1)/10,0)*10,[1]Hugst!$R$4:$W$4,0))))</f>
        <v>885.39732120111364</v>
      </c>
      <c r="Q299" s="169">
        <f ca="1">IF($C299-Q$1&lt;År1,0,P298*(1-VLOOKUP($A299,[1]Hugst!$R$5:$W$9,MATCH(ROUNDUP((Q$1)/10,0)*10,[1]Hugst!$R$4:$W$4,0))))</f>
        <v>887.2288807259614</v>
      </c>
      <c r="R299" s="169">
        <f ca="1">IF($C299-R$1&lt;År1,0,Q298*(1-VLOOKUP($A299,[1]Hugst!$R$5:$W$9,MATCH(ROUNDUP((R$1)/10,0)*10,[1]Hugst!$R$4:$W$4,0))))</f>
        <v>887.82091997832697</v>
      </c>
      <c r="S299" s="169">
        <f ca="1">IF($C299-S$1&lt;År1,0,R298*(1-VLOOKUP($A299,[1]Hugst!$R$5:$W$9,MATCH(ROUNDUP((S$1)/10,0)*10,[1]Hugst!$R$4:$W$4,0))))</f>
        <v>885.91848612390811</v>
      </c>
      <c r="T299" s="169">
        <f ca="1">IF($C299-T$1&lt;År1,0,S298*(1-VLOOKUP($A299,[1]Hugst!$R$5:$W$9,MATCH(ROUNDUP((T$1)/10,0)*10,[1]Hugst!$R$4:$W$4,0))))</f>
        <v>879.01159594359649</v>
      </c>
      <c r="U299" s="169">
        <f ca="1">IF($C299-U$1&lt;År1,0,T298*(1-VLOOKUP($A299,[1]Hugst!$R$5:$W$9,MATCH(ROUNDUP((U$1)/10,0)*10,[1]Hugst!$R$4:$W$4,0))))</f>
        <v>862.08020505887032</v>
      </c>
      <c r="V299" s="169">
        <f ca="1">IF($C299-V$1&lt;År1,0,U298*(1-VLOOKUP($A299,[1]Hugst!$R$5:$W$9,MATCH(ROUNDUP((V$1)/10,0)*10,[1]Hugst!$R$4:$W$4,0))))</f>
        <v>825.08414638074498</v>
      </c>
      <c r="W299" s="169">
        <f ca="1">IF($C299-W$1&lt;År1,0,V298*(1-VLOOKUP($A299,[1]Hugst!$R$5:$W$9,MATCH(ROUNDUP((W$1)/10,0)*10,[1]Hugst!$R$4:$W$4,0))))</f>
        <v>747.9430070057391</v>
      </c>
      <c r="X299" s="169">
        <f ca="1">IF($C299-X$1&lt;År1,0,W298*(1-VLOOKUP($A299,[1]Hugst!$R$5:$W$9,MATCH(ROUNDUP((X$1)/10,0)*10,[1]Hugst!$R$4:$W$4,0))))</f>
        <v>590.49588200574033</v>
      </c>
      <c r="Y299" s="169">
        <f>IF($C299-Y$1&lt;År1,0,X298*(1-VLOOKUP($A299,[1]Hugst!$R$5:$W$9,MATCH(ROUNDUP((Y$1)/10,0)*10,[1]Hugst!$R$4:$W$4,0))))</f>
        <v>0</v>
      </c>
      <c r="Z299" s="169">
        <f>IF($C299-Z$1&lt;År1,0,Y298*(1-VLOOKUP($A299,[1]Hugst!$R$5:$W$9,MATCH(ROUNDUP((Z$1)/10,0)*10,[1]Hugst!$R$4:$W$4,0))))</f>
        <v>0</v>
      </c>
      <c r="AA299" s="169">
        <f>IF($C299-AA$1&lt;År1,0,Z298*(1-VLOOKUP($A299,[1]Hugst!$R$5:$W$9,MATCH(ROUNDUP((AA$1)/10,0)*10,[1]Hugst!$R$4:$W$4,0))))</f>
        <v>0</v>
      </c>
      <c r="AB299" s="169">
        <f>IF($C299-AB$1&lt;År1,0,AA298*(1-VLOOKUP($A299,[1]Hugst!$R$5:$W$9,MATCH(ROUNDUP((AB$1)/10,0)*10,[1]Hugst!$R$4:$W$4,0))))</f>
        <v>0</v>
      </c>
      <c r="AC299" s="169">
        <f>IF($C299-AC$1&lt;År1,0,AB298*(1-VLOOKUP($A299,[1]Hugst!$R$5:$W$9,MATCH(ROUNDUP((AC$1)/10,0)*10,[1]Hugst!$R$4:$W$4,0))))</f>
        <v>0</v>
      </c>
      <c r="AD299" s="169">
        <f>IF($C299-AD$1&lt;År1,0,AC298*(1-VLOOKUP($A299,[1]Hugst!$R$5:$W$9,MATCH(ROUNDUP((AD$1)/10,0)*10,[1]Hugst!$R$4:$W$4,0))))</f>
        <v>0</v>
      </c>
      <c r="AE299" s="169">
        <f>IF($C299-AE$1&lt;År1,0,AD298*(1-VLOOKUP($A299,[1]Hugst!$R$5:$W$9,MATCH(ROUNDUP((AE$1)/10,0)*10,[1]Hugst!$R$4:$W$4,0))))</f>
        <v>0</v>
      </c>
      <c r="AF299" s="169">
        <f>IF($C299-AF$1&lt;År1,0,AE298*(1-VLOOKUP($A299,[1]Hugst!$R$5:$W$9,MATCH(ROUNDUP((AF$1)/10,0)*10,[1]Hugst!$R$4:$W$4,0))))</f>
        <v>0</v>
      </c>
      <c r="AG299" s="169">
        <f>IF($C299-AG$1&lt;År1,0,AF298*(1-VLOOKUP($A299,[1]Hugst!$R$5:$W$9,MATCH(ROUNDUP((AG$1)/10,0)*10,[1]Hugst!$R$4:$W$4,0))))</f>
        <v>0</v>
      </c>
      <c r="AH299" s="169">
        <f>IF($C299-AH$1&lt;År1,0,AG298*(1-VLOOKUP($A299,[1]Hugst!$R$5:$W$9,MATCH(ROUNDUP((AH$1)/10,0)*10,[1]Hugst!$R$4:$W$4,0))))</f>
        <v>0</v>
      </c>
      <c r="AI299" s="169">
        <f>IF($C299-AI$1&lt;År1,0,AH298*(1-VLOOKUP($A299,[1]Hugst!$R$5:$W$9,MATCH(ROUNDUP((AI$1)/10,0)*10,[1]Hugst!$R$4:$W$4,0))))</f>
        <v>0</v>
      </c>
      <c r="AJ299" s="169">
        <f>IF($C299-AJ$1&lt;År1,0,AI298*(1-VLOOKUP($A299,[1]Hugst!$R$5:$W$9,MATCH(ROUNDUP((AJ$1)/10,0)*10,[1]Hugst!$R$4:$W$4,0))))</f>
        <v>0</v>
      </c>
    </row>
    <row r="300" spans="1:36" x14ac:dyDescent="0.25">
      <c r="A300" s="169" t="s">
        <v>180</v>
      </c>
      <c r="B300" s="169" t="s">
        <v>24</v>
      </c>
      <c r="C300" s="169">
        <v>2039</v>
      </c>
      <c r="D300" s="169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581.2801518654378</v>
      </c>
      <c r="E300" s="169">
        <f t="shared" ca="1" si="7"/>
        <v>0</v>
      </c>
      <c r="F300" s="169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853.70103387118218</v>
      </c>
      <c r="G300" s="169">
        <f ca="1">IF($C300-G$1&lt;År1,0,F299*(1-VLOOKUP($A300,[1]Hugst!$R$5:$W$9,MATCH(ROUNDUP((G$1)/10,0)*10,[1]Hugst!$R$4:$W$4,0))))</f>
        <v>856.6214299308964</v>
      </c>
      <c r="H300" s="169">
        <f ca="1">IF($C300-H$1&lt;År1,0,G299*(1-VLOOKUP($A300,[1]Hugst!$R$5:$W$9,MATCH(ROUNDUP((H$1)/10,0)*10,[1]Hugst!$R$4:$W$4,0))))</f>
        <v>859.55589161912542</v>
      </c>
      <c r="I300" s="169">
        <f ca="1">IF($C300-I$1&lt;År1,0,H299*(1-VLOOKUP($A300,[1]Hugst!$R$5:$W$9,MATCH(ROUNDUP((I$1)/10,0)*10,[1]Hugst!$R$4:$W$4,0))))</f>
        <v>862.50387988887144</v>
      </c>
      <c r="J300" s="169">
        <f ca="1">IF($C300-J$1&lt;År1,0,I299*(1-VLOOKUP($A300,[1]Hugst!$R$5:$W$9,MATCH(ROUNDUP((J$1)/10,0)*10,[1]Hugst!$R$4:$W$4,0))))</f>
        <v>865.46424325579903</v>
      </c>
      <c r="K300" s="169">
        <f ca="1">IF($C300-K$1&lt;År1,0,J299*(1-VLOOKUP($A300,[1]Hugst!$R$5:$W$9,MATCH(ROUNDUP((K$1)/10,0)*10,[1]Hugst!$R$4:$W$4,0))))</f>
        <v>868.43460499205833</v>
      </c>
      <c r="L300" s="169">
        <f ca="1">IF($C300-L$1&lt;År1,0,K299*(1-VLOOKUP($A300,[1]Hugst!$R$5:$W$9,MATCH(ROUNDUP((L$1)/10,0)*10,[1]Hugst!$R$4:$W$4,0))))</f>
        <v>871.41013751226785</v>
      </c>
      <c r="M300" s="169">
        <f ca="1">IF($C300-M$1&lt;År1,0,L299*(1-VLOOKUP($A300,[1]Hugst!$R$5:$W$9,MATCH(ROUNDUP((M$1)/10,0)*10,[1]Hugst!$R$4:$W$4,0))))</f>
        <v>874.38111114330798</v>
      </c>
      <c r="N300" s="169">
        <f ca="1">IF($C300-N$1&lt;År1,0,M299*(1-VLOOKUP($A300,[1]Hugst!$R$5:$W$9,MATCH(ROUNDUP((N$1)/10,0)*10,[1]Hugst!$R$4:$W$4,0))))</f>
        <v>877.32799166229108</v>
      </c>
      <c r="O300" s="169">
        <f ca="1">IF($C300-O$1&lt;År1,0,N299*(1-VLOOKUP($A300,[1]Hugst!$R$5:$W$9,MATCH(ROUNDUP((O$1)/10,0)*10,[1]Hugst!$R$4:$W$4,0))))</f>
        <v>880.21163537052587</v>
      </c>
      <c r="P300" s="169">
        <f ca="1">IF($C300-P$1&lt;År1,0,O299*(1-VLOOKUP($A300,[1]Hugst!$R$5:$W$9,MATCH(ROUNDUP((P$1)/10,0)*10,[1]Hugst!$R$4:$W$4,0))))</f>
        <v>882.9536792395005</v>
      </c>
      <c r="Q300" s="169">
        <f ca="1">IF($C300-Q$1&lt;År1,0,P299*(1-VLOOKUP($A300,[1]Hugst!$R$5:$W$9,MATCH(ROUNDUP((Q$1)/10,0)*10,[1]Hugst!$R$4:$W$4,0))))</f>
        <v>885.39732120111364</v>
      </c>
      <c r="R300" s="169">
        <f ca="1">IF($C300-R$1&lt;År1,0,Q299*(1-VLOOKUP($A300,[1]Hugst!$R$5:$W$9,MATCH(ROUNDUP((R$1)/10,0)*10,[1]Hugst!$R$4:$W$4,0))))</f>
        <v>887.2288807259614</v>
      </c>
      <c r="S300" s="169">
        <f ca="1">IF($C300-S$1&lt;År1,0,R299*(1-VLOOKUP($A300,[1]Hugst!$R$5:$W$9,MATCH(ROUNDUP((S$1)/10,0)*10,[1]Hugst!$R$4:$W$4,0))))</f>
        <v>887.82091997832697</v>
      </c>
      <c r="T300" s="169">
        <f ca="1">IF($C300-T$1&lt;År1,0,S299*(1-VLOOKUP($A300,[1]Hugst!$R$5:$W$9,MATCH(ROUNDUP((T$1)/10,0)*10,[1]Hugst!$R$4:$W$4,0))))</f>
        <v>885.91848612390811</v>
      </c>
      <c r="U300" s="169">
        <f ca="1">IF($C300-U$1&lt;År1,0,T299*(1-VLOOKUP($A300,[1]Hugst!$R$5:$W$9,MATCH(ROUNDUP((U$1)/10,0)*10,[1]Hugst!$R$4:$W$4,0))))</f>
        <v>879.01159594359649</v>
      </c>
      <c r="V300" s="169">
        <f ca="1">IF($C300-V$1&lt;År1,0,U299*(1-VLOOKUP($A300,[1]Hugst!$R$5:$W$9,MATCH(ROUNDUP((V$1)/10,0)*10,[1]Hugst!$R$4:$W$4,0))))</f>
        <v>862.08020505887032</v>
      </c>
      <c r="W300" s="169">
        <f ca="1">IF($C300-W$1&lt;År1,0,V299*(1-VLOOKUP($A300,[1]Hugst!$R$5:$W$9,MATCH(ROUNDUP((W$1)/10,0)*10,[1]Hugst!$R$4:$W$4,0))))</f>
        <v>825.08414638074498</v>
      </c>
      <c r="X300" s="169">
        <f ca="1">IF($C300-X$1&lt;År1,0,W299*(1-VLOOKUP($A300,[1]Hugst!$R$5:$W$9,MATCH(ROUNDUP((X$1)/10,0)*10,[1]Hugst!$R$4:$W$4,0))))</f>
        <v>747.9430070057391</v>
      </c>
      <c r="Y300" s="169">
        <f ca="1">IF($C300-Y$1&lt;År1,0,X299*(1-VLOOKUP($A300,[1]Hugst!$R$5:$W$9,MATCH(ROUNDUP((Y$1)/10,0)*10,[1]Hugst!$R$4:$W$4,0))))</f>
        <v>590.49588200574033</v>
      </c>
      <c r="Z300" s="169">
        <f>IF($C300-Z$1&lt;År1,0,Y299*(1-VLOOKUP($A300,[1]Hugst!$R$5:$W$9,MATCH(ROUNDUP((Z$1)/10,0)*10,[1]Hugst!$R$4:$W$4,0))))</f>
        <v>0</v>
      </c>
      <c r="AA300" s="169">
        <f>IF($C300-AA$1&lt;År1,0,Z299*(1-VLOOKUP($A300,[1]Hugst!$R$5:$W$9,MATCH(ROUNDUP((AA$1)/10,0)*10,[1]Hugst!$R$4:$W$4,0))))</f>
        <v>0</v>
      </c>
      <c r="AB300" s="169">
        <f>IF($C300-AB$1&lt;År1,0,AA299*(1-VLOOKUP($A300,[1]Hugst!$R$5:$W$9,MATCH(ROUNDUP((AB$1)/10,0)*10,[1]Hugst!$R$4:$W$4,0))))</f>
        <v>0</v>
      </c>
      <c r="AC300" s="169">
        <f>IF($C300-AC$1&lt;År1,0,AB299*(1-VLOOKUP($A300,[1]Hugst!$R$5:$W$9,MATCH(ROUNDUP((AC$1)/10,0)*10,[1]Hugst!$R$4:$W$4,0))))</f>
        <v>0</v>
      </c>
      <c r="AD300" s="169">
        <f>IF($C300-AD$1&lt;År1,0,AC299*(1-VLOOKUP($A300,[1]Hugst!$R$5:$W$9,MATCH(ROUNDUP((AD$1)/10,0)*10,[1]Hugst!$R$4:$W$4,0))))</f>
        <v>0</v>
      </c>
      <c r="AE300" s="169">
        <f>IF($C300-AE$1&lt;År1,0,AD299*(1-VLOOKUP($A300,[1]Hugst!$R$5:$W$9,MATCH(ROUNDUP((AE$1)/10,0)*10,[1]Hugst!$R$4:$W$4,0))))</f>
        <v>0</v>
      </c>
      <c r="AF300" s="169">
        <f>IF($C300-AF$1&lt;År1,0,AE299*(1-VLOOKUP($A300,[1]Hugst!$R$5:$W$9,MATCH(ROUNDUP((AF$1)/10,0)*10,[1]Hugst!$R$4:$W$4,0))))</f>
        <v>0</v>
      </c>
      <c r="AG300" s="169">
        <f>IF($C300-AG$1&lt;År1,0,AF299*(1-VLOOKUP($A300,[1]Hugst!$R$5:$W$9,MATCH(ROUNDUP((AG$1)/10,0)*10,[1]Hugst!$R$4:$W$4,0))))</f>
        <v>0</v>
      </c>
      <c r="AH300" s="169">
        <f>IF($C300-AH$1&lt;År1,0,AG299*(1-VLOOKUP($A300,[1]Hugst!$R$5:$W$9,MATCH(ROUNDUP((AH$1)/10,0)*10,[1]Hugst!$R$4:$W$4,0))))</f>
        <v>0</v>
      </c>
      <c r="AI300" s="169">
        <f>IF($C300-AI$1&lt;År1,0,AH299*(1-VLOOKUP($A300,[1]Hugst!$R$5:$W$9,MATCH(ROUNDUP((AI$1)/10,0)*10,[1]Hugst!$R$4:$W$4,0))))</f>
        <v>0</v>
      </c>
      <c r="AJ300" s="169">
        <f>IF($C300-AJ$1&lt;År1,0,AI299*(1-VLOOKUP($A300,[1]Hugst!$R$5:$W$9,MATCH(ROUNDUP((AJ$1)/10,0)*10,[1]Hugst!$R$4:$W$4,0))))</f>
        <v>0</v>
      </c>
    </row>
    <row r="301" spans="1:36" x14ac:dyDescent="0.25">
      <c r="A301" s="169" t="s">
        <v>180</v>
      </c>
      <c r="B301" s="169" t="s">
        <v>24</v>
      </c>
      <c r="C301" s="169">
        <v>2040</v>
      </c>
      <c r="D301" s="169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578.37405444606338</v>
      </c>
      <c r="E301" s="169">
        <f t="shared" ca="1" si="7"/>
        <v>0.19683196066762321</v>
      </c>
      <c r="F301" s="169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850.99176841247538</v>
      </c>
      <c r="G301" s="169">
        <f ca="1">IF($C301-G$1&lt;År1,0,F300*(1-VLOOKUP($A301,[1]Hugst!$R$5:$W$9,MATCH(ROUNDUP((G$1)/10,0)*10,[1]Hugst!$R$4:$W$4,0))))</f>
        <v>853.70103387118218</v>
      </c>
      <c r="H301" s="169">
        <f ca="1">IF($C301-H$1&lt;År1,0,G300*(1-VLOOKUP($A301,[1]Hugst!$R$5:$W$9,MATCH(ROUNDUP((H$1)/10,0)*10,[1]Hugst!$R$4:$W$4,0))))</f>
        <v>856.6214299308964</v>
      </c>
      <c r="I301" s="169">
        <f ca="1">IF($C301-I$1&lt;År1,0,H300*(1-VLOOKUP($A301,[1]Hugst!$R$5:$W$9,MATCH(ROUNDUP((I$1)/10,0)*10,[1]Hugst!$R$4:$W$4,0))))</f>
        <v>859.55589161912542</v>
      </c>
      <c r="J301" s="169">
        <f ca="1">IF($C301-J$1&lt;År1,0,I300*(1-VLOOKUP($A301,[1]Hugst!$R$5:$W$9,MATCH(ROUNDUP((J$1)/10,0)*10,[1]Hugst!$R$4:$W$4,0))))</f>
        <v>862.50387988887144</v>
      </c>
      <c r="K301" s="169">
        <f ca="1">IF($C301-K$1&lt;År1,0,J300*(1-VLOOKUP($A301,[1]Hugst!$R$5:$W$9,MATCH(ROUNDUP((K$1)/10,0)*10,[1]Hugst!$R$4:$W$4,0))))</f>
        <v>865.46424325579903</v>
      </c>
      <c r="L301" s="169">
        <f ca="1">IF($C301-L$1&lt;År1,0,K300*(1-VLOOKUP($A301,[1]Hugst!$R$5:$W$9,MATCH(ROUNDUP((L$1)/10,0)*10,[1]Hugst!$R$4:$W$4,0))))</f>
        <v>868.43460499205833</v>
      </c>
      <c r="M301" s="169">
        <f ca="1">IF($C301-M$1&lt;År1,0,L300*(1-VLOOKUP($A301,[1]Hugst!$R$5:$W$9,MATCH(ROUNDUP((M$1)/10,0)*10,[1]Hugst!$R$4:$W$4,0))))</f>
        <v>871.41013751226785</v>
      </c>
      <c r="N301" s="169">
        <f ca="1">IF($C301-N$1&lt;År1,0,M300*(1-VLOOKUP($A301,[1]Hugst!$R$5:$W$9,MATCH(ROUNDUP((N$1)/10,0)*10,[1]Hugst!$R$4:$W$4,0))))</f>
        <v>874.38111114330798</v>
      </c>
      <c r="O301" s="169">
        <f ca="1">IF($C301-O$1&lt;År1,0,N300*(1-VLOOKUP($A301,[1]Hugst!$R$5:$W$9,MATCH(ROUNDUP((O$1)/10,0)*10,[1]Hugst!$R$4:$W$4,0))))</f>
        <v>877.32799166229108</v>
      </c>
      <c r="P301" s="169">
        <f ca="1">IF($C301-P$1&lt;År1,0,O300*(1-VLOOKUP($A301,[1]Hugst!$R$5:$W$9,MATCH(ROUNDUP((P$1)/10,0)*10,[1]Hugst!$R$4:$W$4,0))))</f>
        <v>880.21163537052587</v>
      </c>
      <c r="Q301" s="169">
        <f ca="1">IF($C301-Q$1&lt;År1,0,P300*(1-VLOOKUP($A301,[1]Hugst!$R$5:$W$9,MATCH(ROUNDUP((Q$1)/10,0)*10,[1]Hugst!$R$4:$W$4,0))))</f>
        <v>882.9536792395005</v>
      </c>
      <c r="R301" s="169">
        <f ca="1">IF($C301-R$1&lt;År1,0,Q300*(1-VLOOKUP($A301,[1]Hugst!$R$5:$W$9,MATCH(ROUNDUP((R$1)/10,0)*10,[1]Hugst!$R$4:$W$4,0))))</f>
        <v>885.39732120111364</v>
      </c>
      <c r="S301" s="169">
        <f ca="1">IF($C301-S$1&lt;År1,0,R300*(1-VLOOKUP($A301,[1]Hugst!$R$5:$W$9,MATCH(ROUNDUP((S$1)/10,0)*10,[1]Hugst!$R$4:$W$4,0))))</f>
        <v>887.2288807259614</v>
      </c>
      <c r="T301" s="169">
        <f ca="1">IF($C301-T$1&lt;År1,0,S300*(1-VLOOKUP($A301,[1]Hugst!$R$5:$W$9,MATCH(ROUNDUP((T$1)/10,0)*10,[1]Hugst!$R$4:$W$4,0))))</f>
        <v>887.82091997832697</v>
      </c>
      <c r="U301" s="169">
        <f ca="1">IF($C301-U$1&lt;År1,0,T300*(1-VLOOKUP($A301,[1]Hugst!$R$5:$W$9,MATCH(ROUNDUP((U$1)/10,0)*10,[1]Hugst!$R$4:$W$4,0))))</f>
        <v>885.91848612390811</v>
      </c>
      <c r="V301" s="169">
        <f ca="1">IF($C301-V$1&lt;År1,0,U300*(1-VLOOKUP($A301,[1]Hugst!$R$5:$W$9,MATCH(ROUNDUP((V$1)/10,0)*10,[1]Hugst!$R$4:$W$4,0))))</f>
        <v>879.01159594359649</v>
      </c>
      <c r="W301" s="169">
        <f ca="1">IF($C301-W$1&lt;År1,0,V300*(1-VLOOKUP($A301,[1]Hugst!$R$5:$W$9,MATCH(ROUNDUP((W$1)/10,0)*10,[1]Hugst!$R$4:$W$4,0))))</f>
        <v>862.08020505887032</v>
      </c>
      <c r="X301" s="169">
        <f ca="1">IF($C301-X$1&lt;År1,0,W300*(1-VLOOKUP($A301,[1]Hugst!$R$5:$W$9,MATCH(ROUNDUP((X$1)/10,0)*10,[1]Hugst!$R$4:$W$4,0))))</f>
        <v>825.08414638074498</v>
      </c>
      <c r="Y301" s="169">
        <f ca="1">IF($C301-Y$1&lt;År1,0,X300*(1-VLOOKUP($A301,[1]Hugst!$R$5:$W$9,MATCH(ROUNDUP((Y$1)/10,0)*10,[1]Hugst!$R$4:$W$4,0))))</f>
        <v>747.9430070057391</v>
      </c>
      <c r="Z301" s="169">
        <f ca="1">IF($C301-Z$1&lt;År1,0,Y300*(1-VLOOKUP($A301,[1]Hugst!$R$5:$W$9,MATCH(ROUNDUP((Z$1)/10,0)*10,[1]Hugst!$R$4:$W$4,0))))</f>
        <v>590.29905004507179</v>
      </c>
      <c r="AA301" s="169">
        <f>IF($C301-AA$1&lt;År1,0,Z300*(1-VLOOKUP($A301,[1]Hugst!$R$5:$W$9,MATCH(ROUNDUP((AA$1)/10,0)*10,[1]Hugst!$R$4:$W$4,0))))</f>
        <v>0</v>
      </c>
      <c r="AB301" s="169">
        <f>IF($C301-AB$1&lt;År1,0,AA300*(1-VLOOKUP($A301,[1]Hugst!$R$5:$W$9,MATCH(ROUNDUP((AB$1)/10,0)*10,[1]Hugst!$R$4:$W$4,0))))</f>
        <v>0</v>
      </c>
      <c r="AC301" s="169">
        <f>IF($C301-AC$1&lt;År1,0,AB300*(1-VLOOKUP($A301,[1]Hugst!$R$5:$W$9,MATCH(ROUNDUP((AC$1)/10,0)*10,[1]Hugst!$R$4:$W$4,0))))</f>
        <v>0</v>
      </c>
      <c r="AD301" s="169">
        <f>IF($C301-AD$1&lt;År1,0,AC300*(1-VLOOKUP($A301,[1]Hugst!$R$5:$W$9,MATCH(ROUNDUP((AD$1)/10,0)*10,[1]Hugst!$R$4:$W$4,0))))</f>
        <v>0</v>
      </c>
      <c r="AE301" s="169">
        <f>IF($C301-AE$1&lt;År1,0,AD300*(1-VLOOKUP($A301,[1]Hugst!$R$5:$W$9,MATCH(ROUNDUP((AE$1)/10,0)*10,[1]Hugst!$R$4:$W$4,0))))</f>
        <v>0</v>
      </c>
      <c r="AF301" s="169">
        <f>IF($C301-AF$1&lt;År1,0,AE300*(1-VLOOKUP($A301,[1]Hugst!$R$5:$W$9,MATCH(ROUNDUP((AF$1)/10,0)*10,[1]Hugst!$R$4:$W$4,0))))</f>
        <v>0</v>
      </c>
      <c r="AG301" s="169">
        <f>IF($C301-AG$1&lt;År1,0,AF300*(1-VLOOKUP($A301,[1]Hugst!$R$5:$W$9,MATCH(ROUNDUP((AG$1)/10,0)*10,[1]Hugst!$R$4:$W$4,0))))</f>
        <v>0</v>
      </c>
      <c r="AH301" s="169">
        <f>IF($C301-AH$1&lt;År1,0,AG300*(1-VLOOKUP($A301,[1]Hugst!$R$5:$W$9,MATCH(ROUNDUP((AH$1)/10,0)*10,[1]Hugst!$R$4:$W$4,0))))</f>
        <v>0</v>
      </c>
      <c r="AI301" s="169">
        <f>IF($C301-AI$1&lt;År1,0,AH300*(1-VLOOKUP($A301,[1]Hugst!$R$5:$W$9,MATCH(ROUNDUP((AI$1)/10,0)*10,[1]Hugst!$R$4:$W$4,0))))</f>
        <v>0</v>
      </c>
      <c r="AJ301" s="169">
        <f>IF($C301-AJ$1&lt;År1,0,AI300*(1-VLOOKUP($A301,[1]Hugst!$R$5:$W$9,MATCH(ROUNDUP((AJ$1)/10,0)*10,[1]Hugst!$R$4:$W$4,0))))</f>
        <v>0</v>
      </c>
    </row>
    <row r="302" spans="1:36" x14ac:dyDescent="0.25">
      <c r="A302" s="169" t="s">
        <v>180</v>
      </c>
      <c r="B302" s="169" t="s">
        <v>24</v>
      </c>
      <c r="C302" s="169">
        <v>2041</v>
      </c>
      <c r="D302" s="169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575.48233584380978</v>
      </c>
      <c r="E302" s="169">
        <f t="shared" ca="1" si="7"/>
        <v>0.44608068568413728</v>
      </c>
      <c r="F302" s="169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848.34929853523829</v>
      </c>
      <c r="G302" s="169">
        <f ca="1">IF($C302-G$1&lt;År1,0,F301*(1-VLOOKUP($A302,[1]Hugst!$R$5:$W$9,MATCH(ROUNDUP((G$1)/10,0)*10,[1]Hugst!$R$4:$W$4,0))))</f>
        <v>850.99176841247538</v>
      </c>
      <c r="H302" s="169">
        <f ca="1">IF($C302-H$1&lt;År1,0,G301*(1-VLOOKUP($A302,[1]Hugst!$R$5:$W$9,MATCH(ROUNDUP((H$1)/10,0)*10,[1]Hugst!$R$4:$W$4,0))))</f>
        <v>853.70103387118218</v>
      </c>
      <c r="I302" s="169">
        <f ca="1">IF($C302-I$1&lt;År1,0,H301*(1-VLOOKUP($A302,[1]Hugst!$R$5:$W$9,MATCH(ROUNDUP((I$1)/10,0)*10,[1]Hugst!$R$4:$W$4,0))))</f>
        <v>856.6214299308964</v>
      </c>
      <c r="J302" s="169">
        <f ca="1">IF($C302-J$1&lt;År1,0,I301*(1-VLOOKUP($A302,[1]Hugst!$R$5:$W$9,MATCH(ROUNDUP((J$1)/10,0)*10,[1]Hugst!$R$4:$W$4,0))))</f>
        <v>859.55589161912542</v>
      </c>
      <c r="K302" s="169">
        <f ca="1">IF($C302-K$1&lt;År1,0,J301*(1-VLOOKUP($A302,[1]Hugst!$R$5:$W$9,MATCH(ROUNDUP((K$1)/10,0)*10,[1]Hugst!$R$4:$W$4,0))))</f>
        <v>862.50387988887144</v>
      </c>
      <c r="L302" s="169">
        <f ca="1">IF($C302-L$1&lt;År1,0,K301*(1-VLOOKUP($A302,[1]Hugst!$R$5:$W$9,MATCH(ROUNDUP((L$1)/10,0)*10,[1]Hugst!$R$4:$W$4,0))))</f>
        <v>865.46424325579903</v>
      </c>
      <c r="M302" s="169">
        <f ca="1">IF($C302-M$1&lt;År1,0,L301*(1-VLOOKUP($A302,[1]Hugst!$R$5:$W$9,MATCH(ROUNDUP((M$1)/10,0)*10,[1]Hugst!$R$4:$W$4,0))))</f>
        <v>868.43460499205833</v>
      </c>
      <c r="N302" s="169">
        <f ca="1">IF($C302-N$1&lt;År1,0,M301*(1-VLOOKUP($A302,[1]Hugst!$R$5:$W$9,MATCH(ROUNDUP((N$1)/10,0)*10,[1]Hugst!$R$4:$W$4,0))))</f>
        <v>871.41013751226785</v>
      </c>
      <c r="O302" s="169">
        <f ca="1">IF($C302-O$1&lt;År1,0,N301*(1-VLOOKUP($A302,[1]Hugst!$R$5:$W$9,MATCH(ROUNDUP((O$1)/10,0)*10,[1]Hugst!$R$4:$W$4,0))))</f>
        <v>874.38111114330798</v>
      </c>
      <c r="P302" s="169">
        <f ca="1">IF($C302-P$1&lt;År1,0,O301*(1-VLOOKUP($A302,[1]Hugst!$R$5:$W$9,MATCH(ROUNDUP((P$1)/10,0)*10,[1]Hugst!$R$4:$W$4,0))))</f>
        <v>877.32799166229108</v>
      </c>
      <c r="Q302" s="169">
        <f ca="1">IF($C302-Q$1&lt;År1,0,P301*(1-VLOOKUP($A302,[1]Hugst!$R$5:$W$9,MATCH(ROUNDUP((Q$1)/10,0)*10,[1]Hugst!$R$4:$W$4,0))))</f>
        <v>880.21163537052587</v>
      </c>
      <c r="R302" s="169">
        <f ca="1">IF($C302-R$1&lt;År1,0,Q301*(1-VLOOKUP($A302,[1]Hugst!$R$5:$W$9,MATCH(ROUNDUP((R$1)/10,0)*10,[1]Hugst!$R$4:$W$4,0))))</f>
        <v>882.9536792395005</v>
      </c>
      <c r="S302" s="169">
        <f ca="1">IF($C302-S$1&lt;År1,0,R301*(1-VLOOKUP($A302,[1]Hugst!$R$5:$W$9,MATCH(ROUNDUP((S$1)/10,0)*10,[1]Hugst!$R$4:$W$4,0))))</f>
        <v>885.39732120111364</v>
      </c>
      <c r="T302" s="169">
        <f ca="1">IF($C302-T$1&lt;År1,0,S301*(1-VLOOKUP($A302,[1]Hugst!$R$5:$W$9,MATCH(ROUNDUP((T$1)/10,0)*10,[1]Hugst!$R$4:$W$4,0))))</f>
        <v>887.2288807259614</v>
      </c>
      <c r="U302" s="169">
        <f ca="1">IF($C302-U$1&lt;År1,0,T301*(1-VLOOKUP($A302,[1]Hugst!$R$5:$W$9,MATCH(ROUNDUP((U$1)/10,0)*10,[1]Hugst!$R$4:$W$4,0))))</f>
        <v>887.82091997832697</v>
      </c>
      <c r="V302" s="169">
        <f ca="1">IF($C302-V$1&lt;År1,0,U301*(1-VLOOKUP($A302,[1]Hugst!$R$5:$W$9,MATCH(ROUNDUP((V$1)/10,0)*10,[1]Hugst!$R$4:$W$4,0))))</f>
        <v>885.91848612390811</v>
      </c>
      <c r="W302" s="169">
        <f ca="1">IF($C302-W$1&lt;År1,0,V301*(1-VLOOKUP($A302,[1]Hugst!$R$5:$W$9,MATCH(ROUNDUP((W$1)/10,0)*10,[1]Hugst!$R$4:$W$4,0))))</f>
        <v>879.01159594359649</v>
      </c>
      <c r="X302" s="169">
        <f ca="1">IF($C302-X$1&lt;År1,0,W301*(1-VLOOKUP($A302,[1]Hugst!$R$5:$W$9,MATCH(ROUNDUP((X$1)/10,0)*10,[1]Hugst!$R$4:$W$4,0))))</f>
        <v>862.08020505887032</v>
      </c>
      <c r="Y302" s="169">
        <f ca="1">IF($C302-Y$1&lt;År1,0,X301*(1-VLOOKUP($A302,[1]Hugst!$R$5:$W$9,MATCH(ROUNDUP((Y$1)/10,0)*10,[1]Hugst!$R$4:$W$4,0))))</f>
        <v>825.08414638074498</v>
      </c>
      <c r="Z302" s="169">
        <f ca="1">IF($C302-Z$1&lt;År1,0,Y301*(1-VLOOKUP($A302,[1]Hugst!$R$5:$W$9,MATCH(ROUNDUP((Z$1)/10,0)*10,[1]Hugst!$R$4:$W$4,0))))</f>
        <v>747.6936926700705</v>
      </c>
      <c r="AA302" s="169">
        <f ca="1">IF($C302-AA$1&lt;År1,0,Z301*(1-VLOOKUP($A302,[1]Hugst!$R$5:$W$9,MATCH(ROUNDUP((AA$1)/10,0)*10,[1]Hugst!$R$4:$W$4,0))))</f>
        <v>590.10228369505683</v>
      </c>
      <c r="AB302" s="169">
        <f>IF($C302-AB$1&lt;År1,0,AA301*(1-VLOOKUP($A302,[1]Hugst!$R$5:$W$9,MATCH(ROUNDUP((AB$1)/10,0)*10,[1]Hugst!$R$4:$W$4,0))))</f>
        <v>0</v>
      </c>
      <c r="AC302" s="169">
        <f>IF($C302-AC$1&lt;År1,0,AB301*(1-VLOOKUP($A302,[1]Hugst!$R$5:$W$9,MATCH(ROUNDUP((AC$1)/10,0)*10,[1]Hugst!$R$4:$W$4,0))))</f>
        <v>0</v>
      </c>
      <c r="AD302" s="169">
        <f>IF($C302-AD$1&lt;År1,0,AC301*(1-VLOOKUP($A302,[1]Hugst!$R$5:$W$9,MATCH(ROUNDUP((AD$1)/10,0)*10,[1]Hugst!$R$4:$W$4,0))))</f>
        <v>0</v>
      </c>
      <c r="AE302" s="169">
        <f>IF($C302-AE$1&lt;År1,0,AD301*(1-VLOOKUP($A302,[1]Hugst!$R$5:$W$9,MATCH(ROUNDUP((AE$1)/10,0)*10,[1]Hugst!$R$4:$W$4,0))))</f>
        <v>0</v>
      </c>
      <c r="AF302" s="169">
        <f>IF($C302-AF$1&lt;År1,0,AE301*(1-VLOOKUP($A302,[1]Hugst!$R$5:$W$9,MATCH(ROUNDUP((AF$1)/10,0)*10,[1]Hugst!$R$4:$W$4,0))))</f>
        <v>0</v>
      </c>
      <c r="AG302" s="169">
        <f>IF($C302-AG$1&lt;År1,0,AF301*(1-VLOOKUP($A302,[1]Hugst!$R$5:$W$9,MATCH(ROUNDUP((AG$1)/10,0)*10,[1]Hugst!$R$4:$W$4,0))))</f>
        <v>0</v>
      </c>
      <c r="AH302" s="169">
        <f>IF($C302-AH$1&lt;År1,0,AG301*(1-VLOOKUP($A302,[1]Hugst!$R$5:$W$9,MATCH(ROUNDUP((AH$1)/10,0)*10,[1]Hugst!$R$4:$W$4,0))))</f>
        <v>0</v>
      </c>
      <c r="AI302" s="169">
        <f>IF($C302-AI$1&lt;År1,0,AH301*(1-VLOOKUP($A302,[1]Hugst!$R$5:$W$9,MATCH(ROUNDUP((AI$1)/10,0)*10,[1]Hugst!$R$4:$W$4,0))))</f>
        <v>0</v>
      </c>
      <c r="AJ302" s="169">
        <f>IF($C302-AJ$1&lt;År1,0,AI301*(1-VLOOKUP($A302,[1]Hugst!$R$5:$W$9,MATCH(ROUNDUP((AJ$1)/10,0)*10,[1]Hugst!$R$4:$W$4,0))))</f>
        <v>0</v>
      </c>
    </row>
    <row r="303" spans="1:36" x14ac:dyDescent="0.25">
      <c r="A303" s="169" t="s">
        <v>180</v>
      </c>
      <c r="B303" s="169" t="s">
        <v>24</v>
      </c>
      <c r="C303" s="169">
        <v>2042</v>
      </c>
      <c r="D303" s="169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572.60499999959302</v>
      </c>
      <c r="E303" s="169">
        <f t="shared" ca="1" si="7"/>
        <v>0.72096004091508803</v>
      </c>
      <c r="F303" s="169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845.74684204625248</v>
      </c>
      <c r="G303" s="169">
        <f ca="1">IF($C303-G$1&lt;År1,0,F302*(1-VLOOKUP($A303,[1]Hugst!$R$5:$W$9,MATCH(ROUNDUP((G$1)/10,0)*10,[1]Hugst!$R$4:$W$4,0))))</f>
        <v>848.34929853523829</v>
      </c>
      <c r="H303" s="169">
        <f ca="1">IF($C303-H$1&lt;År1,0,G302*(1-VLOOKUP($A303,[1]Hugst!$R$5:$W$9,MATCH(ROUNDUP((H$1)/10,0)*10,[1]Hugst!$R$4:$W$4,0))))</f>
        <v>850.99176841247538</v>
      </c>
      <c r="I303" s="169">
        <f ca="1">IF($C303-I$1&lt;År1,0,H302*(1-VLOOKUP($A303,[1]Hugst!$R$5:$W$9,MATCH(ROUNDUP((I$1)/10,0)*10,[1]Hugst!$R$4:$W$4,0))))</f>
        <v>853.70103387118218</v>
      </c>
      <c r="J303" s="169">
        <f ca="1">IF($C303-J$1&lt;År1,0,I302*(1-VLOOKUP($A303,[1]Hugst!$R$5:$W$9,MATCH(ROUNDUP((J$1)/10,0)*10,[1]Hugst!$R$4:$W$4,0))))</f>
        <v>856.6214299308964</v>
      </c>
      <c r="K303" s="169">
        <f ca="1">IF($C303-K$1&lt;År1,0,J302*(1-VLOOKUP($A303,[1]Hugst!$R$5:$W$9,MATCH(ROUNDUP((K$1)/10,0)*10,[1]Hugst!$R$4:$W$4,0))))</f>
        <v>859.55589161912542</v>
      </c>
      <c r="L303" s="169">
        <f ca="1">IF($C303-L$1&lt;År1,0,K302*(1-VLOOKUP($A303,[1]Hugst!$R$5:$W$9,MATCH(ROUNDUP((L$1)/10,0)*10,[1]Hugst!$R$4:$W$4,0))))</f>
        <v>862.50387988887144</v>
      </c>
      <c r="M303" s="169">
        <f ca="1">IF($C303-M$1&lt;År1,0,L302*(1-VLOOKUP($A303,[1]Hugst!$R$5:$W$9,MATCH(ROUNDUP((M$1)/10,0)*10,[1]Hugst!$R$4:$W$4,0))))</f>
        <v>865.46424325579903</v>
      </c>
      <c r="N303" s="169">
        <f ca="1">IF($C303-N$1&lt;År1,0,M302*(1-VLOOKUP($A303,[1]Hugst!$R$5:$W$9,MATCH(ROUNDUP((N$1)/10,0)*10,[1]Hugst!$R$4:$W$4,0))))</f>
        <v>868.43460499205833</v>
      </c>
      <c r="O303" s="169">
        <f ca="1">IF($C303-O$1&lt;År1,0,N302*(1-VLOOKUP($A303,[1]Hugst!$R$5:$W$9,MATCH(ROUNDUP((O$1)/10,0)*10,[1]Hugst!$R$4:$W$4,0))))</f>
        <v>871.41013751226785</v>
      </c>
      <c r="P303" s="169">
        <f ca="1">IF($C303-P$1&lt;År1,0,O302*(1-VLOOKUP($A303,[1]Hugst!$R$5:$W$9,MATCH(ROUNDUP((P$1)/10,0)*10,[1]Hugst!$R$4:$W$4,0))))</f>
        <v>874.38111114330798</v>
      </c>
      <c r="Q303" s="169">
        <f ca="1">IF($C303-Q$1&lt;År1,0,P302*(1-VLOOKUP($A303,[1]Hugst!$R$5:$W$9,MATCH(ROUNDUP((Q$1)/10,0)*10,[1]Hugst!$R$4:$W$4,0))))</f>
        <v>877.32799166229108</v>
      </c>
      <c r="R303" s="169">
        <f ca="1">IF($C303-R$1&lt;År1,0,Q302*(1-VLOOKUP($A303,[1]Hugst!$R$5:$W$9,MATCH(ROUNDUP((R$1)/10,0)*10,[1]Hugst!$R$4:$W$4,0))))</f>
        <v>880.21163537052587</v>
      </c>
      <c r="S303" s="169">
        <f ca="1">IF($C303-S$1&lt;År1,0,R302*(1-VLOOKUP($A303,[1]Hugst!$R$5:$W$9,MATCH(ROUNDUP((S$1)/10,0)*10,[1]Hugst!$R$4:$W$4,0))))</f>
        <v>882.9536792395005</v>
      </c>
      <c r="T303" s="169">
        <f ca="1">IF($C303-T$1&lt;År1,0,S302*(1-VLOOKUP($A303,[1]Hugst!$R$5:$W$9,MATCH(ROUNDUP((T$1)/10,0)*10,[1]Hugst!$R$4:$W$4,0))))</f>
        <v>885.39732120111364</v>
      </c>
      <c r="U303" s="169">
        <f ca="1">IF($C303-U$1&lt;År1,0,T302*(1-VLOOKUP($A303,[1]Hugst!$R$5:$W$9,MATCH(ROUNDUP((U$1)/10,0)*10,[1]Hugst!$R$4:$W$4,0))))</f>
        <v>887.2288807259614</v>
      </c>
      <c r="V303" s="169">
        <f ca="1">IF($C303-V$1&lt;År1,0,U302*(1-VLOOKUP($A303,[1]Hugst!$R$5:$W$9,MATCH(ROUNDUP((V$1)/10,0)*10,[1]Hugst!$R$4:$W$4,0))))</f>
        <v>887.82091997832697</v>
      </c>
      <c r="W303" s="169">
        <f ca="1">IF($C303-W$1&lt;År1,0,V302*(1-VLOOKUP($A303,[1]Hugst!$R$5:$W$9,MATCH(ROUNDUP((W$1)/10,0)*10,[1]Hugst!$R$4:$W$4,0))))</f>
        <v>885.91848612390811</v>
      </c>
      <c r="X303" s="169">
        <f ca="1">IF($C303-X$1&lt;År1,0,W302*(1-VLOOKUP($A303,[1]Hugst!$R$5:$W$9,MATCH(ROUNDUP((X$1)/10,0)*10,[1]Hugst!$R$4:$W$4,0))))</f>
        <v>879.01159594359649</v>
      </c>
      <c r="Y303" s="169">
        <f ca="1">IF($C303-Y$1&lt;År1,0,X302*(1-VLOOKUP($A303,[1]Hugst!$R$5:$W$9,MATCH(ROUNDUP((Y$1)/10,0)*10,[1]Hugst!$R$4:$W$4,0))))</f>
        <v>862.08020505887032</v>
      </c>
      <c r="Z303" s="169">
        <f ca="1">IF($C303-Z$1&lt;År1,0,Y302*(1-VLOOKUP($A303,[1]Hugst!$R$5:$W$9,MATCH(ROUNDUP((Z$1)/10,0)*10,[1]Hugst!$R$4:$W$4,0))))</f>
        <v>824.80911833195148</v>
      </c>
      <c r="AA303" s="169">
        <f ca="1">IF($C303-AA$1&lt;År1,0,Z302*(1-VLOOKUP($A303,[1]Hugst!$R$5:$W$9,MATCH(ROUNDUP((AA$1)/10,0)*10,[1]Hugst!$R$4:$W$4,0))))</f>
        <v>747.44446143918049</v>
      </c>
      <c r="AB303" s="169">
        <f ca="1">IF($C303-AB$1&lt;År1,0,AA302*(1-VLOOKUP($A303,[1]Hugst!$R$5:$W$9,MATCH(ROUNDUP((AB$1)/10,0)*10,[1]Hugst!$R$4:$W$4,0))))</f>
        <v>589.90558293382514</v>
      </c>
      <c r="AC303" s="169">
        <f>IF($C303-AC$1&lt;År1,0,AB302*(1-VLOOKUP($A303,[1]Hugst!$R$5:$W$9,MATCH(ROUNDUP((AC$1)/10,0)*10,[1]Hugst!$R$4:$W$4,0))))</f>
        <v>0</v>
      </c>
      <c r="AD303" s="169">
        <f>IF($C303-AD$1&lt;År1,0,AC302*(1-VLOOKUP($A303,[1]Hugst!$R$5:$W$9,MATCH(ROUNDUP((AD$1)/10,0)*10,[1]Hugst!$R$4:$W$4,0))))</f>
        <v>0</v>
      </c>
      <c r="AE303" s="169">
        <f>IF($C303-AE$1&lt;År1,0,AD302*(1-VLOOKUP($A303,[1]Hugst!$R$5:$W$9,MATCH(ROUNDUP((AE$1)/10,0)*10,[1]Hugst!$R$4:$W$4,0))))</f>
        <v>0</v>
      </c>
      <c r="AF303" s="169">
        <f>IF($C303-AF$1&lt;År1,0,AE302*(1-VLOOKUP($A303,[1]Hugst!$R$5:$W$9,MATCH(ROUNDUP((AF$1)/10,0)*10,[1]Hugst!$R$4:$W$4,0))))</f>
        <v>0</v>
      </c>
      <c r="AG303" s="169">
        <f>IF($C303-AG$1&lt;År1,0,AF302*(1-VLOOKUP($A303,[1]Hugst!$R$5:$W$9,MATCH(ROUNDUP((AG$1)/10,0)*10,[1]Hugst!$R$4:$W$4,0))))</f>
        <v>0</v>
      </c>
      <c r="AH303" s="169">
        <f>IF($C303-AH$1&lt;År1,0,AG302*(1-VLOOKUP($A303,[1]Hugst!$R$5:$W$9,MATCH(ROUNDUP((AH$1)/10,0)*10,[1]Hugst!$R$4:$W$4,0))))</f>
        <v>0</v>
      </c>
      <c r="AI303" s="169">
        <f>IF($C303-AI$1&lt;År1,0,AH302*(1-VLOOKUP($A303,[1]Hugst!$R$5:$W$9,MATCH(ROUNDUP((AI$1)/10,0)*10,[1]Hugst!$R$4:$W$4,0))))</f>
        <v>0</v>
      </c>
      <c r="AJ303" s="169">
        <f>IF($C303-AJ$1&lt;År1,0,AI302*(1-VLOOKUP($A303,[1]Hugst!$R$5:$W$9,MATCH(ROUNDUP((AJ$1)/10,0)*10,[1]Hugst!$R$4:$W$4,0))))</f>
        <v>0</v>
      </c>
    </row>
    <row r="304" spans="1:36" x14ac:dyDescent="0.25">
      <c r="A304" s="169" t="s">
        <v>180</v>
      </c>
      <c r="B304" s="169" t="s">
        <v>24</v>
      </c>
      <c r="C304" s="169">
        <v>2043</v>
      </c>
      <c r="D304" s="169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569.7420129170805</v>
      </c>
      <c r="E304" s="169">
        <f t="shared" ca="1" si="7"/>
        <v>1.0080797892587725</v>
      </c>
      <c r="F304" s="169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843.17097471208365</v>
      </c>
      <c r="G304" s="169">
        <f ca="1">IF($C304-G$1&lt;År1,0,F303*(1-VLOOKUP($A304,[1]Hugst!$R$5:$W$9,MATCH(ROUNDUP((G$1)/10,0)*10,[1]Hugst!$R$4:$W$4,0))))</f>
        <v>845.74684204625248</v>
      </c>
      <c r="H304" s="169">
        <f ca="1">IF($C304-H$1&lt;År1,0,G303*(1-VLOOKUP($A304,[1]Hugst!$R$5:$W$9,MATCH(ROUNDUP((H$1)/10,0)*10,[1]Hugst!$R$4:$W$4,0))))</f>
        <v>848.34929853523829</v>
      </c>
      <c r="I304" s="169">
        <f ca="1">IF($C304-I$1&lt;År1,0,H303*(1-VLOOKUP($A304,[1]Hugst!$R$5:$W$9,MATCH(ROUNDUP((I$1)/10,0)*10,[1]Hugst!$R$4:$W$4,0))))</f>
        <v>850.99176841247538</v>
      </c>
      <c r="J304" s="169">
        <f ca="1">IF($C304-J$1&lt;År1,0,I303*(1-VLOOKUP($A304,[1]Hugst!$R$5:$W$9,MATCH(ROUNDUP((J$1)/10,0)*10,[1]Hugst!$R$4:$W$4,0))))</f>
        <v>853.70103387118218</v>
      </c>
      <c r="K304" s="169">
        <f ca="1">IF($C304-K$1&lt;År1,0,J303*(1-VLOOKUP($A304,[1]Hugst!$R$5:$W$9,MATCH(ROUNDUP((K$1)/10,0)*10,[1]Hugst!$R$4:$W$4,0))))</f>
        <v>856.6214299308964</v>
      </c>
      <c r="L304" s="169">
        <f ca="1">IF($C304-L$1&lt;År1,0,K303*(1-VLOOKUP($A304,[1]Hugst!$R$5:$W$9,MATCH(ROUNDUP((L$1)/10,0)*10,[1]Hugst!$R$4:$W$4,0))))</f>
        <v>859.55589161912542</v>
      </c>
      <c r="M304" s="169">
        <f ca="1">IF($C304-M$1&lt;År1,0,L303*(1-VLOOKUP($A304,[1]Hugst!$R$5:$W$9,MATCH(ROUNDUP((M$1)/10,0)*10,[1]Hugst!$R$4:$W$4,0))))</f>
        <v>862.50387988887144</v>
      </c>
      <c r="N304" s="169">
        <f ca="1">IF($C304-N$1&lt;År1,0,M303*(1-VLOOKUP($A304,[1]Hugst!$R$5:$W$9,MATCH(ROUNDUP((N$1)/10,0)*10,[1]Hugst!$R$4:$W$4,0))))</f>
        <v>865.46424325579903</v>
      </c>
      <c r="O304" s="169">
        <f ca="1">IF($C304-O$1&lt;År1,0,N303*(1-VLOOKUP($A304,[1]Hugst!$R$5:$W$9,MATCH(ROUNDUP((O$1)/10,0)*10,[1]Hugst!$R$4:$W$4,0))))</f>
        <v>868.43460499205833</v>
      </c>
      <c r="P304" s="169">
        <f ca="1">IF($C304-P$1&lt;År1,0,O303*(1-VLOOKUP($A304,[1]Hugst!$R$5:$W$9,MATCH(ROUNDUP((P$1)/10,0)*10,[1]Hugst!$R$4:$W$4,0))))</f>
        <v>871.41013751226785</v>
      </c>
      <c r="Q304" s="169">
        <f ca="1">IF($C304-Q$1&lt;År1,0,P303*(1-VLOOKUP($A304,[1]Hugst!$R$5:$W$9,MATCH(ROUNDUP((Q$1)/10,0)*10,[1]Hugst!$R$4:$W$4,0))))</f>
        <v>874.38111114330798</v>
      </c>
      <c r="R304" s="169">
        <f ca="1">IF($C304-R$1&lt;År1,0,Q303*(1-VLOOKUP($A304,[1]Hugst!$R$5:$W$9,MATCH(ROUNDUP((R$1)/10,0)*10,[1]Hugst!$R$4:$W$4,0))))</f>
        <v>877.32799166229108</v>
      </c>
      <c r="S304" s="169">
        <f ca="1">IF($C304-S$1&lt;År1,0,R303*(1-VLOOKUP($A304,[1]Hugst!$R$5:$W$9,MATCH(ROUNDUP((S$1)/10,0)*10,[1]Hugst!$R$4:$W$4,0))))</f>
        <v>880.21163537052587</v>
      </c>
      <c r="T304" s="169">
        <f ca="1">IF($C304-T$1&lt;År1,0,S303*(1-VLOOKUP($A304,[1]Hugst!$R$5:$W$9,MATCH(ROUNDUP((T$1)/10,0)*10,[1]Hugst!$R$4:$W$4,0))))</f>
        <v>882.9536792395005</v>
      </c>
      <c r="U304" s="169">
        <f ca="1">IF($C304-U$1&lt;År1,0,T303*(1-VLOOKUP($A304,[1]Hugst!$R$5:$W$9,MATCH(ROUNDUP((U$1)/10,0)*10,[1]Hugst!$R$4:$W$4,0))))</f>
        <v>885.39732120111364</v>
      </c>
      <c r="V304" s="169">
        <f ca="1">IF($C304-V$1&lt;År1,0,U303*(1-VLOOKUP($A304,[1]Hugst!$R$5:$W$9,MATCH(ROUNDUP((V$1)/10,0)*10,[1]Hugst!$R$4:$W$4,0))))</f>
        <v>887.2288807259614</v>
      </c>
      <c r="W304" s="169">
        <f ca="1">IF($C304-W$1&lt;År1,0,V303*(1-VLOOKUP($A304,[1]Hugst!$R$5:$W$9,MATCH(ROUNDUP((W$1)/10,0)*10,[1]Hugst!$R$4:$W$4,0))))</f>
        <v>887.82091997832697</v>
      </c>
      <c r="X304" s="169">
        <f ca="1">IF($C304-X$1&lt;År1,0,W303*(1-VLOOKUP($A304,[1]Hugst!$R$5:$W$9,MATCH(ROUNDUP((X$1)/10,0)*10,[1]Hugst!$R$4:$W$4,0))))</f>
        <v>885.91848612390811</v>
      </c>
      <c r="Y304" s="169">
        <f ca="1">IF($C304-Y$1&lt;År1,0,X303*(1-VLOOKUP($A304,[1]Hugst!$R$5:$W$9,MATCH(ROUNDUP((Y$1)/10,0)*10,[1]Hugst!$R$4:$W$4,0))))</f>
        <v>879.01159594359649</v>
      </c>
      <c r="Z304" s="169">
        <f ca="1">IF($C304-Z$1&lt;År1,0,Y303*(1-VLOOKUP($A304,[1]Hugst!$R$5:$W$9,MATCH(ROUNDUP((Z$1)/10,0)*10,[1]Hugst!$R$4:$W$4,0))))</f>
        <v>861.79284499051744</v>
      </c>
      <c r="AA304" s="169">
        <f ca="1">IF($C304-AA$1&lt;År1,0,Z303*(1-VLOOKUP($A304,[1]Hugst!$R$5:$W$9,MATCH(ROUNDUP((AA$1)/10,0)*10,[1]Hugst!$R$4:$W$4,0))))</f>
        <v>824.53418195917425</v>
      </c>
      <c r="AB304" s="169">
        <f ca="1">IF($C304-AB$1&lt;År1,0,AA303*(1-VLOOKUP($A304,[1]Hugst!$R$5:$W$9,MATCH(ROUNDUP((AB$1)/10,0)*10,[1]Hugst!$R$4:$W$4,0))))</f>
        <v>747.19531328536743</v>
      </c>
      <c r="AC304" s="169">
        <f ca="1">IF($C304-AC$1&lt;År1,0,AB303*(1-VLOOKUP($A304,[1]Hugst!$R$5:$W$9,MATCH(ROUNDUP((AC$1)/10,0)*10,[1]Hugst!$R$4:$W$4,0))))</f>
        <v>589.70894773951386</v>
      </c>
      <c r="AD304" s="169">
        <f>IF($C304-AD$1&lt;År1,0,AC303*(1-VLOOKUP($A304,[1]Hugst!$R$5:$W$9,MATCH(ROUNDUP((AD$1)/10,0)*10,[1]Hugst!$R$4:$W$4,0))))</f>
        <v>0</v>
      </c>
      <c r="AE304" s="169">
        <f>IF($C304-AE$1&lt;År1,0,AD303*(1-VLOOKUP($A304,[1]Hugst!$R$5:$W$9,MATCH(ROUNDUP((AE$1)/10,0)*10,[1]Hugst!$R$4:$W$4,0))))</f>
        <v>0</v>
      </c>
      <c r="AF304" s="169">
        <f>IF($C304-AF$1&lt;År1,0,AE303*(1-VLOOKUP($A304,[1]Hugst!$R$5:$W$9,MATCH(ROUNDUP((AF$1)/10,0)*10,[1]Hugst!$R$4:$W$4,0))))</f>
        <v>0</v>
      </c>
      <c r="AG304" s="169">
        <f>IF($C304-AG$1&lt;År1,0,AF303*(1-VLOOKUP($A304,[1]Hugst!$R$5:$W$9,MATCH(ROUNDUP((AG$1)/10,0)*10,[1]Hugst!$R$4:$W$4,0))))</f>
        <v>0</v>
      </c>
      <c r="AH304" s="169">
        <f>IF($C304-AH$1&lt;År1,0,AG303*(1-VLOOKUP($A304,[1]Hugst!$R$5:$W$9,MATCH(ROUNDUP((AH$1)/10,0)*10,[1]Hugst!$R$4:$W$4,0))))</f>
        <v>0</v>
      </c>
      <c r="AI304" s="169">
        <f>IF($C304-AI$1&lt;År1,0,AH303*(1-VLOOKUP($A304,[1]Hugst!$R$5:$W$9,MATCH(ROUNDUP((AI$1)/10,0)*10,[1]Hugst!$R$4:$W$4,0))))</f>
        <v>0</v>
      </c>
      <c r="AJ304" s="169">
        <f>IF($C304-AJ$1&lt;År1,0,AI303*(1-VLOOKUP($A304,[1]Hugst!$R$5:$W$9,MATCH(ROUNDUP((AJ$1)/10,0)*10,[1]Hugst!$R$4:$W$4,0))))</f>
        <v>0</v>
      </c>
    </row>
    <row r="305" spans="1:36" x14ac:dyDescent="0.25">
      <c r="A305" s="169" t="s">
        <v>180</v>
      </c>
      <c r="B305" s="169" t="s">
        <v>24</v>
      </c>
      <c r="C305" s="169">
        <v>2044</v>
      </c>
      <c r="D305" s="169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566.89332181124428</v>
      </c>
      <c r="E305" s="169">
        <f t="shared" ca="1" si="7"/>
        <v>1.3007476279672119</v>
      </c>
      <c r="F305" s="169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840.61495144495586</v>
      </c>
      <c r="G305" s="169">
        <f ca="1">IF($C305-G$1&lt;År1,0,F304*(1-VLOOKUP($A305,[1]Hugst!$R$5:$W$9,MATCH(ROUNDUP((G$1)/10,0)*10,[1]Hugst!$R$4:$W$4,0))))</f>
        <v>843.17097471208365</v>
      </c>
      <c r="H305" s="169">
        <f ca="1">IF($C305-H$1&lt;År1,0,G304*(1-VLOOKUP($A305,[1]Hugst!$R$5:$W$9,MATCH(ROUNDUP((H$1)/10,0)*10,[1]Hugst!$R$4:$W$4,0))))</f>
        <v>845.74684204625248</v>
      </c>
      <c r="I305" s="169">
        <f ca="1">IF($C305-I$1&lt;År1,0,H304*(1-VLOOKUP($A305,[1]Hugst!$R$5:$W$9,MATCH(ROUNDUP((I$1)/10,0)*10,[1]Hugst!$R$4:$W$4,0))))</f>
        <v>848.34929853523829</v>
      </c>
      <c r="J305" s="169">
        <f ca="1">IF($C305-J$1&lt;År1,0,I304*(1-VLOOKUP($A305,[1]Hugst!$R$5:$W$9,MATCH(ROUNDUP((J$1)/10,0)*10,[1]Hugst!$R$4:$W$4,0))))</f>
        <v>850.99176841247538</v>
      </c>
      <c r="K305" s="169">
        <f ca="1">IF($C305-K$1&lt;År1,0,J304*(1-VLOOKUP($A305,[1]Hugst!$R$5:$W$9,MATCH(ROUNDUP((K$1)/10,0)*10,[1]Hugst!$R$4:$W$4,0))))</f>
        <v>853.70103387118218</v>
      </c>
      <c r="L305" s="169">
        <f ca="1">IF($C305-L$1&lt;År1,0,K304*(1-VLOOKUP($A305,[1]Hugst!$R$5:$W$9,MATCH(ROUNDUP((L$1)/10,0)*10,[1]Hugst!$R$4:$W$4,0))))</f>
        <v>856.6214299308964</v>
      </c>
      <c r="M305" s="169">
        <f ca="1">IF($C305-M$1&lt;År1,0,L304*(1-VLOOKUP($A305,[1]Hugst!$R$5:$W$9,MATCH(ROUNDUP((M$1)/10,0)*10,[1]Hugst!$R$4:$W$4,0))))</f>
        <v>859.55589161912542</v>
      </c>
      <c r="N305" s="169">
        <f ca="1">IF($C305-N$1&lt;År1,0,M304*(1-VLOOKUP($A305,[1]Hugst!$R$5:$W$9,MATCH(ROUNDUP((N$1)/10,0)*10,[1]Hugst!$R$4:$W$4,0))))</f>
        <v>862.50387988887144</v>
      </c>
      <c r="O305" s="169">
        <f ca="1">IF($C305-O$1&lt;År1,0,N304*(1-VLOOKUP($A305,[1]Hugst!$R$5:$W$9,MATCH(ROUNDUP((O$1)/10,0)*10,[1]Hugst!$R$4:$W$4,0))))</f>
        <v>865.46424325579903</v>
      </c>
      <c r="P305" s="169">
        <f ca="1">IF($C305-P$1&lt;År1,0,O304*(1-VLOOKUP($A305,[1]Hugst!$R$5:$W$9,MATCH(ROUNDUP((P$1)/10,0)*10,[1]Hugst!$R$4:$W$4,0))))</f>
        <v>868.43460499205833</v>
      </c>
      <c r="Q305" s="169">
        <f ca="1">IF($C305-Q$1&lt;År1,0,P304*(1-VLOOKUP($A305,[1]Hugst!$R$5:$W$9,MATCH(ROUNDUP((Q$1)/10,0)*10,[1]Hugst!$R$4:$W$4,0))))</f>
        <v>871.41013751226785</v>
      </c>
      <c r="R305" s="169">
        <f ca="1">IF($C305-R$1&lt;År1,0,Q304*(1-VLOOKUP($A305,[1]Hugst!$R$5:$W$9,MATCH(ROUNDUP((R$1)/10,0)*10,[1]Hugst!$R$4:$W$4,0))))</f>
        <v>874.38111114330798</v>
      </c>
      <c r="S305" s="169">
        <f ca="1">IF($C305-S$1&lt;År1,0,R304*(1-VLOOKUP($A305,[1]Hugst!$R$5:$W$9,MATCH(ROUNDUP((S$1)/10,0)*10,[1]Hugst!$R$4:$W$4,0))))</f>
        <v>877.32799166229108</v>
      </c>
      <c r="T305" s="169">
        <f ca="1">IF($C305-T$1&lt;År1,0,S304*(1-VLOOKUP($A305,[1]Hugst!$R$5:$W$9,MATCH(ROUNDUP((T$1)/10,0)*10,[1]Hugst!$R$4:$W$4,0))))</f>
        <v>880.21163537052587</v>
      </c>
      <c r="U305" s="169">
        <f ca="1">IF($C305-U$1&lt;År1,0,T304*(1-VLOOKUP($A305,[1]Hugst!$R$5:$W$9,MATCH(ROUNDUP((U$1)/10,0)*10,[1]Hugst!$R$4:$W$4,0))))</f>
        <v>882.9536792395005</v>
      </c>
      <c r="V305" s="169">
        <f ca="1">IF($C305-V$1&lt;År1,0,U304*(1-VLOOKUP($A305,[1]Hugst!$R$5:$W$9,MATCH(ROUNDUP((V$1)/10,0)*10,[1]Hugst!$R$4:$W$4,0))))</f>
        <v>885.39732120111364</v>
      </c>
      <c r="W305" s="169">
        <f ca="1">IF($C305-W$1&lt;År1,0,V304*(1-VLOOKUP($A305,[1]Hugst!$R$5:$W$9,MATCH(ROUNDUP((W$1)/10,0)*10,[1]Hugst!$R$4:$W$4,0))))</f>
        <v>887.2288807259614</v>
      </c>
      <c r="X305" s="169">
        <f ca="1">IF($C305-X$1&lt;År1,0,W304*(1-VLOOKUP($A305,[1]Hugst!$R$5:$W$9,MATCH(ROUNDUP((X$1)/10,0)*10,[1]Hugst!$R$4:$W$4,0))))</f>
        <v>887.82091997832697</v>
      </c>
      <c r="Y305" s="169">
        <f ca="1">IF($C305-Y$1&lt;År1,0,X304*(1-VLOOKUP($A305,[1]Hugst!$R$5:$W$9,MATCH(ROUNDUP((Y$1)/10,0)*10,[1]Hugst!$R$4:$W$4,0))))</f>
        <v>885.91848612390811</v>
      </c>
      <c r="Z305" s="169">
        <f ca="1">IF($C305-Z$1&lt;År1,0,Y304*(1-VLOOKUP($A305,[1]Hugst!$R$5:$W$9,MATCH(ROUNDUP((Z$1)/10,0)*10,[1]Hugst!$R$4:$W$4,0))))</f>
        <v>878.71859207828197</v>
      </c>
      <c r="AA305" s="169">
        <f ca="1">IF($C305-AA$1&lt;År1,0,Z304*(1-VLOOKUP($A305,[1]Hugst!$R$5:$W$9,MATCH(ROUNDUP((AA$1)/10,0)*10,[1]Hugst!$R$4:$W$4,0))))</f>
        <v>861.50558070885393</v>
      </c>
      <c r="AB305" s="169">
        <f ca="1">IF($C305-AB$1&lt;År1,0,AA304*(1-VLOOKUP($A305,[1]Hugst!$R$5:$W$9,MATCH(ROUNDUP((AB$1)/10,0)*10,[1]Hugst!$R$4:$W$4,0))))</f>
        <v>824.2593372318546</v>
      </c>
      <c r="AC305" s="169">
        <f ca="1">IF($C305-AC$1&lt;År1,0,AB304*(1-VLOOKUP($A305,[1]Hugst!$R$5:$W$9,MATCH(ROUNDUP((AC$1)/10,0)*10,[1]Hugst!$R$4:$W$4,0))))</f>
        <v>746.94624818093905</v>
      </c>
      <c r="AD305" s="169">
        <f ca="1">IF($C305-AD$1&lt;År1,0,AC304*(1-VLOOKUP($A305,[1]Hugst!$R$5:$W$9,MATCH(ROUNDUP((AD$1)/10,0)*10,[1]Hugst!$R$4:$W$4,0))))</f>
        <v>589.51237809026736</v>
      </c>
      <c r="AE305" s="169">
        <f>IF($C305-AE$1&lt;År1,0,AD304*(1-VLOOKUP($A305,[1]Hugst!$R$5:$W$9,MATCH(ROUNDUP((AE$1)/10,0)*10,[1]Hugst!$R$4:$W$4,0))))</f>
        <v>0</v>
      </c>
      <c r="AF305" s="169">
        <f>IF($C305-AF$1&lt;År1,0,AE304*(1-VLOOKUP($A305,[1]Hugst!$R$5:$W$9,MATCH(ROUNDUP((AF$1)/10,0)*10,[1]Hugst!$R$4:$W$4,0))))</f>
        <v>0</v>
      </c>
      <c r="AG305" s="169">
        <f>IF($C305-AG$1&lt;År1,0,AF304*(1-VLOOKUP($A305,[1]Hugst!$R$5:$W$9,MATCH(ROUNDUP((AG$1)/10,0)*10,[1]Hugst!$R$4:$W$4,0))))</f>
        <v>0</v>
      </c>
      <c r="AH305" s="169">
        <f>IF($C305-AH$1&lt;År1,0,AG304*(1-VLOOKUP($A305,[1]Hugst!$R$5:$W$9,MATCH(ROUNDUP((AH$1)/10,0)*10,[1]Hugst!$R$4:$W$4,0))))</f>
        <v>0</v>
      </c>
      <c r="AI305" s="169">
        <f>IF($C305-AI$1&lt;År1,0,AH304*(1-VLOOKUP($A305,[1]Hugst!$R$5:$W$9,MATCH(ROUNDUP((AI$1)/10,0)*10,[1]Hugst!$R$4:$W$4,0))))</f>
        <v>0</v>
      </c>
      <c r="AJ305" s="169">
        <f>IF($C305-AJ$1&lt;År1,0,AI304*(1-VLOOKUP($A305,[1]Hugst!$R$5:$W$9,MATCH(ROUNDUP((AJ$1)/10,0)*10,[1]Hugst!$R$4:$W$4,0))))</f>
        <v>0</v>
      </c>
    </row>
    <row r="306" spans="1:36" x14ac:dyDescent="0.25">
      <c r="A306" s="169" t="s">
        <v>180</v>
      </c>
      <c r="B306" s="169" t="s">
        <v>24</v>
      </c>
      <c r="C306" s="169">
        <v>2045</v>
      </c>
      <c r="D306" s="169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564.05886468155586</v>
      </c>
      <c r="E306" s="169">
        <f t="shared" ca="1" si="7"/>
        <v>1.5956202074703469</v>
      </c>
      <c r="F306" s="169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838.07536689477058</v>
      </c>
      <c r="G306" s="169">
        <f ca="1">IF($C306-G$1&lt;År1,0,F305*(1-VLOOKUP($A306,[1]Hugst!$R$5:$W$9,MATCH(ROUNDUP((G$1)/10,0)*10,[1]Hugst!$R$4:$W$4,0))))</f>
        <v>840.61495144495586</v>
      </c>
      <c r="H306" s="169">
        <f ca="1">IF($C306-H$1&lt;År1,0,G305*(1-VLOOKUP($A306,[1]Hugst!$R$5:$W$9,MATCH(ROUNDUP((H$1)/10,0)*10,[1]Hugst!$R$4:$W$4,0))))</f>
        <v>843.17097471208365</v>
      </c>
      <c r="I306" s="169">
        <f ca="1">IF($C306-I$1&lt;År1,0,H305*(1-VLOOKUP($A306,[1]Hugst!$R$5:$W$9,MATCH(ROUNDUP((I$1)/10,0)*10,[1]Hugst!$R$4:$W$4,0))))</f>
        <v>845.74684204625248</v>
      </c>
      <c r="J306" s="169">
        <f ca="1">IF($C306-J$1&lt;År1,0,I305*(1-VLOOKUP($A306,[1]Hugst!$R$5:$W$9,MATCH(ROUNDUP((J$1)/10,0)*10,[1]Hugst!$R$4:$W$4,0))))</f>
        <v>848.34929853523829</v>
      </c>
      <c r="K306" s="169">
        <f ca="1">IF($C306-K$1&lt;År1,0,J305*(1-VLOOKUP($A306,[1]Hugst!$R$5:$W$9,MATCH(ROUNDUP((K$1)/10,0)*10,[1]Hugst!$R$4:$W$4,0))))</f>
        <v>850.99176841247538</v>
      </c>
      <c r="L306" s="169">
        <f ca="1">IF($C306-L$1&lt;År1,0,K305*(1-VLOOKUP($A306,[1]Hugst!$R$5:$W$9,MATCH(ROUNDUP((L$1)/10,0)*10,[1]Hugst!$R$4:$W$4,0))))</f>
        <v>853.70103387118218</v>
      </c>
      <c r="M306" s="169">
        <f ca="1">IF($C306-M$1&lt;År1,0,L305*(1-VLOOKUP($A306,[1]Hugst!$R$5:$W$9,MATCH(ROUNDUP((M$1)/10,0)*10,[1]Hugst!$R$4:$W$4,0))))</f>
        <v>856.6214299308964</v>
      </c>
      <c r="N306" s="169">
        <f ca="1">IF($C306-N$1&lt;År1,0,M305*(1-VLOOKUP($A306,[1]Hugst!$R$5:$W$9,MATCH(ROUNDUP((N$1)/10,0)*10,[1]Hugst!$R$4:$W$4,0))))</f>
        <v>859.55589161912542</v>
      </c>
      <c r="O306" s="169">
        <f ca="1">IF($C306-O$1&lt;År1,0,N305*(1-VLOOKUP($A306,[1]Hugst!$R$5:$W$9,MATCH(ROUNDUP((O$1)/10,0)*10,[1]Hugst!$R$4:$W$4,0))))</f>
        <v>862.50387988887144</v>
      </c>
      <c r="P306" s="169">
        <f ca="1">IF($C306-P$1&lt;År1,0,O305*(1-VLOOKUP($A306,[1]Hugst!$R$5:$W$9,MATCH(ROUNDUP((P$1)/10,0)*10,[1]Hugst!$R$4:$W$4,0))))</f>
        <v>865.46424325579903</v>
      </c>
      <c r="Q306" s="169">
        <f ca="1">IF($C306-Q$1&lt;År1,0,P305*(1-VLOOKUP($A306,[1]Hugst!$R$5:$W$9,MATCH(ROUNDUP((Q$1)/10,0)*10,[1]Hugst!$R$4:$W$4,0))))</f>
        <v>868.43460499205833</v>
      </c>
      <c r="R306" s="169">
        <f ca="1">IF($C306-R$1&lt;År1,0,Q305*(1-VLOOKUP($A306,[1]Hugst!$R$5:$W$9,MATCH(ROUNDUP((R$1)/10,0)*10,[1]Hugst!$R$4:$W$4,0))))</f>
        <v>871.41013751226785</v>
      </c>
      <c r="S306" s="169">
        <f ca="1">IF($C306-S$1&lt;År1,0,R305*(1-VLOOKUP($A306,[1]Hugst!$R$5:$W$9,MATCH(ROUNDUP((S$1)/10,0)*10,[1]Hugst!$R$4:$W$4,0))))</f>
        <v>874.38111114330798</v>
      </c>
      <c r="T306" s="169">
        <f ca="1">IF($C306-T$1&lt;År1,0,S305*(1-VLOOKUP($A306,[1]Hugst!$R$5:$W$9,MATCH(ROUNDUP((T$1)/10,0)*10,[1]Hugst!$R$4:$W$4,0))))</f>
        <v>877.32799166229108</v>
      </c>
      <c r="U306" s="169">
        <f ca="1">IF($C306-U$1&lt;År1,0,T305*(1-VLOOKUP($A306,[1]Hugst!$R$5:$W$9,MATCH(ROUNDUP((U$1)/10,0)*10,[1]Hugst!$R$4:$W$4,0))))</f>
        <v>880.21163537052587</v>
      </c>
      <c r="V306" s="169">
        <f ca="1">IF($C306-V$1&lt;År1,0,U305*(1-VLOOKUP($A306,[1]Hugst!$R$5:$W$9,MATCH(ROUNDUP((V$1)/10,0)*10,[1]Hugst!$R$4:$W$4,0))))</f>
        <v>882.9536792395005</v>
      </c>
      <c r="W306" s="169">
        <f ca="1">IF($C306-W$1&lt;År1,0,V305*(1-VLOOKUP($A306,[1]Hugst!$R$5:$W$9,MATCH(ROUNDUP((W$1)/10,0)*10,[1]Hugst!$R$4:$W$4,0))))</f>
        <v>885.39732120111364</v>
      </c>
      <c r="X306" s="169">
        <f ca="1">IF($C306-X$1&lt;År1,0,W305*(1-VLOOKUP($A306,[1]Hugst!$R$5:$W$9,MATCH(ROUNDUP((X$1)/10,0)*10,[1]Hugst!$R$4:$W$4,0))))</f>
        <v>887.2288807259614</v>
      </c>
      <c r="Y306" s="169">
        <f ca="1">IF($C306-Y$1&lt;År1,0,X305*(1-VLOOKUP($A306,[1]Hugst!$R$5:$W$9,MATCH(ROUNDUP((Y$1)/10,0)*10,[1]Hugst!$R$4:$W$4,0))))</f>
        <v>887.82091997832697</v>
      </c>
      <c r="Z306" s="169">
        <f ca="1">IF($C306-Z$1&lt;År1,0,Y305*(1-VLOOKUP($A306,[1]Hugst!$R$5:$W$9,MATCH(ROUNDUP((Z$1)/10,0)*10,[1]Hugst!$R$4:$W$4,0))))</f>
        <v>885.62317996186687</v>
      </c>
      <c r="AA306" s="169">
        <f ca="1">IF($C306-AA$1&lt;År1,0,Z305*(1-VLOOKUP($A306,[1]Hugst!$R$5:$W$9,MATCH(ROUNDUP((AA$1)/10,0)*10,[1]Hugst!$R$4:$W$4,0))))</f>
        <v>878.42568588092263</v>
      </c>
      <c r="AB306" s="169">
        <f ca="1">IF($C306-AB$1&lt;År1,0,AA305*(1-VLOOKUP($A306,[1]Hugst!$R$5:$W$9,MATCH(ROUNDUP((AB$1)/10,0)*10,[1]Hugst!$R$4:$W$4,0))))</f>
        <v>861.21841218195095</v>
      </c>
      <c r="AC306" s="169">
        <f ca="1">IF($C306-AC$1&lt;År1,0,AB305*(1-VLOOKUP($A306,[1]Hugst!$R$5:$W$9,MATCH(ROUNDUP((AC$1)/10,0)*10,[1]Hugst!$R$4:$W$4,0))))</f>
        <v>823.98458411944398</v>
      </c>
      <c r="AD306" s="169">
        <f ca="1">IF($C306-AD$1&lt;År1,0,AC305*(1-VLOOKUP($A306,[1]Hugst!$R$5:$W$9,MATCH(ROUNDUP((AD$1)/10,0)*10,[1]Hugst!$R$4:$W$4,0))))</f>
        <v>746.69726609821214</v>
      </c>
      <c r="AE306" s="169">
        <f ca="1">IF($C306-AE$1&lt;År1,0,AD305*(1-VLOOKUP($A306,[1]Hugst!$R$5:$W$9,MATCH(ROUNDUP((AE$1)/10,0)*10,[1]Hugst!$R$4:$W$4,0))))</f>
        <v>589.31587396423731</v>
      </c>
      <c r="AF306" s="169">
        <f>IF($C306-AF$1&lt;År1,0,AE305*(1-VLOOKUP($A306,[1]Hugst!$R$5:$W$9,MATCH(ROUNDUP((AF$1)/10,0)*10,[1]Hugst!$R$4:$W$4,0))))</f>
        <v>0</v>
      </c>
      <c r="AG306" s="169">
        <f>IF($C306-AG$1&lt;År1,0,AF305*(1-VLOOKUP($A306,[1]Hugst!$R$5:$W$9,MATCH(ROUNDUP((AG$1)/10,0)*10,[1]Hugst!$R$4:$W$4,0))))</f>
        <v>0</v>
      </c>
      <c r="AH306" s="169">
        <f>IF($C306-AH$1&lt;År1,0,AG305*(1-VLOOKUP($A306,[1]Hugst!$R$5:$W$9,MATCH(ROUNDUP((AH$1)/10,0)*10,[1]Hugst!$R$4:$W$4,0))))</f>
        <v>0</v>
      </c>
      <c r="AI306" s="169">
        <f>IF($C306-AI$1&lt;År1,0,AH305*(1-VLOOKUP($A306,[1]Hugst!$R$5:$W$9,MATCH(ROUNDUP((AI$1)/10,0)*10,[1]Hugst!$R$4:$W$4,0))))</f>
        <v>0</v>
      </c>
      <c r="AJ306" s="169">
        <f>IF($C306-AJ$1&lt;År1,0,AI305*(1-VLOOKUP($A306,[1]Hugst!$R$5:$W$9,MATCH(ROUNDUP((AJ$1)/10,0)*10,[1]Hugst!$R$4:$W$4,0))))</f>
        <v>0</v>
      </c>
    </row>
    <row r="307" spans="1:36" x14ac:dyDescent="0.25">
      <c r="A307" s="169" t="s">
        <v>180</v>
      </c>
      <c r="B307" s="169" t="s">
        <v>24</v>
      </c>
      <c r="C307" s="169">
        <v>2046</v>
      </c>
      <c r="D307" s="169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561.2385750978483</v>
      </c>
      <c r="E307" s="169">
        <f t="shared" ca="1" si="7"/>
        <v>1.8910286407299282</v>
      </c>
      <c r="F307" s="169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835.5504857443226</v>
      </c>
      <c r="G307" s="169">
        <f ca="1">IF($C307-G$1&lt;År1,0,F306*(1-VLOOKUP($A307,[1]Hugst!$R$5:$W$9,MATCH(ROUNDUP((G$1)/10,0)*10,[1]Hugst!$R$4:$W$4,0))))</f>
        <v>838.07536689477058</v>
      </c>
      <c r="H307" s="169">
        <f ca="1">IF($C307-H$1&lt;År1,0,G306*(1-VLOOKUP($A307,[1]Hugst!$R$5:$W$9,MATCH(ROUNDUP((H$1)/10,0)*10,[1]Hugst!$R$4:$W$4,0))))</f>
        <v>840.61495144495586</v>
      </c>
      <c r="I307" s="169">
        <f ca="1">IF($C307-I$1&lt;År1,0,H306*(1-VLOOKUP($A307,[1]Hugst!$R$5:$W$9,MATCH(ROUNDUP((I$1)/10,0)*10,[1]Hugst!$R$4:$W$4,0))))</f>
        <v>843.17097471208365</v>
      </c>
      <c r="J307" s="169">
        <f ca="1">IF($C307-J$1&lt;År1,0,I306*(1-VLOOKUP($A307,[1]Hugst!$R$5:$W$9,MATCH(ROUNDUP((J$1)/10,0)*10,[1]Hugst!$R$4:$W$4,0))))</f>
        <v>845.74684204625248</v>
      </c>
      <c r="K307" s="169">
        <f ca="1">IF($C307-K$1&lt;År1,0,J306*(1-VLOOKUP($A307,[1]Hugst!$R$5:$W$9,MATCH(ROUNDUP((K$1)/10,0)*10,[1]Hugst!$R$4:$W$4,0))))</f>
        <v>848.34929853523829</v>
      </c>
      <c r="L307" s="169">
        <f ca="1">IF($C307-L$1&lt;År1,0,K306*(1-VLOOKUP($A307,[1]Hugst!$R$5:$W$9,MATCH(ROUNDUP((L$1)/10,0)*10,[1]Hugst!$R$4:$W$4,0))))</f>
        <v>850.99176841247538</v>
      </c>
      <c r="M307" s="169">
        <f ca="1">IF($C307-M$1&lt;År1,0,L306*(1-VLOOKUP($A307,[1]Hugst!$R$5:$W$9,MATCH(ROUNDUP((M$1)/10,0)*10,[1]Hugst!$R$4:$W$4,0))))</f>
        <v>853.70103387118218</v>
      </c>
      <c r="N307" s="169">
        <f ca="1">IF($C307-N$1&lt;År1,0,M306*(1-VLOOKUP($A307,[1]Hugst!$R$5:$W$9,MATCH(ROUNDUP((N$1)/10,0)*10,[1]Hugst!$R$4:$W$4,0))))</f>
        <v>856.6214299308964</v>
      </c>
      <c r="O307" s="169">
        <f ca="1">IF($C307-O$1&lt;År1,0,N306*(1-VLOOKUP($A307,[1]Hugst!$R$5:$W$9,MATCH(ROUNDUP((O$1)/10,0)*10,[1]Hugst!$R$4:$W$4,0))))</f>
        <v>859.55589161912542</v>
      </c>
      <c r="P307" s="169">
        <f ca="1">IF($C307-P$1&lt;År1,0,O306*(1-VLOOKUP($A307,[1]Hugst!$R$5:$W$9,MATCH(ROUNDUP((P$1)/10,0)*10,[1]Hugst!$R$4:$W$4,0))))</f>
        <v>862.50387988887144</v>
      </c>
      <c r="Q307" s="169">
        <f ca="1">IF($C307-Q$1&lt;År1,0,P306*(1-VLOOKUP($A307,[1]Hugst!$R$5:$W$9,MATCH(ROUNDUP((Q$1)/10,0)*10,[1]Hugst!$R$4:$W$4,0))))</f>
        <v>865.46424325579903</v>
      </c>
      <c r="R307" s="169">
        <f ca="1">IF($C307-R$1&lt;År1,0,Q306*(1-VLOOKUP($A307,[1]Hugst!$R$5:$W$9,MATCH(ROUNDUP((R$1)/10,0)*10,[1]Hugst!$R$4:$W$4,0))))</f>
        <v>868.43460499205833</v>
      </c>
      <c r="S307" s="169">
        <f ca="1">IF($C307-S$1&lt;År1,0,R306*(1-VLOOKUP($A307,[1]Hugst!$R$5:$W$9,MATCH(ROUNDUP((S$1)/10,0)*10,[1]Hugst!$R$4:$W$4,0))))</f>
        <v>871.41013751226785</v>
      </c>
      <c r="T307" s="169">
        <f ca="1">IF($C307-T$1&lt;År1,0,S306*(1-VLOOKUP($A307,[1]Hugst!$R$5:$W$9,MATCH(ROUNDUP((T$1)/10,0)*10,[1]Hugst!$R$4:$W$4,0))))</f>
        <v>874.38111114330798</v>
      </c>
      <c r="U307" s="169">
        <f ca="1">IF($C307-U$1&lt;År1,0,T306*(1-VLOOKUP($A307,[1]Hugst!$R$5:$W$9,MATCH(ROUNDUP((U$1)/10,0)*10,[1]Hugst!$R$4:$W$4,0))))</f>
        <v>877.32799166229108</v>
      </c>
      <c r="V307" s="169">
        <f ca="1">IF($C307-V$1&lt;År1,0,U306*(1-VLOOKUP($A307,[1]Hugst!$R$5:$W$9,MATCH(ROUNDUP((V$1)/10,0)*10,[1]Hugst!$R$4:$W$4,0))))</f>
        <v>880.21163537052587</v>
      </c>
      <c r="W307" s="169">
        <f ca="1">IF($C307-W$1&lt;År1,0,V306*(1-VLOOKUP($A307,[1]Hugst!$R$5:$W$9,MATCH(ROUNDUP((W$1)/10,0)*10,[1]Hugst!$R$4:$W$4,0))))</f>
        <v>882.9536792395005</v>
      </c>
      <c r="X307" s="169">
        <f ca="1">IF($C307-X$1&lt;År1,0,W306*(1-VLOOKUP($A307,[1]Hugst!$R$5:$W$9,MATCH(ROUNDUP((X$1)/10,0)*10,[1]Hugst!$R$4:$W$4,0))))</f>
        <v>885.39732120111364</v>
      </c>
      <c r="Y307" s="169">
        <f ca="1">IF($C307-Y$1&lt;År1,0,X306*(1-VLOOKUP($A307,[1]Hugst!$R$5:$W$9,MATCH(ROUNDUP((Y$1)/10,0)*10,[1]Hugst!$R$4:$W$4,0))))</f>
        <v>887.2288807259614</v>
      </c>
      <c r="Z307" s="169">
        <f ca="1">IF($C307-Z$1&lt;År1,0,Y306*(1-VLOOKUP($A307,[1]Hugst!$R$5:$W$9,MATCH(ROUNDUP((Z$1)/10,0)*10,[1]Hugst!$R$4:$W$4,0))))</f>
        <v>887.52497967166755</v>
      </c>
      <c r="AA307" s="169">
        <f ca="1">IF($C307-AA$1&lt;År1,0,Z306*(1-VLOOKUP($A307,[1]Hugst!$R$5:$W$9,MATCH(ROUNDUP((AA$1)/10,0)*10,[1]Hugst!$R$4:$W$4,0))))</f>
        <v>885.327972235213</v>
      </c>
      <c r="AB307" s="169">
        <f ca="1">IF($C307-AB$1&lt;År1,0,AA306*(1-VLOOKUP($A307,[1]Hugst!$R$5:$W$9,MATCH(ROUNDUP((AB$1)/10,0)*10,[1]Hugst!$R$4:$W$4,0))))</f>
        <v>878.1328773189623</v>
      </c>
      <c r="AC307" s="169">
        <f ca="1">IF($C307-AC$1&lt;År1,0,AB306*(1-VLOOKUP($A307,[1]Hugst!$R$5:$W$9,MATCH(ROUNDUP((AC$1)/10,0)*10,[1]Hugst!$R$4:$W$4,0))))</f>
        <v>860.93133937789037</v>
      </c>
      <c r="AD307" s="169">
        <f ca="1">IF($C307-AD$1&lt;År1,0,AC306*(1-VLOOKUP($A307,[1]Hugst!$R$5:$W$9,MATCH(ROUNDUP((AD$1)/10,0)*10,[1]Hugst!$R$4:$W$4,0))))</f>
        <v>823.70992259140417</v>
      </c>
      <c r="AE307" s="169">
        <f ca="1">IF($C307-AE$1&lt;År1,0,AD306*(1-VLOOKUP($A307,[1]Hugst!$R$5:$W$9,MATCH(ROUNDUP((AE$1)/10,0)*10,[1]Hugst!$R$4:$W$4,0))))</f>
        <v>746.44836700951271</v>
      </c>
      <c r="AF307" s="169">
        <f ca="1">IF($C307-AF$1&lt;År1,0,AE306*(1-VLOOKUP($A307,[1]Hugst!$R$5:$W$9,MATCH(ROUNDUP((AF$1)/10,0)*10,[1]Hugst!$R$4:$W$4,0))))</f>
        <v>589.11943533958254</v>
      </c>
      <c r="AG307" s="169">
        <f>IF($C307-AG$1&lt;År1,0,AF306*(1-VLOOKUP($A307,[1]Hugst!$R$5:$W$9,MATCH(ROUNDUP((AG$1)/10,0)*10,[1]Hugst!$R$4:$W$4,0))))</f>
        <v>0</v>
      </c>
      <c r="AH307" s="169">
        <f>IF($C307-AH$1&lt;År1,0,AG306*(1-VLOOKUP($A307,[1]Hugst!$R$5:$W$9,MATCH(ROUNDUP((AH$1)/10,0)*10,[1]Hugst!$R$4:$W$4,0))))</f>
        <v>0</v>
      </c>
      <c r="AI307" s="169">
        <f>IF($C307-AI$1&lt;År1,0,AH306*(1-VLOOKUP($A307,[1]Hugst!$R$5:$W$9,MATCH(ROUNDUP((AI$1)/10,0)*10,[1]Hugst!$R$4:$W$4,0))))</f>
        <v>0</v>
      </c>
      <c r="AJ307" s="169">
        <f>IF($C307-AJ$1&lt;År1,0,AI306*(1-VLOOKUP($A307,[1]Hugst!$R$5:$W$9,MATCH(ROUNDUP((AJ$1)/10,0)*10,[1]Hugst!$R$4:$W$4,0))))</f>
        <v>0</v>
      </c>
    </row>
    <row r="308" spans="1:36" x14ac:dyDescent="0.25">
      <c r="A308" s="169" t="s">
        <v>180</v>
      </c>
      <c r="B308" s="169" t="s">
        <v>24</v>
      </c>
      <c r="C308" s="169">
        <v>2047</v>
      </c>
      <c r="D308" s="169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558.43238459218537</v>
      </c>
      <c r="E308" s="169">
        <f t="shared" ca="1" si="7"/>
        <v>2.1861412580910837</v>
      </c>
      <c r="F308" s="169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833.03940785602083</v>
      </c>
      <c r="G308" s="169">
        <f ca="1">IF($C308-G$1&lt;År1,0,F307*(1-VLOOKUP($A308,[1]Hugst!$R$5:$W$9,MATCH(ROUNDUP((G$1)/10,0)*10,[1]Hugst!$R$4:$W$4,0))))</f>
        <v>835.5504857443226</v>
      </c>
      <c r="H308" s="169">
        <f ca="1">IF($C308-H$1&lt;År1,0,G307*(1-VLOOKUP($A308,[1]Hugst!$R$5:$W$9,MATCH(ROUNDUP((H$1)/10,0)*10,[1]Hugst!$R$4:$W$4,0))))</f>
        <v>838.07536689477058</v>
      </c>
      <c r="I308" s="169">
        <f ca="1">IF($C308-I$1&lt;År1,0,H307*(1-VLOOKUP($A308,[1]Hugst!$R$5:$W$9,MATCH(ROUNDUP((I$1)/10,0)*10,[1]Hugst!$R$4:$W$4,0))))</f>
        <v>840.61495144495586</v>
      </c>
      <c r="J308" s="169">
        <f ca="1">IF($C308-J$1&lt;År1,0,I307*(1-VLOOKUP($A308,[1]Hugst!$R$5:$W$9,MATCH(ROUNDUP((J$1)/10,0)*10,[1]Hugst!$R$4:$W$4,0))))</f>
        <v>843.17097471208365</v>
      </c>
      <c r="K308" s="169">
        <f ca="1">IF($C308-K$1&lt;År1,0,J307*(1-VLOOKUP($A308,[1]Hugst!$R$5:$W$9,MATCH(ROUNDUP((K$1)/10,0)*10,[1]Hugst!$R$4:$W$4,0))))</f>
        <v>845.74684204625248</v>
      </c>
      <c r="L308" s="169">
        <f ca="1">IF($C308-L$1&lt;År1,0,K307*(1-VLOOKUP($A308,[1]Hugst!$R$5:$W$9,MATCH(ROUNDUP((L$1)/10,0)*10,[1]Hugst!$R$4:$W$4,0))))</f>
        <v>848.34929853523829</v>
      </c>
      <c r="M308" s="169">
        <f ca="1">IF($C308-M$1&lt;År1,0,L307*(1-VLOOKUP($A308,[1]Hugst!$R$5:$W$9,MATCH(ROUNDUP((M$1)/10,0)*10,[1]Hugst!$R$4:$W$4,0))))</f>
        <v>850.99176841247538</v>
      </c>
      <c r="N308" s="169">
        <f ca="1">IF($C308-N$1&lt;År1,0,M307*(1-VLOOKUP($A308,[1]Hugst!$R$5:$W$9,MATCH(ROUNDUP((N$1)/10,0)*10,[1]Hugst!$R$4:$W$4,0))))</f>
        <v>853.70103387118218</v>
      </c>
      <c r="O308" s="169">
        <f ca="1">IF($C308-O$1&lt;År1,0,N307*(1-VLOOKUP($A308,[1]Hugst!$R$5:$W$9,MATCH(ROUNDUP((O$1)/10,0)*10,[1]Hugst!$R$4:$W$4,0))))</f>
        <v>856.6214299308964</v>
      </c>
      <c r="P308" s="169">
        <f ca="1">IF($C308-P$1&lt;År1,0,O307*(1-VLOOKUP($A308,[1]Hugst!$R$5:$W$9,MATCH(ROUNDUP((P$1)/10,0)*10,[1]Hugst!$R$4:$W$4,0))))</f>
        <v>859.55589161912542</v>
      </c>
      <c r="Q308" s="169">
        <f ca="1">IF($C308-Q$1&lt;År1,0,P307*(1-VLOOKUP($A308,[1]Hugst!$R$5:$W$9,MATCH(ROUNDUP((Q$1)/10,0)*10,[1]Hugst!$R$4:$W$4,0))))</f>
        <v>862.50387988887144</v>
      </c>
      <c r="R308" s="169">
        <f ca="1">IF($C308-R$1&lt;År1,0,Q307*(1-VLOOKUP($A308,[1]Hugst!$R$5:$W$9,MATCH(ROUNDUP((R$1)/10,0)*10,[1]Hugst!$R$4:$W$4,0))))</f>
        <v>865.46424325579903</v>
      </c>
      <c r="S308" s="169">
        <f ca="1">IF($C308-S$1&lt;År1,0,R307*(1-VLOOKUP($A308,[1]Hugst!$R$5:$W$9,MATCH(ROUNDUP((S$1)/10,0)*10,[1]Hugst!$R$4:$W$4,0))))</f>
        <v>868.43460499205833</v>
      </c>
      <c r="T308" s="169">
        <f ca="1">IF($C308-T$1&lt;År1,0,S307*(1-VLOOKUP($A308,[1]Hugst!$R$5:$W$9,MATCH(ROUNDUP((T$1)/10,0)*10,[1]Hugst!$R$4:$W$4,0))))</f>
        <v>871.41013751226785</v>
      </c>
      <c r="U308" s="169">
        <f ca="1">IF($C308-U$1&lt;År1,0,T307*(1-VLOOKUP($A308,[1]Hugst!$R$5:$W$9,MATCH(ROUNDUP((U$1)/10,0)*10,[1]Hugst!$R$4:$W$4,0))))</f>
        <v>874.38111114330798</v>
      </c>
      <c r="V308" s="169">
        <f ca="1">IF($C308-V$1&lt;År1,0,U307*(1-VLOOKUP($A308,[1]Hugst!$R$5:$W$9,MATCH(ROUNDUP((V$1)/10,0)*10,[1]Hugst!$R$4:$W$4,0))))</f>
        <v>877.32799166229108</v>
      </c>
      <c r="W308" s="169">
        <f ca="1">IF($C308-W$1&lt;År1,0,V307*(1-VLOOKUP($A308,[1]Hugst!$R$5:$W$9,MATCH(ROUNDUP((W$1)/10,0)*10,[1]Hugst!$R$4:$W$4,0))))</f>
        <v>880.21163537052587</v>
      </c>
      <c r="X308" s="169">
        <f ca="1">IF($C308-X$1&lt;År1,0,W307*(1-VLOOKUP($A308,[1]Hugst!$R$5:$W$9,MATCH(ROUNDUP((X$1)/10,0)*10,[1]Hugst!$R$4:$W$4,0))))</f>
        <v>882.9536792395005</v>
      </c>
      <c r="Y308" s="169">
        <f ca="1">IF($C308-Y$1&lt;År1,0,X307*(1-VLOOKUP($A308,[1]Hugst!$R$5:$W$9,MATCH(ROUNDUP((Y$1)/10,0)*10,[1]Hugst!$R$4:$W$4,0))))</f>
        <v>885.39732120111364</v>
      </c>
      <c r="Z308" s="169">
        <f ca="1">IF($C308-Z$1&lt;År1,0,Y307*(1-VLOOKUP($A308,[1]Hugst!$R$5:$W$9,MATCH(ROUNDUP((Z$1)/10,0)*10,[1]Hugst!$R$4:$W$4,0))))</f>
        <v>886.93313776571949</v>
      </c>
      <c r="AA308" s="169">
        <f ca="1">IF($C308-AA$1&lt;År1,0,Z307*(1-VLOOKUP($A308,[1]Hugst!$R$5:$W$9,MATCH(ROUNDUP((AA$1)/10,0)*10,[1]Hugst!$R$4:$W$4,0))))</f>
        <v>887.22913801177708</v>
      </c>
      <c r="AB308" s="169">
        <f ca="1">IF($C308-AB$1&lt;År1,0,AA307*(1-VLOOKUP($A308,[1]Hugst!$R$5:$W$9,MATCH(ROUNDUP((AB$1)/10,0)*10,[1]Hugst!$R$4:$W$4,0))))</f>
        <v>885.03286291113466</v>
      </c>
      <c r="AC308" s="169">
        <f ca="1">IF($C308-AC$1&lt;År1,0,AB307*(1-VLOOKUP($A308,[1]Hugst!$R$5:$W$9,MATCH(ROUNDUP((AC$1)/10,0)*10,[1]Hugst!$R$4:$W$4,0))))</f>
        <v>877.84016635985597</v>
      </c>
      <c r="AD308" s="169">
        <f ca="1">IF($C308-AD$1&lt;År1,0,AC307*(1-VLOOKUP($A308,[1]Hugst!$R$5:$W$9,MATCH(ROUNDUP((AD$1)/10,0)*10,[1]Hugst!$R$4:$W$4,0))))</f>
        <v>860.64436226476448</v>
      </c>
      <c r="AE308" s="169">
        <f ca="1">IF($C308-AE$1&lt;År1,0,AD307*(1-VLOOKUP($A308,[1]Hugst!$R$5:$W$9,MATCH(ROUNDUP((AE$1)/10,0)*10,[1]Hugst!$R$4:$W$4,0))))</f>
        <v>823.43535261720706</v>
      </c>
      <c r="AF308" s="169">
        <f ca="1">IF($C308-AF$1&lt;År1,0,AE307*(1-VLOOKUP($A308,[1]Hugst!$R$5:$W$9,MATCH(ROUNDUP((AF$1)/10,0)*10,[1]Hugst!$R$4:$W$4,0))))</f>
        <v>746.1995508871762</v>
      </c>
      <c r="AG308" s="169">
        <f ca="1">IF($C308-AG$1&lt;År1,0,AF307*(1-VLOOKUP($A308,[1]Hugst!$R$5:$W$9,MATCH(ROUNDUP((AG$1)/10,0)*10,[1]Hugst!$R$4:$W$4,0))))</f>
        <v>588.92306219446937</v>
      </c>
      <c r="AH308" s="169">
        <f>IF($C308-AH$1&lt;År1,0,AG307*(1-VLOOKUP($A308,[1]Hugst!$R$5:$W$9,MATCH(ROUNDUP((AH$1)/10,0)*10,[1]Hugst!$R$4:$W$4,0))))</f>
        <v>0</v>
      </c>
      <c r="AI308" s="169">
        <f>IF($C308-AI$1&lt;År1,0,AH307*(1-VLOOKUP($A308,[1]Hugst!$R$5:$W$9,MATCH(ROUNDUP((AI$1)/10,0)*10,[1]Hugst!$R$4:$W$4,0))))</f>
        <v>0</v>
      </c>
      <c r="AJ308" s="169">
        <f>IF($C308-AJ$1&lt;År1,0,AI307*(1-VLOOKUP($A308,[1]Hugst!$R$5:$W$9,MATCH(ROUNDUP((AJ$1)/10,0)*10,[1]Hugst!$R$4:$W$4,0))))</f>
        <v>0</v>
      </c>
    </row>
    <row r="309" spans="1:36" x14ac:dyDescent="0.25">
      <c r="A309" s="169" t="s">
        <v>180</v>
      </c>
      <c r="B309" s="169" t="s">
        <v>24</v>
      </c>
      <c r="C309" s="169">
        <v>2048</v>
      </c>
      <c r="D309" s="169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555.64022385414683</v>
      </c>
      <c r="E309" s="169">
        <f t="shared" ca="1" si="7"/>
        <v>2.4805449847372074</v>
      </c>
      <c r="F309" s="169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830.54165084462841</v>
      </c>
      <c r="G309" s="169">
        <f ca="1">IF($C309-G$1&lt;År1,0,F308*(1-VLOOKUP($A309,[1]Hugst!$R$5:$W$9,MATCH(ROUNDUP((G$1)/10,0)*10,[1]Hugst!$R$4:$W$4,0))))</f>
        <v>833.03940785602083</v>
      </c>
      <c r="H309" s="169">
        <f ca="1">IF($C309-H$1&lt;År1,0,G308*(1-VLOOKUP($A309,[1]Hugst!$R$5:$W$9,MATCH(ROUNDUP((H$1)/10,0)*10,[1]Hugst!$R$4:$W$4,0))))</f>
        <v>835.5504857443226</v>
      </c>
      <c r="I309" s="169">
        <f ca="1">IF($C309-I$1&lt;År1,0,H308*(1-VLOOKUP($A309,[1]Hugst!$R$5:$W$9,MATCH(ROUNDUP((I$1)/10,0)*10,[1]Hugst!$R$4:$W$4,0))))</f>
        <v>838.07536689477058</v>
      </c>
      <c r="J309" s="169">
        <f ca="1">IF($C309-J$1&lt;År1,0,I308*(1-VLOOKUP($A309,[1]Hugst!$R$5:$W$9,MATCH(ROUNDUP((J$1)/10,0)*10,[1]Hugst!$R$4:$W$4,0))))</f>
        <v>840.61495144495586</v>
      </c>
      <c r="K309" s="169">
        <f ca="1">IF($C309-K$1&lt;År1,0,J308*(1-VLOOKUP($A309,[1]Hugst!$R$5:$W$9,MATCH(ROUNDUP((K$1)/10,0)*10,[1]Hugst!$R$4:$W$4,0))))</f>
        <v>843.17097471208365</v>
      </c>
      <c r="L309" s="169">
        <f ca="1">IF($C309-L$1&lt;År1,0,K308*(1-VLOOKUP($A309,[1]Hugst!$R$5:$W$9,MATCH(ROUNDUP((L$1)/10,0)*10,[1]Hugst!$R$4:$W$4,0))))</f>
        <v>845.74684204625248</v>
      </c>
      <c r="M309" s="169">
        <f ca="1">IF($C309-M$1&lt;År1,0,L308*(1-VLOOKUP($A309,[1]Hugst!$R$5:$W$9,MATCH(ROUNDUP((M$1)/10,0)*10,[1]Hugst!$R$4:$W$4,0))))</f>
        <v>848.34929853523829</v>
      </c>
      <c r="N309" s="169">
        <f ca="1">IF($C309-N$1&lt;År1,0,M308*(1-VLOOKUP($A309,[1]Hugst!$R$5:$W$9,MATCH(ROUNDUP((N$1)/10,0)*10,[1]Hugst!$R$4:$W$4,0))))</f>
        <v>850.99176841247538</v>
      </c>
      <c r="O309" s="169">
        <f ca="1">IF($C309-O$1&lt;År1,0,N308*(1-VLOOKUP($A309,[1]Hugst!$R$5:$W$9,MATCH(ROUNDUP((O$1)/10,0)*10,[1]Hugst!$R$4:$W$4,0))))</f>
        <v>853.70103387118218</v>
      </c>
      <c r="P309" s="169">
        <f ca="1">IF($C309-P$1&lt;År1,0,O308*(1-VLOOKUP($A309,[1]Hugst!$R$5:$W$9,MATCH(ROUNDUP((P$1)/10,0)*10,[1]Hugst!$R$4:$W$4,0))))</f>
        <v>856.6214299308964</v>
      </c>
      <c r="Q309" s="169">
        <f ca="1">IF($C309-Q$1&lt;År1,0,P308*(1-VLOOKUP($A309,[1]Hugst!$R$5:$W$9,MATCH(ROUNDUP((Q$1)/10,0)*10,[1]Hugst!$R$4:$W$4,0))))</f>
        <v>859.55589161912542</v>
      </c>
      <c r="R309" s="169">
        <f ca="1">IF($C309-R$1&lt;År1,0,Q308*(1-VLOOKUP($A309,[1]Hugst!$R$5:$W$9,MATCH(ROUNDUP((R$1)/10,0)*10,[1]Hugst!$R$4:$W$4,0))))</f>
        <v>862.50387988887144</v>
      </c>
      <c r="S309" s="169">
        <f ca="1">IF($C309-S$1&lt;År1,0,R308*(1-VLOOKUP($A309,[1]Hugst!$R$5:$W$9,MATCH(ROUNDUP((S$1)/10,0)*10,[1]Hugst!$R$4:$W$4,0))))</f>
        <v>865.46424325579903</v>
      </c>
      <c r="T309" s="169">
        <f ca="1">IF($C309-T$1&lt;År1,0,S308*(1-VLOOKUP($A309,[1]Hugst!$R$5:$W$9,MATCH(ROUNDUP((T$1)/10,0)*10,[1]Hugst!$R$4:$W$4,0))))</f>
        <v>868.43460499205833</v>
      </c>
      <c r="U309" s="169">
        <f ca="1">IF($C309-U$1&lt;År1,0,T308*(1-VLOOKUP($A309,[1]Hugst!$R$5:$W$9,MATCH(ROUNDUP((U$1)/10,0)*10,[1]Hugst!$R$4:$W$4,0))))</f>
        <v>871.41013751226785</v>
      </c>
      <c r="V309" s="169">
        <f ca="1">IF($C309-V$1&lt;År1,0,U308*(1-VLOOKUP($A309,[1]Hugst!$R$5:$W$9,MATCH(ROUNDUP((V$1)/10,0)*10,[1]Hugst!$R$4:$W$4,0))))</f>
        <v>874.38111114330798</v>
      </c>
      <c r="W309" s="169">
        <f ca="1">IF($C309-W$1&lt;År1,0,V308*(1-VLOOKUP($A309,[1]Hugst!$R$5:$W$9,MATCH(ROUNDUP((W$1)/10,0)*10,[1]Hugst!$R$4:$W$4,0))))</f>
        <v>877.32799166229108</v>
      </c>
      <c r="X309" s="169">
        <f ca="1">IF($C309-X$1&lt;År1,0,W308*(1-VLOOKUP($A309,[1]Hugst!$R$5:$W$9,MATCH(ROUNDUP((X$1)/10,0)*10,[1]Hugst!$R$4:$W$4,0))))</f>
        <v>880.21163537052587</v>
      </c>
      <c r="Y309" s="169">
        <f ca="1">IF($C309-Y$1&lt;År1,0,X308*(1-VLOOKUP($A309,[1]Hugst!$R$5:$W$9,MATCH(ROUNDUP((Y$1)/10,0)*10,[1]Hugst!$R$4:$W$4,0))))</f>
        <v>882.9536792395005</v>
      </c>
      <c r="Z309" s="169">
        <f ca="1">IF($C309-Z$1&lt;År1,0,Y308*(1-VLOOKUP($A309,[1]Hugst!$R$5:$W$9,MATCH(ROUNDUP((Z$1)/10,0)*10,[1]Hugst!$R$4:$W$4,0))))</f>
        <v>885.10218876071326</v>
      </c>
      <c r="AA309" s="169">
        <f ca="1">IF($C309-AA$1&lt;År1,0,Z308*(1-VLOOKUP($A309,[1]Hugst!$R$5:$W$9,MATCH(ROUNDUP((AA$1)/10,0)*10,[1]Hugst!$R$4:$W$4,0))))</f>
        <v>886.63749338646426</v>
      </c>
      <c r="AB309" s="169">
        <f ca="1">IF($C309-AB$1&lt;År1,0,AA308*(1-VLOOKUP($A309,[1]Hugst!$R$5:$W$9,MATCH(ROUNDUP((AB$1)/10,0)*10,[1]Hugst!$R$4:$W$4,0))))</f>
        <v>886.93339496577323</v>
      </c>
      <c r="AC309" s="169">
        <f ca="1">IF($C309-AC$1&lt;År1,0,AB308*(1-VLOOKUP($A309,[1]Hugst!$R$5:$W$9,MATCH(ROUNDUP((AC$1)/10,0)*10,[1]Hugst!$R$4:$W$4,0))))</f>
        <v>884.73785195683092</v>
      </c>
      <c r="AD309" s="169">
        <f ca="1">IF($C309-AD$1&lt;År1,0,AC308*(1-VLOOKUP($A309,[1]Hugst!$R$5:$W$9,MATCH(ROUNDUP((AD$1)/10,0)*10,[1]Hugst!$R$4:$W$4,0))))</f>
        <v>877.54755297106942</v>
      </c>
      <c r="AE309" s="169">
        <f ca="1">IF($C309-AE$1&lt;År1,0,AD308*(1-VLOOKUP($A309,[1]Hugst!$R$5:$W$9,MATCH(ROUNDUP((AE$1)/10,0)*10,[1]Hugst!$R$4:$W$4,0))))</f>
        <v>860.35748081067629</v>
      </c>
      <c r="AF309" s="169">
        <f ca="1">IF($C309-AF$1&lt;År1,0,AE308*(1-VLOOKUP($A309,[1]Hugst!$R$5:$W$9,MATCH(ROUNDUP((AF$1)/10,0)*10,[1]Hugst!$R$4:$W$4,0))))</f>
        <v>823.16087416633468</v>
      </c>
      <c r="AG309" s="169">
        <f ca="1">IF($C309-AG$1&lt;År1,0,AF308*(1-VLOOKUP($A309,[1]Hugst!$R$5:$W$9,MATCH(ROUNDUP((AG$1)/10,0)*10,[1]Hugst!$R$4:$W$4,0))))</f>
        <v>745.95081770354716</v>
      </c>
      <c r="AH309" s="169">
        <f ca="1">IF($C309-AH$1&lt;År1,0,AG308*(1-VLOOKUP($A309,[1]Hugst!$R$5:$W$9,MATCH(ROUNDUP((AH$1)/10,0)*10,[1]Hugst!$R$4:$W$4,0))))</f>
        <v>588.72675450707118</v>
      </c>
      <c r="AI309" s="169">
        <f>IF($C309-AI$1&lt;År1,0,AH308*(1-VLOOKUP($A309,[1]Hugst!$R$5:$W$9,MATCH(ROUNDUP((AI$1)/10,0)*10,[1]Hugst!$R$4:$W$4,0))))</f>
        <v>0</v>
      </c>
      <c r="AJ309" s="169">
        <f>IF($C309-AJ$1&lt;År1,0,AI308*(1-VLOOKUP($A309,[1]Hugst!$R$5:$W$9,MATCH(ROUNDUP((AJ$1)/10,0)*10,[1]Hugst!$R$4:$W$4,0))))</f>
        <v>0</v>
      </c>
    </row>
    <row r="310" spans="1:36" x14ac:dyDescent="0.25">
      <c r="A310" s="169" t="s">
        <v>180</v>
      </c>
      <c r="B310" s="169" t="s">
        <v>24</v>
      </c>
      <c r="C310" s="169">
        <v>2049</v>
      </c>
      <c r="D310" s="169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552.86202332734683</v>
      </c>
      <c r="E310" s="169">
        <f t="shared" ca="1" si="7"/>
        <v>2.774036029491981</v>
      </c>
      <c r="F310" s="169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828.05694136258319</v>
      </c>
      <c r="G310" s="169">
        <f ca="1">IF($C310-G$1&lt;År1,0,F309*(1-VLOOKUP($A310,[1]Hugst!$R$5:$W$9,MATCH(ROUNDUP((G$1)/10,0)*10,[1]Hugst!$R$4:$W$4,0))))</f>
        <v>830.54165084462841</v>
      </c>
      <c r="H310" s="169">
        <f ca="1">IF($C310-H$1&lt;År1,0,G309*(1-VLOOKUP($A310,[1]Hugst!$R$5:$W$9,MATCH(ROUNDUP((H$1)/10,0)*10,[1]Hugst!$R$4:$W$4,0))))</f>
        <v>833.03940785602083</v>
      </c>
      <c r="I310" s="169">
        <f ca="1">IF($C310-I$1&lt;År1,0,H309*(1-VLOOKUP($A310,[1]Hugst!$R$5:$W$9,MATCH(ROUNDUP((I$1)/10,0)*10,[1]Hugst!$R$4:$W$4,0))))</f>
        <v>835.5504857443226</v>
      </c>
      <c r="J310" s="169">
        <f ca="1">IF($C310-J$1&lt;År1,0,I309*(1-VLOOKUP($A310,[1]Hugst!$R$5:$W$9,MATCH(ROUNDUP((J$1)/10,0)*10,[1]Hugst!$R$4:$W$4,0))))</f>
        <v>838.07536689477058</v>
      </c>
      <c r="K310" s="169">
        <f ca="1">IF($C310-K$1&lt;År1,0,J309*(1-VLOOKUP($A310,[1]Hugst!$R$5:$W$9,MATCH(ROUNDUP((K$1)/10,0)*10,[1]Hugst!$R$4:$W$4,0))))</f>
        <v>840.61495144495586</v>
      </c>
      <c r="L310" s="169">
        <f ca="1">IF($C310-L$1&lt;År1,0,K309*(1-VLOOKUP($A310,[1]Hugst!$R$5:$W$9,MATCH(ROUNDUP((L$1)/10,0)*10,[1]Hugst!$R$4:$W$4,0))))</f>
        <v>843.17097471208365</v>
      </c>
      <c r="M310" s="169">
        <f ca="1">IF($C310-M$1&lt;År1,0,L309*(1-VLOOKUP($A310,[1]Hugst!$R$5:$W$9,MATCH(ROUNDUP((M$1)/10,0)*10,[1]Hugst!$R$4:$W$4,0))))</f>
        <v>845.74684204625248</v>
      </c>
      <c r="N310" s="169">
        <f ca="1">IF($C310-N$1&lt;År1,0,M309*(1-VLOOKUP($A310,[1]Hugst!$R$5:$W$9,MATCH(ROUNDUP((N$1)/10,0)*10,[1]Hugst!$R$4:$W$4,0))))</f>
        <v>848.34929853523829</v>
      </c>
      <c r="O310" s="169">
        <f ca="1">IF($C310-O$1&lt;År1,0,N309*(1-VLOOKUP($A310,[1]Hugst!$R$5:$W$9,MATCH(ROUNDUP((O$1)/10,0)*10,[1]Hugst!$R$4:$W$4,0))))</f>
        <v>850.99176841247538</v>
      </c>
      <c r="P310" s="169">
        <f ca="1">IF($C310-P$1&lt;År1,0,O309*(1-VLOOKUP($A310,[1]Hugst!$R$5:$W$9,MATCH(ROUNDUP((P$1)/10,0)*10,[1]Hugst!$R$4:$W$4,0))))</f>
        <v>853.70103387118218</v>
      </c>
      <c r="Q310" s="169">
        <f ca="1">IF($C310-Q$1&lt;År1,0,P309*(1-VLOOKUP($A310,[1]Hugst!$R$5:$W$9,MATCH(ROUNDUP((Q$1)/10,0)*10,[1]Hugst!$R$4:$W$4,0))))</f>
        <v>856.6214299308964</v>
      </c>
      <c r="R310" s="169">
        <f ca="1">IF($C310-R$1&lt;År1,0,Q309*(1-VLOOKUP($A310,[1]Hugst!$R$5:$W$9,MATCH(ROUNDUP((R$1)/10,0)*10,[1]Hugst!$R$4:$W$4,0))))</f>
        <v>859.55589161912542</v>
      </c>
      <c r="S310" s="169">
        <f ca="1">IF($C310-S$1&lt;År1,0,R309*(1-VLOOKUP($A310,[1]Hugst!$R$5:$W$9,MATCH(ROUNDUP((S$1)/10,0)*10,[1]Hugst!$R$4:$W$4,0))))</f>
        <v>862.50387988887144</v>
      </c>
      <c r="T310" s="169">
        <f ca="1">IF($C310-T$1&lt;År1,0,S309*(1-VLOOKUP($A310,[1]Hugst!$R$5:$W$9,MATCH(ROUNDUP((T$1)/10,0)*10,[1]Hugst!$R$4:$W$4,0))))</f>
        <v>865.46424325579903</v>
      </c>
      <c r="U310" s="169">
        <f ca="1">IF($C310-U$1&lt;År1,0,T309*(1-VLOOKUP($A310,[1]Hugst!$R$5:$W$9,MATCH(ROUNDUP((U$1)/10,0)*10,[1]Hugst!$R$4:$W$4,0))))</f>
        <v>868.43460499205833</v>
      </c>
      <c r="V310" s="169">
        <f ca="1">IF($C310-V$1&lt;År1,0,U309*(1-VLOOKUP($A310,[1]Hugst!$R$5:$W$9,MATCH(ROUNDUP((V$1)/10,0)*10,[1]Hugst!$R$4:$W$4,0))))</f>
        <v>871.41013751226785</v>
      </c>
      <c r="W310" s="169">
        <f ca="1">IF($C310-W$1&lt;År1,0,V309*(1-VLOOKUP($A310,[1]Hugst!$R$5:$W$9,MATCH(ROUNDUP((W$1)/10,0)*10,[1]Hugst!$R$4:$W$4,0))))</f>
        <v>874.38111114330798</v>
      </c>
      <c r="X310" s="169">
        <f ca="1">IF($C310-X$1&lt;År1,0,W309*(1-VLOOKUP($A310,[1]Hugst!$R$5:$W$9,MATCH(ROUNDUP((X$1)/10,0)*10,[1]Hugst!$R$4:$W$4,0))))</f>
        <v>877.32799166229108</v>
      </c>
      <c r="Y310" s="169">
        <f ca="1">IF($C310-Y$1&lt;År1,0,X309*(1-VLOOKUP($A310,[1]Hugst!$R$5:$W$9,MATCH(ROUNDUP((Y$1)/10,0)*10,[1]Hugst!$R$4:$W$4,0))))</f>
        <v>880.21163537052587</v>
      </c>
      <c r="Z310" s="169">
        <f ca="1">IF($C310-Z$1&lt;År1,0,Y309*(1-VLOOKUP($A310,[1]Hugst!$R$5:$W$9,MATCH(ROUNDUP((Z$1)/10,0)*10,[1]Hugst!$R$4:$W$4,0))))</f>
        <v>882.65936134642072</v>
      </c>
      <c r="AA310" s="169">
        <f ca="1">IF($C310-AA$1&lt;År1,0,Z309*(1-VLOOKUP($A310,[1]Hugst!$R$5:$W$9,MATCH(ROUNDUP((AA$1)/10,0)*10,[1]Hugst!$R$4:$W$4,0))))</f>
        <v>884.80715469779307</v>
      </c>
      <c r="AB310" s="169">
        <f ca="1">IF($C310-AB$1&lt;År1,0,AA309*(1-VLOOKUP($A310,[1]Hugst!$R$5:$W$9,MATCH(ROUNDUP((AB$1)/10,0)*10,[1]Hugst!$R$4:$W$4,0))))</f>
        <v>886.34194755533542</v>
      </c>
      <c r="AC310" s="169">
        <f ca="1">IF($C310-AC$1&lt;År1,0,AB309*(1-VLOOKUP($A310,[1]Hugst!$R$5:$W$9,MATCH(ROUNDUP((AC$1)/10,0)*10,[1]Hugst!$R$4:$W$4,0))))</f>
        <v>886.6377505007847</v>
      </c>
      <c r="AD310" s="169">
        <f ca="1">IF($C310-AD$1&lt;År1,0,AC309*(1-VLOOKUP($A310,[1]Hugst!$R$5:$W$9,MATCH(ROUNDUP((AD$1)/10,0)*10,[1]Hugst!$R$4:$W$4,0))))</f>
        <v>884.44293933951201</v>
      </c>
      <c r="AE310" s="169">
        <f ca="1">IF($C310-AE$1&lt;År1,0,AD309*(1-VLOOKUP($A310,[1]Hugst!$R$5:$W$9,MATCH(ROUNDUP((AE$1)/10,0)*10,[1]Hugst!$R$4:$W$4,0))))</f>
        <v>877.25503712007912</v>
      </c>
      <c r="AF310" s="169">
        <f ca="1">IF($C310-AF$1&lt;År1,0,AE309*(1-VLOOKUP($A310,[1]Hugst!$R$5:$W$9,MATCH(ROUNDUP((AF$1)/10,0)*10,[1]Hugst!$R$4:$W$4,0))))</f>
        <v>860.07069498373949</v>
      </c>
      <c r="AG310" s="169">
        <f ca="1">IF($C310-AG$1&lt;År1,0,AF309*(1-VLOOKUP($A310,[1]Hugst!$R$5:$W$9,MATCH(ROUNDUP((AG$1)/10,0)*10,[1]Hugst!$R$4:$W$4,0))))</f>
        <v>822.88648720827928</v>
      </c>
      <c r="AH310" s="169">
        <f ca="1">IF($C310-AH$1&lt;År1,0,AG309*(1-VLOOKUP($A310,[1]Hugst!$R$5:$W$9,MATCH(ROUNDUP((AH$1)/10,0)*10,[1]Hugst!$R$4:$W$4,0))))</f>
        <v>745.70216743097933</v>
      </c>
      <c r="AI310" s="169">
        <f ca="1">IF($C310-AI$1&lt;År1,0,AH309*(1-VLOOKUP($A310,[1]Hugst!$R$5:$W$9,MATCH(ROUNDUP((AI$1)/10,0)*10,[1]Hugst!$R$4:$W$4,0))))</f>
        <v>588.53051225556885</v>
      </c>
      <c r="AJ310" s="169">
        <f>IF($C310-AJ$1&lt;År1,0,AI309*(1-VLOOKUP($A310,[1]Hugst!$R$5:$W$9,MATCH(ROUNDUP((AJ$1)/10,0)*10,[1]Hugst!$R$4:$W$4,0))))</f>
        <v>0</v>
      </c>
    </row>
    <row r="311" spans="1:36" x14ac:dyDescent="0.25">
      <c r="A311" s="169" t="s">
        <v>180</v>
      </c>
      <c r="B311" s="169" t="s">
        <v>24</v>
      </c>
      <c r="C311" s="169">
        <v>2050</v>
      </c>
      <c r="D311" s="169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550.09771350694427</v>
      </c>
      <c r="E311" s="169">
        <f ca="1">IF(C311=2020,SUM(G311:AJ311),SUM(F310:AJ310)-SUM(G311:AJ311))</f>
        <v>4.4397530911955982</v>
      </c>
      <c r="F311" s="169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826.95834860388425</v>
      </c>
      <c r="G311" s="169">
        <f ca="1">IF($C311-G$1&lt;År1,0,F310*(1-VLOOKUP($A311,[1]Hugst!$R$5:$W$9,MATCH(ROUNDUP((G$1)/10,0)*10,[1]Hugst!$R$4:$W$4,0))))</f>
        <v>828.05694136258319</v>
      </c>
      <c r="H311" s="169">
        <f ca="1">IF($C311-H$1&lt;År1,0,G310*(1-VLOOKUP($A311,[1]Hugst!$R$5:$W$9,MATCH(ROUNDUP((H$1)/10,0)*10,[1]Hugst!$R$4:$W$4,0))))</f>
        <v>830.54165084462841</v>
      </c>
      <c r="I311" s="169">
        <f ca="1">IF($C311-I$1&lt;År1,0,H310*(1-VLOOKUP($A311,[1]Hugst!$R$5:$W$9,MATCH(ROUNDUP((I$1)/10,0)*10,[1]Hugst!$R$4:$W$4,0))))</f>
        <v>833.03940785602083</v>
      </c>
      <c r="J311" s="169">
        <f ca="1">IF($C311-J$1&lt;År1,0,I310*(1-VLOOKUP($A311,[1]Hugst!$R$5:$W$9,MATCH(ROUNDUP((J$1)/10,0)*10,[1]Hugst!$R$4:$W$4,0))))</f>
        <v>835.5504857443226</v>
      </c>
      <c r="K311" s="169">
        <f ca="1">IF($C311-K$1&lt;År1,0,J310*(1-VLOOKUP($A311,[1]Hugst!$R$5:$W$9,MATCH(ROUNDUP((K$1)/10,0)*10,[1]Hugst!$R$4:$W$4,0))))</f>
        <v>838.07536689477058</v>
      </c>
      <c r="L311" s="169">
        <f ca="1">IF($C311-L$1&lt;År1,0,K310*(1-VLOOKUP($A311,[1]Hugst!$R$5:$W$9,MATCH(ROUNDUP((L$1)/10,0)*10,[1]Hugst!$R$4:$W$4,0))))</f>
        <v>840.61495144495586</v>
      </c>
      <c r="M311" s="169">
        <f ca="1">IF($C311-M$1&lt;År1,0,L310*(1-VLOOKUP($A311,[1]Hugst!$R$5:$W$9,MATCH(ROUNDUP((M$1)/10,0)*10,[1]Hugst!$R$4:$W$4,0))))</f>
        <v>843.17097471208365</v>
      </c>
      <c r="N311" s="169">
        <f ca="1">IF($C311-N$1&lt;År1,0,M310*(1-VLOOKUP($A311,[1]Hugst!$R$5:$W$9,MATCH(ROUNDUP((N$1)/10,0)*10,[1]Hugst!$R$4:$W$4,0))))</f>
        <v>845.74684204625248</v>
      </c>
      <c r="O311" s="169">
        <f ca="1">IF($C311-O$1&lt;År1,0,N310*(1-VLOOKUP($A311,[1]Hugst!$R$5:$W$9,MATCH(ROUNDUP((O$1)/10,0)*10,[1]Hugst!$R$4:$W$4,0))))</f>
        <v>848.34929853523829</v>
      </c>
      <c r="P311" s="169">
        <f ca="1">IF($C311-P$1&lt;År1,0,O310*(1-VLOOKUP($A311,[1]Hugst!$R$5:$W$9,MATCH(ROUNDUP((P$1)/10,0)*10,[1]Hugst!$R$4:$W$4,0))))</f>
        <v>850.99176841247538</v>
      </c>
      <c r="Q311" s="169">
        <f ca="1">IF($C311-Q$1&lt;År1,0,P310*(1-VLOOKUP($A311,[1]Hugst!$R$5:$W$9,MATCH(ROUNDUP((Q$1)/10,0)*10,[1]Hugst!$R$4:$W$4,0))))</f>
        <v>853.70103387118218</v>
      </c>
      <c r="R311" s="169">
        <f ca="1">IF($C311-R$1&lt;År1,0,Q310*(1-VLOOKUP($A311,[1]Hugst!$R$5:$W$9,MATCH(ROUNDUP((R$1)/10,0)*10,[1]Hugst!$R$4:$W$4,0))))</f>
        <v>856.6214299308964</v>
      </c>
      <c r="S311" s="169">
        <f ca="1">IF($C311-S$1&lt;År1,0,R310*(1-VLOOKUP($A311,[1]Hugst!$R$5:$W$9,MATCH(ROUNDUP((S$1)/10,0)*10,[1]Hugst!$R$4:$W$4,0))))</f>
        <v>859.55589161912542</v>
      </c>
      <c r="T311" s="169">
        <f ca="1">IF($C311-T$1&lt;År1,0,S310*(1-VLOOKUP($A311,[1]Hugst!$R$5:$W$9,MATCH(ROUNDUP((T$1)/10,0)*10,[1]Hugst!$R$4:$W$4,0))))</f>
        <v>862.50387988887144</v>
      </c>
      <c r="U311" s="169">
        <f ca="1">IF($C311-U$1&lt;År1,0,T310*(1-VLOOKUP($A311,[1]Hugst!$R$5:$W$9,MATCH(ROUNDUP((U$1)/10,0)*10,[1]Hugst!$R$4:$W$4,0))))</f>
        <v>865.46424325579903</v>
      </c>
      <c r="V311" s="169">
        <f ca="1">IF($C311-V$1&lt;År1,0,U310*(1-VLOOKUP($A311,[1]Hugst!$R$5:$W$9,MATCH(ROUNDUP((V$1)/10,0)*10,[1]Hugst!$R$4:$W$4,0))))</f>
        <v>868.43460499205833</v>
      </c>
      <c r="W311" s="169">
        <f ca="1">IF($C311-W$1&lt;År1,0,V310*(1-VLOOKUP($A311,[1]Hugst!$R$5:$W$9,MATCH(ROUNDUP((W$1)/10,0)*10,[1]Hugst!$R$4:$W$4,0))))</f>
        <v>871.41013751226785</v>
      </c>
      <c r="X311" s="169">
        <f ca="1">IF($C311-X$1&lt;År1,0,W310*(1-VLOOKUP($A311,[1]Hugst!$R$5:$W$9,MATCH(ROUNDUP((X$1)/10,0)*10,[1]Hugst!$R$4:$W$4,0))))</f>
        <v>874.38111114330798</v>
      </c>
      <c r="Y311" s="169">
        <f ca="1">IF($C311-Y$1&lt;År1,0,X310*(1-VLOOKUP($A311,[1]Hugst!$R$5:$W$9,MATCH(ROUNDUP((Y$1)/10,0)*10,[1]Hugst!$R$4:$W$4,0))))</f>
        <v>877.32799166229108</v>
      </c>
      <c r="Z311" s="169">
        <f ca="1">IF($C311-Z$1&lt;År1,0,Y310*(1-VLOOKUP($A311,[1]Hugst!$R$5:$W$9,MATCH(ROUNDUP((Z$1)/10,0)*10,[1]Hugst!$R$4:$W$4,0))))</f>
        <v>879.91823149206903</v>
      </c>
      <c r="AA311" s="169">
        <f ca="1">IF($C311-AA$1&lt;År1,0,Z310*(1-VLOOKUP($A311,[1]Hugst!$R$5:$W$9,MATCH(ROUNDUP((AA$1)/10,0)*10,[1]Hugst!$R$4:$W$4,0))))</f>
        <v>882.36514155930524</v>
      </c>
      <c r="AB311" s="169">
        <f ca="1">IF($C311-AB$1&lt;År1,0,AA310*(1-VLOOKUP($A311,[1]Hugst!$R$5:$W$9,MATCH(ROUNDUP((AB$1)/10,0)*10,[1]Hugst!$R$4:$W$4,0))))</f>
        <v>884.51221897956054</v>
      </c>
      <c r="AC311" s="169">
        <f ca="1">IF($C311-AC$1&lt;År1,0,AB310*(1-VLOOKUP($A311,[1]Hugst!$R$5:$W$9,MATCH(ROUNDUP((AC$1)/10,0)*10,[1]Hugst!$R$4:$W$4,0))))</f>
        <v>886.04650023948363</v>
      </c>
      <c r="AD311" s="169">
        <f ca="1">IF($C311-AD$1&lt;År1,0,AC310*(1-VLOOKUP($A311,[1]Hugst!$R$5:$W$9,MATCH(ROUNDUP((AD$1)/10,0)*10,[1]Hugst!$R$4:$W$4,0))))</f>
        <v>886.34220458395112</v>
      </c>
      <c r="AE311" s="169">
        <f ca="1">IF($C311-AE$1&lt;År1,0,AD310*(1-VLOOKUP($A311,[1]Hugst!$R$5:$W$9,MATCH(ROUNDUP((AE$1)/10,0)*10,[1]Hugst!$R$4:$W$4,0))))</f>
        <v>884.14812502639882</v>
      </c>
      <c r="AF311" s="169">
        <f ca="1">IF($C311-AF$1&lt;År1,0,AE310*(1-VLOOKUP($A311,[1]Hugst!$R$5:$W$9,MATCH(ROUNDUP((AF$1)/10,0)*10,[1]Hugst!$R$4:$W$4,0))))</f>
        <v>876.96261877437246</v>
      </c>
      <c r="AG311" s="169">
        <f ca="1">IF($C311-AG$1&lt;År1,0,AF310*(1-VLOOKUP($A311,[1]Hugst!$R$5:$W$9,MATCH(ROUNDUP((AG$1)/10,0)*10,[1]Hugst!$R$4:$W$4,0))))</f>
        <v>859.78400475207832</v>
      </c>
      <c r="AH311" s="169">
        <f ca="1">IF($C311-AH$1&lt;År1,0,AG310*(1-VLOOKUP($A311,[1]Hugst!$R$5:$W$9,MATCH(ROUNDUP((AH$1)/10,0)*10,[1]Hugst!$R$4:$W$4,0))))</f>
        <v>822.61219171254322</v>
      </c>
      <c r="AI311" s="169">
        <f ca="1">IF($C311-AI$1&lt;År1,0,AH310*(1-VLOOKUP($A311,[1]Hugst!$R$5:$W$9,MATCH(ROUNDUP((AI$1)/10,0)*10,[1]Hugst!$R$4:$W$4,0))))</f>
        <v>745.45360004183567</v>
      </c>
      <c r="AJ311" s="169">
        <f ca="1">IF($C311-AJ$1&lt;År1,0,AI310*(1-VLOOKUP($A311,[1]Hugst!$R$5:$W$9,MATCH(ROUNDUP((AJ$1)/10,0)*10,[1]Hugst!$R$4:$W$4,0))))</f>
        <v>586.96109755622069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29" sqref="E29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7" t="s">
        <v>274</v>
      </c>
      <c r="F1" s="75" t="s">
        <v>242</v>
      </c>
    </row>
    <row r="2" spans="1:7" s="321" customFormat="1" x14ac:dyDescent="0.25">
      <c r="A2" s="320"/>
      <c r="C2" s="430" t="s">
        <v>320</v>
      </c>
      <c r="D2" s="430"/>
      <c r="E2" s="430"/>
    </row>
    <row r="3" spans="1:7" s="12" customFormat="1" x14ac:dyDescent="0.25">
      <c r="B3" s="325"/>
      <c r="C3" s="2">
        <f>År1</f>
        <v>2019</v>
      </c>
      <c r="D3" s="2">
        <f>År2</f>
        <v>2030</v>
      </c>
      <c r="E3" s="2">
        <f>År3</f>
        <v>2050</v>
      </c>
      <c r="F3" s="326" t="s">
        <v>321</v>
      </c>
      <c r="G3" s="12" t="s">
        <v>317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2">
        <f>(9.6+43.4+265+84.7+55.6+112.4+6.1+10.5+121.4+27.4+89.4+13.5+12.6+0.4+218.5+0.9+3.9+3.4+5+0.4)*100</f>
        <v>108410.00000000003</v>
      </c>
      <c r="G4" s="431" t="s">
        <v>322</v>
      </c>
    </row>
    <row r="5" spans="1:7" s="12" customFormat="1" x14ac:dyDescent="0.25">
      <c r="A5" s="108" t="s">
        <v>98</v>
      </c>
      <c r="B5" s="2" t="s">
        <v>24</v>
      </c>
      <c r="C5" s="323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431"/>
    </row>
    <row r="6" spans="1:7" s="12" customFormat="1" x14ac:dyDescent="0.25">
      <c r="A6" s="108" t="s">
        <v>99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2">
        <v>600</v>
      </c>
      <c r="G6" s="432" t="s">
        <v>240</v>
      </c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0.8</v>
      </c>
      <c r="E7" s="3">
        <v>1</v>
      </c>
      <c r="F7" s="322">
        <v>200</v>
      </c>
      <c r="G7" s="432"/>
    </row>
    <row r="8" spans="1:7" s="12" customFormat="1" x14ac:dyDescent="0.25">
      <c r="A8" s="318"/>
      <c r="C8" s="12" t="s">
        <v>241</v>
      </c>
      <c r="F8" s="319"/>
    </row>
    <row r="9" spans="1:7" x14ac:dyDescent="0.25">
      <c r="A9" s="318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2">
        <f>År1</f>
        <v>2019</v>
      </c>
      <c r="C11" s="152">
        <f>År2</f>
        <v>2030</v>
      </c>
      <c r="D11" s="152">
        <f>År3</f>
        <v>2050</v>
      </c>
      <c r="E11" s="152">
        <f>År1</f>
        <v>2019</v>
      </c>
      <c r="F11" s="152">
        <f>År2</f>
        <v>2030</v>
      </c>
      <c r="G11" s="152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7" t="s">
        <v>274</v>
      </c>
    </row>
    <row r="2" spans="1:10" ht="15.75" x14ac:dyDescent="0.25">
      <c r="A2" s="225" t="s">
        <v>25</v>
      </c>
    </row>
    <row r="3" spans="1:10" x14ac:dyDescent="0.25">
      <c r="A3" s="6" t="s">
        <v>304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325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208970.92050051555</v>
      </c>
      <c r="J5" s="10">
        <f>SUMIFS('Resultat-Produktion &amp; forbrug'!$N$3:$N$1000,'Resultat-Produktion &amp; forbrug'!$A$3:$A$1000,Adfærd!$G5,'Resultat-Produktion &amp; forbrug'!$D$3:$D$1000,Adfærd!J$4)</f>
        <v>185519.69272735214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323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1" t="s">
        <v>324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316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0" t="s">
        <v>30</v>
      </c>
      <c r="B31" s="309">
        <f>SUM(B17:B30)</f>
        <v>1267</v>
      </c>
      <c r="C31" s="309">
        <f>SUM(C17:C30)</f>
        <v>1267</v>
      </c>
      <c r="D31" s="309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E20" sqref="E20"/>
    </sheetView>
  </sheetViews>
  <sheetFormatPr defaultColWidth="9.140625" defaultRowHeight="12" x14ac:dyDescent="0.2"/>
  <cols>
    <col min="1" max="1" width="15.85546875" style="124" customWidth="1"/>
    <col min="2" max="2" width="10.140625" style="124" bestFit="1" customWidth="1"/>
    <col min="3" max="3" width="10.140625" style="124" customWidth="1"/>
    <col min="4" max="4" width="11.85546875" style="124" bestFit="1" customWidth="1"/>
    <col min="5" max="5" width="11" style="124" customWidth="1"/>
    <col min="6" max="6" width="13.42578125" style="124" customWidth="1"/>
    <col min="7" max="7" width="24.28515625" style="124" customWidth="1"/>
    <col min="8" max="8" width="10" style="124" hidden="1" customWidth="1"/>
    <col min="9" max="12" width="9.28515625" style="124" hidden="1" customWidth="1"/>
    <col min="13" max="13" width="24.28515625" style="124" hidden="1" customWidth="1"/>
    <col min="14" max="14" width="12.7109375" style="124" hidden="1" customWidth="1"/>
    <col min="15" max="15" width="9.28515625" style="124" hidden="1" customWidth="1"/>
    <col min="16" max="16" width="9.85546875" style="124" hidden="1" customWidth="1"/>
    <col min="17" max="22" width="0" style="124" hidden="1" customWidth="1"/>
    <col min="23" max="23" width="2.5703125" style="124" hidden="1" customWidth="1"/>
    <col min="24" max="16384" width="9.140625" style="124"/>
  </cols>
  <sheetData>
    <row r="1" spans="1:29" ht="12.75" thickBot="1" x14ac:dyDescent="0.25">
      <c r="A1" s="226" t="s">
        <v>274</v>
      </c>
    </row>
    <row r="2" spans="1:29" ht="46.5" customHeight="1" x14ac:dyDescent="0.2">
      <c r="A2" s="230" t="s">
        <v>138</v>
      </c>
      <c r="B2" s="230">
        <f>År1</f>
        <v>2019</v>
      </c>
      <c r="C2" s="230">
        <f>År2</f>
        <v>2030</v>
      </c>
      <c r="D2" s="230">
        <f>År3</f>
        <v>2050</v>
      </c>
      <c r="E2" s="122"/>
      <c r="F2" s="436" t="s">
        <v>328</v>
      </c>
      <c r="G2" s="437"/>
      <c r="M2" s="123"/>
      <c r="Z2" s="345" t="s">
        <v>150</v>
      </c>
      <c r="AA2" s="230">
        <f>År1</f>
        <v>2019</v>
      </c>
      <c r="AB2" s="230">
        <f>År2</f>
        <v>2030</v>
      </c>
      <c r="AC2" s="230">
        <f>År3</f>
        <v>2050</v>
      </c>
    </row>
    <row r="3" spans="1:29" x14ac:dyDescent="0.2">
      <c r="A3" s="178" t="s">
        <v>135</v>
      </c>
      <c r="B3" s="231">
        <f>N12/SUMIFS('Resultater - Danmark'!H$3:H$504,'Resultater - Danmark'!$F$3:$F$504,$A3)</f>
        <v>0.16508293217043288</v>
      </c>
      <c r="C3" s="179">
        <v>0.53</v>
      </c>
      <c r="D3" s="179">
        <v>0.53</v>
      </c>
      <c r="E3" s="156"/>
      <c r="F3" s="172" t="s">
        <v>103</v>
      </c>
      <c r="G3" s="173">
        <v>0.85</v>
      </c>
      <c r="H3" s="148"/>
      <c r="N3" s="246"/>
      <c r="Z3" s="178" t="s">
        <v>110</v>
      </c>
      <c r="AA3" s="231">
        <f>SUM(C12:C14)/SUM(C12:C15)</f>
        <v>0.73155031690147754</v>
      </c>
      <c r="AB3" s="231">
        <f>SUM(D12:D14)/SUM(D12:D15)</f>
        <v>0.87023277117099995</v>
      </c>
      <c r="AC3" s="231">
        <f>SUM(E12:E14)/SUM(E12:E15)</f>
        <v>0.84704067590981502</v>
      </c>
    </row>
    <row r="4" spans="1:29" x14ac:dyDescent="0.2">
      <c r="A4" s="178" t="s">
        <v>136</v>
      </c>
      <c r="B4" s="231">
        <f>N13/SUMIFS('Resultater - Danmark'!H$3:H$504,'Resultater - Danmark'!$F$3:$F$504,$A4)</f>
        <v>0.30985833926453143</v>
      </c>
      <c r="C4" s="179">
        <v>0.76</v>
      </c>
      <c r="D4" s="179">
        <v>0.76</v>
      </c>
      <c r="E4" s="156"/>
      <c r="F4" s="172"/>
      <c r="G4" s="173"/>
      <c r="N4" s="246"/>
      <c r="Z4" s="346" t="s">
        <v>202</v>
      </c>
      <c r="AA4" s="178"/>
      <c r="AB4" s="178"/>
      <c r="AC4" s="178"/>
    </row>
    <row r="5" spans="1:29" x14ac:dyDescent="0.2">
      <c r="A5" s="178" t="s">
        <v>137</v>
      </c>
      <c r="B5" s="231">
        <v>0.5</v>
      </c>
      <c r="C5" s="179">
        <v>0.5</v>
      </c>
      <c r="D5" s="179">
        <v>0.5</v>
      </c>
      <c r="E5" s="156"/>
      <c r="F5" s="172"/>
      <c r="G5" s="173"/>
      <c r="H5" s="125"/>
      <c r="N5" s="246"/>
      <c r="Z5" s="178" t="s">
        <v>135</v>
      </c>
      <c r="AA5" s="347">
        <f t="shared" ref="AA5:AC6" si="0">C12/C$29</f>
        <v>0.22267199142680771</v>
      </c>
      <c r="AB5" s="347">
        <f t="shared" si="0"/>
        <v>0.33842306979707582</v>
      </c>
      <c r="AC5" s="347">
        <f t="shared" si="0"/>
        <v>0.28904381915900135</v>
      </c>
    </row>
    <row r="6" spans="1:29" x14ac:dyDescent="0.2">
      <c r="A6" s="178" t="s">
        <v>140</v>
      </c>
      <c r="B6" s="231">
        <f>N15/SUMIFS('Resultater - Danmark'!H$3:H$504,'Resultater - Danmark'!$F$3:$F$504,$A6)</f>
        <v>0.37924884410556858</v>
      </c>
      <c r="C6" s="179">
        <v>0.37924884410556858</v>
      </c>
      <c r="D6" s="179">
        <v>0.37924884410556858</v>
      </c>
      <c r="E6" s="156"/>
      <c r="F6" s="172"/>
      <c r="G6" s="173"/>
      <c r="H6" s="126"/>
      <c r="Z6" s="348" t="s">
        <v>136</v>
      </c>
      <c r="AA6" s="347">
        <f t="shared" si="0"/>
        <v>0.33257225498473725</v>
      </c>
      <c r="AB6" s="347">
        <f t="shared" si="0"/>
        <v>0.40995579467865068</v>
      </c>
      <c r="AC6" s="347">
        <f t="shared" si="0"/>
        <v>0.40190425250370293</v>
      </c>
    </row>
    <row r="7" spans="1:29" x14ac:dyDescent="0.2">
      <c r="A7" s="178" t="s">
        <v>101</v>
      </c>
      <c r="B7" s="231">
        <f>N16/SUMIFS('Resultater - Danmark'!H$3:H$504,'Resultater - Danmark'!$F$3:$F$504,$A7)</f>
        <v>0.25812101313640656</v>
      </c>
      <c r="C7" s="179">
        <v>0.5</v>
      </c>
      <c r="D7" s="179">
        <v>0.5</v>
      </c>
      <c r="F7" s="172"/>
      <c r="G7" s="174"/>
      <c r="N7" s="157"/>
    </row>
    <row r="8" spans="1:29" ht="12.75" thickBot="1" x14ac:dyDescent="0.25">
      <c r="A8" s="178" t="s">
        <v>208</v>
      </c>
      <c r="B8" s="231">
        <v>0</v>
      </c>
      <c r="C8" s="179">
        <v>0.1</v>
      </c>
      <c r="D8" s="179">
        <v>0.2</v>
      </c>
      <c r="F8" s="175"/>
      <c r="G8" s="176"/>
      <c r="I8" s="157"/>
    </row>
    <row r="10" spans="1:29" ht="23.45" customHeight="1" x14ac:dyDescent="0.2">
      <c r="A10" s="127"/>
      <c r="B10" s="128"/>
      <c r="C10" s="434" t="s">
        <v>210</v>
      </c>
      <c r="D10" s="434"/>
      <c r="E10" s="434"/>
      <c r="F10" s="433" t="s">
        <v>329</v>
      </c>
      <c r="G10" s="433"/>
      <c r="J10" s="435" t="s">
        <v>211</v>
      </c>
      <c r="K10" s="435"/>
      <c r="L10" s="435"/>
    </row>
    <row r="11" spans="1:29" x14ac:dyDescent="0.2">
      <c r="C11" s="129">
        <f>År1</f>
        <v>2019</v>
      </c>
      <c r="D11" s="129">
        <f>År2</f>
        <v>2030</v>
      </c>
      <c r="E11" s="129">
        <f>År3</f>
        <v>2050</v>
      </c>
      <c r="F11" s="129">
        <v>2030</v>
      </c>
      <c r="G11" s="129">
        <v>2050</v>
      </c>
      <c r="H11" s="129" t="s">
        <v>105</v>
      </c>
      <c r="I11" s="129" t="s">
        <v>144</v>
      </c>
      <c r="J11" s="129">
        <f>År1</f>
        <v>2019</v>
      </c>
      <c r="K11" s="129">
        <f>År2</f>
        <v>2030</v>
      </c>
      <c r="L11" s="129">
        <f>År3</f>
        <v>2050</v>
      </c>
      <c r="M11" s="123" t="s">
        <v>214</v>
      </c>
    </row>
    <row r="12" spans="1:29" x14ac:dyDescent="0.2">
      <c r="A12" s="130" t="s">
        <v>135</v>
      </c>
      <c r="B12" s="130" t="s">
        <v>139</v>
      </c>
      <c r="C12" s="131">
        <f>SUMIFS('Resultater - Danmark'!H$3:H$504,'Resultater - Danmark'!$F$3:$F$504,$A12)*B3</f>
        <v>2914869.3333333335</v>
      </c>
      <c r="D12" s="131">
        <f>SUMIFS('Resultater - Danmark'!I$3:I$504,'Resultater - Danmark'!$F$3:$F$504,$A12)*C3</f>
        <v>8408895.3802456073</v>
      </c>
      <c r="E12" s="131">
        <f>SUMIFS('Resultater - Danmark'!J$3:J$504,'Resultater - Danmark'!$F$3:$F$504,$A12)*D3</f>
        <v>6682868.7988739824</v>
      </c>
      <c r="F12" s="239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7456944.959840443</v>
      </c>
      <c r="G12" s="239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5926317.6140957959</v>
      </c>
      <c r="H12" s="132">
        <f>VLOOKUP(A12,[1]Biogasudbytte!$A$2:$C$18,3,FALSE)</f>
        <v>0.05</v>
      </c>
      <c r="I12" s="133">
        <f>VLOOKUP(A12,[1]Biogasudbytte!$A$2:$C$18,2,FALSE)*IFERROR(VLOOKUP(A12,$F$3:$G$8,2,FALSE),1)</f>
        <v>12</v>
      </c>
      <c r="J12" s="132">
        <f t="shared" ref="J12:J28" si="1">C12/C$29</f>
        <v>0.22267199142680771</v>
      </c>
      <c r="K12" s="132">
        <f t="shared" ref="K12:K28" si="2">D12/D$29</f>
        <v>0.33842306979707582</v>
      </c>
      <c r="L12" s="132">
        <f t="shared" ref="L12:L28" si="3">E12/E$29</f>
        <v>0.28904381915900135</v>
      </c>
      <c r="M12" s="124" t="s">
        <v>212</v>
      </c>
      <c r="N12" s="124">
        <f>S12+2/3*T12</f>
        <v>2914869.3333333335</v>
      </c>
      <c r="O12" s="150">
        <f t="shared" ref="O12:O16" si="4">N12-C12</f>
        <v>0</v>
      </c>
      <c r="P12" s="139">
        <f>C12*I12</f>
        <v>34978432</v>
      </c>
      <c r="Q12" s="124">
        <f>P12*35.9/1000000000</f>
        <v>1.2557257088</v>
      </c>
      <c r="S12" s="124">
        <v>2517134</v>
      </c>
      <c r="T12" s="124">
        <v>596603</v>
      </c>
      <c r="Y12" s="150"/>
      <c r="Z12" s="150"/>
      <c r="AA12" s="150"/>
    </row>
    <row r="13" spans="1:29" x14ac:dyDescent="0.2">
      <c r="A13" s="125" t="s">
        <v>136</v>
      </c>
      <c r="B13" s="125" t="s">
        <v>139</v>
      </c>
      <c r="C13" s="134">
        <f>SUMIFS('Resultater - Danmark'!H$3:H$504,'Resultater - Danmark'!$F$3:$F$504,$A13)*B4</f>
        <v>4353509.666666667</v>
      </c>
      <c r="D13" s="134">
        <f>SUMIFS('Resultater - Danmark'!I$3:I$504,'Resultater - Danmark'!$F$3:$F$504,$A13)*C4</f>
        <v>10186289.575486882</v>
      </c>
      <c r="E13" s="134">
        <f>SUMIFS('Resultater - Danmark'!J$3:J$504,'Resultater - Danmark'!$F$3:$F$504,$A13)*D4</f>
        <v>9292270.6218266636</v>
      </c>
      <c r="F13" s="240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3216723.0238379613</v>
      </c>
      <c r="G13" s="240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2934401.2489978932</v>
      </c>
      <c r="H13" s="135">
        <f>VLOOKUP(A13,[1]Biogasudbytte!$A$2:$C$18,3,FALSE)</f>
        <v>7.5999999999999998E-2</v>
      </c>
      <c r="I13" s="136">
        <f>VLOOKUP(A13,[1]Biogasudbytte!$A$2:$C$18,2,FALSE)*IFERROR(VLOOKUP(A13,$F$3:$G$8,2,FALSE),1)</f>
        <v>14.1</v>
      </c>
      <c r="J13" s="135">
        <f t="shared" si="1"/>
        <v>0.33257225498473725</v>
      </c>
      <c r="K13" s="135">
        <f t="shared" si="2"/>
        <v>0.40995579467865068</v>
      </c>
      <c r="L13" s="135">
        <f t="shared" si="3"/>
        <v>0.40190425250370293</v>
      </c>
      <c r="M13" s="124" t="s">
        <v>213</v>
      </c>
      <c r="N13" s="124">
        <f>S13+1/3*T13</f>
        <v>4353509.666666667</v>
      </c>
      <c r="O13" s="150">
        <f t="shared" si="4"/>
        <v>0</v>
      </c>
      <c r="P13" s="139">
        <f t="shared" ref="P13:P28" si="5">C13*I13</f>
        <v>61384486.300000004</v>
      </c>
      <c r="Q13" s="124">
        <f t="shared" ref="Q13:Q28" si="6">P13*35.9/1000000000</f>
        <v>2.2037030581699999</v>
      </c>
      <c r="S13" s="124">
        <v>4154642</v>
      </c>
      <c r="T13" s="124">
        <v>596603</v>
      </c>
    </row>
    <row r="14" spans="1:29" x14ac:dyDescent="0.2">
      <c r="A14" s="125" t="s">
        <v>137</v>
      </c>
      <c r="B14" s="125" t="s">
        <v>139</v>
      </c>
      <c r="C14" s="134">
        <f>SUMIFS('Resultater - Danmark'!H$3:H$504,'Resultater - Danmark'!$F$3:$F$504,$A14)*B5</f>
        <v>4441.5</v>
      </c>
      <c r="D14" s="134">
        <f>SUMIFS('Resultater - Danmark'!I$3:I$504,'Resultater - Danmark'!$F$3:$F$504,$A14)*C5</f>
        <v>4801.4905255224585</v>
      </c>
      <c r="E14" s="134">
        <f>SUMIFS('Resultater - Danmark'!J$3:J$504,'Resultater - Danmark'!$F$3:$F$504,$A14)*D5</f>
        <v>5456.0187537451129</v>
      </c>
      <c r="F14" s="240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4801.4905255224585</v>
      </c>
      <c r="G14" s="240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5456.0187537451129</v>
      </c>
      <c r="H14" s="135">
        <f>VLOOKUP(A14,[1]Biogasudbytte!$A$2:$C$18,3,FALSE)</f>
        <v>6.3E-2</v>
      </c>
      <c r="I14" s="136">
        <f>VLOOKUP(A14,[1]Biogasudbytte!$A$2:$C$18,2,FALSE)*IFERROR(VLOOKUP(A14,$F$3:$G$8,2,FALSE),1)</f>
        <v>13.1</v>
      </c>
      <c r="J14" s="135">
        <f t="shared" si="1"/>
        <v>3.3929399119623192E-4</v>
      </c>
      <c r="K14" s="135">
        <f t="shared" si="2"/>
        <v>1.9324002615922947E-4</v>
      </c>
      <c r="L14" s="135">
        <f t="shared" si="3"/>
        <v>2.3598076596256697E-4</v>
      </c>
      <c r="M14" s="127" t="s">
        <v>145</v>
      </c>
      <c r="N14" s="128">
        <v>11417</v>
      </c>
      <c r="O14" s="150">
        <f t="shared" si="4"/>
        <v>6975.5</v>
      </c>
      <c r="P14" s="139">
        <f t="shared" si="5"/>
        <v>58183.65</v>
      </c>
      <c r="Q14" s="124">
        <f t="shared" si="6"/>
        <v>2.0887930350000001E-3</v>
      </c>
    </row>
    <row r="15" spans="1:29" x14ac:dyDescent="0.2">
      <c r="A15" s="125" t="s">
        <v>140</v>
      </c>
      <c r="B15" s="125" t="s">
        <v>139</v>
      </c>
      <c r="C15" s="134">
        <f>SUMIFS('Resultater - Danmark'!H$3:H$504,'Resultater - Danmark'!$F$3:$F$504,$A15)*B6</f>
        <v>2668834</v>
      </c>
      <c r="D15" s="134">
        <f>SUMIFS('Resultater - Danmark'!I$3:I$504,'Resultater - Danmark'!$F$3:$F$504,$A15)*C6</f>
        <v>2773589.7536241808</v>
      </c>
      <c r="E15" s="134">
        <f>SUMIFS('Resultater - Danmark'!J$3:J$504,'Resultater - Danmark'!$F$3:$F$504,$A15)*D6</f>
        <v>2885789.486262986</v>
      </c>
      <c r="F15" s="240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4539787.1932864804</v>
      </c>
      <c r="G15" s="240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4723434.7239489537</v>
      </c>
      <c r="H15" s="135">
        <f>VLOOKUP(A15,[1]Biogasudbytte!$A$2:$C$18,3,FALSE)</f>
        <v>0.06</v>
      </c>
      <c r="I15" s="136">
        <f>VLOOKUP(A15,[1]Biogasudbytte!$A$2:$C$18,2,FALSE)*IFERROR(VLOOKUP(A15,$F$3:$G$8,2,FALSE),1)</f>
        <v>13.9</v>
      </c>
      <c r="J15" s="135">
        <f t="shared" si="1"/>
        <v>0.20387691989197443</v>
      </c>
      <c r="K15" s="135">
        <f t="shared" si="2"/>
        <v>0.111625453324619</v>
      </c>
      <c r="L15" s="135">
        <f t="shared" si="3"/>
        <v>0.12481460275546473</v>
      </c>
      <c r="M15" s="137" t="s">
        <v>294</v>
      </c>
      <c r="N15" s="138">
        <f>SUM(S15:Z15)</f>
        <v>2668834</v>
      </c>
      <c r="O15" s="150">
        <f t="shared" si="4"/>
        <v>0</v>
      </c>
      <c r="P15" s="139">
        <f>C15*I15</f>
        <v>37096792.600000001</v>
      </c>
      <c r="Q15" s="124">
        <f t="shared" si="6"/>
        <v>1.3317748543399999</v>
      </c>
      <c r="S15" s="165">
        <v>2666649</v>
      </c>
      <c r="T15" s="124">
        <v>2185</v>
      </c>
      <c r="U15" s="165" t="s">
        <v>296</v>
      </c>
      <c r="V15" s="127"/>
      <c r="W15" s="127"/>
    </row>
    <row r="16" spans="1:29" x14ac:dyDescent="0.2">
      <c r="A16" s="125" t="s">
        <v>101</v>
      </c>
      <c r="B16" s="125" t="s">
        <v>139</v>
      </c>
      <c r="C16" s="134">
        <f>SUMIFS('Resultater - Danmark'!H$3:H$504,'Resultater - Danmark'!$F$3:$F$504,$A16)*B7</f>
        <v>757087</v>
      </c>
      <c r="D16" s="134">
        <f>SUMIFS('Resultater - Danmark'!I$3:I$504,'Resultater - Danmark'!$F$3:$F$504,$A16)*C7</f>
        <v>1641908.826272649</v>
      </c>
      <c r="E16" s="134">
        <f>SUMIFS('Resultater - Danmark'!J$3:J$504,'Resultater - Danmark'!$F$3:$F$504,$A16)*D7</f>
        <v>1960770.3285865572</v>
      </c>
      <c r="F16" s="240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1641908.826272649</v>
      </c>
      <c r="G16" s="240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1960770.3285865572</v>
      </c>
      <c r="H16" s="135">
        <f>VLOOKUP(A16,[1]Biogasudbytte!$A$2:$C$18,3,FALSE)</f>
        <v>0.3</v>
      </c>
      <c r="I16" s="136">
        <f>VLOOKUP(A16,[1]Biogasudbytte!$A$2:$C$18,2,FALSE)*IFERROR(VLOOKUP(A16,$F$3:$G$8,2,FALSE),1)</f>
        <v>60</v>
      </c>
      <c r="J16" s="135">
        <f t="shared" si="1"/>
        <v>5.7835206554718369E-2</v>
      </c>
      <c r="K16" s="135">
        <f t="shared" si="2"/>
        <v>6.6080002210453681E-2</v>
      </c>
      <c r="L16" s="135">
        <f t="shared" si="3"/>
        <v>8.4806175510104539E-2</v>
      </c>
      <c r="M16" s="244" t="s">
        <v>156</v>
      </c>
      <c r="N16" s="245">
        <v>757087</v>
      </c>
      <c r="O16" s="150">
        <f t="shared" si="4"/>
        <v>0</v>
      </c>
      <c r="P16" s="139">
        <f t="shared" si="5"/>
        <v>45425220</v>
      </c>
      <c r="Q16" s="124">
        <f t="shared" si="6"/>
        <v>1.6307653980000001</v>
      </c>
    </row>
    <row r="17" spans="1:23" x14ac:dyDescent="0.2">
      <c r="A17" s="126" t="s">
        <v>208</v>
      </c>
      <c r="B17" s="125" t="s">
        <v>139</v>
      </c>
      <c r="C17" s="134">
        <f>SUMIFS('Resultater - Danmark'!H$3:H$504,'Resultater - Danmark'!$F$3:$F$504,$A17)*B8</f>
        <v>0</v>
      </c>
      <c r="D17" s="134">
        <f>SUMIFS('Resultater - Danmark'!I$3:I$504,'Resultater - Danmark'!$F$3:$F$504,$A17)*C8</f>
        <v>80512.675855911337</v>
      </c>
      <c r="E17" s="134">
        <f>SUMIFS('Resultater - Danmark'!J$3:J$504,'Resultater - Danmark'!$F$3:$F$504,$A17)*D8</f>
        <v>549380.61172268912</v>
      </c>
      <c r="F17" s="240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724614.08270320203</v>
      </c>
      <c r="G17" s="240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2197522.4468907565</v>
      </c>
      <c r="H17" s="135">
        <f>VLOOKUP(A17,[1]Biogasudbytte!$A$2:$C$18,3,FALSE)</f>
        <v>4.2763387558472386E-2</v>
      </c>
      <c r="I17" s="136">
        <f>VLOOKUP(A17,[1]Biogasudbytte!$A$2:$C$18,2,FALSE)*IFERROR(VLOOKUP(A17,$F$3:$G$8,2,FALSE),1)</f>
        <v>15.822453396634783</v>
      </c>
      <c r="J17" s="135">
        <f t="shared" si="1"/>
        <v>0</v>
      </c>
      <c r="K17" s="135">
        <f t="shared" si="2"/>
        <v>3.2403003829426379E-3</v>
      </c>
      <c r="L17" s="135">
        <f t="shared" si="3"/>
        <v>2.3761512452704497E-2</v>
      </c>
      <c r="M17" s="124" t="s">
        <v>149</v>
      </c>
      <c r="N17" s="139"/>
      <c r="O17" s="150"/>
      <c r="P17" s="139">
        <f t="shared" si="5"/>
        <v>0</v>
      </c>
      <c r="Q17" s="124">
        <f t="shared" si="6"/>
        <v>0</v>
      </c>
    </row>
    <row r="18" spans="1:23" x14ac:dyDescent="0.2">
      <c r="A18" s="125" t="s">
        <v>102</v>
      </c>
      <c r="B18" s="125" t="s">
        <v>139</v>
      </c>
      <c r="C18" s="247">
        <f t="shared" ref="C18" si="7">N18</f>
        <v>729134</v>
      </c>
      <c r="D18" s="248">
        <v>363995</v>
      </c>
      <c r="E18" s="248">
        <v>369777</v>
      </c>
      <c r="F18" s="240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0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5">
        <f>VLOOKUP(A18,[1]Biogasudbytte!$A$2:$C$18,3,FALSE)</f>
        <v>0.28000000000000003</v>
      </c>
      <c r="I18" s="136">
        <f>VLOOKUP(A18,[1]Biogasudbytte!$A$2:$C$18,2,FALSE)*IFERROR(VLOOKUP(A18,$F$3:$G$8,2,FALSE),1)</f>
        <v>94.9</v>
      </c>
      <c r="J18" s="135">
        <f t="shared" si="1"/>
        <v>5.5699827755684647E-2</v>
      </c>
      <c r="K18" s="135">
        <f t="shared" si="2"/>
        <v>1.4649285039289981E-2</v>
      </c>
      <c r="L18" s="135">
        <f t="shared" si="3"/>
        <v>1.5993394384035624E-2</v>
      </c>
      <c r="M18" s="159" t="s">
        <v>292</v>
      </c>
      <c r="N18" s="160">
        <f>SUM(S18:Z18)</f>
        <v>729134</v>
      </c>
      <c r="O18" s="150">
        <f>N18-C18</f>
        <v>0</v>
      </c>
      <c r="P18" s="139">
        <f>C18*I18</f>
        <v>69194816.600000009</v>
      </c>
      <c r="Q18" s="124">
        <f>P18*35.9/1000000000</f>
        <v>2.48409391594</v>
      </c>
      <c r="S18" s="124">
        <v>338470</v>
      </c>
      <c r="T18" s="124">
        <v>199809</v>
      </c>
      <c r="U18" s="124">
        <v>60011</v>
      </c>
      <c r="V18" s="124">
        <v>44821</v>
      </c>
      <c r="W18" s="124">
        <v>86023</v>
      </c>
    </row>
    <row r="19" spans="1:23" x14ac:dyDescent="0.2">
      <c r="A19" s="125" t="s">
        <v>103</v>
      </c>
      <c r="B19" s="125" t="s">
        <v>139</v>
      </c>
      <c r="C19" s="247">
        <f>N19</f>
        <v>995654</v>
      </c>
      <c r="D19" s="248">
        <v>720407</v>
      </c>
      <c r="E19" s="248">
        <v>707407</v>
      </c>
      <c r="F19" s="240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-0.2952219519065693</v>
      </c>
      <c r="G19" s="240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-9.5137343159876764E-2</v>
      </c>
      <c r="H19" s="135">
        <f>VLOOKUP(A19,[1]Biogasudbytte!$A$2:$C$18,3,FALSE)</f>
        <v>0.42</v>
      </c>
      <c r="I19" s="136">
        <f>VLOOKUP(A19,[1]Biogasudbytte!$A$2:$C$18,2,FALSE)*IFERROR(VLOOKUP(A19,$F$3:$G$8,2,FALSE),1)</f>
        <v>102.595</v>
      </c>
      <c r="J19" s="135">
        <f t="shared" si="1"/>
        <v>7.6059758980185313E-2</v>
      </c>
      <c r="K19" s="135">
        <f t="shared" si="2"/>
        <v>2.8993385863266739E-2</v>
      </c>
      <c r="L19" s="135">
        <f t="shared" si="3"/>
        <v>3.0596384147817436E-2</v>
      </c>
      <c r="M19" s="161" t="s">
        <v>293</v>
      </c>
      <c r="N19" s="162">
        <f>SUM(S19:Z19)</f>
        <v>995654</v>
      </c>
      <c r="O19" s="150">
        <f>N19-C19</f>
        <v>0</v>
      </c>
      <c r="P19" s="139">
        <f>C19*I19</f>
        <v>102149122.13</v>
      </c>
      <c r="Q19" s="124">
        <f>P19*35.9/1000000000</f>
        <v>3.6671534844669997</v>
      </c>
      <c r="S19" s="124">
        <v>995654</v>
      </c>
    </row>
    <row r="20" spans="1:23" x14ac:dyDescent="0.2">
      <c r="A20" s="125" t="s">
        <v>67</v>
      </c>
      <c r="B20" s="125" t="s">
        <v>139</v>
      </c>
      <c r="C20" s="247">
        <f>N20</f>
        <v>75934</v>
      </c>
      <c r="D20" s="248">
        <v>75934</v>
      </c>
      <c r="E20" s="248">
        <v>75934</v>
      </c>
      <c r="F20" s="240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2128785.2884938968</v>
      </c>
      <c r="G20" s="240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890493.72431036097</v>
      </c>
      <c r="H20" s="135">
        <f>VLOOKUP(A20,[1]Biogasudbytte!$A$2:$C$18,3,FALSE)</f>
        <v>0.85</v>
      </c>
      <c r="I20" s="136">
        <f>VLOOKUP(A20,[1]Biogasudbytte!$A$2:$C$18,2,FALSE)*IFERROR(VLOOKUP(A20,$F$3:$G$8,2,FALSE),1)</f>
        <v>160.6</v>
      </c>
      <c r="J20" s="135">
        <f t="shared" si="1"/>
        <v>5.8007317184497744E-3</v>
      </c>
      <c r="K20" s="135">
        <f t="shared" si="2"/>
        <v>3.0560277206374961E-3</v>
      </c>
      <c r="L20" s="135">
        <f t="shared" si="3"/>
        <v>3.2842562116014813E-3</v>
      </c>
      <c r="M20" s="124" t="s">
        <v>146</v>
      </c>
      <c r="N20" s="139">
        <v>75934</v>
      </c>
      <c r="O20" s="150">
        <f t="shared" ref="O20:O28" si="8">N20-C20</f>
        <v>0</v>
      </c>
      <c r="P20" s="139">
        <f t="shared" si="5"/>
        <v>12195000.4</v>
      </c>
      <c r="Q20" s="124">
        <f t="shared" si="6"/>
        <v>0.43780051436</v>
      </c>
    </row>
    <row r="21" spans="1:23" x14ac:dyDescent="0.2">
      <c r="A21" s="125" t="s">
        <v>48</v>
      </c>
      <c r="B21" s="125" t="s">
        <v>139</v>
      </c>
      <c r="C21" s="247">
        <f t="shared" ref="C21:C28" si="9">N21</f>
        <v>3786</v>
      </c>
      <c r="D21" s="248">
        <v>3786</v>
      </c>
      <c r="E21" s="248">
        <v>3786</v>
      </c>
      <c r="F21" s="240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787503.19758674072</v>
      </c>
      <c r="G21" s="240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115029.66699762607</v>
      </c>
      <c r="H21" s="135">
        <f>VLOOKUP(A21,[1]Biogasudbytte!$A$2:$C$18,3,FALSE)</f>
        <v>0.31</v>
      </c>
      <c r="I21" s="136">
        <f>VLOOKUP(A21,[1]Biogasudbytte!$A$2:$C$18,2,FALSE)*IFERROR(VLOOKUP(A21,$F$3:$G$8,2,FALSE),1)</f>
        <v>95.4</v>
      </c>
      <c r="J21" s="135">
        <f t="shared" si="1"/>
        <v>2.8921919411661239E-4</v>
      </c>
      <c r="K21" s="135">
        <f t="shared" si="2"/>
        <v>1.5237075552892722E-4</v>
      </c>
      <c r="L21" s="135">
        <f t="shared" si="3"/>
        <v>1.6375001997949809E-4</v>
      </c>
      <c r="M21" s="124" t="s">
        <v>157</v>
      </c>
      <c r="N21" s="139">
        <v>3786</v>
      </c>
      <c r="O21" s="150">
        <f t="shared" si="8"/>
        <v>0</v>
      </c>
      <c r="P21" s="139">
        <f t="shared" si="5"/>
        <v>361184.4</v>
      </c>
      <c r="Q21" s="124">
        <f t="shared" si="6"/>
        <v>1.2966519960000001E-2</v>
      </c>
    </row>
    <row r="22" spans="1:23" x14ac:dyDescent="0.2">
      <c r="A22" s="125" t="s">
        <v>51</v>
      </c>
      <c r="B22" s="125" t="s">
        <v>139</v>
      </c>
      <c r="C22" s="247">
        <f t="shared" si="9"/>
        <v>85677</v>
      </c>
      <c r="D22" s="248">
        <v>85677</v>
      </c>
      <c r="E22" s="248">
        <v>85677</v>
      </c>
      <c r="F22" s="240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19350672.623317026</v>
      </c>
      <c r="G22" s="240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29163070.644929633</v>
      </c>
      <c r="H22" s="135">
        <f>VLOOKUP(A22,[1]Biogasudbytte!$A$2:$C$18,3,FALSE)</f>
        <v>0.28000000000000003</v>
      </c>
      <c r="I22" s="136">
        <f>VLOOKUP(A22,[1]Biogasudbytte!$A$2:$C$18,2,FALSE)*IFERROR(VLOOKUP(A22,$F$3:$G$8,2,FALSE),1)</f>
        <v>51.25</v>
      </c>
      <c r="J22" s="135">
        <f t="shared" si="1"/>
        <v>6.5450166123425784E-3</v>
      </c>
      <c r="K22" s="135">
        <f t="shared" si="2"/>
        <v>3.4481429533681717E-3</v>
      </c>
      <c r="L22" s="135">
        <f t="shared" si="3"/>
        <v>3.7056551668736021E-3</v>
      </c>
      <c r="M22" s="163" t="s">
        <v>295</v>
      </c>
      <c r="N22" s="164">
        <f>SUM(S22:Z22)</f>
        <v>85677</v>
      </c>
      <c r="O22" s="150">
        <f t="shared" si="8"/>
        <v>0</v>
      </c>
      <c r="P22" s="139">
        <f t="shared" si="5"/>
        <v>4390946.25</v>
      </c>
      <c r="Q22" s="124">
        <f t="shared" si="6"/>
        <v>0.15763497037499999</v>
      </c>
      <c r="S22" s="124">
        <v>66010</v>
      </c>
      <c r="T22" s="124">
        <v>2139</v>
      </c>
      <c r="U22" s="124">
        <v>14273</v>
      </c>
      <c r="V22" s="124">
        <v>3255</v>
      </c>
    </row>
    <row r="23" spans="1:23" x14ac:dyDescent="0.2">
      <c r="A23" s="125" t="s">
        <v>53</v>
      </c>
      <c r="B23" s="125" t="s">
        <v>139</v>
      </c>
      <c r="C23" s="247">
        <f t="shared" si="9"/>
        <v>330026</v>
      </c>
      <c r="D23" s="248">
        <v>330026</v>
      </c>
      <c r="E23" s="248">
        <v>330026</v>
      </c>
      <c r="F23" s="240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77153.344535717741</v>
      </c>
      <c r="G23" s="240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476638.98467432125</v>
      </c>
      <c r="H23" s="135">
        <f>VLOOKUP(A23,[1]Biogasudbytte!$A$2:$C$18,3,FALSE)</f>
        <v>0.3</v>
      </c>
      <c r="I23" s="136">
        <f>VLOOKUP(A23,[1]Biogasudbytte!$A$2:$C$18,2,FALSE)*IFERROR(VLOOKUP(A23,$F$3:$G$8,2,FALSE),1)</f>
        <v>100</v>
      </c>
      <c r="J23" s="135">
        <f t="shared" si="1"/>
        <v>2.5211266180012976E-2</v>
      </c>
      <c r="K23" s="135">
        <f t="shared" si="2"/>
        <v>1.3282174052876317E-2</v>
      </c>
      <c r="L23" s="135">
        <f t="shared" si="3"/>
        <v>1.4274105677166887E-2</v>
      </c>
      <c r="M23" s="124" t="s">
        <v>147</v>
      </c>
      <c r="N23" s="139">
        <v>330026</v>
      </c>
      <c r="O23" s="150">
        <f t="shared" si="8"/>
        <v>0</v>
      </c>
      <c r="P23" s="139">
        <f t="shared" si="5"/>
        <v>33002600</v>
      </c>
      <c r="Q23" s="124">
        <f t="shared" si="6"/>
        <v>1.1847933399999999</v>
      </c>
    </row>
    <row r="24" spans="1:23" x14ac:dyDescent="0.2">
      <c r="A24" s="125" t="s">
        <v>52</v>
      </c>
      <c r="B24" s="125" t="s">
        <v>139</v>
      </c>
      <c r="C24" s="247">
        <f t="shared" si="9"/>
        <v>28645</v>
      </c>
      <c r="D24" s="248">
        <v>28645</v>
      </c>
      <c r="E24" s="248">
        <v>28645</v>
      </c>
      <c r="F24" s="240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1489260.4030561692</v>
      </c>
      <c r="G24" s="240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1321216.6579891986</v>
      </c>
      <c r="H24" s="135">
        <f>VLOOKUP(A24,[1]Biogasudbytte!$A$2:$C$18,3,FALSE)</f>
        <v>0.2</v>
      </c>
      <c r="I24" s="136">
        <f>VLOOKUP(A24,[1]Biogasudbytte!$A$2:$C$18,2,FALSE)*IFERROR(VLOOKUP(A24,$F$3:$G$8,2,FALSE),1)</f>
        <v>75.599999999999994</v>
      </c>
      <c r="J24" s="135">
        <f t="shared" si="1"/>
        <v>2.1882418952642265E-3</v>
      </c>
      <c r="K24" s="135">
        <f t="shared" si="2"/>
        <v>1.1528421268161965E-3</v>
      </c>
      <c r="L24" s="135">
        <f t="shared" si="3"/>
        <v>1.2389380143456744E-3</v>
      </c>
      <c r="M24" s="124" t="s">
        <v>148</v>
      </c>
      <c r="N24" s="139">
        <v>28645</v>
      </c>
      <c r="O24" s="150">
        <f t="shared" si="8"/>
        <v>0</v>
      </c>
      <c r="P24" s="139">
        <f t="shared" si="5"/>
        <v>2165562</v>
      </c>
      <c r="Q24" s="124">
        <f t="shared" si="6"/>
        <v>7.7743675799999995E-2</v>
      </c>
    </row>
    <row r="25" spans="1:23" x14ac:dyDescent="0.2">
      <c r="A25" s="126" t="s">
        <v>162</v>
      </c>
      <c r="B25" s="125" t="s">
        <v>139</v>
      </c>
      <c r="C25" s="247">
        <f t="shared" si="9"/>
        <v>78</v>
      </c>
      <c r="D25" s="248">
        <v>78</v>
      </c>
      <c r="E25" s="248">
        <v>78</v>
      </c>
      <c r="F25" s="240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0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5">
        <f>VLOOKUP(A25,[1]Biogasudbytte!$A$2:$C$18,3,FALSE)</f>
        <v>0.3</v>
      </c>
      <c r="I25" s="136">
        <f>VLOOKUP(A25,[1]Biogasudbytte!$A$2:$C$18,2,FALSE)*IFERROR(VLOOKUP(A25,$F$3:$G$8,2,FALSE),1)</f>
        <v>47.3</v>
      </c>
      <c r="J25" s="135">
        <f t="shared" si="1"/>
        <v>5.9585570895657067E-6</v>
      </c>
      <c r="K25" s="135">
        <f t="shared" si="2"/>
        <v>3.1391756289636351E-6</v>
      </c>
      <c r="L25" s="135">
        <f t="shared" si="3"/>
        <v>3.3736137238248416E-6</v>
      </c>
      <c r="M25" s="124" t="s">
        <v>163</v>
      </c>
      <c r="N25" s="139">
        <v>78</v>
      </c>
      <c r="O25" s="150">
        <f t="shared" si="8"/>
        <v>0</v>
      </c>
      <c r="P25" s="139">
        <f t="shared" si="5"/>
        <v>3689.3999999999996</v>
      </c>
      <c r="Q25" s="124">
        <f t="shared" si="6"/>
        <v>1.3244945999999998E-4</v>
      </c>
    </row>
    <row r="26" spans="1:23" x14ac:dyDescent="0.2">
      <c r="A26" s="126" t="s">
        <v>158</v>
      </c>
      <c r="B26" s="126" t="s">
        <v>139</v>
      </c>
      <c r="C26" s="247">
        <f t="shared" si="9"/>
        <v>142742</v>
      </c>
      <c r="D26" s="248">
        <v>142742</v>
      </c>
      <c r="E26" s="248">
        <v>142742</v>
      </c>
      <c r="F26" s="240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0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5">
        <f>VLOOKUP(A26,[1]Biogasudbytte!$A$2:$C$18,3,FALSE)</f>
        <v>0.9</v>
      </c>
      <c r="I26" s="136">
        <f>VLOOKUP(A26,[1]Biogasudbytte!$A$2:$C$18,2,FALSE)*IFERROR(VLOOKUP(A26,$F$3:$G$8,2,FALSE),1)</f>
        <v>423.36</v>
      </c>
      <c r="J26" s="135">
        <f t="shared" si="1"/>
        <v>1.090431225742036E-2</v>
      </c>
      <c r="K26" s="135">
        <f t="shared" si="2"/>
        <v>5.7447718926862462E-3</v>
      </c>
      <c r="L26" s="135">
        <f t="shared" si="3"/>
        <v>6.1737996175154561E-3</v>
      </c>
      <c r="M26" s="124" t="s">
        <v>161</v>
      </c>
      <c r="N26" s="124">
        <v>142742</v>
      </c>
      <c r="O26" s="150">
        <f t="shared" si="8"/>
        <v>0</v>
      </c>
      <c r="P26" s="139">
        <f t="shared" si="5"/>
        <v>60431253.120000005</v>
      </c>
      <c r="Q26" s="124">
        <f t="shared" si="6"/>
        <v>2.169481987008</v>
      </c>
    </row>
    <row r="27" spans="1:23" x14ac:dyDescent="0.2">
      <c r="A27" s="125" t="s">
        <v>106</v>
      </c>
      <c r="B27" s="125" t="s">
        <v>139</v>
      </c>
      <c r="C27" s="247">
        <f t="shared" si="9"/>
        <v>0</v>
      </c>
      <c r="D27" s="248">
        <v>0</v>
      </c>
      <c r="E27" s="248">
        <v>0</v>
      </c>
      <c r="F27" s="240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0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5">
        <f>VLOOKUP(A27,[1]Biogasudbytte!$A$2:$C$18,3,FALSE)</f>
        <v>0.15</v>
      </c>
      <c r="I27" s="136">
        <f>VLOOKUP(A27,[1]Biogasudbytte!$A$2:$C$18,2,FALSE)*IFERROR(VLOOKUP(A27,$F$3:$G$8,2,FALSE),1)</f>
        <v>25</v>
      </c>
      <c r="J27" s="135">
        <f t="shared" si="1"/>
        <v>0</v>
      </c>
      <c r="K27" s="135">
        <f t="shared" si="2"/>
        <v>0</v>
      </c>
      <c r="L27" s="135">
        <f t="shared" si="3"/>
        <v>0</v>
      </c>
      <c r="M27" s="124" t="s">
        <v>149</v>
      </c>
      <c r="O27" s="150">
        <f t="shared" si="8"/>
        <v>0</v>
      </c>
      <c r="P27" s="139">
        <f t="shared" si="5"/>
        <v>0</v>
      </c>
      <c r="Q27" s="124">
        <f t="shared" si="6"/>
        <v>0</v>
      </c>
    </row>
    <row r="28" spans="1:23" ht="12.75" thickBot="1" x14ac:dyDescent="0.25">
      <c r="A28" s="140" t="s">
        <v>99</v>
      </c>
      <c r="B28" s="140" t="s">
        <v>139</v>
      </c>
      <c r="C28" s="249">
        <f t="shared" si="9"/>
        <v>0</v>
      </c>
      <c r="D28" s="250">
        <v>0</v>
      </c>
      <c r="E28" s="250">
        <v>0</v>
      </c>
      <c r="F28" s="241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1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1">
        <f>VLOOKUP(A28,[1]Biogasudbytte!$A$2:$C$18,3,FALSE)</f>
        <v>0.15</v>
      </c>
      <c r="I28" s="142">
        <f>VLOOKUP(A28,[1]Biogasudbytte!$A$2:$C$18,2,FALSE)*IFERROR(VLOOKUP(A28,$F$3:$G$8,2,FALSE),1)</f>
        <v>25</v>
      </c>
      <c r="J28" s="141">
        <f t="shared" si="1"/>
        <v>0</v>
      </c>
      <c r="K28" s="141">
        <f t="shared" si="2"/>
        <v>0</v>
      </c>
      <c r="L28" s="141">
        <f t="shared" si="3"/>
        <v>0</v>
      </c>
      <c r="M28" s="124" t="s">
        <v>149</v>
      </c>
      <c r="O28" s="150">
        <f t="shared" si="8"/>
        <v>0</v>
      </c>
      <c r="P28" s="139">
        <f t="shared" si="5"/>
        <v>0</v>
      </c>
      <c r="Q28" s="124">
        <f t="shared" si="6"/>
        <v>0</v>
      </c>
    </row>
    <row r="29" spans="1:23" x14ac:dyDescent="0.2">
      <c r="A29" s="124" t="s">
        <v>104</v>
      </c>
      <c r="B29" s="124" t="s">
        <v>139</v>
      </c>
      <c r="C29" s="143">
        <f>SUM(C12:C28)</f>
        <v>13090417.5</v>
      </c>
      <c r="D29" s="143">
        <f>SUM(D12:D28)</f>
        <v>24847287.702010751</v>
      </c>
      <c r="E29" s="143">
        <f>SUM(E12:E28)</f>
        <v>23120607.866026621</v>
      </c>
      <c r="F29" s="143"/>
      <c r="G29" s="143"/>
      <c r="H29" s="144"/>
      <c r="I29" s="144"/>
      <c r="J29" s="145">
        <f>SUM(J12:J28)</f>
        <v>1</v>
      </c>
      <c r="K29" s="145">
        <f>SUM(K12:K28)</f>
        <v>1.0000000000000002</v>
      </c>
      <c r="L29" s="145">
        <f>SUM(L12:L28)</f>
        <v>1</v>
      </c>
      <c r="N29" s="124">
        <f>SUM(N12:N28)</f>
        <v>13097393</v>
      </c>
      <c r="P29" s="139">
        <f>SUM(P12:P28)</f>
        <v>462837288.84999996</v>
      </c>
      <c r="Q29" s="124">
        <f>P29*35.9/1000000000</f>
        <v>16.615858669714999</v>
      </c>
    </row>
    <row r="30" spans="1:23" x14ac:dyDescent="0.2">
      <c r="A30" s="146" t="s">
        <v>123</v>
      </c>
      <c r="C30" s="147">
        <f>SUMPRODUCT(C12:C28,$H$12:$H$28)/C29</f>
        <v>0.13822427556900557</v>
      </c>
      <c r="D30" s="147">
        <f>SUMPRODUCT(D12:D28,$H$12:$H$28)/D29</f>
        <v>0.10402587958537875</v>
      </c>
      <c r="E30" s="147">
        <f>SUMPRODUCT(E12:E28,$H$12:$H$28)/E29</f>
        <v>0.1102546790691299</v>
      </c>
      <c r="F30" s="158"/>
      <c r="G30" s="158"/>
    </row>
    <row r="31" spans="1:23" x14ac:dyDescent="0.2">
      <c r="A31" s="146" t="s">
        <v>160</v>
      </c>
      <c r="C31" s="147">
        <f>SUM(C21:C24)/C29</f>
        <v>3.4233743881736389E-2</v>
      </c>
      <c r="D31" s="147">
        <f>SUM(D21:D24)/D29</f>
        <v>1.8035529888589613E-2</v>
      </c>
      <c r="E31" s="147">
        <f>SUM(E21:E24)/E29</f>
        <v>1.9382448878365661E-2</v>
      </c>
      <c r="F31" s="158"/>
      <c r="G31" s="158"/>
    </row>
    <row r="32" spans="1:23" x14ac:dyDescent="0.2">
      <c r="A32" s="124" t="s">
        <v>142</v>
      </c>
      <c r="B32" s="124" t="s">
        <v>143</v>
      </c>
      <c r="C32" s="124">
        <f>SUMPRODUCT(C12:C28,$I$12:$I$28)</f>
        <v>462837288.84999996</v>
      </c>
      <c r="D32" s="124">
        <f>SUMPRODUCT(D12:D28,$I$12:$I$28)</f>
        <v>603941179.55150008</v>
      </c>
      <c r="E32" s="124">
        <f>SUMPRODUCT(E12:E28,$I$12:$I$28)</f>
        <v>597956651.93516374</v>
      </c>
    </row>
    <row r="33" spans="1:15" x14ac:dyDescent="0.2">
      <c r="A33" s="124" t="s">
        <v>142</v>
      </c>
      <c r="B33" s="124" t="s">
        <v>122</v>
      </c>
      <c r="C33" s="124">
        <f>C32*[1]Energiindhold!$C$10</f>
        <v>16.615858669714999</v>
      </c>
      <c r="D33" s="124">
        <f>D32*[1]Energiindhold!$C$10</f>
        <v>21.681488345898856</v>
      </c>
      <c r="E33" s="124">
        <f>E32*[1]Energiindhold!$C$10</f>
        <v>21.46664380447238</v>
      </c>
    </row>
    <row r="34" spans="1:15" x14ac:dyDescent="0.2">
      <c r="C34" s="251"/>
    </row>
    <row r="35" spans="1:15" x14ac:dyDescent="0.2">
      <c r="A35" s="178"/>
      <c r="B35" s="178" t="s">
        <v>27</v>
      </c>
      <c r="C35" s="178" t="s">
        <v>28</v>
      </c>
    </row>
    <row r="36" spans="1:15" x14ac:dyDescent="0.2">
      <c r="A36" s="178" t="s">
        <v>158</v>
      </c>
      <c r="B36" s="179">
        <v>0.8</v>
      </c>
      <c r="C36" s="179">
        <v>0.2</v>
      </c>
    </row>
    <row r="38" spans="1:15" hidden="1" x14ac:dyDescent="0.2">
      <c r="C38" s="129">
        <f>År1</f>
        <v>2019</v>
      </c>
      <c r="D38" s="129">
        <f>År2</f>
        <v>2030</v>
      </c>
      <c r="E38" s="129">
        <f>År3</f>
        <v>2050</v>
      </c>
      <c r="F38" s="129" t="s">
        <v>105</v>
      </c>
      <c r="G38" s="129" t="s">
        <v>144</v>
      </c>
      <c r="K38" s="129">
        <f>År1</f>
        <v>2019</v>
      </c>
      <c r="L38" s="129">
        <f>År2</f>
        <v>2030</v>
      </c>
      <c r="M38" s="129">
        <f>År3</f>
        <v>2050</v>
      </c>
      <c r="N38" s="129" t="s">
        <v>105</v>
      </c>
      <c r="O38" s="129" t="s">
        <v>144</v>
      </c>
    </row>
    <row r="39" spans="1:15" hidden="1" x14ac:dyDescent="0.2">
      <c r="A39" s="130" t="str">
        <f t="shared" ref="A39:A55" si="10">A12</f>
        <v>Svinegylle</v>
      </c>
      <c r="B39" s="130" t="s">
        <v>139</v>
      </c>
      <c r="C39" s="131">
        <f>SUMIFS('Resultater - Vestdanmark'!H$3:H$504,'Resultater - Vestdanmark'!$F$3:$F$504,$A39)*B3</f>
        <v>2534442.072977222</v>
      </c>
      <c r="D39" s="131">
        <f>SUMIFS('Resultater - Vestdanmark'!I$3:I$504,'Resultater - Vestdanmark'!$F$3:$F$504,$A39)*C3</f>
        <v>7344673.3939864142</v>
      </c>
      <c r="E39" s="131">
        <f>SUMIFS('Resultater - Vestdanmark'!J$3:J$504,'Resultater - Vestdanmark'!$F$3:$F$504,$A39)*D3</f>
        <v>5837091.1330279922</v>
      </c>
      <c r="F39" s="132">
        <f>VLOOKUP(A39,[1]Biogasudbytte!$A$2:$C$18,3,FALSE)</f>
        <v>0.05</v>
      </c>
      <c r="G39" s="133">
        <f t="shared" ref="G39:G55" si="11">I12</f>
        <v>12</v>
      </c>
      <c r="I39" s="130" t="str">
        <f>A39</f>
        <v>Svinegylle</v>
      </c>
      <c r="J39" s="130" t="s">
        <v>139</v>
      </c>
      <c r="K39" s="131">
        <f>SUMIFS('Resultater - Østdanmark'!H$3:H$504,'Resultater - Østdanmark'!$F$3:$F$504,$A39)*B3</f>
        <v>380427.26035611134</v>
      </c>
      <c r="L39" s="131">
        <f>SUMIFS('Resultater - Østdanmark'!I$3:I$504,'Resultater - Østdanmark'!$F$3:$F$504,$A39)*C3</f>
        <v>1064221.9862591927</v>
      </c>
      <c r="M39" s="131">
        <f>SUMIFS('Resultater - Østdanmark'!J$3:J$504,'Resultater - Østdanmark'!$F$3:$F$504,$A39)*D3</f>
        <v>845777.6658459896</v>
      </c>
      <c r="N39" s="132">
        <f>VLOOKUP(I39,[1]Biogasudbytte!$A$2:$C$18,3,FALSE)</f>
        <v>0.05</v>
      </c>
      <c r="O39" s="133">
        <f t="shared" ref="O39:O55" si="12">I12</f>
        <v>12</v>
      </c>
    </row>
    <row r="40" spans="1:15" hidden="1" x14ac:dyDescent="0.2">
      <c r="A40" s="125" t="str">
        <f t="shared" si="10"/>
        <v>Kvæggylle</v>
      </c>
      <c r="B40" s="125" t="s">
        <v>139</v>
      </c>
      <c r="C40" s="134">
        <f>SUMIFS('Resultater - Vestdanmark'!H$3:H$504,'Resultater - Vestdanmark'!$F$3:$F$504,$A40)*B4</f>
        <v>4066864.6068164087</v>
      </c>
      <c r="D40" s="134">
        <f>SUMIFS('Resultater - Vestdanmark'!I$3:I$504,'Resultater - Vestdanmark'!$F$3:$F$504,$A40)*C4</f>
        <v>9510350.8087802622</v>
      </c>
      <c r="E40" s="134">
        <f>SUMIFS('Resultater - Vestdanmark'!J$3:J$504,'Resultater - Vestdanmark'!$F$3:$F$504,$A40)*D4</f>
        <v>8675656.8983039409</v>
      </c>
      <c r="F40" s="135">
        <f>VLOOKUP(A40,[1]Biogasudbytte!$A$2:$C$18,3,FALSE)</f>
        <v>7.5999999999999998E-2</v>
      </c>
      <c r="G40" s="136">
        <f t="shared" si="11"/>
        <v>14.1</v>
      </c>
      <c r="I40" s="125" t="str">
        <f t="shared" ref="I40:I55" si="13">A40</f>
        <v>Kvæggylle</v>
      </c>
      <c r="J40" s="125" t="s">
        <v>139</v>
      </c>
      <c r="K40" s="134">
        <f>SUMIFS('Resultater - Østdanmark'!H$3:H$504,'Resultater - Østdanmark'!$F$3:$F$504,$A40)*B4</f>
        <v>286645.05985025823</v>
      </c>
      <c r="L40" s="134">
        <f>SUMIFS('Resultater - Østdanmark'!I$3:I$504,'Resultater - Østdanmark'!$F$3:$F$504,$A40)*C4</f>
        <v>675938.7667066186</v>
      </c>
      <c r="M40" s="134">
        <f>SUMIFS('Resultater - Østdanmark'!J$3:J$504,'Resultater - Østdanmark'!$F$3:$F$504,$A40)*D4</f>
        <v>616613.7235227226</v>
      </c>
      <c r="N40" s="135">
        <f>VLOOKUP(I40,[1]Biogasudbytte!$A$2:$C$18,3,FALSE)</f>
        <v>7.5999999999999998E-2</v>
      </c>
      <c r="O40" s="136">
        <f t="shared" si="12"/>
        <v>14.1</v>
      </c>
    </row>
    <row r="41" spans="1:15" hidden="1" x14ac:dyDescent="0.2">
      <c r="A41" s="125" t="str">
        <f t="shared" si="10"/>
        <v>Fjerkrægylle</v>
      </c>
      <c r="B41" s="125" t="s">
        <v>139</v>
      </c>
      <c r="C41" s="134">
        <f>SUMIFS('Resultater - Vestdanmark'!H$3:H$504,'Resultater - Vestdanmark'!$F$3:$F$504,$A41)*B5</f>
        <v>4103.8061780475591</v>
      </c>
      <c r="D41" s="134">
        <f>SUMIFS('Resultater - Vestdanmark'!I$3:I$504,'Resultater - Vestdanmark'!$F$3:$F$504,$A41)*C5</f>
        <v>4429.7068635263258</v>
      </c>
      <c r="E41" s="134">
        <f>SUMIFS('Resultater - Vestdanmark'!J$3:J$504,'Resultater - Vestdanmark'!$F$3:$F$504,$A41)*D5</f>
        <v>5033.5543916049382</v>
      </c>
      <c r="F41" s="135">
        <f>VLOOKUP(A41,[1]Biogasudbytte!$A$2:$C$18,3,FALSE)</f>
        <v>6.3E-2</v>
      </c>
      <c r="G41" s="136">
        <f t="shared" si="11"/>
        <v>13.1</v>
      </c>
      <c r="I41" s="125" t="str">
        <f t="shared" si="13"/>
        <v>Fjerkrægylle</v>
      </c>
      <c r="J41" s="125" t="s">
        <v>139</v>
      </c>
      <c r="K41" s="134">
        <f>SUMIFS('Resultater - Østdanmark'!H$3:H$504,'Resultater - Østdanmark'!$F$3:$F$504,$A41)*B5</f>
        <v>337.693821952441</v>
      </c>
      <c r="L41" s="134">
        <f>SUMIFS('Resultater - Østdanmark'!I$3:I$504,'Resultater - Østdanmark'!$F$3:$F$504,$A41)*C5</f>
        <v>371.78366199613299</v>
      </c>
      <c r="M41" s="134">
        <f>SUMIFS('Resultater - Østdanmark'!J$3:J$504,'Resultater - Østdanmark'!$F$3:$F$504,$A41)*D5</f>
        <v>422.46436214017427</v>
      </c>
      <c r="N41" s="135">
        <f>VLOOKUP(I41,[1]Biogasudbytte!$A$2:$C$18,3,FALSE)</f>
        <v>6.3E-2</v>
      </c>
      <c r="O41" s="136">
        <f t="shared" si="12"/>
        <v>13.1</v>
      </c>
    </row>
    <row r="42" spans="1:15" hidden="1" x14ac:dyDescent="0.2">
      <c r="A42" s="125" t="str">
        <f t="shared" si="10"/>
        <v>Spildevandsslam</v>
      </c>
      <c r="B42" s="125" t="s">
        <v>139</v>
      </c>
      <c r="C42" s="134">
        <f>SUMIFS('Resultater - Vestdanmark'!H$3:H$504,'Resultater - Vestdanmark'!$F$3:$F$504,$A42)*B6</f>
        <v>1460182.5874658169</v>
      </c>
      <c r="D42" s="134">
        <f>SUMIFS('Resultater - Vestdanmark'!I$3:I$504,'Resultater - Vestdanmark'!$F$3:$F$504,$A42)*C6</f>
        <v>1505476.5706157479</v>
      </c>
      <c r="E42" s="134">
        <f>SUMIFS('Resultater - Vestdanmark'!J$3:J$504,'Resultater - Vestdanmark'!$F$3:$F$504,$A42)*D6</f>
        <v>1558636.1641980347</v>
      </c>
      <c r="F42" s="135">
        <f>VLOOKUP(A42,[1]Biogasudbytte!$A$2:$C$18,3,FALSE)</f>
        <v>0.06</v>
      </c>
      <c r="G42" s="136">
        <f t="shared" si="11"/>
        <v>13.9</v>
      </c>
      <c r="I42" s="125" t="str">
        <f t="shared" si="13"/>
        <v>Spildevandsslam</v>
      </c>
      <c r="J42" s="125" t="s">
        <v>139</v>
      </c>
      <c r="K42" s="134">
        <f>SUMIFS('Resultater - Østdanmark'!H$3:H$504,'Resultater - Østdanmark'!$F$3:$F$504,$A42)*B6</f>
        <v>1208651.4125341829</v>
      </c>
      <c r="L42" s="134">
        <f>SUMIFS('Resultater - Østdanmark'!I$3:I$504,'Resultater - Østdanmark'!$F$3:$F$504,$A42)*C6</f>
        <v>1268113.1830084329</v>
      </c>
      <c r="M42" s="134">
        <f>SUMIFS('Resultater - Østdanmark'!J$3:J$504,'Resultater - Østdanmark'!$F$3:$F$504,$A42)*D6</f>
        <v>1327153.3220649515</v>
      </c>
      <c r="N42" s="135">
        <f>VLOOKUP(I42,[1]Biogasudbytte!$A$2:$C$18,3,FALSE)</f>
        <v>0.06</v>
      </c>
      <c r="O42" s="136">
        <f t="shared" si="12"/>
        <v>13.9</v>
      </c>
    </row>
    <row r="43" spans="1:15" hidden="1" x14ac:dyDescent="0.2">
      <c r="A43" s="125" t="str">
        <f t="shared" si="10"/>
        <v>Dybstrøelse</v>
      </c>
      <c r="B43" s="125" t="s">
        <v>139</v>
      </c>
      <c r="C43" s="134">
        <f>SUMIFS('Resultater - Vestdanmark'!H$3:H$504,'Resultater - Vestdanmark'!$F$3:$F$504,$A43)*B7</f>
        <v>671194.67155029252</v>
      </c>
      <c r="D43" s="134">
        <f>SUMIFS('Resultater - Vestdanmark'!I$3:I$504,'Resultater - Vestdanmark'!$F$3:$F$504,$A43)*C7</f>
        <v>1444885.6485119169</v>
      </c>
      <c r="E43" s="134">
        <f>SUMIFS('Resultater - Vestdanmark'!J$3:J$504,'Resultater - Vestdanmark'!$F$3:$F$504,$A43)*D7</f>
        <v>1721684.5481156046</v>
      </c>
      <c r="F43" s="135">
        <f>VLOOKUP(A43,[1]Biogasudbytte!$A$2:$C$18,3,FALSE)</f>
        <v>0.3</v>
      </c>
      <c r="G43" s="136">
        <f t="shared" si="11"/>
        <v>60</v>
      </c>
      <c r="I43" s="125" t="str">
        <f t="shared" si="13"/>
        <v>Dybstrøelse</v>
      </c>
      <c r="J43" s="125" t="s">
        <v>139</v>
      </c>
      <c r="K43" s="134">
        <f>SUMIFS('Resultater - Østdanmark'!H$3:H$504,'Resultater - Østdanmark'!$F$3:$F$504,$A43)*B7</f>
        <v>85892.328449707566</v>
      </c>
      <c r="L43" s="134">
        <f>SUMIFS('Resultater - Østdanmark'!I$3:I$504,'Resultater - Østdanmark'!$F$3:$F$504,$A43)*C7</f>
        <v>197023.17776073213</v>
      </c>
      <c r="M43" s="134">
        <f>SUMIFS('Resultater - Østdanmark'!J$3:J$504,'Resultater - Østdanmark'!$F$3:$F$504,$A43)*D7</f>
        <v>239085.78047095265</v>
      </c>
      <c r="N43" s="135">
        <f>VLOOKUP(I43,[1]Biogasudbytte!$A$2:$C$18,3,FALSE)</f>
        <v>0.3</v>
      </c>
      <c r="O43" s="136">
        <f t="shared" si="12"/>
        <v>60</v>
      </c>
    </row>
    <row r="44" spans="1:15" hidden="1" x14ac:dyDescent="0.2">
      <c r="A44" s="126" t="str">
        <f t="shared" si="10"/>
        <v>Brun saft</v>
      </c>
      <c r="B44" s="125" t="s">
        <v>139</v>
      </c>
      <c r="C44" s="134">
        <f>SUMIFS('Resultater - Vestdanmark'!H$3:H$504,'Resultater - Vestdanmark'!$F$3:$F$504,$A44)*B8</f>
        <v>0</v>
      </c>
      <c r="D44" s="134">
        <f>SUMIFS('Resultater - Vestdanmark'!I$3:I$504,'Resultater - Vestdanmark'!$F$3:$F$504,$A44)*C8</f>
        <v>71710.809021932539</v>
      </c>
      <c r="E44" s="134">
        <f>SUMIFS('Resultater - Vestdanmark'!J$3:J$504,'Resultater - Vestdanmark'!$F$3:$F$504,$A44)*D8</f>
        <v>489320.81450259848</v>
      </c>
      <c r="F44" s="135">
        <f>VLOOKUP(A44,[1]Biogasudbytte!$A$2:$C$18,3,FALSE)</f>
        <v>4.2763387558472386E-2</v>
      </c>
      <c r="G44" s="136">
        <f t="shared" si="11"/>
        <v>15.822453396634783</v>
      </c>
      <c r="I44" s="126" t="str">
        <f t="shared" si="13"/>
        <v>Brun saft</v>
      </c>
      <c r="J44" s="125" t="s">
        <v>139</v>
      </c>
      <c r="K44" s="134">
        <f>SUMIFS('Resultater - Østdanmark'!H$3:H$504,'Resultater - Østdanmark'!$F$3:$F$504,$A44)*B8</f>
        <v>0</v>
      </c>
      <c r="L44" s="134">
        <f>SUMIFS('Resultater - Østdanmark'!I$3:I$504,'Resultater - Østdanmark'!$F$3:$F$504,$A44)*C8</f>
        <v>8801.8668339788037</v>
      </c>
      <c r="M44" s="134">
        <f>SUMIFS('Resultater - Østdanmark'!J$3:J$504,'Resultater - Østdanmark'!$F$3:$F$504,$A44)*D8</f>
        <v>60059.797220090688</v>
      </c>
      <c r="N44" s="135">
        <f>VLOOKUP(I44,[1]Biogasudbytte!$A$2:$C$18,3,FALSE)</f>
        <v>4.2763387558472386E-2</v>
      </c>
      <c r="O44" s="136">
        <f t="shared" si="12"/>
        <v>15.822453396634783</v>
      </c>
    </row>
    <row r="45" spans="1:15" hidden="1" x14ac:dyDescent="0.2">
      <c r="A45" s="125" t="str">
        <f t="shared" si="10"/>
        <v>Bioaffald</v>
      </c>
      <c r="B45" s="125" t="s">
        <v>139</v>
      </c>
      <c r="C45" s="134">
        <f ca="1">SUMIFS('Resultater - Vestdanmark'!H$3:H$504,'Resultater - Vestdanmark'!$F$3:$F$504,$A45)/SUMIFS('Resultater - Danmark'!H$3:H$504,'Resultater - Danmark'!$F$3:$F$504,$A45)*C18</f>
        <v>393543.64426779439</v>
      </c>
      <c r="D45" s="134">
        <f ca="1">SUMIFS('Resultater - Vestdanmark'!I$3:I$504,'Resultater - Vestdanmark'!$F$3:$F$504,$A45)/SUMIFS('Resultater - Danmark'!I$3:I$504,'Resultater - Danmark'!$F$3:$F$504,$A45)*D18</f>
        <v>195082.24112879002</v>
      </c>
      <c r="E45" s="134">
        <f ca="1">SUMIFS('Resultater - Vestdanmark'!J$3:J$504,'Resultater - Vestdanmark'!$F$3:$F$504,$A45)/SUMIFS('Resultater - Danmark'!J$3:J$504,'Resultater - Danmark'!$F$3:$F$504,$A45)*E18</f>
        <v>197484.23354298095</v>
      </c>
      <c r="F45" s="135">
        <f>VLOOKUP(A45,[1]Biogasudbytte!$A$2:$C$18,3,FALSE)</f>
        <v>0.28000000000000003</v>
      </c>
      <c r="G45" s="136">
        <f t="shared" si="11"/>
        <v>94.9</v>
      </c>
      <c r="I45" s="125" t="str">
        <f t="shared" si="13"/>
        <v>Bioaffald</v>
      </c>
      <c r="J45" s="125" t="s">
        <v>139</v>
      </c>
      <c r="K45" s="134">
        <f ca="1">SUMIFS('Resultater - Østdanmark'!H$3:H$504,'Resultater - Østdanmark'!$F$3:$F$504,$A45)/SUMIFS('Resultater - Danmark'!H$3:H$504,'Resultater - Danmark'!$F$3:$F$504,$A45)*C18</f>
        <v>335590.35573220561</v>
      </c>
      <c r="L45" s="134">
        <f ca="1">SUMIFS('Resultater - Østdanmark'!I$3:I$504,'Resultater - Østdanmark'!$F$3:$F$504,$A45)/SUMIFS('Resultater - Danmark'!I$3:I$504,'Resultater - Danmark'!$F$3:$F$504,$A45)*D18</f>
        <v>168912.75887120995</v>
      </c>
      <c r="M45" s="134">
        <f ca="1">SUMIFS('Resultater - Østdanmark'!J$3:J$504,'Resultater - Østdanmark'!$F$3:$F$504,$A45)/SUMIFS('Resultater - Danmark'!J$3:J$504,'Resultater - Danmark'!$F$3:$F$504,$A45)*E18</f>
        <v>172292.76645701908</v>
      </c>
      <c r="N45" s="135">
        <f>VLOOKUP(I45,[1]Biogasudbytte!$A$2:$C$18,3,FALSE)</f>
        <v>0.28000000000000003</v>
      </c>
      <c r="O45" s="136">
        <f t="shared" si="12"/>
        <v>94.9</v>
      </c>
    </row>
    <row r="46" spans="1:15" hidden="1" x14ac:dyDescent="0.2">
      <c r="A46" s="125" t="str">
        <f t="shared" si="10"/>
        <v>Industriaffald</v>
      </c>
      <c r="B46" s="125" t="s">
        <v>139</v>
      </c>
      <c r="C46" s="134">
        <f>SUMIFS('Resultater - Vestdanmark'!H$3:H$504,'Resultater - Vestdanmark'!$F$3:$F$504,$A46)/SUMIFS('Resultater - Danmark'!H$3:H$504,'Resultater - Danmark'!$F$3:$F$504,$A46)*C19</f>
        <v>716103.75203569303</v>
      </c>
      <c r="D46" s="134">
        <f>SUMIFS('Resultater - Vestdanmark'!I$3:I$504,'Resultater - Vestdanmark'!$F$3:$F$504,$A46)/SUMIFS('Resultater - Danmark'!I$3:I$504,'Resultater - Danmark'!$F$3:$F$504,$A46)*D19</f>
        <v>517960.35709807038</v>
      </c>
      <c r="E46" s="134">
        <f>SUMIFS('Resultater - Vestdanmark'!J$3:J$504,'Resultater - Vestdanmark'!$F$3:$F$504,$A46)/SUMIFS('Resultater - Danmark'!J$3:J$504,'Resultater - Danmark'!$F$3:$F$504,$A46)*E19</f>
        <v>505376.89995851181</v>
      </c>
      <c r="F46" s="135">
        <f>VLOOKUP(A46,[1]Biogasudbytte!$A$2:$C$18,3,FALSE)</f>
        <v>0.42</v>
      </c>
      <c r="G46" s="136">
        <f t="shared" si="11"/>
        <v>102.595</v>
      </c>
      <c r="I46" s="125" t="str">
        <f t="shared" si="13"/>
        <v>Industriaffald</v>
      </c>
      <c r="J46" s="125" t="s">
        <v>139</v>
      </c>
      <c r="K46" s="134">
        <f>SUMIFS('Resultater - Østdanmark'!H$3:H$504,'Resultater - Østdanmark'!$F$3:$F$504,$A46)/SUMIFS('Resultater - Danmark'!H$3:H$504,'Resultater - Danmark'!$F$3:$F$504,$A46)*C19</f>
        <v>279550.24796430691</v>
      </c>
      <c r="L46" s="134">
        <f>SUMIFS('Resultater - Østdanmark'!I$3:I$504,'Resultater - Østdanmark'!$F$3:$F$504,$A46)/SUMIFS('Resultater - Danmark'!I$3:I$504,'Resultater - Danmark'!$F$3:$F$504,$A46)*D19</f>
        <v>202446.64290192959</v>
      </c>
      <c r="M46" s="134">
        <f>SUMIFS('Resultater - Østdanmark'!J$3:J$504,'Resultater - Østdanmark'!$F$3:$F$504,$A46)/SUMIFS('Resultater - Danmark'!J$3:J$504,'Resultater - Danmark'!$F$3:$F$504,$A46)*E19</f>
        <v>202030.10004148821</v>
      </c>
      <c r="N46" s="135">
        <f>VLOOKUP(I46,[1]Biogasudbytte!$A$2:$C$18,3,FALSE)</f>
        <v>0.42</v>
      </c>
      <c r="O46" s="136">
        <f t="shared" si="12"/>
        <v>102.595</v>
      </c>
    </row>
    <row r="47" spans="1:15" hidden="1" x14ac:dyDescent="0.2">
      <c r="A47" s="125" t="str">
        <f t="shared" si="10"/>
        <v>Halm</v>
      </c>
      <c r="B47" s="125" t="s">
        <v>139</v>
      </c>
      <c r="C47" s="134">
        <f>SUMIFS('Resultater - Vestdanmark'!H$3:H$504,'Resultater - Vestdanmark'!$F$3:$F$504,$A47)/SUMIFS('Resultater - Danmark'!H$3:H$504,'Resultater - Danmark'!$F$3:$F$504,$A47)*C20</f>
        <v>53138.892747161146</v>
      </c>
      <c r="D47" s="134">
        <f>SUMIFS('Resultater - Vestdanmark'!I$3:I$504,'Resultater - Vestdanmark'!$F$3:$F$504,$A47)/SUMIFS('Resultater - Danmark'!I$3:I$504,'Resultater - Danmark'!$F$3:$F$504,$A47)*D20</f>
        <v>56123.823182797991</v>
      </c>
      <c r="E47" s="134">
        <f>SUMIFS('Resultater - Vestdanmark'!J$3:J$504,'Resultater - Vestdanmark'!$F$3:$F$504,$A47)/SUMIFS('Resultater - Danmark'!J$3:J$504,'Resultater - Danmark'!$F$3:$F$504,$A47)*E20</f>
        <v>53710.696431305973</v>
      </c>
      <c r="F47" s="135">
        <f>VLOOKUP(A47,[1]Biogasudbytte!$A$2:$C$18,3,FALSE)</f>
        <v>0.85</v>
      </c>
      <c r="G47" s="136">
        <f t="shared" si="11"/>
        <v>160.6</v>
      </c>
      <c r="I47" s="125" t="str">
        <f t="shared" si="13"/>
        <v>Halm</v>
      </c>
      <c r="J47" s="125" t="s">
        <v>139</v>
      </c>
      <c r="K47" s="134">
        <f>SUMIFS('Resultater - Østdanmark'!H$3:H$504,'Resultater - Østdanmark'!$F$3:$F$504,$A47)/SUMIFS('Resultater - Danmark'!H$3:H$504,'Resultater - Danmark'!$F$3:$F$504,$A47)*C20</f>
        <v>22795.107252838847</v>
      </c>
      <c r="L47" s="134">
        <f>SUMIFS('Resultater - Østdanmark'!I$3:I$504,'Resultater - Østdanmark'!$F$3:$F$504,$A47)/SUMIFS('Resultater - Danmark'!I$3:I$504,'Resultater - Danmark'!$F$3:$F$504,$A47)*D20</f>
        <v>19810.176817202024</v>
      </c>
      <c r="M47" s="134">
        <f>SUMIFS('Resultater - Østdanmark'!J$3:J$504,'Resultater - Østdanmark'!$F$3:$F$504,$A47)/SUMIFS('Resultater - Danmark'!J$3:J$504,'Resultater - Danmark'!$F$3:$F$504,$A47)*E20</f>
        <v>22223.303568694027</v>
      </c>
      <c r="N47" s="135">
        <f>VLOOKUP(I47,[1]Biogasudbytte!$A$2:$C$18,3,FALSE)</f>
        <v>0.85</v>
      </c>
      <c r="O47" s="136">
        <f t="shared" si="12"/>
        <v>160.6</v>
      </c>
    </row>
    <row r="48" spans="1:15" hidden="1" x14ac:dyDescent="0.2">
      <c r="A48" s="125" t="str">
        <f t="shared" si="10"/>
        <v>Korn</v>
      </c>
      <c r="B48" s="125" t="s">
        <v>139</v>
      </c>
      <c r="C48" s="134">
        <f>SUMIFS('Resultater - Vestdanmark'!H$3:H$504,'Resultater - Vestdanmark'!$F$3:$F$504,$A48)/SUMIFS('Resultater - Danmark'!H$3:H$504,'Resultater - Danmark'!$F$3:$F$504,$A48)*C21</f>
        <v>2840.1853290986264</v>
      </c>
      <c r="D48" s="134">
        <f>SUMIFS('Resultater - Vestdanmark'!I$3:I$504,'Resultater - Vestdanmark'!$F$3:$F$504,$A48)/SUMIFS('Resultater - Danmark'!I$3:I$504,'Resultater - Danmark'!$F$3:$F$504,$A48)*D21</f>
        <v>2907.9932175110234</v>
      </c>
      <c r="E48" s="134">
        <f>SUMIFS('Resultater - Vestdanmark'!J$3:J$504,'Resultater - Vestdanmark'!$F$3:$F$504,$A48)/SUMIFS('Resultater - Danmark'!J$3:J$504,'Resultater - Danmark'!$F$3:$F$504,$A48)*E21</f>
        <v>2873.5276646840043</v>
      </c>
      <c r="F48" s="135">
        <f>VLOOKUP(A48,[1]Biogasudbytte!$A$2:$C$18,3,FALSE)</f>
        <v>0.31</v>
      </c>
      <c r="G48" s="136">
        <f t="shared" si="11"/>
        <v>95.4</v>
      </c>
      <c r="I48" s="125" t="str">
        <f t="shared" si="13"/>
        <v>Korn</v>
      </c>
      <c r="J48" s="125" t="s">
        <v>139</v>
      </c>
      <c r="K48" s="134">
        <f>SUMIFS('Resultater - Østdanmark'!H$3:H$504,'Resultater - Østdanmark'!$F$3:$F$504,$A48)/SUMIFS('Resultater - Danmark'!H$3:H$504,'Resultater - Danmark'!$F$3:$F$504,$A48)*C21</f>
        <v>945.81467090137289</v>
      </c>
      <c r="L48" s="134">
        <f>SUMIFS('Resultater - Østdanmark'!I$3:I$504,'Resultater - Østdanmark'!$F$3:$F$504,$A48)/SUMIFS('Resultater - Danmark'!I$3:I$504,'Resultater - Danmark'!$F$3:$F$504,$A48)*D21</f>
        <v>878.00678248897611</v>
      </c>
      <c r="M48" s="134">
        <f>SUMIFS('Resultater - Østdanmark'!J$3:J$504,'Resultater - Østdanmark'!$F$3:$F$504,$A48)/SUMIFS('Resultater - Danmark'!J$3:J$504,'Resultater - Danmark'!$F$3:$F$504,$A48)*E21</f>
        <v>912.47233531599591</v>
      </c>
      <c r="N48" s="135">
        <f>VLOOKUP(I48,[1]Biogasudbytte!$A$2:$C$18,3,FALSE)</f>
        <v>0.31</v>
      </c>
      <c r="O48" s="136">
        <f t="shared" si="12"/>
        <v>95.4</v>
      </c>
    </row>
    <row r="49" spans="1:15" hidden="1" x14ac:dyDescent="0.2">
      <c r="A49" s="125" t="str">
        <f t="shared" si="10"/>
        <v>Græs</v>
      </c>
      <c r="B49" s="125" t="s">
        <v>139</v>
      </c>
      <c r="C49" s="134">
        <f>SUMIFS('Resultater - Vestdanmark'!H$3:H$504,'Resultater - Vestdanmark'!$F$3:$F$504,$A49)/SUMIFS('Resultater - Danmark'!H$3:H$504,'Resultater - Danmark'!$F$3:$F$504,$A49)*C22</f>
        <v>75746.163899662715</v>
      </c>
      <c r="D49" s="134">
        <f>SUMIFS('Resultater - Vestdanmark'!I$3:I$504,'Resultater - Vestdanmark'!$F$3:$F$504,$A49)/SUMIFS('Resultater - Danmark'!I$3:I$504,'Resultater - Danmark'!$F$3:$F$504,$A49)*D22</f>
        <v>66507.389797586569</v>
      </c>
      <c r="E49" s="134">
        <f>SUMIFS('Resultater - Vestdanmark'!J$3:J$504,'Resultater - Vestdanmark'!$F$3:$F$504,$A49)/SUMIFS('Resultater - Danmark'!J$3:J$504,'Resultater - Danmark'!$F$3:$F$504,$A49)*E22</f>
        <v>65221.076812905056</v>
      </c>
      <c r="F49" s="135">
        <f>VLOOKUP(A49,[1]Biogasudbytte!$A$2:$C$18,3,FALSE)</f>
        <v>0.28000000000000003</v>
      </c>
      <c r="G49" s="136">
        <f t="shared" si="11"/>
        <v>51.25</v>
      </c>
      <c r="I49" s="125" t="str">
        <f t="shared" si="13"/>
        <v>Græs</v>
      </c>
      <c r="J49" s="125" t="s">
        <v>139</v>
      </c>
      <c r="K49" s="134">
        <f>SUMIFS('Resultater - Østdanmark'!H$3:H$504,'Resultater - Østdanmark'!$F$3:$F$504,$A49)/SUMIFS('Resultater - Danmark'!H$3:H$504,'Resultater - Danmark'!$F$3:$F$504,$A49)*C22</f>
        <v>9930.836100337272</v>
      </c>
      <c r="L49" s="134">
        <f>SUMIFS('Resultater - Østdanmark'!I$3:I$504,'Resultater - Østdanmark'!$F$3:$F$504,$A49)/SUMIFS('Resultater - Danmark'!I$3:I$504,'Resultater - Danmark'!$F$3:$F$504,$A49)*D22</f>
        <v>19169.610202413449</v>
      </c>
      <c r="M49" s="134">
        <f>SUMIFS('Resultater - Østdanmark'!J$3:J$504,'Resultater - Østdanmark'!$F$3:$F$504,$A49)/SUMIFS('Resultater - Danmark'!J$3:J$504,'Resultater - Danmark'!$F$3:$F$504,$A49)*E22</f>
        <v>20455.923187094944</v>
      </c>
      <c r="N49" s="135">
        <f>VLOOKUP(I49,[1]Biogasudbytte!$A$2:$C$18,3,FALSE)</f>
        <v>0.28000000000000003</v>
      </c>
      <c r="O49" s="136">
        <f t="shared" si="12"/>
        <v>51.25</v>
      </c>
    </row>
    <row r="50" spans="1:15" hidden="1" x14ac:dyDescent="0.2">
      <c r="A50" s="125" t="str">
        <f t="shared" si="10"/>
        <v>Majs</v>
      </c>
      <c r="B50" s="125" t="s">
        <v>139</v>
      </c>
      <c r="C50" s="134">
        <f>SUMIFS('Resultater - Vestdanmark'!H$3:H$504,'Resultater - Vestdanmark'!$F$3:$F$504,$A50)/SUMIFS('Resultater - Danmark'!H$3:H$504,'Resultater - Danmark'!$F$3:$F$504,$A50)*C23</f>
        <v>314821.43493156106</v>
      </c>
      <c r="D50" s="134">
        <f>SUMIFS('Resultater - Vestdanmark'!I$3:I$504,'Resultater - Vestdanmark'!$F$3:$F$504,$A50)/SUMIFS('Resultater - Danmark'!I$3:I$504,'Resultater - Danmark'!$F$3:$F$504,$A50)*D23</f>
        <v>255311.1988813775</v>
      </c>
      <c r="E50" s="134">
        <f>SUMIFS('Resultater - Vestdanmark'!J$3:J$504,'Resultater - Vestdanmark'!$F$3:$F$504,$A50)/SUMIFS('Resultater - Danmark'!J$3:J$504,'Resultater - Danmark'!$F$3:$F$504,$A50)*E23</f>
        <v>250485.69494585399</v>
      </c>
      <c r="F50" s="135">
        <f>VLOOKUP(A50,[1]Biogasudbytte!$A$2:$C$18,3,FALSE)</f>
        <v>0.3</v>
      </c>
      <c r="G50" s="136">
        <f t="shared" si="11"/>
        <v>100</v>
      </c>
      <c r="I50" s="125" t="str">
        <f t="shared" si="13"/>
        <v>Majs</v>
      </c>
      <c r="J50" s="125" t="s">
        <v>139</v>
      </c>
      <c r="K50" s="134">
        <f>SUMIFS('Resultater - Østdanmark'!H$3:H$504,'Resultater - Østdanmark'!$F$3:$F$504,$A50)/SUMIFS('Resultater - Danmark'!H$3:H$504,'Resultater - Danmark'!$F$3:$F$504,$A50)*C23</f>
        <v>15204.565068438918</v>
      </c>
      <c r="L50" s="134">
        <f>SUMIFS('Resultater - Østdanmark'!I$3:I$504,'Resultater - Østdanmark'!$F$3:$F$504,$A50)/SUMIFS('Resultater - Danmark'!I$3:I$504,'Resultater - Danmark'!$F$3:$F$504,$A50)*D23</f>
        <v>74714.80111862249</v>
      </c>
      <c r="M50" s="134">
        <f>SUMIFS('Resultater - Østdanmark'!J$3:J$504,'Resultater - Østdanmark'!$F$3:$F$504,$A50)/SUMIFS('Resultater - Danmark'!J$3:J$504,'Resultater - Danmark'!$F$3:$F$504,$A50)*E23</f>
        <v>79540.305054146011</v>
      </c>
      <c r="N50" s="135">
        <f>VLOOKUP(I50,[1]Biogasudbytte!$A$2:$C$18,3,FALSE)</f>
        <v>0.3</v>
      </c>
      <c r="O50" s="136">
        <f t="shared" si="12"/>
        <v>100</v>
      </c>
    </row>
    <row r="51" spans="1:15" hidden="1" x14ac:dyDescent="0.2">
      <c r="A51" s="125" t="str">
        <f t="shared" si="10"/>
        <v>Roer</v>
      </c>
      <c r="B51" s="125" t="s">
        <v>139</v>
      </c>
      <c r="C51" s="134">
        <f>SUMIFS('Resultater - Vestdanmark'!H$3:H$504,'Resultater - Vestdanmark'!$F$3:$F$504,$A51)/SUMIFS('Resultater - Danmark'!H$3:H$504,'Resultater - Danmark'!$F$3:$F$504,$A51)*C24</f>
        <v>4101.0489241972273</v>
      </c>
      <c r="D51" s="134">
        <f>SUMIFS('Resultater - Vestdanmark'!I$3:I$504,'Resultater - Vestdanmark'!$F$3:$F$504,$A51)/SUMIFS('Resultater - Danmark'!I$3:I$504,'Resultater - Danmark'!$F$3:$F$504,$A51)*D24</f>
        <v>21893.59180227204</v>
      </c>
      <c r="E51" s="134">
        <f>SUMIFS('Resultater - Vestdanmark'!J$3:J$504,'Resultater - Vestdanmark'!$F$3:$F$504,$A51)/SUMIFS('Resultater - Danmark'!J$3:J$504,'Resultater - Danmark'!$F$3:$F$504,$A51)*E24</f>
        <v>21741.204425481588</v>
      </c>
      <c r="F51" s="135">
        <f>VLOOKUP(A51,[1]Biogasudbytte!$A$2:$C$18,3,FALSE)</f>
        <v>0.2</v>
      </c>
      <c r="G51" s="136">
        <f t="shared" si="11"/>
        <v>75.599999999999994</v>
      </c>
      <c r="I51" s="125" t="str">
        <f t="shared" si="13"/>
        <v>Roer</v>
      </c>
      <c r="J51" s="125" t="s">
        <v>139</v>
      </c>
      <c r="K51" s="134">
        <f>SUMIFS('Resultater - Østdanmark'!H$3:H$504,'Resultater - Østdanmark'!$F$3:$F$504,$A51)/SUMIFS('Resultater - Danmark'!H$3:H$504,'Resultater - Danmark'!$F$3:$F$504,$A51)*C24</f>
        <v>24543.951075802775</v>
      </c>
      <c r="L51" s="134">
        <f>SUMIFS('Resultater - Østdanmark'!I$3:I$504,'Resultater - Østdanmark'!$F$3:$F$504,$A51)/SUMIFS('Resultater - Danmark'!I$3:I$504,'Resultater - Danmark'!$F$3:$F$504,$A51)*D24</f>
        <v>6751.4081977279666</v>
      </c>
      <c r="M51" s="134">
        <f>SUMIFS('Resultater - Østdanmark'!J$3:J$504,'Resultater - Østdanmark'!$F$3:$F$504,$A51)/SUMIFS('Resultater - Danmark'!J$3:J$504,'Resultater - Danmark'!$F$3:$F$504,$A51)*E24</f>
        <v>6903.7955745184099</v>
      </c>
      <c r="N51" s="135">
        <f>VLOOKUP(I51,[1]Biogasudbytte!$A$2:$C$18,3,FALSE)</f>
        <v>0.2</v>
      </c>
      <c r="O51" s="136">
        <f t="shared" si="12"/>
        <v>75.599999999999994</v>
      </c>
    </row>
    <row r="52" spans="1:15" hidden="1" x14ac:dyDescent="0.2">
      <c r="A52" s="125" t="str">
        <f t="shared" si="10"/>
        <v>Have/parkaffald</v>
      </c>
      <c r="B52" s="125" t="s">
        <v>139</v>
      </c>
      <c r="C52" s="134">
        <f>SUMIFS('Resultater - Vestdanmark'!H$3:H$504,'Resultater - Vestdanmark'!$F$3:$F$504,$A52)/SUMIFS('Resultater - Danmark'!H$3:H$504,'Resultater - Danmark'!$F$3:$F$504,$A52)*C25</f>
        <v>42.099811904105366</v>
      </c>
      <c r="D52" s="134">
        <f>SUMIFS('Resultater - Vestdanmark'!I$3:I$504,'Resultater - Vestdanmark'!$F$3:$F$504,$A52)/SUMIFS('Resultater - Danmark'!I$3:I$504,'Resultater - Danmark'!$F$3:$F$504,$A52)*D25</f>
        <v>41.80391161429587</v>
      </c>
      <c r="E52" s="134">
        <f>SUMIFS('Resultater - Vestdanmark'!J$3:J$504,'Resultater - Vestdanmark'!$F$3:$F$504,$A52)/SUMIFS('Resultater - Danmark'!J$3:J$504,'Resultater - Danmark'!$F$3:$F$504,$A52)*E25</f>
        <v>41.656918132692169</v>
      </c>
      <c r="F52" s="135">
        <f>VLOOKUP(A52,[1]Biogasudbytte!$A$2:$C$18,3,FALSE)</f>
        <v>0.3</v>
      </c>
      <c r="G52" s="136">
        <f t="shared" si="11"/>
        <v>47.3</v>
      </c>
      <c r="I52" s="125" t="str">
        <f t="shared" si="13"/>
        <v>Have/parkaffald</v>
      </c>
      <c r="J52" s="125" t="s">
        <v>139</v>
      </c>
      <c r="K52" s="134">
        <f>SUMIFS('Resultater - Østdanmark'!H$3:H$504,'Resultater - Østdanmark'!$F$3:$F$504,$A52)/SUMIFS('Resultater - Danmark'!H$3:H$504,'Resultater - Danmark'!$F$3:$F$504,$A52)*C25</f>
        <v>35.900188095894634</v>
      </c>
      <c r="L52" s="134">
        <f>SUMIFS('Resultater - Østdanmark'!I$3:I$504,'Resultater - Østdanmark'!$F$3:$F$504,$A52)/SUMIFS('Resultater - Danmark'!I$3:I$504,'Resultater - Danmark'!$F$3:$F$504,$A52)*D25</f>
        <v>36.19608838570413</v>
      </c>
      <c r="M52" s="134">
        <f>SUMIFS('Resultater - Østdanmark'!J$3:J$504,'Resultater - Østdanmark'!$F$3:$F$504,$A52)/SUMIFS('Resultater - Danmark'!J$3:J$504,'Resultater - Danmark'!$F$3:$F$504,$A52)*E25</f>
        <v>36.343081867307831</v>
      </c>
      <c r="N52" s="135">
        <f>VLOOKUP(I52,[1]Biogasudbytte!$A$2:$C$18,3,FALSE)</f>
        <v>0.3</v>
      </c>
      <c r="O52" s="136">
        <f t="shared" si="12"/>
        <v>47.3</v>
      </c>
    </row>
    <row r="53" spans="1:15" hidden="1" x14ac:dyDescent="0.2">
      <c r="A53" s="126" t="str">
        <f t="shared" si="10"/>
        <v>Glycerin</v>
      </c>
      <c r="B53" s="126" t="s">
        <v>139</v>
      </c>
      <c r="C53" s="134">
        <f>C26*$B$36</f>
        <v>114193.60000000001</v>
      </c>
      <c r="D53" s="134">
        <f>D26*$B$36</f>
        <v>114193.60000000001</v>
      </c>
      <c r="E53" s="134">
        <f>E26*$B$36</f>
        <v>114193.60000000001</v>
      </c>
      <c r="F53" s="135">
        <f>VLOOKUP(A53,[1]Biogasudbytte!$A$2:$C$18,3,FALSE)</f>
        <v>0.9</v>
      </c>
      <c r="G53" s="136">
        <f t="shared" si="11"/>
        <v>423.36</v>
      </c>
      <c r="I53" s="126" t="str">
        <f t="shared" si="13"/>
        <v>Glycerin</v>
      </c>
      <c r="J53" s="126" t="s">
        <v>139</v>
      </c>
      <c r="K53" s="134">
        <f>C26*$C$36</f>
        <v>28548.400000000001</v>
      </c>
      <c r="L53" s="134">
        <f>D26*$C$36</f>
        <v>28548.400000000001</v>
      </c>
      <c r="M53" s="134">
        <f>E26*$C$36</f>
        <v>28548.400000000001</v>
      </c>
      <c r="N53" s="135">
        <f>VLOOKUP(I53,[1]Biogasudbytte!$A$2:$C$18,3,FALSE)</f>
        <v>0.9</v>
      </c>
      <c r="O53" s="136">
        <f t="shared" si="12"/>
        <v>423.36</v>
      </c>
    </row>
    <row r="54" spans="1:15" hidden="1" x14ac:dyDescent="0.2">
      <c r="A54" s="125" t="str">
        <f t="shared" si="10"/>
        <v>Muslinger</v>
      </c>
      <c r="B54" s="125" t="s">
        <v>139</v>
      </c>
      <c r="C54" s="134">
        <f>SUMIFS('Resultater - Vestdanmark'!H$3:H$504,'Resultater - Vestdanmark'!$F$3:$F$504,$A54)/SUMIFS('Resultater - Danmark'!H$3:H$504,'Resultater - Danmark'!$F$3:$F$504,$A54)*C27</f>
        <v>0</v>
      </c>
      <c r="D54" s="134">
        <f>SUMIFS('Resultater - Vestdanmark'!I$3:I$504,'Resultater - Vestdanmark'!$F$3:$F$504,$A54)/SUMIFS('Resultater - Danmark'!I$3:I$504,'Resultater - Danmark'!$F$3:$F$504,$A54)*D27</f>
        <v>0</v>
      </c>
      <c r="E54" s="134">
        <f>SUMIFS('Resultater - Vestdanmark'!J$3:J$504,'Resultater - Vestdanmark'!$F$3:$F$504,$A54)/SUMIFS('Resultater - Danmark'!J$3:J$504,'Resultater - Danmark'!$F$3:$F$504,$A54)*E27</f>
        <v>0</v>
      </c>
      <c r="F54" s="135">
        <f>VLOOKUP(A54,[1]Biogasudbytte!$A$2:$C$18,3,FALSE)</f>
        <v>0.15</v>
      </c>
      <c r="G54" s="136">
        <f t="shared" si="11"/>
        <v>25</v>
      </c>
      <c r="I54" s="125" t="str">
        <f t="shared" si="13"/>
        <v>Muslinger</v>
      </c>
      <c r="J54" s="125" t="s">
        <v>139</v>
      </c>
      <c r="K54" s="134">
        <f>SUMIFS('Resultater - Østdanmark'!H$3:H$504,'Resultater - Østdanmark'!$F$3:$F$504,$A54)/SUMIFS('Resultater - Danmark'!H$3:H$504,'Resultater - Danmark'!$F$3:$F$504,$A54)*C27</f>
        <v>0</v>
      </c>
      <c r="L54" s="134">
        <f>SUMIFS('Resultater - Østdanmark'!I$3:I$504,'Resultater - Østdanmark'!$F$3:$F$504,$A54)/SUMIFS('Resultater - Danmark'!I$3:I$504,'Resultater - Danmark'!$F$3:$F$504,$A54)*D27</f>
        <v>0</v>
      </c>
      <c r="M54" s="134">
        <f>SUMIFS('Resultater - Østdanmark'!J$3:J$504,'Resultater - Østdanmark'!$F$3:$F$504,$A54)/SUMIFS('Resultater - Danmark'!J$3:J$504,'Resultater - Danmark'!$F$3:$F$504,$A54)*E27</f>
        <v>0</v>
      </c>
      <c r="N54" s="135">
        <f>VLOOKUP(I54,[1]Biogasudbytte!$A$2:$C$18,3,FALSE)</f>
        <v>0.15</v>
      </c>
      <c r="O54" s="136">
        <f t="shared" si="12"/>
        <v>25</v>
      </c>
    </row>
    <row r="55" spans="1:15" ht="12.75" hidden="1" thickBot="1" x14ac:dyDescent="0.25">
      <c r="A55" s="140" t="str">
        <f t="shared" si="10"/>
        <v>Tang</v>
      </c>
      <c r="B55" s="140" t="s">
        <v>139</v>
      </c>
      <c r="C55" s="177">
        <f>SUMIFS('Resultater - Vestdanmark'!H$3:H$504,'Resultater - Vestdanmark'!$F$3:$F$504,$A55)/SUMIFS('Resultater - Danmark'!H$3:H$504,'Resultater - Danmark'!$F$3:$F$504,$A55)*C28</f>
        <v>0</v>
      </c>
      <c r="D55" s="177">
        <f>SUMIFS('Resultater - Vestdanmark'!I$3:I$504,'Resultater - Vestdanmark'!$F$3:$F$504,$A55)/SUMIFS('Resultater - Danmark'!I$3:I$504,'Resultater - Danmark'!$F$3:$F$504,$A55)*D28</f>
        <v>0</v>
      </c>
      <c r="E55" s="177">
        <f>SUMIFS('Resultater - Vestdanmark'!J$3:J$504,'Resultater - Vestdanmark'!$F$3:$F$504,$A55)/SUMIFS('Resultater - Danmark'!J$3:J$504,'Resultater - Danmark'!$F$3:$F$504,$A55)*E28</f>
        <v>0</v>
      </c>
      <c r="F55" s="141">
        <f>VLOOKUP(A55,[1]Biogasudbytte!$A$2:$C$18,3,FALSE)</f>
        <v>0.15</v>
      </c>
      <c r="G55" s="142">
        <f t="shared" si="11"/>
        <v>25</v>
      </c>
      <c r="I55" s="140" t="str">
        <f t="shared" si="13"/>
        <v>Tang</v>
      </c>
      <c r="J55" s="140" t="s">
        <v>139</v>
      </c>
      <c r="K55" s="177">
        <f>SUMIFS('Resultater - Østdanmark'!H$3:H$504,'Resultater - Østdanmark'!$F$3:$F$504,$A55)/SUMIFS('Resultater - Danmark'!H$3:H$504,'Resultater - Danmark'!$F$3:$F$504,$A55)*C28</f>
        <v>0</v>
      </c>
      <c r="L55" s="177">
        <f>SUMIFS('Resultater - Østdanmark'!I$3:I$504,'Resultater - Østdanmark'!$F$3:$F$504,$A55)/SUMIFS('Resultater - Danmark'!I$3:I$504,'Resultater - Danmark'!$F$3:$F$504,$A55)*D28</f>
        <v>0</v>
      </c>
      <c r="M55" s="177">
        <f>SUMIFS('Resultater - Østdanmark'!J$3:J$504,'Resultater - Østdanmark'!$F$3:$F$504,$A55)/SUMIFS('Resultater - Danmark'!J$3:J$504,'Resultater - Danmark'!$F$3:$F$504,$A55)*E28</f>
        <v>0</v>
      </c>
      <c r="N55" s="141">
        <f>VLOOKUP(I55,[1]Biogasudbytte!$A$2:$C$18,3,FALSE)</f>
        <v>0.15</v>
      </c>
      <c r="O55" s="142">
        <f t="shared" si="12"/>
        <v>25</v>
      </c>
    </row>
    <row r="56" spans="1:15" hidden="1" x14ac:dyDescent="0.2">
      <c r="A56" s="124" t="s">
        <v>104</v>
      </c>
      <c r="B56" s="124" t="s">
        <v>139</v>
      </c>
      <c r="C56" s="143">
        <f ca="1">SUM(C39:C55)</f>
        <v>10411318.566934858</v>
      </c>
      <c r="D56" s="143">
        <f ca="1">SUM(D39:D55)</f>
        <v>21111548.936799817</v>
      </c>
      <c r="E56" s="143">
        <f ca="1">SUM(E39:E55)</f>
        <v>19498551.703239631</v>
      </c>
      <c r="F56" s="144"/>
      <c r="G56" s="144"/>
      <c r="I56" s="124" t="s">
        <v>104</v>
      </c>
      <c r="J56" s="124" t="s">
        <v>139</v>
      </c>
      <c r="K56" s="143">
        <f ca="1">SUM(K39:K55)</f>
        <v>2679098.9330651397</v>
      </c>
      <c r="L56" s="143">
        <f ca="1">SUM(L39:L55)</f>
        <v>3735738.7652109312</v>
      </c>
      <c r="M56" s="143">
        <f ca="1">SUM(M39:M55)</f>
        <v>3622056.1627869904</v>
      </c>
      <c r="N56" s="144"/>
      <c r="O56" s="144"/>
    </row>
    <row r="57" spans="1:15" hidden="1" x14ac:dyDescent="0.2">
      <c r="A57" s="146" t="s">
        <v>123</v>
      </c>
      <c r="C57" s="147">
        <f ca="1">SUMPRODUCT(C39:C55,$F$39:$F$55)/C56</f>
        <v>0.13459375485410555</v>
      </c>
      <c r="D57" s="147">
        <f ca="1">SUMPRODUCT(D39:D55,$F$39:$F$55)/D56</f>
        <v>0.1013812074356516</v>
      </c>
      <c r="E57" s="147">
        <f ca="1">SUMPRODUCT(E39:E55,$F$39:$F$55)/E56</f>
        <v>0.1075521676457377</v>
      </c>
      <c r="I57" s="146" t="s">
        <v>123</v>
      </c>
      <c r="K57" s="147">
        <f ca="1">SUMPRODUCT(K39:K55,$N$39:$N$55)/K56</f>
        <v>0.15233293996365566</v>
      </c>
      <c r="L57" s="147">
        <f ca="1">SUMPRODUCT(L39:L55,$N$39:$N$55)/L56</f>
        <v>0.11897155138414102</v>
      </c>
      <c r="M57" s="147">
        <f ca="1">SUMPRODUCT(M39:M55,$N$39:$N$55)/M56</f>
        <v>0.12480306163122211</v>
      </c>
    </row>
    <row r="58" spans="1:15" hidden="1" x14ac:dyDescent="0.2">
      <c r="A58" s="146" t="s">
        <v>160</v>
      </c>
      <c r="C58" s="147">
        <f ca="1">SUM(C48:C51)/C56</f>
        <v>3.8180450490388568E-2</v>
      </c>
      <c r="D58" s="147">
        <f ca="1">SUM(D48:D51)/D56</f>
        <v>1.6418509827791413E-2</v>
      </c>
      <c r="E58" s="147">
        <f ca="1">SUM(E48:E51)/E56</f>
        <v>1.7453681126090057E-2</v>
      </c>
      <c r="I58" s="146" t="s">
        <v>160</v>
      </c>
      <c r="K58" s="147">
        <f ca="1">SUM(K48:K51)/K56</f>
        <v>1.8896340963997331E-2</v>
      </c>
      <c r="L58" s="147">
        <f ca="1">SUM(L48:L51)/L56</f>
        <v>2.7173695132700508E-2</v>
      </c>
      <c r="M58" s="147">
        <f ca="1">SUM(M48:M51)/M56</f>
        <v>2.9765550644614815E-2</v>
      </c>
    </row>
    <row r="59" spans="1:15" hidden="1" x14ac:dyDescent="0.2">
      <c r="A59" s="124" t="s">
        <v>142</v>
      </c>
      <c r="B59" s="124" t="s">
        <v>143</v>
      </c>
      <c r="C59" s="124">
        <f ca="1">SUMPRODUCT(C39:C55,$I$12:$I$28)</f>
        <v>352020257.59705484</v>
      </c>
      <c r="D59" s="124">
        <f ca="1">SUMPRODUCT(D39:D55,$I$12:$I$28)</f>
        <v>490930075.51985109</v>
      </c>
      <c r="E59" s="124">
        <f ca="1">SUMPRODUCT(E39:E55,$I$12:$I$28)</f>
        <v>483018393.58230299</v>
      </c>
      <c r="I59" s="124" t="s">
        <v>142</v>
      </c>
      <c r="J59" s="124" t="s">
        <v>143</v>
      </c>
      <c r="K59" s="124">
        <f ca="1">SUMPRODUCT(K39:K55,$I$12:$I$28)</f>
        <v>110817031.25294524</v>
      </c>
      <c r="L59" s="124">
        <f ca="1">SUMPRODUCT(L39:L55,$I$12:$I$28)</f>
        <v>113011104.03164913</v>
      </c>
      <c r="M59" s="124">
        <f ca="1">SUMPRODUCT(M39:M55,$I$12:$I$28)</f>
        <v>114938258.35286064</v>
      </c>
    </row>
    <row r="60" spans="1:15" hidden="1" x14ac:dyDescent="0.2">
      <c r="A60" s="124" t="s">
        <v>142</v>
      </c>
      <c r="B60" s="124" t="s">
        <v>122</v>
      </c>
      <c r="C60" s="124">
        <f ca="1">C59*[1]Energiindhold!$C$10</f>
        <v>12.637527247734271</v>
      </c>
      <c r="D60" s="124">
        <f ca="1">D59*[1]Energiindhold!$C$10</f>
        <v>17.624389711162657</v>
      </c>
      <c r="E60" s="124">
        <f ca="1">E59*[1]Energiindhold!$C$10</f>
        <v>17.340360329604678</v>
      </c>
      <c r="I60" s="124" t="s">
        <v>142</v>
      </c>
      <c r="J60" s="124" t="s">
        <v>122</v>
      </c>
      <c r="K60" s="124">
        <f ca="1">K59*[1]Energiindhold!$C$10</f>
        <v>3.9783314219807346</v>
      </c>
      <c r="L60" s="124">
        <f ca="1">L59*[1]Energiindhold!$C$10</f>
        <v>4.0570986347362039</v>
      </c>
      <c r="M60" s="124">
        <f ca="1">M59*[1]Energiindhold!$C$10</f>
        <v>4.126283474867698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7" t="s">
        <v>274</v>
      </c>
    </row>
    <row r="2" spans="1:4" ht="15.75" x14ac:dyDescent="0.25">
      <c r="A2" s="225" t="s">
        <v>311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7"/>
    </row>
    <row r="6" spans="1:4" x14ac:dyDescent="0.25">
      <c r="A6" s="307"/>
    </row>
    <row r="7" spans="1:4" ht="15.75" x14ac:dyDescent="0.25">
      <c r="A7" s="225" t="s">
        <v>297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248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9">
        <f>SUMIFS('Forbrug af biomasse'!$E$2:$E$403,'Forbrug af biomasse'!$D$2:$D$403,'Forbrug til andet'!B$15,'Forbrug af biomasse'!$C$2:$C$403,'Forbrug til andet'!$A16,'Forbrug af biomasse'!$A$2:$A$403,"Materialer")</f>
        <v>0</v>
      </c>
      <c r="C16" s="349">
        <f>SUMIFS('Forbrug af biomasse'!$E$2:$E$403,'Forbrug af biomasse'!$D$2:$D$403,'Forbrug til andet'!C$15,'Forbrug af biomasse'!$C$2:$C$403,'Forbrug til andet'!$A16,'Forbrug af biomasse'!$A$2:$A$403,"Materialer")</f>
        <v>0</v>
      </c>
      <c r="D16" s="349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9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49">
        <f>SUMIFS('Forbrug af biomasse'!$E$2:$E$403,'Forbrug af biomasse'!$D$2:$D$403,'Forbrug til andet'!C$15,'Forbrug af biomasse'!$C$2:$C$403,'Forbrug til andet'!$A17,'Forbrug af biomasse'!$A$2:$A$403,"Materialer")</f>
        <v>0</v>
      </c>
      <c r="D17" s="349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9">
        <f>SUMIFS('Forbrug af biomasse'!$E$2:$E$403,'Forbrug af biomasse'!$D$2:$D$403,'Forbrug til andet'!B$15,'Forbrug af biomasse'!$C$2:$C$403,'Forbrug til andet'!$A18,'Forbrug af biomasse'!$A$2:$A$403,"Materialer")</f>
        <v>0</v>
      </c>
      <c r="C18" s="349">
        <f>SUMIFS('Forbrug af biomasse'!$E$2:$E$403,'Forbrug af biomasse'!$D$2:$D$403,'Forbrug til andet'!C$15,'Forbrug af biomasse'!$C$2:$C$403,'Forbrug til andet'!$A18,'Forbrug af biomasse'!$A$2:$A$403,"Materialer")</f>
        <v>0</v>
      </c>
      <c r="D18" s="349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9">
        <f>SUMIFS('Forbrug af biomasse'!$E$2:$E$403,'Forbrug af biomasse'!$D$2:$D$403,'Forbrug til andet'!B$15,'Forbrug af biomasse'!$C$2:$C$403,'Forbrug til andet'!$A19,'Forbrug af biomasse'!$A$2:$A$403,"Materialer")</f>
        <v>0</v>
      </c>
      <c r="C19" s="349">
        <f>SUMIFS('Forbrug af biomasse'!$E$2:$E$403,'Forbrug af biomasse'!$D$2:$D$403,'Forbrug til andet'!C$15,'Forbrug af biomasse'!$C$2:$C$403,'Forbrug til andet'!$A19,'Forbrug af biomasse'!$A$2:$A$403,"Materialer")</f>
        <v>0</v>
      </c>
      <c r="D19" s="349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9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9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9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644933.82622113335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351339.52711072582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43619.316164212927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31915.511434192158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28163.04917996216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20606.423877461926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358964.48802999349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403882.3292636784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7330.9635896981126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5363.9413187916089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30834.713960981455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22561.23553810201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18963.465816940919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13875.245265973344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61958.708195916741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24727.708652954312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2858.8189779950267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2091.7492020506129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39384.151743264825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28816.713690697266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56882.751322060642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41620.141255607268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10683.561140435961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7816.9799006436897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4108.2981484004922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3005.971850561044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99658.944634840125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72918.754045537091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9490.6378356280329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0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813.57736439608004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0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871.1648098071654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0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8039.4163674234442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0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37.60065274501838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0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593.61684950263771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0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15.573727659962529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0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2010.3342065277557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0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34.247771402013242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0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605.70270796637942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0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1495.0529044849709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0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171.77120578833589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0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282.11165911762731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0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22206.298570938838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16855.522728429914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2787.9622783121608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160.52869978546411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207.87739711582819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4794.3089897887294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5.5724853038537319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294.95328123236726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3.1896432751013108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396.66336654744111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11.367166704679786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201.03858946351968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639.63757717268152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57.01252523383436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134.57942530031829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21106.083420946448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4549.0349190359657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172223.29271132441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222591.66829618209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11648.113264013013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20220.11867860179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7520.6678039879653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13055.229812092792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95857.968029363183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255880.2370045245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1957.6623784216506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3398.332822416432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8234.1098454824023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14293.703582251808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5064.0087268308198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8790.6818147402864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16545.469168773525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15666.275774511349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763.41974577576138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1325.230748645359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10517.153881678742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18256.870862139654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15189.984356326371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26368.501013803387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2852.9408796395687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4952.4589829986235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1097.0809807001331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1904.4378370124975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26612.949880012548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46197.782659278731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2534.3823374246472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0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217.25790596638819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0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232.63607201117887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0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2146.8477880709584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0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10.040887856333013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0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158.51959421835784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0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4.1588121886919351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0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536.84015696162987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0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9.1455335711559798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0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161.7470049312748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0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399.23930722738322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0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45.869826408699431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0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75.335169082654659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0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5929.9756088565728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10678.84093480608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744.49815470099543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42.867624751071503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55.511632908632748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1280.2734899716784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1.4880778904688605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78.764399112832606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0.85176315007569059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105.92508612090651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3.0354910830917392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53.685395976696533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170.8089810206381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15.224639214677737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35.938123903693985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5636.1738758434185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2882.0476878671443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197128.99278150831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111565.86474931188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13332.580044144219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10134.588787529272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8608.2529598911933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6543.4524779655058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109720.26135503023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128250.53216135269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2240.7655015130053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1703.2889997229152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9424.8678836548315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7164.1917814388025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5796.3294281580511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4406.0050670565552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18938.156511760622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7852.1429735586071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873.82004597102605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664.22303941882706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12038.069409685235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9150.5832223732941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17386.651186309547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13216.238686138369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3265.5127724866597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2482.237422914432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1255.7329808324243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954.52923181695155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30461.524235198161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23154.934824537635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1341.9372857635426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0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36.288129269323399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0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146.5734228086215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0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430.98727783808897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0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8.1624322960479301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0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13.876881948726561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0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38.769088613871659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0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41.333831193582235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0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8.9165570688709668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0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63.668542106239137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0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462.23059641763115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0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13.972194186037328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0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29.654214536198896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0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2393.3808440301391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1816.6776009727953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429.87161527617815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7.8078860767998624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38.13969650774699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280.27283492976966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1.3191318198291107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7.5188940108426783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8.6586500553434007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8.8935376823073096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3.227246687100445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23.044106598298601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215.65084033780454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5.0570771935991958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15.426205639594636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2274.800349586566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490.292112360109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52641.376286033876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70682.715843780199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3560.3355603067766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6420.7834634017008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2298.7500561586844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4145.6138324797766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29299.72645167357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81253.311144441221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598.37458848404606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1079.1212225869831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2516.8191127498626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4538.8841208341701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1547.8532822600712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2791.4309171608429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5057.2501235491054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4974.7365989757318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233.34512695057583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420.81947249391567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3214.6491117874693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5797.3653067199793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4642.9357474929175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8373.167237801159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872.02335992174335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1572.6251287963075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335.33125404871168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604.74338283220732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8134.4531663514217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14669.842628492142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358.35127352593128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0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9.6903912541163457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0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39.141004043745959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0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115.09095210725641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0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2.1796979928862137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0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3.705686079111902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0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10.352907267432922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0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11.037796777140914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0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2.3810796637031362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0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17.002063650335472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0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123.4341758338294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0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3.7311382831644075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0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7.9188689793440421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0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639.12902830087648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1150.9587357912035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114.79302529344227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2.0850198804742326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10.184834239602406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74.844129004627362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0.35226129611219092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2.0078473658021165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2.3122081093247311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2.3749325608702505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0.86180477476394313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6.1537040772132681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57.587455160409412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1.3504431778375496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4.1194178709151004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607.46326295550796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310.62528073677737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9267413.626535669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7365165.8833250785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1342821.4990733925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1067191.2888459142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1475029.3734643301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3377277.1166749215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213727.50092660764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489357.71115408593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1047387.2944076648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800812.88842738699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74442.014840554417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56916.983090321643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345076.7055923352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591651.11157261301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24525.985159445579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42051.016909678357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16178843.958241226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12411632.548340486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1357884.4016036293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1041703.7384950198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5095490.041758772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8862701.4516595136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427662.59839637054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743843.26150498004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3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45430.707820935422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44506.687717217719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3614.2541179942436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45487.233654140677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45430.707820935422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3607.6827468706178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45430.707820935422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44602.765406222912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3614.2541179942436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45488.438405513349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45348.489400369312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3592.6187270589107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8623.6498770282869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8352.3349045655723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590.49588200574033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8640.1952603276077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8623.6498770282869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589.42225312936625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8623.6498770282869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8370.1042680447408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590.49588200574033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8640.3920922882753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8608.1448371615988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586.96109755622069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312</v>
      </c>
      <c r="G1" t="s">
        <v>223</v>
      </c>
      <c r="I1" s="154" t="s">
        <v>189</v>
      </c>
      <c r="J1" s="154"/>
      <c r="K1" s="154"/>
      <c r="L1" s="154"/>
      <c r="M1" s="154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8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7344673.3939864142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9510350.8087802622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4429.7068635263258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1505476.5706157479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517960.35709807038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1444885.6485119169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71710.809021932539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56123.823182797991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2907.9932175110234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66507.389797586569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255311.1988813775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21893.59180227204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5837091.1330279922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8675656.8983039409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5033.5543916049382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1558636.1641980347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505376.89995851181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1721684.5481156046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489320.81450259848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53710.696431305973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2873.5276646840043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65221.076812905056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250485.69494585399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21741.204425481588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1064221.9862591927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675938.7667066186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371.78366199613299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1268113.1830084329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202446.64290192959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197023.17776073213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8801.8668339788037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19810.176817202024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878.00678248897611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19169.610202413449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74714.80111862249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6751.4081977279666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845777.6658459896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616613.7235227226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422.46436214017427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1327153.3220649515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202030.10004148821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239085.78047095265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60059.797220090688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22223.303568694027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912.47233531599591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20455.923187094944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79540.305054146011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6903.7955745184099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9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5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9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9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9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9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9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9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9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9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9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9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9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9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9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9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9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5586010.9951558355</v>
      </c>
      <c r="G203" s="315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9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765718.007862392</v>
      </c>
      <c r="G204" s="315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9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5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9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61054.422265523077</v>
      </c>
      <c r="G206" s="315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9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868637.91677766922</v>
      </c>
      <c r="G207" s="315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9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3994630.6402774388</v>
      </c>
      <c r="G208" s="315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9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91830.748952480033</v>
      </c>
      <c r="G209" s="315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9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5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9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5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9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12249098.107862087</v>
      </c>
      <c r="G212" s="315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9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1510478.9155088854</v>
      </c>
      <c r="G213" s="315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9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513062.37197918544</v>
      </c>
      <c r="G214" s="315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9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245327.76946691994</v>
      </c>
      <c r="G215" s="315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9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38482.787367359997</v>
      </c>
      <c r="G216" s="315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9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4823433.985552296</v>
      </c>
      <c r="G217" s="315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9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4116008.1016937736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9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765718.007862392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9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9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61054.422265523077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9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868637.91677766922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9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1547919.3731075076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9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65593.392108914311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9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9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9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12249098.107862087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9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1510478.9155088854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9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1710207.9065972848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9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837000.62524007983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9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38482.787367359997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9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4823433.985552296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9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9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9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9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9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9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9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9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9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9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9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9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9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9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9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9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685633.38753388484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9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93985.105307108941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9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9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7493.8897181076927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9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106617.61280762308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9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490305.54007415898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9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11271.411305610249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9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9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9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1503468.3313748275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9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185397.91213031334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9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62973.863177375555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9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30111.811412759998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9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4723.4213980800005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9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592033.81195063831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9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505203.54870917852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9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93985.105307108985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9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9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7493.8897181076945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9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106617.61280762311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9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189993.39677873664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9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8051.0080754358942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9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9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9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1503468.3313748278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9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185397.9121303134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9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209912.87725791859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9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102734.41540824002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9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4723.4213980800014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9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592033.81195063854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9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9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9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9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9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9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9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9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9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9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9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9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9">
        <v>1</v>
      </c>
      <c r="G285" s="169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9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9">
        <v>1</v>
      </c>
      <c r="G286" s="169">
        <v>1</v>
      </c>
    </row>
    <row r="287" spans="1:7" s="169" customFormat="1" x14ac:dyDescent="0.25">
      <c r="A287" s="169" t="s">
        <v>164</v>
      </c>
      <c r="B287" s="169" t="s">
        <v>23</v>
      </c>
      <c r="C287" s="169" t="s">
        <v>118</v>
      </c>
      <c r="D287" s="169">
        <f t="shared" si="20"/>
        <v>2019</v>
      </c>
      <c r="E287" s="169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9">
        <v>1</v>
      </c>
      <c r="G287" s="169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9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9">
        <v>1</v>
      </c>
      <c r="G288" s="169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9">
        <v>1</v>
      </c>
      <c r="G289" s="16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9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9">
        <v>1</v>
      </c>
    </row>
    <row r="291" spans="1:7" x14ac:dyDescent="0.25">
      <c r="A291" t="s">
        <v>120</v>
      </c>
      <c r="B291" t="s">
        <v>24</v>
      </c>
      <c r="C291" s="169" t="str">
        <f t="shared" ref="C291:C349" si="22">C279</f>
        <v>Rapsolie</v>
      </c>
      <c r="D291">
        <f t="shared" si="20"/>
        <v>2019</v>
      </c>
      <c r="E291" s="169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9">
        <v>1</v>
      </c>
    </row>
    <row r="292" spans="1:7" x14ac:dyDescent="0.25">
      <c r="A292" t="s">
        <v>120</v>
      </c>
      <c r="B292" t="s">
        <v>24</v>
      </c>
      <c r="C292" s="169" t="str">
        <f t="shared" si="22"/>
        <v>Pil &amp; poppel</v>
      </c>
      <c r="D292">
        <f t="shared" si="20"/>
        <v>2019</v>
      </c>
      <c r="E292" s="169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9">
        <v>1</v>
      </c>
    </row>
    <row r="293" spans="1:7" x14ac:dyDescent="0.25">
      <c r="A293" t="s">
        <v>120</v>
      </c>
      <c r="B293" t="s">
        <v>24</v>
      </c>
      <c r="C293" s="169" t="str">
        <f t="shared" si="22"/>
        <v>Træ til energi</v>
      </c>
      <c r="D293">
        <f t="shared" si="20"/>
        <v>2019</v>
      </c>
      <c r="E293" s="169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9">
        <v>1</v>
      </c>
    </row>
    <row r="294" spans="1:7" x14ac:dyDescent="0.25">
      <c r="A294" t="s">
        <v>120</v>
      </c>
      <c r="B294" t="s">
        <v>24</v>
      </c>
      <c r="C294" s="169" t="str">
        <f t="shared" si="22"/>
        <v>Have/parkaffald</v>
      </c>
      <c r="D294">
        <f t="shared" si="20"/>
        <v>2019</v>
      </c>
      <c r="E294" s="169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9">
        <v>1</v>
      </c>
    </row>
    <row r="295" spans="1:7" x14ac:dyDescent="0.25">
      <c r="A295" t="s">
        <v>120</v>
      </c>
      <c r="B295" t="s">
        <v>24</v>
      </c>
      <c r="C295" s="169" t="str">
        <f t="shared" si="22"/>
        <v>Bioaffald</v>
      </c>
      <c r="D295">
        <f t="shared" si="20"/>
        <v>2019</v>
      </c>
      <c r="E295" s="169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9">
        <v>1</v>
      </c>
    </row>
    <row r="296" spans="1:7" x14ac:dyDescent="0.25">
      <c r="A296" t="s">
        <v>164</v>
      </c>
      <c r="B296" t="s">
        <v>24</v>
      </c>
      <c r="C296" s="169" t="str">
        <f t="shared" si="22"/>
        <v>Halm</v>
      </c>
      <c r="D296">
        <f t="shared" si="20"/>
        <v>2019</v>
      </c>
      <c r="E296" s="169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9">
        <v>1</v>
      </c>
      <c r="G296" s="169">
        <v>1</v>
      </c>
    </row>
    <row r="297" spans="1:7" x14ac:dyDescent="0.25">
      <c r="A297" t="s">
        <v>164</v>
      </c>
      <c r="B297" t="s">
        <v>24</v>
      </c>
      <c r="C297" s="169" t="str">
        <f t="shared" si="22"/>
        <v>Rapsolie</v>
      </c>
      <c r="D297">
        <f t="shared" si="20"/>
        <v>2019</v>
      </c>
      <c r="E297" s="169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9">
        <v>1</v>
      </c>
      <c r="G297" s="169">
        <v>1</v>
      </c>
    </row>
    <row r="298" spans="1:7" x14ac:dyDescent="0.25">
      <c r="A298" t="s">
        <v>164</v>
      </c>
      <c r="B298" t="s">
        <v>24</v>
      </c>
      <c r="C298" s="169" t="str">
        <f t="shared" si="22"/>
        <v>Pil &amp; poppel</v>
      </c>
      <c r="D298">
        <f t="shared" si="20"/>
        <v>2019</v>
      </c>
      <c r="E298" s="169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9">
        <v>1</v>
      </c>
      <c r="G298" s="169">
        <v>1</v>
      </c>
    </row>
    <row r="299" spans="1:7" s="169" customFormat="1" x14ac:dyDescent="0.25">
      <c r="A299" s="169" t="s">
        <v>164</v>
      </c>
      <c r="B299" s="169" t="s">
        <v>24</v>
      </c>
      <c r="C299" s="169" t="str">
        <f t="shared" si="22"/>
        <v>Træmaterialer</v>
      </c>
      <c r="D299" s="169">
        <f t="shared" si="20"/>
        <v>2019</v>
      </c>
      <c r="E299" s="169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9">
        <v>1</v>
      </c>
      <c r="G299" s="169">
        <v>1</v>
      </c>
    </row>
    <row r="300" spans="1:7" x14ac:dyDescent="0.25">
      <c r="A300" t="s">
        <v>164</v>
      </c>
      <c r="B300" t="s">
        <v>24</v>
      </c>
      <c r="C300" s="169" t="str">
        <f t="shared" si="22"/>
        <v>Have/parkaffald</v>
      </c>
      <c r="D300">
        <f t="shared" si="20"/>
        <v>2019</v>
      </c>
      <c r="E300" s="169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9">
        <v>1</v>
      </c>
      <c r="G300" s="169">
        <v>1</v>
      </c>
    </row>
    <row r="301" spans="1:7" x14ac:dyDescent="0.25">
      <c r="A301" t="s">
        <v>164</v>
      </c>
      <c r="B301" t="s">
        <v>24</v>
      </c>
      <c r="C301" s="169" t="str">
        <f t="shared" si="22"/>
        <v>Bioaffald</v>
      </c>
      <c r="D301">
        <f t="shared" si="20"/>
        <v>2019</v>
      </c>
      <c r="E301" s="169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9">
        <v>1</v>
      </c>
      <c r="G301" s="169">
        <v>1</v>
      </c>
    </row>
    <row r="302" spans="1:7" x14ac:dyDescent="0.25">
      <c r="A302" t="s">
        <v>120</v>
      </c>
      <c r="B302" t="s">
        <v>23</v>
      </c>
      <c r="C302" s="169" t="str">
        <f>C290</f>
        <v>Halm</v>
      </c>
      <c r="D302">
        <f t="shared" ref="D302:D325" si="23">År2</f>
        <v>2030</v>
      </c>
      <c r="E302" s="169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1443113.2750780443</v>
      </c>
      <c r="F302" s="169">
        <v>1</v>
      </c>
    </row>
    <row r="303" spans="1:7" x14ac:dyDescent="0.25">
      <c r="A303" t="s">
        <v>120</v>
      </c>
      <c r="B303" t="s">
        <v>23</v>
      </c>
      <c r="C303" s="169" t="str">
        <f t="shared" si="22"/>
        <v>Rapsolie</v>
      </c>
      <c r="D303">
        <f t="shared" si="23"/>
        <v>2030</v>
      </c>
      <c r="E303" s="169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51065.399563925908</v>
      </c>
      <c r="F303" s="169">
        <v>1</v>
      </c>
    </row>
    <row r="304" spans="1:7" x14ac:dyDescent="0.25">
      <c r="A304" t="s">
        <v>120</v>
      </c>
      <c r="B304" t="s">
        <v>23</v>
      </c>
      <c r="C304" s="169" t="str">
        <f t="shared" si="22"/>
        <v>Pil &amp; poppel</v>
      </c>
      <c r="D304">
        <f t="shared" si="23"/>
        <v>2030</v>
      </c>
      <c r="E304" s="169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139642.05031935725</v>
      </c>
      <c r="F304" s="169">
        <v>1</v>
      </c>
    </row>
    <row r="305" spans="1:7" x14ac:dyDescent="0.25">
      <c r="A305" t="s">
        <v>120</v>
      </c>
      <c r="B305" t="s">
        <v>23</v>
      </c>
      <c r="C305" s="169" t="str">
        <f t="shared" si="22"/>
        <v>Træ til energi</v>
      </c>
      <c r="D305">
        <f t="shared" si="23"/>
        <v>2030</v>
      </c>
      <c r="E305" s="169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2203715.0015238998</v>
      </c>
      <c r="F305" s="169">
        <v>1</v>
      </c>
    </row>
    <row r="306" spans="1:7" x14ac:dyDescent="0.25">
      <c r="A306" t="s">
        <v>120</v>
      </c>
      <c r="B306" t="s">
        <v>23</v>
      </c>
      <c r="C306" s="169" t="str">
        <f t="shared" si="22"/>
        <v>Have/parkaffald</v>
      </c>
      <c r="D306">
        <f t="shared" si="23"/>
        <v>2030</v>
      </c>
      <c r="E306" s="169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9">
        <v>1</v>
      </c>
    </row>
    <row r="307" spans="1:7" x14ac:dyDescent="0.25">
      <c r="A307" t="s">
        <v>120</v>
      </c>
      <c r="B307" t="s">
        <v>23</v>
      </c>
      <c r="C307" s="169" t="str">
        <f t="shared" si="22"/>
        <v>Bioaffald</v>
      </c>
      <c r="D307">
        <f t="shared" si="23"/>
        <v>2030</v>
      </c>
      <c r="E307" s="169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9">
        <v>1</v>
      </c>
    </row>
    <row r="308" spans="1:7" x14ac:dyDescent="0.25">
      <c r="A308" t="s">
        <v>164</v>
      </c>
      <c r="B308" t="s">
        <v>23</v>
      </c>
      <c r="C308" s="169" t="str">
        <f t="shared" si="22"/>
        <v>Halm</v>
      </c>
      <c r="D308">
        <f t="shared" si="23"/>
        <v>2030</v>
      </c>
      <c r="E308" s="169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9">
        <v>1</v>
      </c>
      <c r="G308" s="169">
        <v>1</v>
      </c>
    </row>
    <row r="309" spans="1:7" x14ac:dyDescent="0.25">
      <c r="A309" t="s">
        <v>164</v>
      </c>
      <c r="B309" t="s">
        <v>23</v>
      </c>
      <c r="C309" s="169" t="str">
        <f t="shared" si="22"/>
        <v>Rapsolie</v>
      </c>
      <c r="D309">
        <f t="shared" si="23"/>
        <v>2030</v>
      </c>
      <c r="E309" s="16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9">
        <v>1</v>
      </c>
      <c r="G309" s="169">
        <v>1</v>
      </c>
    </row>
    <row r="310" spans="1:7" x14ac:dyDescent="0.25">
      <c r="A310" t="s">
        <v>164</v>
      </c>
      <c r="B310" t="s">
        <v>23</v>
      </c>
      <c r="C310" s="169" t="str">
        <f t="shared" si="22"/>
        <v>Pil &amp; poppel</v>
      </c>
      <c r="D310">
        <f t="shared" si="23"/>
        <v>2030</v>
      </c>
      <c r="E310" s="169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9">
        <v>1</v>
      </c>
      <c r="G310" s="169">
        <v>1</v>
      </c>
    </row>
    <row r="311" spans="1:7" s="169" customFormat="1" x14ac:dyDescent="0.25">
      <c r="A311" s="169" t="s">
        <v>164</v>
      </c>
      <c r="B311" s="169" t="s">
        <v>23</v>
      </c>
      <c r="C311" s="169" t="str">
        <f t="shared" si="22"/>
        <v>Træmaterialer</v>
      </c>
      <c r="D311" s="169">
        <f t="shared" si="23"/>
        <v>2030</v>
      </c>
      <c r="E311" s="169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605932.0339558397</v>
      </c>
      <c r="F311" s="169">
        <v>1</v>
      </c>
      <c r="G311" s="169">
        <v>1</v>
      </c>
    </row>
    <row r="312" spans="1:7" x14ac:dyDescent="0.25">
      <c r="A312" t="s">
        <v>164</v>
      </c>
      <c r="B312" t="s">
        <v>23</v>
      </c>
      <c r="C312" s="169" t="str">
        <f t="shared" si="22"/>
        <v>Have/parkaffald</v>
      </c>
      <c r="D312">
        <f t="shared" si="23"/>
        <v>2030</v>
      </c>
      <c r="E312" s="169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9">
        <v>1</v>
      </c>
      <c r="G312" s="169">
        <v>1</v>
      </c>
    </row>
    <row r="313" spans="1:7" x14ac:dyDescent="0.25">
      <c r="A313" t="s">
        <v>164</v>
      </c>
      <c r="B313" t="s">
        <v>23</v>
      </c>
      <c r="C313" s="169" t="str">
        <f t="shared" si="22"/>
        <v>Bioaffald</v>
      </c>
      <c r="D313">
        <f t="shared" si="23"/>
        <v>2030</v>
      </c>
      <c r="E313" s="169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9">
        <v>1</v>
      </c>
      <c r="G313" s="169">
        <v>1</v>
      </c>
    </row>
    <row r="314" spans="1:7" x14ac:dyDescent="0.25">
      <c r="A314" t="s">
        <v>120</v>
      </c>
      <c r="B314" t="s">
        <v>24</v>
      </c>
      <c r="C314" s="169" t="str">
        <f>C302</f>
        <v>Halm</v>
      </c>
      <c r="D314">
        <f t="shared" si="23"/>
        <v>2030</v>
      </c>
      <c r="E314" s="169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685672.01341585245</v>
      </c>
      <c r="F314" s="169">
        <v>1</v>
      </c>
    </row>
    <row r="315" spans="1:7" x14ac:dyDescent="0.25">
      <c r="A315" t="s">
        <v>120</v>
      </c>
      <c r="B315" t="s">
        <v>24</v>
      </c>
      <c r="C315" s="169" t="str">
        <f t="shared" si="22"/>
        <v>Rapsolie</v>
      </c>
      <c r="D315">
        <f t="shared" si="23"/>
        <v>2030</v>
      </c>
      <c r="E315" s="169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15298.317515698101</v>
      </c>
      <c r="F315" s="169">
        <v>1</v>
      </c>
    </row>
    <row r="316" spans="1:7" x14ac:dyDescent="0.25">
      <c r="A316" t="s">
        <v>120</v>
      </c>
      <c r="B316" t="s">
        <v>24</v>
      </c>
      <c r="C316" s="169" t="str">
        <f t="shared" si="22"/>
        <v>Pil &amp; poppel</v>
      </c>
      <c r="D316">
        <f t="shared" si="23"/>
        <v>2030</v>
      </c>
      <c r="E316" s="169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39553.070036709789</v>
      </c>
      <c r="F316" s="169">
        <v>1</v>
      </c>
    </row>
    <row r="317" spans="1:7" x14ac:dyDescent="0.25">
      <c r="A317" t="s">
        <v>120</v>
      </c>
      <c r="B317" t="s">
        <v>24</v>
      </c>
      <c r="C317" s="169" t="str">
        <f t="shared" si="22"/>
        <v>Træ til energi</v>
      </c>
      <c r="D317">
        <f t="shared" si="23"/>
        <v>2030</v>
      </c>
      <c r="E317" s="169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645037.98201828008</v>
      </c>
      <c r="F317" s="169">
        <v>1</v>
      </c>
    </row>
    <row r="318" spans="1:7" x14ac:dyDescent="0.25">
      <c r="A318" t="s">
        <v>120</v>
      </c>
      <c r="B318" t="s">
        <v>24</v>
      </c>
      <c r="C318" s="169" t="str">
        <f t="shared" si="22"/>
        <v>Have/parkaffald</v>
      </c>
      <c r="D318">
        <f t="shared" si="23"/>
        <v>2030</v>
      </c>
      <c r="E318" s="169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9">
        <v>1</v>
      </c>
    </row>
    <row r="319" spans="1:7" x14ac:dyDescent="0.25">
      <c r="A319" t="s">
        <v>120</v>
      </c>
      <c r="B319" t="s">
        <v>24</v>
      </c>
      <c r="C319" s="169" t="str">
        <f t="shared" si="22"/>
        <v>Bioaffald</v>
      </c>
      <c r="D319">
        <f t="shared" si="23"/>
        <v>2030</v>
      </c>
      <c r="E319" s="16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9">
        <v>1</v>
      </c>
    </row>
    <row r="320" spans="1:7" x14ac:dyDescent="0.25">
      <c r="A320" t="s">
        <v>164</v>
      </c>
      <c r="B320" t="s">
        <v>24</v>
      </c>
      <c r="C320" s="169" t="str">
        <f t="shared" si="22"/>
        <v>Halm</v>
      </c>
      <c r="D320">
        <f t="shared" si="23"/>
        <v>2030</v>
      </c>
      <c r="E320" s="169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9">
        <v>1</v>
      </c>
      <c r="G320" s="169">
        <v>1</v>
      </c>
    </row>
    <row r="321" spans="1:7" x14ac:dyDescent="0.25">
      <c r="A321" t="s">
        <v>164</v>
      </c>
      <c r="B321" t="s">
        <v>24</v>
      </c>
      <c r="C321" s="169" t="str">
        <f t="shared" si="22"/>
        <v>Rapsolie</v>
      </c>
      <c r="D321">
        <f t="shared" si="23"/>
        <v>2030</v>
      </c>
      <c r="E321" s="169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9">
        <v>1</v>
      </c>
      <c r="G321" s="169">
        <v>1</v>
      </c>
    </row>
    <row r="322" spans="1:7" x14ac:dyDescent="0.25">
      <c r="A322" t="s">
        <v>164</v>
      </c>
      <c r="B322" t="s">
        <v>24</v>
      </c>
      <c r="C322" s="169" t="str">
        <f t="shared" si="22"/>
        <v>Pil &amp; poppel</v>
      </c>
      <c r="D322">
        <f t="shared" si="23"/>
        <v>2030</v>
      </c>
      <c r="E322" s="169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9">
        <v>1</v>
      </c>
      <c r="G322" s="169">
        <v>1</v>
      </c>
    </row>
    <row r="323" spans="1:7" s="169" customFormat="1" x14ac:dyDescent="0.25">
      <c r="A323" s="169" t="s">
        <v>164</v>
      </c>
      <c r="B323" s="169" t="s">
        <v>24</v>
      </c>
      <c r="C323" s="169" t="str">
        <f t="shared" si="22"/>
        <v>Træmaterialer</v>
      </c>
      <c r="D323" s="169">
        <f t="shared" si="23"/>
        <v>2030</v>
      </c>
      <c r="E323" s="169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177359.22120275494</v>
      </c>
      <c r="F323" s="169">
        <v>1</v>
      </c>
      <c r="G323" s="169">
        <v>1</v>
      </c>
    </row>
    <row r="324" spans="1:7" x14ac:dyDescent="0.25">
      <c r="A324" t="s">
        <v>164</v>
      </c>
      <c r="B324" t="s">
        <v>24</v>
      </c>
      <c r="C324" s="169" t="str">
        <f t="shared" si="22"/>
        <v>Have/parkaffald</v>
      </c>
      <c r="D324">
        <f t="shared" si="23"/>
        <v>2030</v>
      </c>
      <c r="E324" s="169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9">
        <v>1</v>
      </c>
      <c r="G324" s="169">
        <v>1</v>
      </c>
    </row>
    <row r="325" spans="1:7" x14ac:dyDescent="0.25">
      <c r="A325" t="s">
        <v>164</v>
      </c>
      <c r="B325" t="s">
        <v>24</v>
      </c>
      <c r="C325" s="169" t="str">
        <f t="shared" si="22"/>
        <v>Bioaffald</v>
      </c>
      <c r="D325">
        <f t="shared" si="23"/>
        <v>2030</v>
      </c>
      <c r="E325" s="169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9">
        <v>1</v>
      </c>
      <c r="G325" s="169">
        <v>1</v>
      </c>
    </row>
    <row r="326" spans="1:7" x14ac:dyDescent="0.25">
      <c r="A326" t="s">
        <v>120</v>
      </c>
      <c r="B326" t="s">
        <v>23</v>
      </c>
      <c r="C326" s="169" t="str">
        <f>C314</f>
        <v>Halm</v>
      </c>
      <c r="D326">
        <f t="shared" ref="D326:D349" si="24">År3</f>
        <v>2050</v>
      </c>
      <c r="E326" s="169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472255.64073919144</v>
      </c>
      <c r="F326" s="169">
        <v>1</v>
      </c>
    </row>
    <row r="327" spans="1:7" x14ac:dyDescent="0.25">
      <c r="A327" t="s">
        <v>120</v>
      </c>
      <c r="B327" t="s">
        <v>23</v>
      </c>
      <c r="C327" s="169" t="str">
        <f t="shared" si="22"/>
        <v>Rapsolie</v>
      </c>
      <c r="D327">
        <f t="shared" si="24"/>
        <v>2050</v>
      </c>
      <c r="E327" s="169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44992.387003843709</v>
      </c>
      <c r="F327" s="169">
        <v>1</v>
      </c>
    </row>
    <row r="328" spans="1:7" x14ac:dyDescent="0.25">
      <c r="A328" t="s">
        <v>120</v>
      </c>
      <c r="B328" t="s">
        <v>23</v>
      </c>
      <c r="C328" s="169" t="str">
        <f t="shared" si="22"/>
        <v>Pil &amp; poppel</v>
      </c>
      <c r="D328">
        <f t="shared" si="24"/>
        <v>2050</v>
      </c>
      <c r="E328" s="169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114761.6251294364</v>
      </c>
      <c r="F328" s="169">
        <v>1</v>
      </c>
    </row>
    <row r="329" spans="1:7" x14ac:dyDescent="0.25">
      <c r="A329" t="s">
        <v>120</v>
      </c>
      <c r="B329" t="s">
        <v>23</v>
      </c>
      <c r="C329" s="169" t="str">
        <f t="shared" si="22"/>
        <v>Træ til energi</v>
      </c>
      <c r="D329">
        <f t="shared" si="24"/>
        <v>2050</v>
      </c>
      <c r="E329" s="169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2021010.5366921518</v>
      </c>
      <c r="F329" s="169">
        <v>1</v>
      </c>
    </row>
    <row r="330" spans="1:7" x14ac:dyDescent="0.25">
      <c r="A330" t="s">
        <v>120</v>
      </c>
      <c r="B330" t="s">
        <v>23</v>
      </c>
      <c r="C330" s="169" t="str">
        <f t="shared" si="22"/>
        <v>Have/parkaffald</v>
      </c>
      <c r="D330">
        <f t="shared" si="24"/>
        <v>2050</v>
      </c>
      <c r="E330" s="169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9">
        <v>1</v>
      </c>
    </row>
    <row r="331" spans="1:7" x14ac:dyDescent="0.25">
      <c r="A331" t="s">
        <v>120</v>
      </c>
      <c r="B331" t="s">
        <v>23</v>
      </c>
      <c r="C331" s="169" t="str">
        <f t="shared" si="22"/>
        <v>Bioaffald</v>
      </c>
      <c r="D331">
        <f t="shared" si="24"/>
        <v>2050</v>
      </c>
      <c r="E331" s="169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9">
        <v>1</v>
      </c>
    </row>
    <row r="332" spans="1:7" x14ac:dyDescent="0.25">
      <c r="A332" t="s">
        <v>164</v>
      </c>
      <c r="B332" t="s">
        <v>23</v>
      </c>
      <c r="C332" s="169" t="str">
        <f t="shared" si="22"/>
        <v>Halm</v>
      </c>
      <c r="D332">
        <f t="shared" si="24"/>
        <v>2050</v>
      </c>
      <c r="E332" s="169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9">
        <v>1</v>
      </c>
      <c r="G332" s="169">
        <v>1</v>
      </c>
    </row>
    <row r="333" spans="1:7" x14ac:dyDescent="0.25">
      <c r="A333" t="s">
        <v>164</v>
      </c>
      <c r="B333" t="s">
        <v>23</v>
      </c>
      <c r="C333" s="169" t="str">
        <f t="shared" si="22"/>
        <v>Rapsolie</v>
      </c>
      <c r="D333">
        <f t="shared" si="24"/>
        <v>2050</v>
      </c>
      <c r="E333" s="169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9">
        <v>1</v>
      </c>
      <c r="G333" s="169">
        <v>1</v>
      </c>
    </row>
    <row r="334" spans="1:7" x14ac:dyDescent="0.25">
      <c r="A334" t="s">
        <v>164</v>
      </c>
      <c r="B334" t="s">
        <v>23</v>
      </c>
      <c r="C334" s="169" t="str">
        <f t="shared" si="22"/>
        <v>Pil &amp; poppel</v>
      </c>
      <c r="D334">
        <f t="shared" si="24"/>
        <v>2050</v>
      </c>
      <c r="E334" s="169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9">
        <v>1</v>
      </c>
      <c r="G334" s="169">
        <v>1</v>
      </c>
    </row>
    <row r="335" spans="1:7" s="169" customFormat="1" x14ac:dyDescent="0.25">
      <c r="A335" s="169" t="s">
        <v>164</v>
      </c>
      <c r="B335" s="169" t="s">
        <v>23</v>
      </c>
      <c r="C335" s="169" t="str">
        <f t="shared" si="22"/>
        <v>Træmaterialer</v>
      </c>
      <c r="D335" s="169">
        <f t="shared" si="24"/>
        <v>2050</v>
      </c>
      <c r="E335" s="169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557813.57485660876</v>
      </c>
      <c r="F335" s="169">
        <v>1</v>
      </c>
      <c r="G335" s="169">
        <v>1</v>
      </c>
    </row>
    <row r="336" spans="1:7" x14ac:dyDescent="0.25">
      <c r="A336" t="s">
        <v>164</v>
      </c>
      <c r="B336" t="s">
        <v>23</v>
      </c>
      <c r="C336" s="169" t="str">
        <f t="shared" si="22"/>
        <v>Have/parkaffald</v>
      </c>
      <c r="D336">
        <f t="shared" si="24"/>
        <v>2050</v>
      </c>
      <c r="E336" s="169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9">
        <v>1</v>
      </c>
      <c r="G336" s="169">
        <v>1</v>
      </c>
    </row>
    <row r="337" spans="1:7" x14ac:dyDescent="0.25">
      <c r="A337" t="s">
        <v>164</v>
      </c>
      <c r="B337" t="s">
        <v>23</v>
      </c>
      <c r="C337" s="169" t="str">
        <f t="shared" si="22"/>
        <v>Bioaffald</v>
      </c>
      <c r="D337">
        <f t="shared" si="24"/>
        <v>2050</v>
      </c>
      <c r="E337" s="169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9">
        <v>1</v>
      </c>
      <c r="G337" s="169">
        <v>1</v>
      </c>
    </row>
    <row r="338" spans="1:7" x14ac:dyDescent="0.25">
      <c r="A338" t="s">
        <v>120</v>
      </c>
      <c r="B338" t="s">
        <v>24</v>
      </c>
      <c r="C338" s="169" t="str">
        <f>C326</f>
        <v>Halm</v>
      </c>
      <c r="D338">
        <f t="shared" si="24"/>
        <v>2050</v>
      </c>
      <c r="E338" s="169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418238.08357116987</v>
      </c>
      <c r="F338" s="169">
        <v>1</v>
      </c>
    </row>
    <row r="339" spans="1:7" x14ac:dyDescent="0.25">
      <c r="A339" t="s">
        <v>120</v>
      </c>
      <c r="B339" t="s">
        <v>24</v>
      </c>
      <c r="C339" s="169" t="str">
        <f t="shared" si="22"/>
        <v>Rapsolie</v>
      </c>
      <c r="D339">
        <f t="shared" si="24"/>
        <v>2050</v>
      </c>
      <c r="E339" s="16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14287.076106974937</v>
      </c>
      <c r="F339" s="169">
        <v>1</v>
      </c>
    </row>
    <row r="340" spans="1:7" x14ac:dyDescent="0.25">
      <c r="A340" t="s">
        <v>120</v>
      </c>
      <c r="B340" t="s">
        <v>24</v>
      </c>
      <c r="C340" s="169" t="str">
        <f t="shared" si="22"/>
        <v>Pil &amp; poppel</v>
      </c>
      <c r="D340">
        <f t="shared" si="24"/>
        <v>2050</v>
      </c>
      <c r="E340" s="169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36441.900098439175</v>
      </c>
      <c r="F340" s="169">
        <v>1</v>
      </c>
    </row>
    <row r="341" spans="1:7" x14ac:dyDescent="0.25">
      <c r="A341" t="s">
        <v>120</v>
      </c>
      <c r="B341" t="s">
        <v>24</v>
      </c>
      <c r="C341" s="169" t="str">
        <f t="shared" si="22"/>
        <v>Træ til energi</v>
      </c>
      <c r="D341">
        <f t="shared" si="24"/>
        <v>2050</v>
      </c>
      <c r="E341" s="169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588379.46402837499</v>
      </c>
      <c r="F341" s="169">
        <v>1</v>
      </c>
    </row>
    <row r="342" spans="1:7" x14ac:dyDescent="0.25">
      <c r="A342" t="s">
        <v>120</v>
      </c>
      <c r="B342" t="s">
        <v>24</v>
      </c>
      <c r="C342" s="169" t="str">
        <f t="shared" si="22"/>
        <v>Have/parkaffald</v>
      </c>
      <c r="D342">
        <f t="shared" si="24"/>
        <v>2050</v>
      </c>
      <c r="E342" s="169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9">
        <v>1</v>
      </c>
    </row>
    <row r="343" spans="1:7" x14ac:dyDescent="0.25">
      <c r="A343" t="s">
        <v>120</v>
      </c>
      <c r="B343" t="s">
        <v>24</v>
      </c>
      <c r="C343" s="169" t="str">
        <f t="shared" si="22"/>
        <v>Bioaffald</v>
      </c>
      <c r="D343">
        <f t="shared" si="24"/>
        <v>2050</v>
      </c>
      <c r="E343" s="169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9">
        <v>1</v>
      </c>
    </row>
    <row r="344" spans="1:7" x14ac:dyDescent="0.25">
      <c r="A344" t="s">
        <v>164</v>
      </c>
      <c r="B344" t="s">
        <v>24</v>
      </c>
      <c r="C344" s="169" t="str">
        <f t="shared" si="22"/>
        <v>Halm</v>
      </c>
      <c r="D344">
        <f t="shared" si="24"/>
        <v>2050</v>
      </c>
      <c r="E344" s="169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9">
        <v>1</v>
      </c>
      <c r="G344" s="169">
        <v>1</v>
      </c>
    </row>
    <row r="345" spans="1:7" x14ac:dyDescent="0.25">
      <c r="A345" t="s">
        <v>164</v>
      </c>
      <c r="B345" t="s">
        <v>24</v>
      </c>
      <c r="C345" s="169" t="str">
        <f t="shared" si="22"/>
        <v>Rapsolie</v>
      </c>
      <c r="D345">
        <f t="shared" si="24"/>
        <v>2050</v>
      </c>
      <c r="E345" s="169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9">
        <v>1</v>
      </c>
      <c r="G345" s="169">
        <v>1</v>
      </c>
    </row>
    <row r="346" spans="1:7" x14ac:dyDescent="0.25">
      <c r="A346" t="s">
        <v>164</v>
      </c>
      <c r="B346" t="s">
        <v>24</v>
      </c>
      <c r="C346" s="169" t="str">
        <f t="shared" si="22"/>
        <v>Pil &amp; poppel</v>
      </c>
      <c r="D346">
        <f t="shared" si="24"/>
        <v>2050</v>
      </c>
      <c r="E346" s="169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9">
        <v>1</v>
      </c>
      <c r="G346" s="169">
        <v>1</v>
      </c>
    </row>
    <row r="347" spans="1:7" s="169" customFormat="1" x14ac:dyDescent="0.25">
      <c r="A347" s="169" t="s">
        <v>164</v>
      </c>
      <c r="B347" s="169" t="s">
        <v>24</v>
      </c>
      <c r="C347" s="169" t="str">
        <f t="shared" si="22"/>
        <v>Træmaterialer</v>
      </c>
      <c r="D347" s="169">
        <f t="shared" si="24"/>
        <v>2050</v>
      </c>
      <c r="E347" s="169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162120.99079899571</v>
      </c>
      <c r="F347" s="169">
        <v>1</v>
      </c>
      <c r="G347" s="169">
        <v>1</v>
      </c>
    </row>
    <row r="348" spans="1:7" x14ac:dyDescent="0.25">
      <c r="A348" t="s">
        <v>164</v>
      </c>
      <c r="B348" t="s">
        <v>24</v>
      </c>
      <c r="C348" s="169" t="str">
        <f t="shared" si="22"/>
        <v>Have/parkaffald</v>
      </c>
      <c r="D348">
        <f t="shared" si="24"/>
        <v>2050</v>
      </c>
      <c r="E348" s="169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9">
        <v>1</v>
      </c>
      <c r="G348" s="169">
        <v>1</v>
      </c>
    </row>
    <row r="349" spans="1:7" x14ac:dyDescent="0.25">
      <c r="A349" t="s">
        <v>164</v>
      </c>
      <c r="B349" t="s">
        <v>24</v>
      </c>
      <c r="C349" s="169" t="str">
        <f t="shared" si="22"/>
        <v>Bioaffald</v>
      </c>
      <c r="D349">
        <f t="shared" si="24"/>
        <v>2050</v>
      </c>
      <c r="E349" s="16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9">
        <v>1</v>
      </c>
      <c r="G349" s="16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6513200.9342898391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3003268.6764569245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4429.7068635263258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546992.42407951143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16889344.422970317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515977.71922257601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5176288.3632512381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2739681.1257801917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5033.5543916049382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651780.57892947888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15183219.854366822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421885.5095768742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943744.02555060491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213454.34738103743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371.78366199613299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74587.345866562871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2988609.6405701884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321487.6679216951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750029.25084455672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194720.12321770185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422.46436214017427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90511.045464003502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2820438.968055354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292821.84527900093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9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1467522.4438828453</v>
      </c>
      <c r="G387" s="169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5006841.2791297073</v>
      </c>
      <c r="G388" s="169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180125.38560234805</v>
      </c>
      <c r="G390" s="169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614545.43323154061</v>
      </c>
      <c r="G391" s="169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9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159579.37363726847</v>
      </c>
      <c r="G393" s="169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140601.20938701159</v>
      </c>
      <c r="G394" s="169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9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47807.242236556565</v>
      </c>
      <c r="G396" s="169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44647.112834296677</v>
      </c>
      <c r="G397" s="169">
        <v>1</v>
      </c>
    </row>
    <row r="398" spans="1:7" x14ac:dyDescent="0.25">
      <c r="A398" t="s">
        <v>313</v>
      </c>
      <c r="B398" s="169" t="s">
        <v>23</v>
      </c>
      <c r="C398" t="s">
        <v>67</v>
      </c>
      <c r="D398" s="169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9">
        <v>1</v>
      </c>
    </row>
    <row r="399" spans="1:7" x14ac:dyDescent="0.25">
      <c r="A399" s="169" t="s">
        <v>313</v>
      </c>
      <c r="B399" s="169" t="s">
        <v>23</v>
      </c>
      <c r="C399" s="169" t="s">
        <v>67</v>
      </c>
      <c r="D399" s="169">
        <f>År2</f>
        <v>2030</v>
      </c>
      <c r="E399" s="16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9">
        <v>1</v>
      </c>
    </row>
    <row r="400" spans="1:7" x14ac:dyDescent="0.25">
      <c r="A400" s="169" t="s">
        <v>313</v>
      </c>
      <c r="B400" s="169" t="s">
        <v>23</v>
      </c>
      <c r="C400" s="169" t="s">
        <v>67</v>
      </c>
      <c r="D400" s="169">
        <f>År3</f>
        <v>2050</v>
      </c>
      <c r="E400" s="169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9">
        <v>1</v>
      </c>
    </row>
    <row r="401" spans="1:7" x14ac:dyDescent="0.25">
      <c r="A401" s="169" t="s">
        <v>313</v>
      </c>
      <c r="B401" s="169" t="s">
        <v>24</v>
      </c>
      <c r="C401" s="169" t="s">
        <v>67</v>
      </c>
      <c r="D401" s="169">
        <f>År1</f>
        <v>2019</v>
      </c>
      <c r="E401" s="169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9">
        <v>1</v>
      </c>
    </row>
    <row r="402" spans="1:7" x14ac:dyDescent="0.25">
      <c r="A402" s="169" t="s">
        <v>313</v>
      </c>
      <c r="B402" s="169" t="s">
        <v>24</v>
      </c>
      <c r="C402" s="169" t="s">
        <v>67</v>
      </c>
      <c r="D402" s="169">
        <f>År2</f>
        <v>2030</v>
      </c>
      <c r="E402" s="169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9">
        <v>1</v>
      </c>
    </row>
    <row r="403" spans="1:7" x14ac:dyDescent="0.25">
      <c r="A403" s="169" t="s">
        <v>313</v>
      </c>
      <c r="B403" s="169" t="s">
        <v>24</v>
      </c>
      <c r="C403" s="169" t="s">
        <v>67</v>
      </c>
      <c r="D403" s="169">
        <f>År3</f>
        <v>2050</v>
      </c>
      <c r="E403" s="169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9">
        <v>1</v>
      </c>
    </row>
    <row r="404" spans="1:7" x14ac:dyDescent="0.25">
      <c r="A404" s="169" t="s">
        <v>120</v>
      </c>
      <c r="B404" s="169" t="s">
        <v>23</v>
      </c>
      <c r="C404" s="169" t="s">
        <v>309</v>
      </c>
      <c r="D404" s="169">
        <f t="shared" ref="D404:D411" si="31">År1</f>
        <v>2019</v>
      </c>
      <c r="E404" s="169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9">
        <v>1</v>
      </c>
    </row>
    <row r="405" spans="1:7" x14ac:dyDescent="0.25">
      <c r="A405" s="169" t="s">
        <v>120</v>
      </c>
      <c r="B405" s="169" t="s">
        <v>23</v>
      </c>
      <c r="C405" s="169" t="s">
        <v>310</v>
      </c>
      <c r="D405" s="169">
        <f t="shared" si="31"/>
        <v>2019</v>
      </c>
      <c r="E405" s="169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9">
        <v>1</v>
      </c>
    </row>
    <row r="406" spans="1:7" x14ac:dyDescent="0.25">
      <c r="A406" s="169" t="s">
        <v>120</v>
      </c>
      <c r="B406" s="169" t="s">
        <v>23</v>
      </c>
      <c r="C406" s="169" t="s">
        <v>309</v>
      </c>
      <c r="D406" s="169">
        <f>År2</f>
        <v>2030</v>
      </c>
      <c r="E406" s="169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9">
        <v>1</v>
      </c>
    </row>
    <row r="407" spans="1:7" x14ac:dyDescent="0.25">
      <c r="A407" s="169" t="s">
        <v>120</v>
      </c>
      <c r="B407" s="169" t="s">
        <v>23</v>
      </c>
      <c r="C407" s="169" t="s">
        <v>310</v>
      </c>
      <c r="D407" s="169">
        <f>År2</f>
        <v>2030</v>
      </c>
      <c r="E407" s="169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9">
        <v>1</v>
      </c>
    </row>
    <row r="408" spans="1:7" x14ac:dyDescent="0.25">
      <c r="A408" s="169" t="s">
        <v>120</v>
      </c>
      <c r="B408" s="169" t="s">
        <v>23</v>
      </c>
      <c r="C408" s="169" t="s">
        <v>309</v>
      </c>
      <c r="D408" s="169">
        <f>År3</f>
        <v>2050</v>
      </c>
      <c r="E408" s="169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9">
        <v>1</v>
      </c>
    </row>
    <row r="409" spans="1:7" x14ac:dyDescent="0.25">
      <c r="A409" s="169" t="s">
        <v>120</v>
      </c>
      <c r="B409" s="169" t="s">
        <v>23</v>
      </c>
      <c r="C409" s="169" t="s">
        <v>310</v>
      </c>
      <c r="D409" s="169">
        <f>År3</f>
        <v>2050</v>
      </c>
      <c r="E409" s="16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9">
        <v>1</v>
      </c>
    </row>
    <row r="410" spans="1:7" x14ac:dyDescent="0.25">
      <c r="A410" s="169" t="s">
        <v>120</v>
      </c>
      <c r="B410" s="169" t="s">
        <v>24</v>
      </c>
      <c r="C410" s="169" t="s">
        <v>309</v>
      </c>
      <c r="D410" s="169">
        <f t="shared" si="31"/>
        <v>2019</v>
      </c>
      <c r="E410" s="169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9">
        <v>1</v>
      </c>
    </row>
    <row r="411" spans="1:7" x14ac:dyDescent="0.25">
      <c r="A411" s="169" t="s">
        <v>120</v>
      </c>
      <c r="B411" s="169" t="s">
        <v>24</v>
      </c>
      <c r="C411" s="169" t="s">
        <v>310</v>
      </c>
      <c r="D411" s="169">
        <f t="shared" si="31"/>
        <v>2019</v>
      </c>
      <c r="E411" s="169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9">
        <v>1</v>
      </c>
    </row>
    <row r="412" spans="1:7" x14ac:dyDescent="0.25">
      <c r="A412" s="169" t="s">
        <v>120</v>
      </c>
      <c r="B412" s="169" t="s">
        <v>24</v>
      </c>
      <c r="C412" s="169" t="s">
        <v>309</v>
      </c>
      <c r="D412" s="169">
        <f>År2</f>
        <v>2030</v>
      </c>
      <c r="E412" s="169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9">
        <v>1</v>
      </c>
    </row>
    <row r="413" spans="1:7" x14ac:dyDescent="0.25">
      <c r="A413" s="169" t="s">
        <v>120</v>
      </c>
      <c r="B413" s="169" t="s">
        <v>24</v>
      </c>
      <c r="C413" s="169" t="s">
        <v>310</v>
      </c>
      <c r="D413" s="169">
        <f>År2</f>
        <v>2030</v>
      </c>
      <c r="E413" s="169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9">
        <v>1</v>
      </c>
    </row>
    <row r="414" spans="1:7" x14ac:dyDescent="0.25">
      <c r="A414" s="169" t="s">
        <v>120</v>
      </c>
      <c r="B414" s="169" t="s">
        <v>24</v>
      </c>
      <c r="C414" s="169" t="s">
        <v>309</v>
      </c>
      <c r="D414" s="169">
        <f>År3</f>
        <v>2050</v>
      </c>
      <c r="E414" s="169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9">
        <v>1</v>
      </c>
    </row>
    <row r="415" spans="1:7" x14ac:dyDescent="0.25">
      <c r="A415" s="169" t="s">
        <v>120</v>
      </c>
      <c r="B415" s="169" t="s">
        <v>24</v>
      </c>
      <c r="C415" s="169" t="s">
        <v>310</v>
      </c>
      <c r="D415" s="169">
        <f>År3</f>
        <v>2050</v>
      </c>
      <c r="E415" s="169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9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9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9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9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ca="1" si="3"/>
        <v>2328635.6388303456</v>
      </c>
      <c r="H5">
        <f t="shared" ca="1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9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9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9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9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9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ca="1" si="2"/>
        <v>681602.85349434032</v>
      </c>
      <c r="G11">
        <f t="shared" ca="1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9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9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9">
        <f>SUMIFS('Forbrug af biomasse'!E:E,'Forbrug af biomasse'!F:F,"",'Forbrug af biomasse'!B:B,Restprodukter!$B14,'Forbrug af biomasse'!C:C,Restprodukter!$A14,'Forbrug af biomasse'!D:D,Restprodukter!$C14)</f>
        <v>821841.83104518999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2264955.1061232341</v>
      </c>
      <c r="F14">
        <f>E14-D14</f>
        <v>1443113.2750780443</v>
      </c>
      <c r="G14">
        <f t="shared" si="3"/>
        <v>1443113.2750780443</v>
      </c>
      <c r="H14">
        <f t="shared" si="1"/>
        <v>685672.01341585245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9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51065.399563925908</v>
      </c>
      <c r="F15">
        <f t="shared" si="2"/>
        <v>51065.399563925908</v>
      </c>
      <c r="G15">
        <f t="shared" si="3"/>
        <v>51065.399563925908</v>
      </c>
      <c r="H15">
        <f t="shared" si="1"/>
        <v>15298.317515698101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9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139642.05031935725</v>
      </c>
      <c r="F16">
        <f t="shared" si="2"/>
        <v>139642.05031935725</v>
      </c>
      <c r="G16">
        <f t="shared" si="3"/>
        <v>139642.05031935725</v>
      </c>
      <c r="H16">
        <f t="shared" si="1"/>
        <v>39553.070036709789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9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2203715.0015238998</v>
      </c>
      <c r="F17">
        <f t="shared" ca="1" si="2"/>
        <v>2203715.0015238998</v>
      </c>
      <c r="G17">
        <f t="shared" ca="1" si="3"/>
        <v>2203715.0015238998</v>
      </c>
      <c r="H17">
        <f t="shared" ca="1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9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9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9">
        <f>SUMIFS('Forbrug af biomasse'!E:E,'Forbrug af biomasse'!F:F,"",'Forbrug af biomasse'!B:B,Restprodukter!$B20,'Forbrug af biomasse'!C:C,Restprodukter!$A20,'Forbrug af biomasse'!D:D,Restprodukter!$C20)</f>
        <v>113795.28212431096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799467.29554016341</v>
      </c>
      <c r="F20">
        <f t="shared" si="2"/>
        <v>685672.01341585245</v>
      </c>
      <c r="G20">
        <f t="shared" si="3"/>
        <v>685672.01341585245</v>
      </c>
      <c r="H20">
        <f t="shared" si="1"/>
        <v>1443113.2750780443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9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15298.317515698101</v>
      </c>
      <c r="F21">
        <f t="shared" si="2"/>
        <v>15298.317515698101</v>
      </c>
      <c r="G21">
        <f t="shared" si="3"/>
        <v>15298.317515698101</v>
      </c>
      <c r="H21">
        <f t="shared" si="1"/>
        <v>51065.399563925908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9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39553.070036709789</v>
      </c>
      <c r="F22">
        <f t="shared" si="2"/>
        <v>39553.070036709789</v>
      </c>
      <c r="G22">
        <f t="shared" si="3"/>
        <v>39553.070036709789</v>
      </c>
      <c r="H22">
        <f t="shared" si="1"/>
        <v>139642.05031935725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9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645037.98201828008</v>
      </c>
      <c r="F23">
        <f t="shared" ca="1" si="2"/>
        <v>645037.98201828008</v>
      </c>
      <c r="G23">
        <f t="shared" ca="1" si="3"/>
        <v>645037.98201828008</v>
      </c>
      <c r="H23">
        <f t="shared" ca="1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9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9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9">
        <f>SUMIFS('Forbrug af biomasse'!E:E,'Forbrug af biomasse'!F:F,"",'Forbrug af biomasse'!B:B,Restprodukter!$B26,'Forbrug af biomasse'!C:C,Restprodukter!$A26,'Forbrug af biomasse'!D:D,Restprodukter!$C26)</f>
        <v>819428.70429369796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1291684.3450328894</v>
      </c>
      <c r="F26">
        <f t="shared" si="2"/>
        <v>472255.64073919144</v>
      </c>
      <c r="G26">
        <f t="shared" si="3"/>
        <v>472255.64073919144</v>
      </c>
      <c r="H26">
        <f t="shared" si="1"/>
        <v>418238.08357116987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9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44992.387003843709</v>
      </c>
      <c r="F27">
        <f t="shared" si="2"/>
        <v>44992.387003843709</v>
      </c>
      <c r="G27">
        <f t="shared" si="3"/>
        <v>44992.387003843709</v>
      </c>
      <c r="H27">
        <f t="shared" si="1"/>
        <v>14287.076106974937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9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114761.6251294364</v>
      </c>
      <c r="F28">
        <f t="shared" si="2"/>
        <v>114761.6251294364</v>
      </c>
      <c r="G28">
        <f t="shared" si="3"/>
        <v>114761.6251294364</v>
      </c>
      <c r="H28">
        <f t="shared" si="1"/>
        <v>36441.900098439175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9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2021010.5366921518</v>
      </c>
      <c r="F29">
        <f t="shared" ca="1" si="2"/>
        <v>2021010.5366921518</v>
      </c>
      <c r="G29">
        <f t="shared" ca="1" si="3"/>
        <v>2021010.5366921518</v>
      </c>
      <c r="H29">
        <f t="shared" ca="1" si="1"/>
        <v>588379.46402837499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9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9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9">
        <f>SUMIFS('Forbrug af biomasse'!E:E,'Forbrug af biomasse'!F:F,"",'Forbrug af biomasse'!B:B,Restprodukter!$B32,'Forbrug af biomasse'!C:C,Restprodukter!$A32,'Forbrug af biomasse'!D:D,Restprodukter!$C32)</f>
        <v>116208.40887580301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534446.49244697287</v>
      </c>
      <c r="F32">
        <f t="shared" si="2"/>
        <v>418238.08357116987</v>
      </c>
      <c r="G32">
        <f t="shared" si="3"/>
        <v>418238.08357116987</v>
      </c>
      <c r="H32">
        <f t="shared" si="1"/>
        <v>472255.64073919144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9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14287.076106974937</v>
      </c>
      <c r="F33">
        <f t="shared" si="2"/>
        <v>14287.076106974937</v>
      </c>
      <c r="G33">
        <f t="shared" si="3"/>
        <v>14287.076106974937</v>
      </c>
      <c r="H33">
        <f t="shared" si="1"/>
        <v>44992.387003843709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9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36441.900098439175</v>
      </c>
      <c r="F34">
        <f t="shared" si="2"/>
        <v>36441.900098439175</v>
      </c>
      <c r="G34">
        <f t="shared" si="3"/>
        <v>36441.900098439175</v>
      </c>
      <c r="H34">
        <f t="shared" si="1"/>
        <v>114761.6251294364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9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588379.46402837499</v>
      </c>
      <c r="F35">
        <f t="shared" ca="1" si="2"/>
        <v>588379.46402837499</v>
      </c>
      <c r="G35">
        <f t="shared" ca="1" si="3"/>
        <v>588379.46402837499</v>
      </c>
      <c r="H35">
        <f t="shared" ca="1" si="1"/>
        <v>2021010.5366921518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9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9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9">
        <f>SUMIF($F$3:$F$494,"Roer",I3:I494)</f>
        <v>1905541.9010865423</v>
      </c>
      <c r="O3" s="169">
        <f>SUMIF($F$3:$F$494,"Roer",J3:J494)</f>
        <v>1764735.4892043229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9"/>
      <c r="O4" s="169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9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0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9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300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9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300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9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0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9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300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9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0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9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300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9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0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9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0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9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0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9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0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9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0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9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0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9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0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9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0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9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0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9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0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9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0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9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300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9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0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9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300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9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300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9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300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9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300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9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0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9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0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9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0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9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0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9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0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9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0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9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0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9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0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9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0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9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0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9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-113576.76955233855</v>
      </c>
      <c r="J49" s="300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-111266.7192930443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9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0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9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0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9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0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9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-15360.580001475535</v>
      </c>
      <c r="J53" s="300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-193320.74303009789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9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0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9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0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9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0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9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0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-624672.23253786203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9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0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9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0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5049.8640811219966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9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0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2754.4713169756351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9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0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-47801.796396035686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9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0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-9337.5318154298348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9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0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9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0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9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0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9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0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9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0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9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0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9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0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9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0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9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0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9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0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9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0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9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300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9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300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9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300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9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300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9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300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9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300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9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300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9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-121148.55418916112</v>
      </c>
      <c r="J81" s="300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-118940.70774992777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9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0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9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300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9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300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9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-9638.0109813179824</v>
      </c>
      <c r="J85" s="300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-121302.50241470226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9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300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9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300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7743.5666885541032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9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300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10241.491426797362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9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300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-151161.63133456439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9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300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-6508.3480157937438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9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300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7375.5413262417223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9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300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4023.0225415863947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9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300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-15568.014483921945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9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300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-6199.0283917879233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12846196.918204933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10209361.002462059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13857874.328276252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11013379.49627923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1776479.5005976835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1411835.7869302849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145203.71847427171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115398.91457703561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-7927994335.0924692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-6300678458.2081051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-608869.07526339334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-483891.39853445761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1038177.2974343046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825078.96162223199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697150.91432926804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1596220.3005513046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755656.45074650866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1730176.5545048576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23111.059732192007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52915.863629428124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-1261843378.1175306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-2889159255.001895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-85182.946317565074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-195037.75348797673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181763.35678102711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416171.5261743071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364205.40541591332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278464.69424371765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10568652.31717013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8080595.4340741076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207115.99269407909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158357.04446142961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3956166.7506140745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3024811.6810041596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45068.682737768562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34458.678459777431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-2742059936.7592664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-2096528141.902899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-11468.890873763929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-8768.9011282798874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2965905.3859670633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2267676.2183580357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35992.274996258689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61710.539032213994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1944967.168067056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3334742.5900100251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16058.091921407722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27532.394337449321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742917.47107662156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1273768.8184854425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14848.521313532474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25458.525591523608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-903410815.2407335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-1548942610.097101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-4555.012513818825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-7809.7946727584913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817148.60900813248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1401041.7828980654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86336100.318272278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66232912.287976995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5495.198124335484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4215.6522478134011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121793.63962622453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93434.234588540392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179923.10163232737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138028.36779822237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7598.8748642289356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5829.4920724288277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-298985036.34829789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-229366969.49333221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-7086.3336537096566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-5436.2950561731323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11544.908809968003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8856.699917699103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1904161.070596582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3311950.5575061226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3364.2156027171677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5851.4565353964754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12667.62143793066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22033.081408647024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23321.836209761786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40564.198916632173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2393.2483247374594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4162.6311165375691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-94164655.971702114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-163782722.82666782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-4203.7792844509868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-7311.728697619099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3999.6469975633572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6956.6767790591484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4846497.1225804752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2832323.5978031158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2116047.5543132382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1152755.7043058684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-103189412.19538134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-56214324.337716132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1466382.4080798377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798838.70386666257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85583.383147380824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37366.886643779471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-1233782.9186316442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151771.37961985721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29331.058248909143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12806.344975188362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-278796.22783121606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114171.77912951802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867120.58087644144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1202263.23175968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378596.81705150969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489321.13532618986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-18462336.978653979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-23861826.841350719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391583.13058753806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506105.42245422117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15312.319605508163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6685.5701411922537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-220744.7015896868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40529.067750448361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5247.8240723627941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2291.2724412960879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-49881.376364966694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30488.460888472066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162013.99818252018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127168.20763499205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-1466192.7179396225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-1072788.2637583218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16668.370622137591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12195.963164059014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997.16748189341479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-7332.1272852785842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601.29814671628708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172.41237907976017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-1058.7722077322092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228.20271503072232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24660.627750930209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45923.533634143969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-223173.51114006815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-387409.94175547321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4451.1259232554976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7726.7701971692095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151.78179880853691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-1116.0446852314144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160.5708097766738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26.24339592772894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-161.15883553777758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60.93931096549327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18098.563188854754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13164.880783152972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-15485687.128268667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-11264276.769462379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3353.3066285891969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2439.1926328118029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2754.8355983673855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4754.1587372995518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-2357122.0389696378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-4067804.3884324692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895.46785354738677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1545.354039433842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1403867.6555040402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1101925.3614497171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-4625207.0941472184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-3384185.3307153014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70108.715456108825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51297.354166495345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32431.998396359526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-71234.021940316525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9492.9392286357961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18800.41827867238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-26545.795310913054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12078.836625714886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213686.82985623329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397932.0566041214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-704016.3917887453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-1222111.6562825295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18721.849176929914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32499.513325472686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4936.5699794061265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-10842.740244535675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2534.9969019977939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2861.6670283626459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-4040.6136744883124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3225.5355995073633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19094268.784563754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23046737.354773276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-55639495.644648992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-62601761.03587015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816175.5345610982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918304.97717373376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513165.33677095559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-1045124.1277650477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128563.8894407959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357030.73299963376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-503402.44392781658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196335.07645311597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3977171.9399235919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11389009.292067561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-11589228.33475001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-30935920.653847013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217951.72198696443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581793.45362803212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106887.92542801288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-217690.36571039518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34331.733680342964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74366.430524138952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-104854.39882868047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52429.368668114126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180493.24074221996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141672.95525637898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71678.793485643968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52446.153545090718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99176.993476138436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72566.118583340518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4039.8216572181936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1604.3234699305856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13010.480555726459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929.95688438277477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369.31126723702016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6573.9222508241537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27473.407677332096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51161.550884158612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10910.440231182321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18939.582000106111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26484.249520219069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45974.369949424443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614.91315063140303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244.19879965845695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3474.3220311343757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141.55147584434312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56.21395550831528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1755.5018670659349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1651793.7265188219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1296527.7688381001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-2560067.8852870241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-1873158.1109064014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43117.125415981638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31548.067008722894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1627.8407689120511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-1635.2414042960656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249.05029290057527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388.9629629681944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-239.22324563259832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130.6212965432542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251424.38720086688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468207.72036622273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-389675.47152963153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-676442.96564426494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11514.008119092454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19987.323728531857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247.77843698853442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-248.9049094932123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66.5064534533347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59.205197984505972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-36.412874665735764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34.881144195386327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26018.911988046581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20422.793334221158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-400234.65691930376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-292844.88828708581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5619.5643627053651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4111.739624663096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374.03826828685811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-4794.6879962818539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365.13927145577424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144.83807378035524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-1591.40333865517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323.98351124104016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3960.4152123853919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7375.1675362074084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-60920.89571290576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-105753.41374189964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1500.6498942985963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2604.9986182307221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56.9334662578555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-729.81357897824716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97.506883763242911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22.046229719207499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-242.23218843072078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86.516639105508176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1257979.0936132872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987414.34920253372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-5595831.5601888774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-4094374.7368865702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89547.523986853921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65520.399607979532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23216.282992215445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-75712.838495797434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9686.2125833566406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8989.9937894944323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-21695.414446271501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8232.8708717804384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191480.70224833768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356579.34415961284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-851757.9999924571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-1478578.3289475353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23912.793542750802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41510.544447156361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3533.8187999427309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-11524.474101353329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2586.6086677171102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1368.3934278082397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-3302.3229200165451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2198.5079280351097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2956342.4131298731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1265724.858964446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-9913393.3113466781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-3956433.3844726901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140875.16584173113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56223.251885043705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115107.04052507287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-261343.44684860823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32148.65020729326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26497.354056695931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-39666.336654744111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16244.036953628662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655253.81578502909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665578.5146935808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-2197238.3056131238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-2080481.4228551069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37619.340056444707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35620.322987980377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25512.717063083503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-57925.05293615986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8584.9837143233071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5872.9639289230008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-8791.7821480352413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4337.8117526729384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132839.47037204553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104268.50481995734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94908.349214505288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69442.824210091596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-4928533.6064933781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-3606124.1785558369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64034.166291695983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46852.70990420309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4930.9322098781249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3522.9486749493058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-126318.89742203898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13931.401382144788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1372.7225494023139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980.75391845823879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-23905.900668320242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8512.9316325957971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19510.417243817741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36332.704567054243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13939.392320000004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24197.581241658125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-723864.27613384172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-1256565.8694139314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17099.700025656686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29683.602489983648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724.21656414513689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517.42300977496291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-18552.726742891515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3720.2449624551109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201.61469797964801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144.04542647631752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-3511.1107814710217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2273.2954247143757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871310.57261239272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683910.06367060472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193628.88550029442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141674.96083408713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-8532412.6983090956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-6243021.1883410905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129333.99128804542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94631.480746823494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27480.852216529471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6106.9921042402084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-201832.14210547108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23908.429111745085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13716.850168961906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3048.2568377741309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-76756.509260721781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26194.242566334542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132624.74803218781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246976.56274164814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29472.822846892926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51162.275147062428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-1298743.6624659046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-2254506.8366801892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34537.381873171529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59953.912234119416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4182.9414395828162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929.56325163257657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-30721.464691147135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6384.5129806669411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2087.8821566453362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463.98414957261309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-11683.334301811645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6994.9171859787948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572638.87712736742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449476.34428701212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-1175191.7254479558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-859867.78907080588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21000.615958441511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15365.793361442356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11048.323956305765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-17177.12057883359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1831.3720972496869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4278.2198935469305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-5131.1272710450921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1624.9535693332998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87163.049754748106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162316.84316777985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-178879.39315340095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-310519.17823401367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5608.0098178765156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9735.0207280831655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1681.697923726302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-2614.5801052958673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489.05006985916657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651.20044820156795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-781.02399171296781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433.92801375197882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107416.96622159336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84313.844588907334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-492995.77780805907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-360716.62206732528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8075.6585302617941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5908.8219354676903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8851.4253241198967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-33853.399094115281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3007.7882870163858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4926.263450993114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-16149.531036038195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3835.7416480615129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16350.252742609982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30447.780540529067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-75040.33907988909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-130263.54805165481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2156.5259044376767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3743.54272944166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1347.3015136467893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-5152.9255652535776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803.20054788210405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749.84106639410822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-2458.167675012668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1024.2974236439097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1473246.2194634858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1156382.0610311499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-4982947.2317420058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-3645937.7022768548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195899.0261382506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143335.98411136991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393927.65642203245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320763.96862656693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-1110314.9285469418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-842776.1364214957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236756.76839647905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179708.43173472441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436812.17787457723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100997.2183689446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-1055304.1710473225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-227451.74595179828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601559.13895846775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129655.20292938208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393416.04452223994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732627.53630217176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-1330647.4940006274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-2309889.1329639368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52312.925681313529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90810.721163661685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105194.5413943844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203220.47875754666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-296498.78044282866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-533942.04674030398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63223.587548272291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113854.53824589516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116646.43489201943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63986.934561257549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-281808.6937921709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-144102.38439335721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160640.50521129509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82143.242352107496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9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605932.0339558397</v>
      </c>
      <c r="J423" s="300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557813.57485660876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9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656426.37011882639</v>
      </c>
      <c r="J424" s="300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604298.03942799277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8">
        <f>SUMIFS(H3:H424,$F$3:$F$424,$D$425)*H423/SUM(H423:H424)</f>
        <v>-468707.41035023518</v>
      </c>
      <c r="I425" s="339">
        <f t="shared" ref="I425:J425" ca="1" si="0">SUMIFS(I3:I424,$F$3:$F$424,$D$425)*I423/SUM(I423:I424)</f>
        <v>-443563.40437744389</v>
      </c>
      <c r="J425" s="340">
        <f t="shared" ca="1" si="0"/>
        <v>-411833.66021316953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3017641.6562322429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2760447.5608356618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117477.1055422674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107464.51248724005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15436.491668253937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14120.836940823343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1563965.4599161854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1430668.4261667002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1306302.9710994663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1138689.3493672458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25026.713798189154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21815.499989007043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116501.12348862227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101552.69599835531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114951.71019333342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100202.09016177173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99766.452046185907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84803.280376262541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48387.537722562622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41130.278205180832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6386.993283345776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5429.0592785451718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65648.589190845174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55802.482711122509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166533.62844565022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131250.27246207089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614.25654272826785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484.11446593206466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5026814099.8613997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3703968284.1083999</v>
      </c>
      <c r="N440" s="169"/>
      <c r="O440" s="169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145513039.73282999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145513039.73282999</v>
      </c>
      <c r="M441" s="169"/>
      <c r="N441" s="169"/>
      <c r="O441" s="169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9"/>
      <c r="N442" s="169"/>
      <c r="O442" s="169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66142290.787649997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66142290.787649997</v>
      </c>
      <c r="M443" s="169"/>
      <c r="N443" s="169"/>
      <c r="O443" s="169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132284581.57529999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132284581.57529999</v>
      </c>
      <c r="M444" s="169"/>
      <c r="N444" s="169"/>
      <c r="O444" s="169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1058276652.6023999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410082202.88343</v>
      </c>
      <c r="M445" s="169"/>
      <c r="N445" s="169"/>
      <c r="O445" s="169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92599207.102709994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66142290.787649997</v>
      </c>
      <c r="M446" s="169"/>
      <c r="N446" s="169"/>
      <c r="O446" s="169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9"/>
      <c r="N447" s="169"/>
      <c r="O447" s="169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9"/>
      <c r="N448" s="169"/>
      <c r="O448" s="169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2037182556.2596197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2037182556.2596197</v>
      </c>
      <c r="M449" s="169"/>
      <c r="N449" s="169"/>
      <c r="O449" s="169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145513039.73282999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145513039.73282999</v>
      </c>
      <c r="M450" s="169"/>
      <c r="N450" s="169"/>
      <c r="O450" s="169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158741497.89036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529138326.30119997</v>
      </c>
      <c r="M451" s="169"/>
      <c r="N451" s="169"/>
      <c r="O451" s="169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674651366.03402984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2301751719.4102197</v>
      </c>
      <c r="M452" s="169"/>
      <c r="N452" s="169"/>
      <c r="O452" s="169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105827665.26023999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105827665.26023999</v>
      </c>
      <c r="M453" s="169"/>
      <c r="N453" s="169"/>
      <c r="O453" s="169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3584912160.6906304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3584912160.6906304</v>
      </c>
      <c r="M454" s="169"/>
      <c r="N454" s="169"/>
      <c r="O454" s="169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9013486.0031573568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8625937.8468677383</v>
      </c>
      <c r="L455" s="130"/>
      <c r="M455" s="124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277422.55295055168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274134.53921085404</v>
      </c>
      <c r="L456" s="125"/>
      <c r="M456" s="124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3408503.7271263115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3342580.1866613841</v>
      </c>
      <c r="L457" s="125"/>
      <c r="M457" s="124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88136080.727836967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70045093.596335903</v>
      </c>
      <c r="L458" s="125"/>
      <c r="M458" s="124"/>
    </row>
    <row r="459" spans="1:15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-93480.06542082598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-74292.1613682022</v>
      </c>
      <c r="L459" s="125"/>
      <c r="M459" s="124"/>
    </row>
    <row r="460" spans="1:15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134095946.40380169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122326762.26608557</v>
      </c>
      <c r="L460" s="125"/>
      <c r="M460" s="124"/>
    </row>
    <row r="461" spans="1:15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-279854.95664733084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-255292.9575342717</v>
      </c>
      <c r="L461" s="125"/>
      <c r="M461" s="124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58029.159912194868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65939.56253002469</v>
      </c>
      <c r="L462" s="125"/>
      <c r="M462" s="124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86693138.910715014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103301072.88693628</v>
      </c>
      <c r="L463" s="125"/>
      <c r="M463" s="124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25531119.88813775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25048569.494585399</v>
      </c>
      <c r="L464" s="126"/>
      <c r="M464" s="124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1655155.5402517661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1643635.054566408</v>
      </c>
      <c r="L465" s="125"/>
      <c r="M465" s="124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5"/>
      <c r="M466" s="124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53140142.836476535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51849143.051243521</v>
      </c>
      <c r="L467" s="125"/>
      <c r="M467" s="124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5"/>
      <c r="M468" s="124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5"/>
      <c r="M469" s="124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5"/>
      <c r="M470" s="124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1134640.9337845047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7742255.7834707377</v>
      </c>
      <c r="L471" s="126"/>
      <c r="M471" s="124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5"/>
      <c r="M472" s="124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20926124.331558898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21665042.682352681</v>
      </c>
      <c r="L473" s="140"/>
      <c r="M473" s="124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3">
        <f ca="1">SUMIFS('Forbrug af biomasse'!$E$1:$E$425,'Forbrug af biomasse'!$A$1:$A$425,"Biogas",'Forbrug af biomasse'!$B$1:$B$425,$A$1,'Forbrug af biomasse'!$D$1:$D$425,I$2)*'[1]Processer - data'!I474</f>
        <v>19407846.937600072</v>
      </c>
      <c r="J474" s="284">
        <f ca="1">SUMIFS('Forbrug af biomasse'!$E$1:$E$425,'Forbrug af biomasse'!$A$1:$A$425,"Biogas",'Forbrug af biomasse'!$B$1:$B$425,$A$1,'Forbrug af biomasse'!$D$1:$D$425,J$2)*'[1]Processer - data'!J474</f>
        <v>17925018.580788191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3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34519964.951736145</v>
      </c>
      <c r="J475" s="284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27434328.32523156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3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24026149.411655396</v>
      </c>
      <c r="J476" s="284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21917449.006241534</v>
      </c>
      <c r="M476" s="169"/>
      <c r="N476" s="169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3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31007.948044684279</v>
      </c>
      <c r="J477" s="284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35234.88074123457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3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7657893.9371131593</v>
      </c>
      <c r="J478" s="284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9124928.1050127037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49012317.500056781</v>
      </c>
      <c r="I479" s="283">
        <f ca="1">I474*'[1]Processer - data'!I$479*Biogasanlæg!AB$3</f>
        <v>118225410.96079221</v>
      </c>
      <c r="J479" s="284">
        <f ca="1">J474*'[1]Processer - data'!J$479*Biogasanlæg!AC$3</f>
        <v>106282538.98056775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Vestdanmark'!H$3:H$504,'Resultater - Vestdanmark'!$F$3:$F$504,"Gødning",'Resultater - Vestdanmark'!$A$3:$A$504,"&lt;&gt;Gødning")-SUM(H475:H479)</f>
        <v>90839230.234099507</v>
      </c>
      <c r="I480" s="283">
        <f ca="1">-SUMIFS('Resultater - Vestdanmark'!I$3:I$504,'Resultater - Vestdanmark'!$F$3:$F$504,"Gødning",'Resultater - Vestdanmark'!$A$3:$A$504,"&lt;&gt;Gødning")-SUM(I475:I479)</f>
        <v>82556435.075612158</v>
      </c>
      <c r="J480" s="284">
        <f ca="1">-SUMIFS('Resultater - Vestdanmark'!J$3:J$504,'Resultater - Vestdanmark'!$F$3:$F$504,"Gødning",'Resultater - Vestdanmark'!$A$3:$A$504,"&lt;&gt;Gødning")-SUM(J475:J479)</f>
        <v>67501681.532299876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14.915739336640605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4.8811428452440966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1.7872889847374067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1.5747335451345297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2.5694137258761729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2.1116139023816296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 ca="1"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7">
        <f ca="1">SUMIFS('Forbrug af biomasse'!$E$1:$E$425,'Forbrug af biomasse'!$A$1:$A$425,$F484,'Forbrug af biomasse'!$C$1:$C$425,$D484,'Forbrug af biomasse'!$B$1:$B$425,$A$1,'Forbrug af biomasse'!$D$1:$D$425,I$2)*'[1]Processer - data'!I484</f>
        <v>31.93969521225883</v>
      </c>
      <c r="J484" s="288">
        <f ca="1">SUMIFS('Forbrug af biomasse'!$E$1:$E$425,'Forbrug af biomasse'!$A$1:$A$425,$F484,'Forbrug af biomasse'!$C$1:$C$425,$D484,'Forbrug af biomasse'!$B$1:$B$425,$A$1,'Forbrug af biomasse'!$D$1:$D$425,J$2)*'[1]Processer - data'!J484</f>
        <v>29.291655462740611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12.632072947607</v>
      </c>
      <c r="I489" s="283">
        <f ca="1">SUM(I455:I473)*'[1]Processer - data'!$H$489</f>
        <v>17.610986983870411</v>
      </c>
      <c r="J489" s="284">
        <f ca="1">SUM(J455:J473)*'[1]Processer - data'!$H$489</f>
        <v>17.328528223836081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245327.76946691994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837000.62524007971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505086.58419659996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1723236.581376635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717108.09021932539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2446604.0725129922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8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9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79789.686818634233</v>
      </c>
      <c r="J493" s="300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70300.604693505797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51065.399563925908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44992.387003843709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9"/>
      <c r="N2" s="169"/>
      <c r="O2" s="169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9">
        <f>SUMIF($F$3:$F$494,"Roer",H3:H494)</f>
        <v>2252973.7408705982</v>
      </c>
      <c r="N3" s="169">
        <f>SUMIF($F$3:$F$494,"Roer",I3:I494)</f>
        <v>587619.03155491932</v>
      </c>
      <c r="O3" s="169">
        <f>SUMIF($F$3:$F$494,"Roer",J3:J494)</f>
        <v>560381.69837016799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9">
        <f ca="1">SUMIF($F$3:$F$494,"Bioaffald",H3:H494)</f>
        <v>165083.0224523381</v>
      </c>
      <c r="N4" s="169">
        <f ca="1">SUMIF($F$3:$F$494,"Bioaffald",I3:I494)</f>
        <v>168912.745758362</v>
      </c>
      <c r="O4" s="169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9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0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9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0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9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0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9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0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9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0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9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0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9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0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9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0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9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0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9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0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9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0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9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0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9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0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9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0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9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0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9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0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9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0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9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0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9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0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9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0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9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0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9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0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9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0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9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0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9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0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9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0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9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0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9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0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9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0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9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0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9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0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9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0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9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0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9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0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9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-21559.124692570716</v>
      </c>
      <c r="J49" s="300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-20880.83726141393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9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0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9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0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9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0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9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-2509.6074985243963</v>
      </c>
      <c r="J53" s="300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-36720.829856392331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9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0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9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0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9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0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9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0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-118575.18580913894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9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0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9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0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825.04545813344214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9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0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450.02479534551401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9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0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-7809.8448539641031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9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0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-1525.5634786877715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9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0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9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0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9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0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9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0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9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0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9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0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9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0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9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0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9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0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9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0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9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0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9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300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9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300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9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300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9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300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9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300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9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300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9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300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9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-22996.399672075429</v>
      </c>
      <c r="J81" s="300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-22320.278048119308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9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0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9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300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9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300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9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-1574.6556853486409</v>
      </c>
      <c r="J85" s="300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-23041.045579435398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9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300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9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300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1469.8999788678891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9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300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1944.0612623736595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9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300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-28693.816123871999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9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300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-1235.4281942222665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9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300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1205.0139914140454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9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300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657.28035895311587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9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300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-2543.4980894102896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9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300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-1012.7956193126943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1861376.873662255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1479306.9564363819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2007966.0118097975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1595806.9166905463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257406.75469963622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204570.93254397984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21039.599911063917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16720.969809750932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-1148743507.812315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-912950131.86901426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-88223.372489121874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-70114.467677176552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150428.89537734291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119551.56128211466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101015.15628691796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231287.71663976554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109492.43973210074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250697.59138940572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3348.7258824723331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7667.3559837853199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-182837465.21768504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-418630841.16098589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-12342.763178511592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-28260.407819148462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26336.986031403747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60302.053536154817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25885.538558413078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19791.602411202191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751156.4984988434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574320.31917481974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14720.564097131142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11255.070131980983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281180.63445430092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214985.49509762524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3203.2119991550799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2449.116450987065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-194889194.85257146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-149008661.73046207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-815.14006250407078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-623.24096483902201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210798.78850612175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161172.84179587988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2558.1153062698422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4386.0154567300515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138236.61558881262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237013.52756560469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1141.3129827973141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1956.8376653103307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52802.123629415968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90531.857504299769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1055.343949543889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1809.4394977119039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-64209029.147428527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-110089562.26953794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-323.74300410468163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-555.07342320775433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58078.028255177051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99577.657425869344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7246157.03198935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5558903.8809421938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461.20995022983328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353.81813710955532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10222.095218289152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7841.9008212837361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15100.879508157446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11584.669961325819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637.77076251596804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489.26711790127365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-25093703.741635069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-19250685.087387968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-594.75336790238964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-456.26623746081867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968.95993505187687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743.3395549749232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159815.53580575145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277970.78780954482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282.35737376243276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491.11058717079322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1063.1887915096556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1849.2283899446845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1957.3931047068986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3404.5382423250389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200.86444851763619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349.36809313233056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-7903204.8183649275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-13746223.472612031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-352.82164367700568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-613.6706907416085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335.68889618628066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583.8713142709297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1481369.1846350562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899388.21867657756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646786.23775040859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366051.00500136713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-31540638.845041327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-17850538.359889902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448211.08055539744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253666.67828415512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12101.139552087609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5283.5245964128781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-174451.84714926055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21459.85093426357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4522.510754647481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1974.5906331275687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-42987.161527617813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17603.971006047337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265042.08614680363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381771.83822900482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115721.03397482409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155381.13815920497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-5643155.5378628317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-7577187.1384532377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119690.40075823791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160710.89289257835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2165.0992236813922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945.31221235454825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-31212.395924108616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5730.6440424258763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809.15392156508199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353.28777331020211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-7691.1326946606323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4700.9688873360747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49520.826757309216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40381.539675001193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-448153.10030260106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-340657.79994458304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5094.8158996458533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3872.7586048699363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216.4673074685906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-1591.6742977293463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130.53112257369108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40.813863648821972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-250.63504576753101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54.020683116066621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7537.7108662210958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14582.756413350249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-68214.703087181246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-123019.81937491606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1360.5209314826059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2453.5918456300474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32.949126307686008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-242.27343190930264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34.857064115657828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6.2123983718180513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-38.149898368950275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14.425696935880733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5522.8483294291145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4180.4328735012432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-4725518.8378206529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-3576906.8994181217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1023.2748157142152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774.55172097398736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840.64900752256472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1509.6560157751999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-719285.13768433419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-1291708.1034366188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273.25556661134078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490.71836912600952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429102.96479496476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349910.11928069126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-1413730.1825482247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-1074628.7672158205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21429.269021360604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16289.182501043033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758.1574099263679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-1665.2258338471875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221.91485489771119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479.25675485360466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-676.700460975841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307.91144951354619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65315.025864048061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126361.05698553949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-215188.03414011322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-388074.5923313215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5722.477440639117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10320.03526020985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115.40137193417375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-253.46892781125408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59.260199199003083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72.94908193827105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-103.00256986564857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82.224751660889041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5836310.3629640359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7318360.1167232674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-17006640.510029685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-19878832.485009667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249470.34024196491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291602.51260228053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27510.421337545737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-56028.346118951566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6892.2168234612582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20871.832814278128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-29428.647667625813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11477.647475552629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1215653.2449690327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3616515.0011914945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-3542336.9280073349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-9823525.3173629437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66618.623002034961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184745.1958886596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5730.1841214058259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-11670.222543675802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1840.4993305621513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4347.4232368003177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-6129.7341654789816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3064.9938961981529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55169.149616265255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44987.439627842439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21909.175467521356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16653.977197359887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30314.212150419764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23042.957442986608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180.18885103934244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71.557912024587608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580.30867244282319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45.231771136876361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17.962771176237656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319.74616427325299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8397.4587213716331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16246.058942602884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3334.8601145295934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6014.1563381976594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8095.1149098277092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14598.899195580236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27.427075624311449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10.892040508031601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154.96577523718273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6.884861080121925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2.73416629625605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85.385096895311818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504883.47851027886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411705.00481812336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-782504.4728013369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-594810.68405263498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13179.081572893181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10017.908904078889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4052.3312335472124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-4070.7543044565241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619.98341601899608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1055.8842761888841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-649.39875415075505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354.58639070143391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76849.801009849311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148676.69355204457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-119107.31006991246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-214800.60907552682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3519.3452895686069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6346.8607535733818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616.81727008177438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-619.62149995586037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165.56052883570635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160.71925497338785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-98.846896673632244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94.688839807087774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7952.8809079951807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6485.1416453657175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-122334.80643594364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-92991.225518635794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1717.6631425611322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1305.6594873396614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97.382499023728755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-1248.3179896419354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95.065606278544266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41.120906019722959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-451.81453619406233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91.981998724216893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1210.53142209726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2341.9424242257769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-18620.941130655952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-33581.393905014469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458.68520172692666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827.20246680949276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14.822876941620967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-190.01015716351026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25.386343639037904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6.2591341952499358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-68.772021026162662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24.562896294761558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384511.00187626667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313547.79987491085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-1710409.0286261106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-1300145.3661788723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27370.890612200343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20805.629531917115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2440.3834947396003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-7958.5677632798925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1018.1678661863552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1030.4806443180121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-2486.8431703997239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943.6952103852791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58527.551876877835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113229.73879444039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-260346.39494088767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-469514.1227779843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7309.1295789133083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13181.436844144837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371.4579580061278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-1211.3970350864024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271.89180551269902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156.85249335947177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-378.52972204958115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252.00460859798685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903628.83527483488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401923.71631605766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-3030105.0418816996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-1256342.8757693772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43059.579791348224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17853.373251670742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2366.6786183148511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-5373.3980551656905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660.9979954850038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594.0937244490392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-889.35376823073091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364.20543701156384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200283.37710054213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211350.66458648117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-671602.81640732114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-660645.02034397714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11498.64112087875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11311.030584814898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524.55872110762846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-1190.9782722535044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176.5130725504535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131.67695939085769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-197.11940255223078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97.257512376148043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40603.407561214786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33109.86953850546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29009.468144714923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22051.173112644632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-1506444.2679809588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-1145104.1836439634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19572.536268794651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14877.811043058951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829.62902484444714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592.73588631377049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-21253.146307250117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2343.9573799516975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251.85624868283745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179.94095230054586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-4386.0650983909036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1561.8851946539069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5963.5093456891072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11537.243295791219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4260.6826565888859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7683.8040349969515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-221254.6929052734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-399015.33137617854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5226.6550549448866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9425.8588206790828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121.84938999653703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87.056387871593003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-3121.4950724887403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625.93097390409787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36.990666128844609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26.428312675449703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-644.19076565485227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417.0862189636988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266322.78940206708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217171.74350303441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59184.160638197696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44988.076487615006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-2607997.677946432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-1982435.8029207555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39531.930871746423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30049.687460016255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8496.3486389045647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1888.1195402467397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-62401.130516380203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7391.8504252112771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4624.5723692462379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1027.7056447138411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-25878.100840536543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8831.2673036051747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40537.776023740844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78426.000119254648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9008.5953721455571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16246.28892816083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-396971.00641064439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-715905.79883199895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10556.616857671543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19038.023186602288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1293.2542457850034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287.396235224235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-9498.2598304131716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1973.9216144370594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703.91977844247333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156.43010249809484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-3938.9819329720035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2358.3038631303593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175031.48460528499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142728.65181757981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-359206.4049735326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-273046.11652058753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6419.0000638288575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4879.3201209845238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898.69153004592101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-1397.2194186037327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148.96726405468729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379.48307260768365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-455.13694742392761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144.13526856474542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26642.057692329101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51542.788596298968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-54675.864667093301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-98603.595575528481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1714.1314069139173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3091.3003578409989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136.79248419268677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-212.67488214037121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39.780256017923335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57.762235957009949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-69.277735023066299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38.489918715381663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32832.823303716075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26773.380892426689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-150687.95769989092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-114543.50781803418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2468.3872474880245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1876.3127345828052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930.41906291137218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-3558.5057443438677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316.16417209279729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564.67437619277143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-1851.1446767513564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439.672998389707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4997.5807188762137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9668.5192060124828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-22936.657776931876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-41364.447385722975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659.15875732538859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1188.7406614073734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141.62182539917217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-541.65063818713236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84.428560793927716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85.950749614184076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-281.76818237059285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117.41038912877988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450309.05738602625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367202.53391493013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-1523076.2117599081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-1157746.7412268817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59878.04661415088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45515.524964086573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42457.274173915524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34571.738082032491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-119669.04220150695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-90833.880048639767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25517.495064043735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19368.861345828653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47079.340828654764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10885.416449407903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-113740.01747932829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-24514.605618005451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64835.664310965396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13974.15593727667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120250.64502379311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232641.69932394265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-406722.6583175711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-733492.13142460713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15989.848771671261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28836.427026725109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11337.801275866155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21902.974933853759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-31956.451415043823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-57547.936789560175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6814.198361131911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12271.170270593262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12572.079128951607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6896.4714203898566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-30373.163147775398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-15531.264036838869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17313.732260233344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8853.3468143739992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9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177359.22120275494</v>
      </c>
      <c r="J423" s="300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162120.99079899571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9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192139.15630298451</v>
      </c>
      <c r="J424" s="300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175631.07336557872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8">
        <f ca="1">SUMIFS(H3:H424,$F$3:$F$424,$D$425)*H423/SUM(H423:H424)</f>
        <v>-137192.91374803972</v>
      </c>
      <c r="I425" s="339">
        <f t="shared" ref="I425:J425" ca="1" si="0">SUMIFS(I3:I424,$F$3:$F$424,$D$425)*I423/SUM(I423:I424)</f>
        <v>-129833.14224340807</v>
      </c>
      <c r="J425" s="340">
        <f t="shared" ca="1" si="0"/>
        <v>-119259.83906063907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214475.89268662789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196196.07702661166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8349.5689520929227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7637.9338150481262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1097.13336030501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1003.6245032973237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111157.2964449961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101683.34176026525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189279.53198000713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164992.8017368337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3626.2986301958999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3161.0030132241727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16880.676701295182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14714.692682432104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16656.171184685176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14518.993793052066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7090.8017917209545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6027.3091816218966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3439.0963309116628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2923.2937967590806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453.9492232949396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385.86501243770658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4665.9084723479855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3966.1062037900965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13977.105965819914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11015.786921641509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51.554324901490716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40.631548433036741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616996920.12419999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454629309.56520015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17860437.161489997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17860437.161490005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8118380.52795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8118380.5279500019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16236761.0559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16236761.055900006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129894088.4472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50333959.273290008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11365732.73913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8118380.5279500019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250046120.26086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250046120.26086006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17860437.161489997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17860437.161490005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19484113.267079998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64947044.223600022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82807481.385089993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282519642.37266004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12989408.84472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12989408.844720004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440016224.61488998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440016224.61489016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3181514.396842645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3569062.5531322607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83761.847049448319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87049.860789146012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982442.5228736893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1048366.0633386159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12770663.835110312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10149331.990151875</v>
      </c>
    </row>
    <row r="459" spans="1:10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-13544.991800349444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-10764.719857998203</v>
      </c>
    </row>
    <row r="460" spans="1:10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9530736.6105633229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8694253.5016703885</v>
      </c>
    </row>
    <row r="461" spans="1:10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-19890.41393491899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-18144.694168934926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4870.3659721493423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5534.2831440362825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11821390.665643927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14345146.828257158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7471480.1118622487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7954030.5054146014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510406.45974823425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521926.94543359173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20770013.328523465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20727278.113756485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139267.12778401497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950293.34252622025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17626773.243817218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18447431.176702827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3">
        <f ca="1">SUMIFS('Forbrug af biomasse'!$E$1:$E$425,'Forbrug af biomasse'!$A$1:$A$425,"Biogas",'Forbrug af biomasse'!$B$1:$B$425,$A$1,'Forbrug af biomasse'!$D$1:$D$425,I$2)*'[1]Processer - data'!I474</f>
        <v>3434264.6468584086</v>
      </c>
      <c r="J474" s="284">
        <f ca="1">SUMIFS('Forbrug af biomasse'!$E$1:$E$425,'Forbrug af biomasse'!$A$1:$A$425,"Biogas",'Forbrug af biomasse'!$B$1:$B$425,$A$1,'Forbrug af biomasse'!$D$1:$D$425,J$2)*'[1]Processer - data'!J474</f>
        <v>3329756.2304500802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3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5001843.3354182057</v>
      </c>
      <c r="J475" s="284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3975155.0294761504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3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1707634.7790482994</v>
      </c>
      <c r="J476" s="284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1557760.9857416148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3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2602.4856339729308</v>
      </c>
      <c r="J477" s="284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2957.25053498122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3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1044222.8421318802</v>
      </c>
      <c r="J478" s="284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1267154.6364960491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12612124.648502612</v>
      </c>
      <c r="I479" s="283">
        <f ca="1">I474*'[1]Processer - data'!I$479*Biogasanlæg!AB$3</f>
        <v>20920267.483991317</v>
      </c>
      <c r="J479" s="284">
        <f ca="1">J474*'[1]Processer - data'!J$479*Biogasanlæg!AC$3</f>
        <v>19743072.776387479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Østdanmark'!H$3:H$504,'Resultater - Østdanmark'!$F$3:$F$504,"Gødning",'Resultater - Østdanmark'!$A$3:$A$504,"&lt;&gt;Gødning")-SUM(H475:H479)</f>
        <v>60331183.954713687</v>
      </c>
      <c r="I480" s="283">
        <f ca="1">-SUMIFS('Resultater - Østdanmark'!I$3:I$504,'Resultater - Østdanmark'!$F$3:$F$504,"Gødning",'Resultater - Østdanmark'!$A$3:$A$504,"&lt;&gt;Gødning")-SUM(I475:I479)</f>
        <v>51438026.867471218</v>
      </c>
      <c r="J480" s="284">
        <f ca="1">-SUMIFS('Resultater - Østdanmark'!J$3:J$504,'Resultater - Østdanmark'!$F$3:$F$504,"Gødning",'Resultater - Østdanmark'!$A$3:$A$504,"&lt;&gt;Gødning")-SUM(J475:J479)</f>
        <v>46851495.244640149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7.0869731428305913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4.3228278354423058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0.53544111304943354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0.50004766374412279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0.72777648867545996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0.67053096181128069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 ca="1"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7">
        <f ca="1">SUMIFS('Forbrug af biomasse'!$E$1:$E$425,'Forbrug af biomasse'!$A$1:$A$425,$F484,'Forbrug af biomasse'!$C$1:$C$425,$D484,'Forbrug af biomasse'!$B$1:$B$425,$A$1,'Forbrug af biomasse'!$D$1:$D$425,I$2)*'[1]Processer - data'!I484</f>
        <v>9.3489024359990136</v>
      </c>
      <c r="J484" s="288">
        <f ca="1">SUMIFS('Forbrug af biomasse'!$E$1:$E$425,'Forbrug af biomasse'!$A$1:$A$425,$F484,'Forbrug af biomasse'!$C$1:$C$425,$D484,'Forbrug af biomasse'!$B$1:$B$425,$A$1,'Forbrug af biomasse'!$D$1:$D$425,J$2)*'[1]Processer - data'!J484</f>
        <v>8.5277183016965061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3.9778547832368667</v>
      </c>
      <c r="I489" s="283">
        <f ca="1">SUM(I455:I473)*'[1]Processer - data'!$H$489</f>
        <v>4.0558983036703093</v>
      </c>
      <c r="J489" s="284">
        <f ca="1">SUM(J455:J473)*'[1]Processer - data'!$H$489</f>
        <v>4.1252456269041309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30111.811412759995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102734.41540824002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61994.905849799994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211512.03172284711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88018.668339788041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300298.98610045342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1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2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23903.621118278283</v>
      </c>
      <c r="J493" s="303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22323.556417148338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15298.317515698101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14287.076106974937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3">
        <f>'Resultater - Vestdanmark'!H3+'Resultater - Østdanmark'!H3</f>
        <v>6905432.901678659</v>
      </c>
      <c r="I3" s="274">
        <f>'Resultater - Vestdanmark'!I3+'Resultater - Østdanmark'!I3</f>
        <v>7187550.2724163011</v>
      </c>
      <c r="J3" s="275">
        <f>'Resultater - Vestdanmark'!J3+'Resultater - Østdanmark'!J3</f>
        <v>7494121.763909651</v>
      </c>
      <c r="L3" s="98" t="s">
        <v>111</v>
      </c>
      <c r="M3" s="98">
        <f ca="1">SUMIF($F$3:$F$509,$L$3,H$3:H$509)</f>
        <v>13911562.118277565</v>
      </c>
      <c r="N3" s="98">
        <f ca="1">SUMIF($F$3:$F$509,$L$3,I$3:I$509)</f>
        <v>11139467.915958796</v>
      </c>
      <c r="O3" s="98">
        <f ca="1">SUMIF($F$3:$F$509,$L$3,J$3:J$509)</f>
        <v>7863554.1946581304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6">
        <f ca="1">'Resultater - Vestdanmark'!H4+'Resultater - Østdanmark'!H4</f>
        <v>358674.32551850227</v>
      </c>
      <c r="I4" s="277">
        <f ca="1">'Resultater - Vestdanmark'!I4+'Resultater - Østdanmark'!I4</f>
        <v>363994.97174274386</v>
      </c>
      <c r="J4" s="278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1396706.5356240782</v>
      </c>
      <c r="O4" s="98">
        <f t="shared" si="0"/>
        <v>1421104.1026148086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6">
        <f>'Resultater - Vestdanmark'!H5+'Resultater - Østdanmark'!H5</f>
        <v>982809</v>
      </c>
      <c r="I5" s="277">
        <f>'Resultater - Vestdanmark'!I5+'Resultater - Østdanmark'!I5</f>
        <v>982809</v>
      </c>
      <c r="J5" s="278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4051930.8117364948</v>
      </c>
      <c r="O5" s="98">
        <f t="shared" si="0"/>
        <v>3929468.5004778504</v>
      </c>
    </row>
    <row r="6" spans="1:21" s="169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6">
        <f>'Resultater - Vestdanmark'!H6+'Resultater - Østdanmark'!H6</f>
        <v>355018</v>
      </c>
      <c r="I6" s="277">
        <f>'Resultater - Vestdanmark'!I6+'Resultater - Østdanmark'!I6</f>
        <v>355018</v>
      </c>
      <c r="J6" s="278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16849.204638769515</v>
      </c>
      <c r="O6" s="98">
        <f t="shared" si="0"/>
        <v>17140.587566004106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6">
        <f>'Resultater - Vestdanmark'!H7+'Resultater - Østdanmark'!H7</f>
        <v>880.09999999999991</v>
      </c>
      <c r="I7" s="277">
        <f>'Resultater - Vestdanmark'!I7+'Resultater - Østdanmark'!I7</f>
        <v>148232.6739623498</v>
      </c>
      <c r="J7" s="278">
        <f>'Resultater - Vestdanmark'!J7+'Resultater - Østdanmark'!J7</f>
        <v>243411.82603765032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5545.3048644621394</v>
      </c>
      <c r="O7" s="98">
        <f>SUMIFS(J$3:J$509,$F$3:$F$509,$L$3,$C$3:$C$509,$L7)+SUMIFS(J$3:J$509,$F$3:$F$509,$L$3,$C$3:$C$509,"",$A$3:$A$509,"Grøntsager I drivhus")</f>
        <v>5249.816762345642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6">
        <f>'Resultater - Vestdanmark'!H8+'Resultater - Østdanmark'!H8</f>
        <v>-142.57619999999997</v>
      </c>
      <c r="I8" s="277">
        <f>'Resultater - Vestdanmark'!I8+'Resultater - Østdanmark'!I8</f>
        <v>-24013.693181900664</v>
      </c>
      <c r="J8" s="278">
        <f>'Resultater - Vestdanmark'!J8+'Resultater - Østdanmark'!J8</f>
        <v>-39432.71581809935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883252.30601325259</v>
      </c>
      <c r="O8" s="98">
        <f>SUMIFS(J$3:J$509,$F$3:$F$509,$L$3,$C$3:$C$509,$L8)</f>
        <v>325203.0015970415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6">
        <f>'Resultater - Vestdanmark'!H9+'Resultater - Østdanmark'!H9</f>
        <v>76.5</v>
      </c>
      <c r="I9" s="277">
        <f>'Resultater - Vestdanmark'!I9+'Resultater - Østdanmark'!I9</f>
        <v>14400</v>
      </c>
      <c r="J9" s="278">
        <f>'Resultater - Vestdanmark'!J9+'Resultater - Østdanmark'!J9</f>
        <v>18000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1403568.0358319483</v>
      </c>
      <c r="O9" s="98">
        <f>SUMIFS(J$3:J$509,$F$3:$F$509,$L$3,$C$3:$C$509,$L9)</f>
        <v>234625.94803314027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6">
        <f>'Resultater - Vestdanmark'!H10+'Resultater - Østdanmark'!H10</f>
        <v>-15.861000000000001</v>
      </c>
      <c r="I10" s="277">
        <f>'Resultater - Vestdanmark'!I10+'Resultater - Østdanmark'!I10</f>
        <v>-597.12</v>
      </c>
      <c r="J10" s="278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6">
        <f>'Resultater - Vestdanmark'!H11+'Resultater - Østdanmark'!H11</f>
        <v>1724360.8435879257</v>
      </c>
      <c r="I11" s="277">
        <f>'Resultater - Vestdanmark'!I11+'Resultater - Østdanmark'!I11</f>
        <v>1631856.7815804055</v>
      </c>
      <c r="J11" s="278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6">
        <f>'Resultater - Vestdanmark'!H12+'Resultater - Østdanmark'!H12</f>
        <v>2113570.8536589644</v>
      </c>
      <c r="I12" s="277">
        <f>'Resultater - Vestdanmark'!I12+'Resultater - Østdanmark'!I12</f>
        <v>2000187.4571203692</v>
      </c>
      <c r="J12" s="278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6">
        <f>'Resultater - Vestdanmark'!H13+'Resultater - Østdanmark'!H13</f>
        <v>-561900</v>
      </c>
      <c r="I13" s="277">
        <f>'Resultater - Vestdanmark'!I13+'Resultater - Østdanmark'!I13</f>
        <v>-531756.63839717361</v>
      </c>
      <c r="J13" s="278">
        <f>'Resultater - Vestdanmark'!J13+'Resultater - Østdanmark'!J13</f>
        <v>-481032.62804968352</v>
      </c>
    </row>
    <row r="14" spans="1:21" s="169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6">
        <f>'Resultater - Vestdanmark'!H14+'Resultater - Østdanmark'!H14</f>
        <v>-1262292.3418714062</v>
      </c>
      <c r="I14" s="277">
        <f>'Resultater - Vestdanmark'!I14+'Resultater - Østdanmark'!I14</f>
        <v>-1194576.1387934415</v>
      </c>
      <c r="J14" s="278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6">
        <f ca="1">'Resultater - Vestdanmark'!H15+'Resultater - Østdanmark'!H15</f>
        <v>0</v>
      </c>
      <c r="I15" s="277">
        <f ca="1">'Resultater - Vestdanmark'!I15+'Resultater - Østdanmark'!I15</f>
        <v>0</v>
      </c>
      <c r="J15" s="278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6">
        <f ca="1">'Resultater - Vestdanmark'!H16+'Resultater - Østdanmark'!H16</f>
        <v>0</v>
      </c>
      <c r="I16" s="277">
        <f ca="1">'Resultater - Vestdanmark'!I16+'Resultater - Østdanmark'!I16</f>
        <v>0</v>
      </c>
      <c r="J16" s="278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6">
        <f ca="1">'Resultater - Vestdanmark'!H17+'Resultater - Østdanmark'!H17</f>
        <v>0</v>
      </c>
      <c r="I17" s="277">
        <f ca="1">'Resultater - Vestdanmark'!I17+'Resultater - Østdanmark'!I17</f>
        <v>0</v>
      </c>
      <c r="J17" s="278">
        <f ca="1">'Resultater - Vestdanmark'!J17+'Resultater - Østdanmark'!J17</f>
        <v>0</v>
      </c>
    </row>
    <row r="18" spans="1:10" s="169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6">
        <f ca="1">'Resultater - Vestdanmark'!H18+'Resultater - Østdanmark'!H18</f>
        <v>0</v>
      </c>
      <c r="I18" s="277">
        <f ca="1">'Resultater - Vestdanmark'!I18+'Resultater - Østdanmark'!I18</f>
        <v>0</v>
      </c>
      <c r="J18" s="278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6">
        <f ca="1">'Resultater - Vestdanmark'!H19+'Resultater - Østdanmark'!H19</f>
        <v>0</v>
      </c>
      <c r="I19" s="277">
        <f ca="1">'Resultater - Vestdanmark'!I19+'Resultater - Østdanmark'!I19</f>
        <v>0</v>
      </c>
      <c r="J19" s="278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6">
        <f ca="1">'Resultater - Vestdanmark'!H20+'Resultater - Østdanmark'!H20</f>
        <v>0</v>
      </c>
      <c r="I20" s="277">
        <f ca="1">'Resultater - Vestdanmark'!I20+'Resultater - Østdanmark'!I20</f>
        <v>0</v>
      </c>
      <c r="J20" s="278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6">
        <f ca="1">'Resultater - Vestdanmark'!H21+'Resultater - Østdanmark'!H21</f>
        <v>0</v>
      </c>
      <c r="I21" s="277">
        <f ca="1">'Resultater - Vestdanmark'!I21+'Resultater - Østdanmark'!I21</f>
        <v>0</v>
      </c>
      <c r="J21" s="278">
        <f ca="1">'Resultater - Vestdanmark'!J21+'Resultater - Østdanmark'!J21</f>
        <v>0</v>
      </c>
    </row>
    <row r="22" spans="1:10" s="169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6">
        <f ca="1">'Resultater - Vestdanmark'!H22+'Resultater - Østdanmark'!H22</f>
        <v>0</v>
      </c>
      <c r="I22" s="277">
        <f ca="1">'Resultater - Vestdanmark'!I22+'Resultater - Østdanmark'!I22</f>
        <v>0</v>
      </c>
      <c r="J22" s="278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6">
        <f ca="1">'Resultater - Vestdanmark'!H23+'Resultater - Østdanmark'!H23</f>
        <v>0</v>
      </c>
      <c r="I23" s="277">
        <f ca="1">'Resultater - Vestdanmark'!I23+'Resultater - Østdanmark'!I23</f>
        <v>0</v>
      </c>
      <c r="J23" s="278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6">
        <f ca="1">'Resultater - Vestdanmark'!H24+'Resultater - Østdanmark'!H24</f>
        <v>0</v>
      </c>
      <c r="I24" s="277">
        <f ca="1">'Resultater - Vestdanmark'!I24+'Resultater - Østdanmark'!I24</f>
        <v>0</v>
      </c>
      <c r="J24" s="278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6">
        <f ca="1">'Resultater - Vestdanmark'!H25+'Resultater - Østdanmark'!H25</f>
        <v>0</v>
      </c>
      <c r="I25" s="277">
        <f ca="1">'Resultater - Vestdanmark'!I25+'Resultater - Østdanmark'!I25</f>
        <v>0</v>
      </c>
      <c r="J25" s="278">
        <f ca="1">'Resultater - Vestdanmark'!J25+'Resultater - Østdanmark'!J25</f>
        <v>0</v>
      </c>
    </row>
    <row r="26" spans="1:10" s="169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6">
        <f ca="1">'Resultater - Vestdanmark'!H26+'Resultater - Østdanmark'!H26</f>
        <v>0</v>
      </c>
      <c r="I26" s="277">
        <f ca="1">'Resultater - Vestdanmark'!I26+'Resultater - Østdanmark'!I26</f>
        <v>0</v>
      </c>
      <c r="J26" s="278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6">
        <f ca="1">'Resultater - Vestdanmark'!H27+'Resultater - Østdanmark'!H27</f>
        <v>0</v>
      </c>
      <c r="I27" s="277">
        <f ca="1">'Resultater - Vestdanmark'!I27+'Resultater - Østdanmark'!I27</f>
        <v>0</v>
      </c>
      <c r="J27" s="278">
        <f ca="1"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6">
        <f ca="1">'Resultater - Vestdanmark'!H28+'Resultater - Østdanmark'!H28</f>
        <v>0</v>
      </c>
      <c r="I28" s="277">
        <f ca="1">'Resultater - Vestdanmark'!I28+'Resultater - Østdanmark'!I28</f>
        <v>0</v>
      </c>
      <c r="J28" s="278">
        <f ca="1"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6">
        <f ca="1">'Resultater - Vestdanmark'!H29+'Resultater - Østdanmark'!H29</f>
        <v>0</v>
      </c>
      <c r="I29" s="277">
        <f ca="1">'Resultater - Vestdanmark'!I29+'Resultater - Østdanmark'!I29</f>
        <v>0</v>
      </c>
      <c r="J29" s="278">
        <f ca="1">'Resultater - Vestdanmark'!J29+'Resultater - Østdanmark'!J29</f>
        <v>0</v>
      </c>
    </row>
    <row r="30" spans="1:10" s="169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6">
        <f ca="1">'Resultater - Vestdanmark'!H30+'Resultater - Østdanmark'!H30</f>
        <v>0</v>
      </c>
      <c r="I30" s="277">
        <f ca="1">'Resultater - Vestdanmark'!I30+'Resultater - Østdanmark'!I30</f>
        <v>0</v>
      </c>
      <c r="J30" s="278">
        <f ca="1"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6">
        <f ca="1">'Resultater - Vestdanmark'!H31+'Resultater - Østdanmark'!H31</f>
        <v>0</v>
      </c>
      <c r="I31" s="277">
        <f ca="1">'Resultater - Vestdanmark'!I31+'Resultater - Østdanmark'!I31</f>
        <v>0</v>
      </c>
      <c r="J31" s="278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6">
        <f ca="1">'Resultater - Vestdanmark'!H32+'Resultater - Østdanmark'!H32</f>
        <v>0</v>
      </c>
      <c r="I32" s="277">
        <f ca="1">'Resultater - Vestdanmark'!I32+'Resultater - Østdanmark'!I32</f>
        <v>0</v>
      </c>
      <c r="J32" s="278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6">
        <f ca="1">'Resultater - Vestdanmark'!H33+'Resultater - Østdanmark'!H33</f>
        <v>0</v>
      </c>
      <c r="I33" s="277">
        <f ca="1">'Resultater - Vestdanmark'!I33+'Resultater - Østdanmark'!I33</f>
        <v>0</v>
      </c>
      <c r="J33" s="278">
        <f ca="1">'Resultater - Vestdanmark'!J33+'Resultater - Østdanmark'!J33</f>
        <v>0</v>
      </c>
    </row>
    <row r="34" spans="1:10" s="169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6">
        <f ca="1">'Resultater - Vestdanmark'!H34+'Resultater - Østdanmark'!H34</f>
        <v>0</v>
      </c>
      <c r="I34" s="277">
        <f ca="1">'Resultater - Vestdanmark'!I34+'Resultater - Østdanmark'!I34</f>
        <v>0</v>
      </c>
      <c r="J34" s="278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6">
        <f ca="1">'Resultater - Vestdanmark'!H35+'Resultater - Østdanmark'!H35</f>
        <v>0</v>
      </c>
      <c r="I35" s="277">
        <f ca="1">'Resultater - Vestdanmark'!I35+'Resultater - Østdanmark'!I35</f>
        <v>0</v>
      </c>
      <c r="J35" s="278">
        <f ca="1"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6">
        <f ca="1">'Resultater - Vestdanmark'!H36+'Resultater - Østdanmark'!H36</f>
        <v>0</v>
      </c>
      <c r="I36" s="277">
        <f ca="1">'Resultater - Vestdanmark'!I36+'Resultater - Østdanmark'!I36</f>
        <v>0</v>
      </c>
      <c r="J36" s="278">
        <f ca="1"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6">
        <f ca="1">'Resultater - Vestdanmark'!H37+'Resultater - Østdanmark'!H37</f>
        <v>0</v>
      </c>
      <c r="I37" s="277">
        <f ca="1">'Resultater - Vestdanmark'!I37+'Resultater - Østdanmark'!I37</f>
        <v>0</v>
      </c>
      <c r="J37" s="278">
        <f ca="1">'Resultater - Vestdanmark'!J37+'Resultater - Østdanmark'!J37</f>
        <v>0</v>
      </c>
    </row>
    <row r="38" spans="1:10" s="169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6">
        <f ca="1">'Resultater - Vestdanmark'!H38+'Resultater - Østdanmark'!H38</f>
        <v>0</v>
      </c>
      <c r="I38" s="277">
        <f ca="1">'Resultater - Vestdanmark'!I38+'Resultater - Østdanmark'!I38</f>
        <v>0</v>
      </c>
      <c r="J38" s="278">
        <f ca="1"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6">
        <f ca="1">'Resultater - Vestdanmark'!H39+'Resultater - Østdanmark'!H39</f>
        <v>0</v>
      </c>
      <c r="I39" s="277">
        <f ca="1">'Resultater - Vestdanmark'!I39+'Resultater - Østdanmark'!I39</f>
        <v>0</v>
      </c>
      <c r="J39" s="278">
        <f ca="1"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6">
        <f ca="1">'Resultater - Vestdanmark'!H40+'Resultater - Østdanmark'!H40</f>
        <v>0</v>
      </c>
      <c r="I40" s="277">
        <f ca="1">'Resultater - Vestdanmark'!I40+'Resultater - Østdanmark'!I40</f>
        <v>0</v>
      </c>
      <c r="J40" s="278">
        <f ca="1"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6">
        <f ca="1">'Resultater - Vestdanmark'!H41+'Resultater - Østdanmark'!H41</f>
        <v>0</v>
      </c>
      <c r="I41" s="277">
        <f ca="1">'Resultater - Vestdanmark'!I41+'Resultater - Østdanmark'!I41</f>
        <v>0</v>
      </c>
      <c r="J41" s="278">
        <f ca="1">'Resultater - Vestdanmark'!J41+'Resultater - Østdanmark'!J41</f>
        <v>0</v>
      </c>
    </row>
    <row r="42" spans="1:10" s="169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6">
        <f ca="1">'Resultater - Vestdanmark'!H42+'Resultater - Østdanmark'!H42</f>
        <v>0</v>
      </c>
      <c r="I42" s="277">
        <f ca="1">'Resultater - Vestdanmark'!I42+'Resultater - Østdanmark'!I42</f>
        <v>0</v>
      </c>
      <c r="J42" s="278">
        <f ca="1"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6">
        <f ca="1">'Resultater - Vestdanmark'!H43+'Resultater - Østdanmark'!H43</f>
        <v>0</v>
      </c>
      <c r="I43" s="277">
        <f ca="1">'Resultater - Vestdanmark'!I43+'Resultater - Østdanmark'!I43</f>
        <v>0</v>
      </c>
      <c r="J43" s="278">
        <f ca="1"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6">
        <f ca="1">'Resultater - Vestdanmark'!H44+'Resultater - Østdanmark'!H44</f>
        <v>0</v>
      </c>
      <c r="I44" s="277">
        <f ca="1">'Resultater - Vestdanmark'!I44+'Resultater - Østdanmark'!I44</f>
        <v>0</v>
      </c>
      <c r="J44" s="278">
        <f ca="1"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6">
        <f ca="1">'Resultater - Vestdanmark'!H45+'Resultater - Østdanmark'!H45</f>
        <v>0</v>
      </c>
      <c r="I45" s="277">
        <f ca="1">'Resultater - Vestdanmark'!I45+'Resultater - Østdanmark'!I45</f>
        <v>0</v>
      </c>
      <c r="J45" s="278">
        <f ca="1">'Resultater - Vestdanmark'!J45+'Resultater - Østdanmark'!J45</f>
        <v>0</v>
      </c>
    </row>
    <row r="46" spans="1:10" s="169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6">
        <f ca="1">'Resultater - Vestdanmark'!H46+'Resultater - Østdanmark'!H46</f>
        <v>0</v>
      </c>
      <c r="I46" s="277">
        <f ca="1">'Resultater - Vestdanmark'!I46+'Resultater - Østdanmark'!I46</f>
        <v>0</v>
      </c>
      <c r="J46" s="278">
        <f ca="1"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6">
        <f ca="1">'Resultater - Vestdanmark'!H47+'Resultater - Østdanmark'!H47</f>
        <v>0</v>
      </c>
      <c r="I47" s="277">
        <f ca="1">'Resultater - Vestdanmark'!I47+'Resultater - Østdanmark'!I47</f>
        <v>0</v>
      </c>
      <c r="J47" s="278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6">
        <f ca="1">'Resultater - Vestdanmark'!H48+'Resultater - Østdanmark'!H48</f>
        <v>0</v>
      </c>
      <c r="I48" s="277">
        <f ca="1">'Resultater - Vestdanmark'!I48+'Resultater - Østdanmark'!I48</f>
        <v>0</v>
      </c>
      <c r="J48" s="278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6">
        <f ca="1">'Resultater - Vestdanmark'!H49+'Resultater - Østdanmark'!H49</f>
        <v>0</v>
      </c>
      <c r="I49" s="277">
        <f ca="1">'Resultater - Vestdanmark'!I49+'Resultater - Østdanmark'!I49</f>
        <v>-135135.89424490926</v>
      </c>
      <c r="J49" s="278">
        <f ca="1">'Resultater - Vestdanmark'!J49+'Resultater - Østdanmark'!J49</f>
        <v>-132147.55655445822</v>
      </c>
    </row>
    <row r="50" spans="1:10" s="169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6">
        <f ca="1">'Resultater - Vestdanmark'!H50+'Resultater - Østdanmark'!H50</f>
        <v>0</v>
      </c>
      <c r="I50" s="277">
        <f ca="1">'Resultater - Vestdanmark'!I50+'Resultater - Østdanmark'!I50</f>
        <v>0</v>
      </c>
      <c r="J50" s="278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6">
        <f ca="1">'Resultater - Vestdanmark'!H51+'Resultater - Østdanmark'!H51</f>
        <v>0</v>
      </c>
      <c r="I51" s="277">
        <f ca="1">'Resultater - Vestdanmark'!I51+'Resultater - Østdanmark'!I51</f>
        <v>0</v>
      </c>
      <c r="J51" s="278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6">
        <f ca="1">'Resultater - Vestdanmark'!H52+'Resultater - Østdanmark'!H52</f>
        <v>0</v>
      </c>
      <c r="I52" s="277">
        <f ca="1">'Resultater - Vestdanmark'!I52+'Resultater - Østdanmark'!I52</f>
        <v>0</v>
      </c>
      <c r="J52" s="278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6">
        <f ca="1">'Resultater - Vestdanmark'!H53+'Resultater - Østdanmark'!H53</f>
        <v>0</v>
      </c>
      <c r="I53" s="277">
        <f ca="1">'Resultater - Vestdanmark'!I53+'Resultater - Østdanmark'!I53</f>
        <v>-17870.187499999931</v>
      </c>
      <c r="J53" s="278">
        <f ca="1">'Resultater - Vestdanmark'!J53+'Resultater - Østdanmark'!J53</f>
        <v>-230041.5728864902</v>
      </c>
    </row>
    <row r="54" spans="1:10" s="169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6">
        <f ca="1">'Resultater - Vestdanmark'!H54+'Resultater - Østdanmark'!H54</f>
        <v>0</v>
      </c>
      <c r="I54" s="277">
        <f ca="1">'Resultater - Vestdanmark'!I54+'Resultater - Østdanmark'!I54</f>
        <v>0</v>
      </c>
      <c r="J54" s="278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6">
        <f ca="1">'Resultater - Vestdanmark'!H55+'Resultater - Østdanmark'!H55</f>
        <v>0</v>
      </c>
      <c r="I55" s="277">
        <f ca="1">'Resultater - Vestdanmark'!I55+'Resultater - Østdanmark'!I55</f>
        <v>0</v>
      </c>
      <c r="J55" s="278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6">
        <f ca="1">'Resultater - Vestdanmark'!H56+'Resultater - Østdanmark'!H56</f>
        <v>0</v>
      </c>
      <c r="I56" s="277">
        <f ca="1">'Resultater - Vestdanmark'!I56+'Resultater - Østdanmark'!I56</f>
        <v>0</v>
      </c>
      <c r="J56" s="278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6">
        <f ca="1">'Resultater - Vestdanmark'!H57+'Resultater - Østdanmark'!H57</f>
        <v>0</v>
      </c>
      <c r="I57" s="277">
        <f ca="1">'Resultater - Vestdanmark'!I57+'Resultater - Østdanmark'!I57</f>
        <v>0</v>
      </c>
      <c r="J57" s="278">
        <f ca="1">'Resultater - Vestdanmark'!J57+'Resultater - Østdanmark'!J57</f>
        <v>-743247.41834700096</v>
      </c>
    </row>
    <row r="58" spans="1:10" s="169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6">
        <f ca="1">'Resultater - Vestdanmark'!H58+'Resultater - Østdanmark'!H58</f>
        <v>0</v>
      </c>
      <c r="I58" s="277">
        <f ca="1">'Resultater - Vestdanmark'!I58+'Resultater - Østdanmark'!I58</f>
        <v>0</v>
      </c>
      <c r="J58" s="278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6">
        <f ca="1">'Resultater - Vestdanmark'!H59+'Resultater - Østdanmark'!H59</f>
        <v>0</v>
      </c>
      <c r="I59" s="277">
        <f ca="1">'Resultater - Vestdanmark'!I59+'Resultater - Østdanmark'!I59</f>
        <v>0</v>
      </c>
      <c r="J59" s="278">
        <f ca="1">'Resultater - Vestdanmark'!J59+'Resultater - Østdanmark'!J59</f>
        <v>5874.9095392554391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6">
        <f ca="1">'Resultater - Vestdanmark'!H60+'Resultater - Østdanmark'!H60</f>
        <v>0</v>
      </c>
      <c r="I60" s="277">
        <f ca="1">'Resultater - Vestdanmark'!I60+'Resultater - Østdanmark'!I60</f>
        <v>0</v>
      </c>
      <c r="J60" s="278">
        <f ca="1">'Resultater - Vestdanmark'!J60+'Resultater - Østdanmark'!J60</f>
        <v>3204.4961123211492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6">
        <f ca="1">'Resultater - Vestdanmark'!H61+'Resultater - Østdanmark'!H61</f>
        <v>0</v>
      </c>
      <c r="I61" s="277">
        <f ca="1">'Resultater - Vestdanmark'!I61+'Resultater - Østdanmark'!I61</f>
        <v>0</v>
      </c>
      <c r="J61" s="278">
        <f ca="1">'Resultater - Vestdanmark'!J61+'Resultater - Østdanmark'!J61</f>
        <v>-55611.64124999979</v>
      </c>
    </row>
    <row r="62" spans="1:10" s="169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6">
        <f ca="1">'Resultater - Vestdanmark'!H62+'Resultater - Østdanmark'!H62</f>
        <v>0</v>
      </c>
      <c r="I62" s="277">
        <f ca="1">'Resultater - Vestdanmark'!I62+'Resultater - Østdanmark'!I62</f>
        <v>0</v>
      </c>
      <c r="J62" s="278">
        <f ca="1">'Resultater - Vestdanmark'!J62+'Resultater - Østdanmark'!J62</f>
        <v>-10863.095294117606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6">
        <f ca="1">'Resultater - Vestdanmark'!H63+'Resultater - Østdanmark'!H63</f>
        <v>0</v>
      </c>
      <c r="I63" s="277">
        <f ca="1">'Resultater - Vestdanmark'!I63+'Resultater - Østdanmark'!I63</f>
        <v>0</v>
      </c>
      <c r="J63" s="278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6">
        <f ca="1">'Resultater - Vestdanmark'!H64+'Resultater - Østdanmark'!H64</f>
        <v>0</v>
      </c>
      <c r="I64" s="277">
        <f ca="1">'Resultater - Vestdanmark'!I64+'Resultater - Østdanmark'!I64</f>
        <v>0</v>
      </c>
      <c r="J64" s="278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6">
        <f ca="1">'Resultater - Vestdanmark'!H65+'Resultater - Østdanmark'!H65</f>
        <v>0</v>
      </c>
      <c r="I65" s="277">
        <f ca="1">'Resultater - Vestdanmark'!I65+'Resultater - Østdanmark'!I65</f>
        <v>0</v>
      </c>
      <c r="J65" s="278">
        <f ca="1">'Resultater - Vestdanmark'!J65+'Resultater - Østdanmark'!J65</f>
        <v>0</v>
      </c>
    </row>
    <row r="66" spans="1:10" s="169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6">
        <f ca="1">'Resultater - Vestdanmark'!H66+'Resultater - Østdanmark'!H66</f>
        <v>0</v>
      </c>
      <c r="I66" s="277">
        <f ca="1">'Resultater - Vestdanmark'!I66+'Resultater - Østdanmark'!I66</f>
        <v>0</v>
      </c>
      <c r="J66" s="278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6">
        <f ca="1">'Resultater - Vestdanmark'!H67+'Resultater - Østdanmark'!H67</f>
        <v>0</v>
      </c>
      <c r="I67" s="277">
        <f ca="1">'Resultater - Vestdanmark'!I67+'Resultater - Østdanmark'!I67</f>
        <v>0</v>
      </c>
      <c r="J67" s="278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6">
        <f ca="1">'Resultater - Vestdanmark'!H68+'Resultater - Østdanmark'!H68</f>
        <v>0</v>
      </c>
      <c r="I68" s="277">
        <f ca="1">'Resultater - Vestdanmark'!I68+'Resultater - Østdanmark'!I68</f>
        <v>0</v>
      </c>
      <c r="J68" s="278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6">
        <f ca="1">'Resultater - Vestdanmark'!H69+'Resultater - Østdanmark'!H69</f>
        <v>0</v>
      </c>
      <c r="I69" s="277">
        <f ca="1">'Resultater - Vestdanmark'!I69+'Resultater - Østdanmark'!I69</f>
        <v>0</v>
      </c>
      <c r="J69" s="278">
        <f ca="1">'Resultater - Vestdanmark'!J69+'Resultater - Østdanmark'!J69</f>
        <v>0</v>
      </c>
    </row>
    <row r="70" spans="1:10" s="169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6">
        <f ca="1">'Resultater - Vestdanmark'!H70+'Resultater - Østdanmark'!H70</f>
        <v>0</v>
      </c>
      <c r="I70" s="277">
        <f ca="1">'Resultater - Vestdanmark'!I70+'Resultater - Østdanmark'!I70</f>
        <v>0</v>
      </c>
      <c r="J70" s="278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6">
        <f ca="1">'Resultater - Vestdanmark'!H71+'Resultater - Østdanmark'!H71</f>
        <v>0</v>
      </c>
      <c r="I71" s="277">
        <f ca="1">'Resultater - Vestdanmark'!I71+'Resultater - Østdanmark'!I71</f>
        <v>0</v>
      </c>
      <c r="J71" s="278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6">
        <f ca="1">'Resultater - Vestdanmark'!H72+'Resultater - Østdanmark'!H72</f>
        <v>0</v>
      </c>
      <c r="I72" s="277">
        <f ca="1">'Resultater - Vestdanmark'!I72+'Resultater - Østdanmark'!I72</f>
        <v>0</v>
      </c>
      <c r="J72" s="278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6">
        <f ca="1">'Resultater - Vestdanmark'!H73+'Resultater - Østdanmark'!H73</f>
        <v>0</v>
      </c>
      <c r="I73" s="277">
        <f ca="1">'Resultater - Vestdanmark'!I73+'Resultater - Østdanmark'!I73</f>
        <v>0</v>
      </c>
      <c r="J73" s="278">
        <f ca="1">'Resultater - Vestdanmark'!J73+'Resultater - Østdanmark'!J73</f>
        <v>0</v>
      </c>
    </row>
    <row r="74" spans="1:10" s="169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6">
        <f ca="1">'Resultater - Vestdanmark'!H74+'Resultater - Østdanmark'!H74</f>
        <v>0</v>
      </c>
      <c r="I74" s="277">
        <f ca="1">'Resultater - Vestdanmark'!I74+'Resultater - Østdanmark'!I74</f>
        <v>0</v>
      </c>
      <c r="J74" s="278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6">
        <f ca="1">'Resultater - Vestdanmark'!H75+'Resultater - Østdanmark'!H75</f>
        <v>0</v>
      </c>
      <c r="I75" s="277">
        <f ca="1">'Resultater - Vestdanmark'!I75+'Resultater - Østdanmark'!I75</f>
        <v>0</v>
      </c>
      <c r="J75" s="278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6">
        <f ca="1">'Resultater - Vestdanmark'!H76+'Resultater - Østdanmark'!H76</f>
        <v>0</v>
      </c>
      <c r="I76" s="277">
        <f ca="1">'Resultater - Vestdanmark'!I76+'Resultater - Østdanmark'!I76</f>
        <v>0</v>
      </c>
      <c r="J76" s="278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6">
        <f ca="1">'Resultater - Vestdanmark'!H77+'Resultater - Østdanmark'!H77</f>
        <v>0</v>
      </c>
      <c r="I77" s="277">
        <f ca="1">'Resultater - Vestdanmark'!I77+'Resultater - Østdanmark'!I77</f>
        <v>0</v>
      </c>
      <c r="J77" s="278">
        <f ca="1">'Resultater - Vestdanmark'!J77+'Resultater - Østdanmark'!J77</f>
        <v>0</v>
      </c>
    </row>
    <row r="78" spans="1:10" s="169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6">
        <f ca="1">'Resultater - Vestdanmark'!H78+'Resultater - Østdanmark'!H78</f>
        <v>0</v>
      </c>
      <c r="I78" s="277">
        <f ca="1">'Resultater - Vestdanmark'!I78+'Resultater - Østdanmark'!I78</f>
        <v>0</v>
      </c>
      <c r="J78" s="278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6">
        <f ca="1">'Resultater - Vestdanmark'!H79+'Resultater - Østdanmark'!H79</f>
        <v>0</v>
      </c>
      <c r="I79" s="277">
        <f ca="1">'Resultater - Vestdanmark'!I79+'Resultater - Østdanmark'!I79</f>
        <v>0</v>
      </c>
      <c r="J79" s="278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6">
        <f ca="1">'Resultater - Vestdanmark'!H80+'Resultater - Østdanmark'!H80</f>
        <v>0</v>
      </c>
      <c r="I80" s="277">
        <f ca="1">'Resultater - Vestdanmark'!I80+'Resultater - Østdanmark'!I80</f>
        <v>0</v>
      </c>
      <c r="J80" s="278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6">
        <f ca="1">'Resultater - Vestdanmark'!H81+'Resultater - Østdanmark'!H81</f>
        <v>0</v>
      </c>
      <c r="I81" s="277">
        <f ca="1">'Resultater - Vestdanmark'!I81+'Resultater - Østdanmark'!I81</f>
        <v>-144144.95386123654</v>
      </c>
      <c r="J81" s="278">
        <f ca="1">'Resultater - Vestdanmark'!J81+'Resultater - Østdanmark'!J81</f>
        <v>-141260.98579804707</v>
      </c>
    </row>
    <row r="82" spans="1:10" s="169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6">
        <f ca="1">'Resultater - Vestdanmark'!H82+'Resultater - Østdanmark'!H82</f>
        <v>0</v>
      </c>
      <c r="I82" s="277">
        <f ca="1">'Resultater - Vestdanmark'!I82+'Resultater - Østdanmark'!I82</f>
        <v>0</v>
      </c>
      <c r="J82" s="278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6">
        <f ca="1">'Resultater - Vestdanmark'!H83+'Resultater - Østdanmark'!H83</f>
        <v>0</v>
      </c>
      <c r="I83" s="277">
        <f ca="1">'Resultater - Vestdanmark'!I83+'Resultater - Østdanmark'!I83</f>
        <v>0</v>
      </c>
      <c r="J83" s="278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6">
        <f ca="1">'Resultater - Vestdanmark'!H84+'Resultater - Østdanmark'!H84</f>
        <v>0</v>
      </c>
      <c r="I84" s="277">
        <f ca="1">'Resultater - Vestdanmark'!I84+'Resultater - Østdanmark'!I84</f>
        <v>0</v>
      </c>
      <c r="J84" s="278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6">
        <f ca="1">'Resultater - Vestdanmark'!H85+'Resultater - Østdanmark'!H85</f>
        <v>0</v>
      </c>
      <c r="I85" s="277">
        <f ca="1">'Resultater - Vestdanmark'!I85+'Resultater - Østdanmark'!I85</f>
        <v>-11212.666666666624</v>
      </c>
      <c r="J85" s="278">
        <f ca="1">'Resultater - Vestdanmark'!J85+'Resultater - Østdanmark'!J85</f>
        <v>-144343.54799413765</v>
      </c>
    </row>
    <row r="86" spans="1:10" s="169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6">
        <f ca="1">'Resultater - Vestdanmark'!H86+'Resultater - Østdanmark'!H86</f>
        <v>0</v>
      </c>
      <c r="I86" s="277">
        <f ca="1">'Resultater - Vestdanmark'!I86+'Resultater - Østdanmark'!I86</f>
        <v>0</v>
      </c>
      <c r="J86" s="278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6">
        <f ca="1">'Resultater - Vestdanmark'!H87+'Resultater - Østdanmark'!H87</f>
        <v>0</v>
      </c>
      <c r="I87" s="277">
        <f ca="1">'Resultater - Vestdanmark'!I87+'Resultater - Østdanmark'!I87</f>
        <v>0</v>
      </c>
      <c r="J87" s="278">
        <f ca="1">'Resultater - Vestdanmark'!J87+'Resultater - Østdanmark'!J87</f>
        <v>9213.4666674219916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6">
        <f ca="1">'Resultater - Vestdanmark'!H88+'Resultater - Østdanmark'!H88</f>
        <v>0</v>
      </c>
      <c r="I88" s="277">
        <f ca="1">'Resultater - Vestdanmark'!I88+'Resultater - Østdanmark'!I88</f>
        <v>0</v>
      </c>
      <c r="J88" s="278">
        <f ca="1">'Resultater - Vestdanmark'!J88+'Resultater - Østdanmark'!J88</f>
        <v>12185.552689171021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6">
        <f ca="1">'Resultater - Vestdanmark'!H89+'Resultater - Østdanmark'!H89</f>
        <v>0</v>
      </c>
      <c r="I89" s="277">
        <f ca="1">'Resultater - Vestdanmark'!I89+'Resultater - Østdanmark'!I89</f>
        <v>0</v>
      </c>
      <c r="J89" s="278">
        <f ca="1">'Resultater - Vestdanmark'!J89+'Resultater - Østdanmark'!J89</f>
        <v>-179855.44745843639</v>
      </c>
    </row>
    <row r="90" spans="1:10" s="169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6">
        <f ca="1">'Resultater - Vestdanmark'!H90+'Resultater - Østdanmark'!H90</f>
        <v>0</v>
      </c>
      <c r="I90" s="277">
        <f ca="1">'Resultater - Vestdanmark'!I90+'Resultater - Østdanmark'!I90</f>
        <v>0</v>
      </c>
      <c r="J90" s="278">
        <f ca="1">'Resultater - Vestdanmark'!J90+'Resultater - Østdanmark'!J90</f>
        <v>-7743.7762100160107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6">
        <f ca="1">'Resultater - Vestdanmark'!H91+'Resultater - Østdanmark'!H91</f>
        <v>0</v>
      </c>
      <c r="I91" s="277">
        <f ca="1">'Resultater - Vestdanmark'!I91+'Resultater - Østdanmark'!I91</f>
        <v>0</v>
      </c>
      <c r="J91" s="278">
        <f ca="1">'Resultater - Vestdanmark'!J91+'Resultater - Østdanmark'!J91</f>
        <v>8580.5553176557678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6">
        <f ca="1">'Resultater - Vestdanmark'!H92+'Resultater - Østdanmark'!H92</f>
        <v>0</v>
      </c>
      <c r="I92" s="277">
        <f ca="1">'Resultater - Vestdanmark'!I92+'Resultater - Østdanmark'!I92</f>
        <v>0</v>
      </c>
      <c r="J92" s="278">
        <f ca="1">'Resultater - Vestdanmark'!J92+'Resultater - Østdanmark'!J92</f>
        <v>4680.302900539511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6">
        <f ca="1">'Resultater - Vestdanmark'!H93+'Resultater - Østdanmark'!H93</f>
        <v>0</v>
      </c>
      <c r="I93" s="277">
        <f ca="1">'Resultater - Vestdanmark'!I93+'Resultater - Østdanmark'!I93</f>
        <v>0</v>
      </c>
      <c r="J93" s="278">
        <f ca="1">'Resultater - Vestdanmark'!J93+'Resultater - Østdanmark'!J93</f>
        <v>-18111.512573332235</v>
      </c>
    </row>
    <row r="94" spans="1:10" s="169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6">
        <f ca="1">'Resultater - Vestdanmark'!H94+'Resultater - Østdanmark'!H94</f>
        <v>0</v>
      </c>
      <c r="I94" s="277">
        <f ca="1">'Resultater - Vestdanmark'!I94+'Resultater - Østdanmark'!I94</f>
        <v>0</v>
      </c>
      <c r="J94" s="278">
        <f ca="1">'Resultater - Vestdanmark'!J94+'Resultater - Østdanmark'!J94</f>
        <v>-7211.824011100618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6">
        <f>'Resultater - Vestdanmark'!H95+'Resultater - Østdanmark'!H95</f>
        <v>16367972</v>
      </c>
      <c r="I95" s="277">
        <f>'Resultater - Vestdanmark'!I95+'Resultater - Østdanmark'!I95</f>
        <v>14707573.791867189</v>
      </c>
      <c r="J95" s="278">
        <f>'Resultater - Vestdanmark'!J95+'Resultater - Østdanmark'!J95</f>
        <v>11688667.958898442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6">
        <f>'Resultater - Vestdanmark'!H96+'Resultater - Østdanmark'!H96</f>
        <v>17657000</v>
      </c>
      <c r="I96" s="277">
        <f>'Resultater - Vestdanmark'!I96+'Resultater - Østdanmark'!I96</f>
        <v>15865840.34008605</v>
      </c>
      <c r="J96" s="278">
        <f>'Resultater - Vestdanmark'!J96+'Resultater - Østdanmark'!J96</f>
        <v>12609186.412969777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6">
        <f>'Resultater - Vestdanmark'!H97+'Resultater - Østdanmark'!H97</f>
        <v>2263500</v>
      </c>
      <c r="I97" s="277">
        <f>'Resultater - Vestdanmark'!I97+'Resultater - Østdanmark'!I97</f>
        <v>2033886.2552973197</v>
      </c>
      <c r="J97" s="278">
        <f>'Resultater - Vestdanmark'!J97+'Resultater - Østdanmark'!J97</f>
        <v>1616406.7194742649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6">
        <f>'Resultater - Vestdanmark'!H98+'Resultater - Østdanmark'!H98</f>
        <v>185011.20708453766</v>
      </c>
      <c r="I98" s="277">
        <f>'Resultater - Vestdanmark'!I98+'Resultater - Østdanmark'!I98</f>
        <v>166243.31838533562</v>
      </c>
      <c r="J98" s="278">
        <f>'Resultater - Vestdanmark'!J98+'Resultater - Østdanmark'!J98</f>
        <v>132119.88438678655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6">
        <f>'Resultater - Vestdanmark'!H99+'Resultater - Østdanmark'!H99</f>
        <v>-10101447931.960001</v>
      </c>
      <c r="I99" s="277">
        <f>'Resultater - Vestdanmark'!I99+'Resultater - Østdanmark'!I99</f>
        <v>-9076737842.9047852</v>
      </c>
      <c r="J99" s="278">
        <f>'Resultater - Vestdanmark'!J99+'Resultater - Østdanmark'!J99</f>
        <v>-7213628590.0771198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6">
        <f>'Resultater - Vestdanmark'!H100+'Resultater - Østdanmark'!H100</f>
        <v>-775790.06759999995</v>
      </c>
      <c r="I100" s="277">
        <f>'Resultater - Vestdanmark'!I100+'Resultater - Østdanmark'!I100</f>
        <v>-697092.4477525152</v>
      </c>
      <c r="J100" s="278">
        <f>'Resultater - Vestdanmark'!J100+'Resultater - Østdanmark'!J100</f>
        <v>-554005.86621163413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6">
        <f>'Resultater - Vestdanmark'!H101+'Resultater - Østdanmark'!H101</f>
        <v>1322792.8112606632</v>
      </c>
      <c r="I101" s="277">
        <f>'Resultater - Vestdanmark'!I101+'Resultater - Østdanmark'!I101</f>
        <v>1188606.1928116474</v>
      </c>
      <c r="J101" s="278">
        <f>'Resultater - Vestdanmark'!J101+'Resultater - Østdanmark'!J101</f>
        <v>944630.5229043467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6">
        <f>'Resultater - Vestdanmark'!H102+'Resultater - Østdanmark'!H102</f>
        <v>232028</v>
      </c>
      <c r="I102" s="277">
        <f>'Resultater - Vestdanmark'!I102+'Resultater - Østdanmark'!I102</f>
        <v>798166.07061618601</v>
      </c>
      <c r="J102" s="278">
        <f>'Resultater - Vestdanmark'!J102+'Resultater - Østdanmark'!J102</f>
        <v>1827508.0171910701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6">
        <f>'Resultater - Vestdanmark'!H103+'Resultater - Østdanmark'!H103</f>
        <v>0</v>
      </c>
      <c r="I103" s="277">
        <f>'Resultater - Vestdanmark'!I103+'Resultater - Østdanmark'!I103</f>
        <v>0</v>
      </c>
      <c r="J103" s="278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6">
        <f>'Resultater - Vestdanmark'!H104+'Resultater - Østdanmark'!H104</f>
        <v>251500.00000000003</v>
      </c>
      <c r="I104" s="277">
        <f>'Resultater - Vestdanmark'!I104+'Resultater - Østdanmark'!I104</f>
        <v>865148.89047860936</v>
      </c>
      <c r="J104" s="278">
        <f>'Resultater - Vestdanmark'!J104+'Resultater - Østdanmark'!J104</f>
        <v>1980874.1458942634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6">
        <f>'Resultater - Vestdanmark'!H105+'Resultater - Østdanmark'!H105</f>
        <v>7691.8969154623392</v>
      </c>
      <c r="I105" s="277">
        <f>'Resultater - Vestdanmark'!I105+'Resultater - Østdanmark'!I105</f>
        <v>26459.785614664339</v>
      </c>
      <c r="J105" s="278">
        <f>'Resultater - Vestdanmark'!J105+'Resultater - Østdanmark'!J105</f>
        <v>60583.219613213441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6">
        <f>'Resultater - Vestdanmark'!H106+'Resultater - Østdanmark'!H106</f>
        <v>-419970754.27999997</v>
      </c>
      <c r="I106" s="277">
        <f>'Resultater - Vestdanmark'!I106+'Resultater - Østdanmark'!I106</f>
        <v>-1444680843.3352156</v>
      </c>
      <c r="J106" s="278">
        <f>'Resultater - Vestdanmark'!J106+'Resultater - Østdanmark'!J106</f>
        <v>-3307790096.1628809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6">
        <f>'Resultater - Vestdanmark'!H107+'Resultater - Østdanmark'!H107</f>
        <v>-28350.861000000001</v>
      </c>
      <c r="I107" s="277">
        <f>'Resultater - Vestdanmark'!I107+'Resultater - Østdanmark'!I107</f>
        <v>-97525.70949607667</v>
      </c>
      <c r="J107" s="278">
        <f>'Resultater - Vestdanmark'!J107+'Resultater - Østdanmark'!J107</f>
        <v>-223298.16130712521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6">
        <f>'Resultater - Vestdanmark'!H108+'Resultater - Østdanmark'!H108</f>
        <v>60495.062518513841</v>
      </c>
      <c r="I108" s="277">
        <f>'Resultater - Vestdanmark'!I108+'Resultater - Østdanmark'!I108</f>
        <v>208100.34281243084</v>
      </c>
      <c r="J108" s="278">
        <f>'Resultater - Vestdanmark'!J108+'Resultater - Østdanmark'!J108</f>
        <v>476473.5797104619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6">
        <f>'Resultater - Vestdanmark'!H109+'Resultater - Østdanmark'!H109</f>
        <v>440600</v>
      </c>
      <c r="I109" s="277">
        <f>'Resultater - Vestdanmark'!I109+'Resultater - Østdanmark'!I109</f>
        <v>390090.94397432642</v>
      </c>
      <c r="J109" s="278">
        <f>'Resultater - Vestdanmark'!J109+'Resultater - Østdanmark'!J109</f>
        <v>298256.29665491986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6">
        <f>'Resultater - Vestdanmark'!H110+'Resultater - Østdanmark'!H110</f>
        <v>12785500</v>
      </c>
      <c r="I110" s="277">
        <f>'Resultater - Vestdanmark'!I110+'Resultater - Østdanmark'!I110</f>
        <v>11319808.815668974</v>
      </c>
      <c r="J110" s="278">
        <f>'Resultater - Vestdanmark'!J110+'Resultater - Østdanmark'!J110</f>
        <v>8654915.7532489281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6">
        <f>'Resultater - Vestdanmark'!H111+'Resultater - Østdanmark'!H111</f>
        <v>250560.00000000003</v>
      </c>
      <c r="I111" s="277">
        <f>'Resultater - Vestdanmark'!I111+'Resultater - Østdanmark'!I111</f>
        <v>221836.55679121023</v>
      </c>
      <c r="J111" s="278">
        <f>'Resultater - Vestdanmark'!J111+'Resultater - Østdanmark'!J111</f>
        <v>169612.1145934106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6">
        <f>'Resultater - Vestdanmark'!H112+'Resultater - Østdanmark'!H112</f>
        <v>4786000</v>
      </c>
      <c r="I112" s="277">
        <f>'Resultater - Vestdanmark'!I112+'Resultater - Østdanmark'!I112</f>
        <v>4237347.3850683756</v>
      </c>
      <c r="J112" s="278">
        <f>'Resultater - Vestdanmark'!J112+'Resultater - Østdanmark'!J112</f>
        <v>3239797.1761017847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6">
        <f>'Resultater - Vestdanmark'!H113+'Resultater - Østdanmark'!H113</f>
        <v>54522.149641311174</v>
      </c>
      <c r="I113" s="277">
        <f>'Resultater - Vestdanmark'!I113+'Resultater - Østdanmark'!I113</f>
        <v>48271.894736923641</v>
      </c>
      <c r="J113" s="278">
        <f>'Resultater - Vestdanmark'!J113+'Resultater - Østdanmark'!J113</f>
        <v>36907.794910764496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6">
        <f>'Resultater - Vestdanmark'!H114+'Resultater - Østdanmark'!H114</f>
        <v>-3317225912</v>
      </c>
      <c r="I114" s="277">
        <f>'Resultater - Vestdanmark'!I114+'Resultater - Østdanmark'!I114</f>
        <v>-2936949131.6118379</v>
      </c>
      <c r="J114" s="278">
        <f>'Resultater - Vestdanmark'!J114+'Resultater - Østdanmark'!J114</f>
        <v>-2245536803.6333609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6">
        <f>'Resultater - Vestdanmark'!H115+'Resultater - Østdanmark'!H115</f>
        <v>-13874.569799999999</v>
      </c>
      <c r="I115" s="277">
        <f>'Resultater - Vestdanmark'!I115+'Resultater - Østdanmark'!I115</f>
        <v>-12284.030936268</v>
      </c>
      <c r="J115" s="278">
        <f>'Resultater - Vestdanmark'!J115+'Resultater - Østdanmark'!J115</f>
        <v>-9392.1420931189095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6">
        <f>'Resultater - Vestdanmark'!H116+'Resultater - Østdanmark'!H116</f>
        <v>3588024.4873487833</v>
      </c>
      <c r="I116" s="277">
        <f>'Resultater - Vestdanmark'!I116+'Resultater - Østdanmark'!I116</f>
        <v>3176704.1744731851</v>
      </c>
      <c r="J116" s="278">
        <f>'Resultater - Vestdanmark'!J116+'Resultater - Østdanmark'!J116</f>
        <v>2428849.0601539155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6">
        <f>'Resultater - Vestdanmark'!H117+'Resultater - Østdanmark'!H117</f>
        <v>23400.000000000004</v>
      </c>
      <c r="I117" s="277">
        <f>'Resultater - Vestdanmark'!I117+'Resultater - Østdanmark'!I117</f>
        <v>38550.390302528533</v>
      </c>
      <c r="J117" s="278">
        <f>'Resultater - Vestdanmark'!J117+'Resultater - Østdanmark'!J117</f>
        <v>66096.55448894405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6">
        <f>'Resultater - Vestdanmark'!H118+'Resultater - Østdanmark'!H118</f>
        <v>1264500</v>
      </c>
      <c r="I118" s="277">
        <f>'Resultater - Vestdanmark'!I118+'Resultater - Østdanmark'!I118</f>
        <v>2083203.7836558686</v>
      </c>
      <c r="J118" s="278">
        <f>'Resultater - Vestdanmark'!J118+'Resultater - Østdanmark'!J118</f>
        <v>3571756.1175756296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6">
        <f>'Resultater - Vestdanmark'!H119+'Resultater - Østdanmark'!H119</f>
        <v>10440.000000000002</v>
      </c>
      <c r="I119" s="277">
        <f>'Resultater - Vestdanmark'!I119+'Resultater - Østdanmark'!I119</f>
        <v>17199.404904205036</v>
      </c>
      <c r="J119" s="278">
        <f>'Resultater - Vestdanmark'!J119+'Resultater - Østdanmark'!J119</f>
        <v>29489.232002759651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6">
        <f>'Resultater - Vestdanmark'!H120+'Resultater - Østdanmark'!H120</f>
        <v>482999.99999999994</v>
      </c>
      <c r="I120" s="277">
        <f>'Resultater - Vestdanmark'!I120+'Resultater - Østdanmark'!I120</f>
        <v>795719.59470603755</v>
      </c>
      <c r="J120" s="278">
        <f>'Resultater - Vestdanmark'!J120+'Resultater - Østdanmark'!J120</f>
        <v>1364300.6759897424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6">
        <f>'Resultater - Vestdanmark'!H121+'Resultater - Østdanmark'!H121</f>
        <v>9653.6103586888312</v>
      </c>
      <c r="I121" s="277">
        <f>'Resultater - Vestdanmark'!I121+'Resultater - Østdanmark'!I121</f>
        <v>15903.865263076363</v>
      </c>
      <c r="J121" s="278">
        <f>'Resultater - Vestdanmark'!J121+'Resultater - Østdanmark'!J121</f>
        <v>27267.965089235513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6">
        <f>'Resultater - Vestdanmark'!H122+'Resultater - Østdanmark'!H122</f>
        <v>-587343064</v>
      </c>
      <c r="I122" s="277">
        <f>'Resultater - Vestdanmark'!I122+'Resultater - Østdanmark'!I122</f>
        <v>-967619844.38816202</v>
      </c>
      <c r="J122" s="278">
        <f>'Resultater - Vestdanmark'!J122+'Resultater - Østdanmark'!J122</f>
        <v>-1659032172.3666389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6">
        <f>'Resultater - Vestdanmark'!H123+'Resultater - Østdanmark'!H123</f>
        <v>-2961.3935999999999</v>
      </c>
      <c r="I123" s="277">
        <f>'Resultater - Vestdanmark'!I123+'Resultater - Østdanmark'!I123</f>
        <v>-4878.7555179235069</v>
      </c>
      <c r="J123" s="278">
        <f>'Resultater - Vestdanmark'!J123+'Resultater - Østdanmark'!J123</f>
        <v>-8364.8680959662452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6">
        <f>'Resultater - Vestdanmark'!H124+'Resultater - Østdanmark'!H124</f>
        <v>531260.59557996574</v>
      </c>
      <c r="I124" s="277">
        <f>'Resultater - Vestdanmark'!I124+'Resultater - Østdanmark'!I124</f>
        <v>875226.63726330956</v>
      </c>
      <c r="J124" s="278">
        <f>'Resultater - Vestdanmark'!J124+'Resultater - Østdanmark'!J124</f>
        <v>1500619.4403239347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6">
        <f>'Resultater - Vestdanmark'!H125+'Resultater - Østdanmark'!H125</f>
        <v>105566999.99999999</v>
      </c>
      <c r="I125" s="277">
        <f>'Resultater - Vestdanmark'!I125+'Resultater - Østdanmark'!I125</f>
        <v>93582257.350261629</v>
      </c>
      <c r="J125" s="278">
        <f>'Resultater - Vestdanmark'!J125+'Resultater - Østdanmark'!J125</f>
        <v>71791816.168919191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6">
        <f>'Resultater - Vestdanmark'!H126+'Resultater - Østdanmark'!H126</f>
        <v>6719.2238038686164</v>
      </c>
      <c r="I126" s="277">
        <f>'Resultater - Vestdanmark'!I126+'Resultater - Østdanmark'!I126</f>
        <v>5956.4080745653173</v>
      </c>
      <c r="J126" s="278">
        <f>'Resultater - Vestdanmark'!J126+'Resultater - Østdanmark'!J126</f>
        <v>4569.4703849229563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6">
        <f>'Resultater - Vestdanmark'!H127+'Resultater - Østdanmark'!H127</f>
        <v>148922.51453359297</v>
      </c>
      <c r="I127" s="277">
        <f>'Resultater - Vestdanmark'!I127+'Resultater - Østdanmark'!I127</f>
        <v>132015.73484451367</v>
      </c>
      <c r="J127" s="278">
        <f>'Resultater - Vestdanmark'!J127+'Resultater - Østdanmark'!J127</f>
        <v>101276.13540982413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6">
        <f>'Resultater - Vestdanmark'!H128+'Resultater - Østdanmark'!H128</f>
        <v>220000</v>
      </c>
      <c r="I128" s="277">
        <f>'Resultater - Vestdanmark'!I128+'Resultater - Østdanmark'!I128</f>
        <v>195023.9811404848</v>
      </c>
      <c r="J128" s="278">
        <f>'Resultater - Vestdanmark'!J128+'Resultater - Østdanmark'!J128</f>
        <v>149613.0377595482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6">
        <f>'Resultater - Vestdanmark'!H129+'Resultater - Østdanmark'!H129</f>
        <v>9291.4831667730468</v>
      </c>
      <c r="I129" s="277">
        <f>'Resultater - Vestdanmark'!I129+'Resultater - Østdanmark'!I129</f>
        <v>8236.645626744903</v>
      </c>
      <c r="J129" s="278">
        <f>'Resultater - Vestdanmark'!J129+'Resultater - Østdanmark'!J129</f>
        <v>6318.7591903301018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6">
        <f>'Resultater - Vestdanmark'!H130+'Resultater - Østdanmark'!H130</f>
        <v>-365582337.12</v>
      </c>
      <c r="I130" s="277">
        <f>'Resultater - Vestdanmark'!I130+'Resultater - Østdanmark'!I130</f>
        <v>-324078740.08993298</v>
      </c>
      <c r="J130" s="278">
        <f>'Resultater - Vestdanmark'!J130+'Resultater - Østdanmark'!J130</f>
        <v>-248617654.58072019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6">
        <f>'Resultater - Vestdanmark'!H131+'Resultater - Østdanmark'!H131</f>
        <v>-8664.776171999998</v>
      </c>
      <c r="I131" s="277">
        <f>'Resultater - Vestdanmark'!I131+'Resultater - Østdanmark'!I131</f>
        <v>-7681.0870216120466</v>
      </c>
      <c r="J131" s="278">
        <f>'Resultater - Vestdanmark'!J131+'Resultater - Østdanmark'!J131</f>
        <v>-5892.5612936339512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6">
        <f>'Resultater - Vestdanmark'!H132+'Resultater - Østdanmark'!H132</f>
        <v>14116.474844810102</v>
      </c>
      <c r="I132" s="277">
        <f>'Resultater - Vestdanmark'!I132+'Resultater - Østdanmark'!I132</f>
        <v>12513.868745019879</v>
      </c>
      <c r="J132" s="278">
        <f>'Resultater - Vestdanmark'!J132+'Resultater - Østdanmark'!J132</f>
        <v>9600.0394726740269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6">
        <f>'Resultater - Vestdanmark'!H133+'Resultater - Østdanmark'!H133</f>
        <v>1224707</v>
      </c>
      <c r="I133" s="277">
        <f>'Resultater - Vestdanmark'!I133+'Resultater - Østdanmark'!I133</f>
        <v>2063976.6064023334</v>
      </c>
      <c r="J133" s="278">
        <f>'Resultater - Vestdanmark'!J133+'Resultater - Østdanmark'!J133</f>
        <v>3589921.3453156673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6">
        <f>'Resultater - Vestdanmark'!H134+'Resultater - Østdanmark'!H134</f>
        <v>2163.7761961313831</v>
      </c>
      <c r="I134" s="277">
        <f>'Resultater - Vestdanmark'!I134+'Resultater - Østdanmark'!I134</f>
        <v>3646.5729764796006</v>
      </c>
      <c r="J134" s="278">
        <f>'Resultater - Vestdanmark'!J134+'Resultater - Østdanmark'!J134</f>
        <v>6342.5671225672686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6">
        <f>'Resultater - Vestdanmark'!H135+'Resultater - Østdanmark'!H135</f>
        <v>8147.4854664070526</v>
      </c>
      <c r="I135" s="277">
        <f>'Resultater - Vestdanmark'!I135+'Resultater - Østdanmark'!I135</f>
        <v>13730.810229440316</v>
      </c>
      <c r="J135" s="278">
        <f>'Resultater - Vestdanmark'!J135+'Resultater - Østdanmark'!J135</f>
        <v>23882.309798591708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6">
        <f>'Resultater - Vestdanmark'!H136+'Resultater - Østdanmark'!H136</f>
        <v>15000</v>
      </c>
      <c r="I136" s="277">
        <f>'Resultater - Vestdanmark'!I136+'Resultater - Østdanmark'!I136</f>
        <v>25279.229314468685</v>
      </c>
      <c r="J136" s="278">
        <f>'Resultater - Vestdanmark'!J136+'Resultater - Østdanmark'!J136</f>
        <v>43968.737158957214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6">
        <f>'Resultater - Vestdanmark'!H137+'Resultater - Østdanmark'!H137</f>
        <v>1539.2752332269538</v>
      </c>
      <c r="I137" s="277">
        <f>'Resultater - Vestdanmark'!I137+'Resultater - Østdanmark'!I137</f>
        <v>2594.1127732550954</v>
      </c>
      <c r="J137" s="278">
        <f>'Resultater - Vestdanmark'!J137+'Resultater - Østdanmark'!J137</f>
        <v>4511.9992096698998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6">
        <f>'Resultater - Vestdanmark'!H138+'Resultater - Østdanmark'!H138</f>
        <v>-60564263.759999998</v>
      </c>
      <c r="I138" s="277">
        <f>'Resultater - Vestdanmark'!I138+'Resultater - Østdanmark'!I138</f>
        <v>-102067860.79006705</v>
      </c>
      <c r="J138" s="278">
        <f>'Resultater - Vestdanmark'!J138+'Resultater - Østdanmark'!J138</f>
        <v>-177528946.29927984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6">
        <f>'Resultater - Vestdanmark'!H139+'Resultater - Østdanmark'!H139</f>
        <v>-2703.7617749999999</v>
      </c>
      <c r="I139" s="277">
        <f>'Resultater - Vestdanmark'!I139+'Resultater - Østdanmark'!I139</f>
        <v>-4556.6009281279921</v>
      </c>
      <c r="J139" s="278">
        <f>'Resultater - Vestdanmark'!J139+'Resultater - Østdanmark'!J139</f>
        <v>-7925.3993883607072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6">
        <f>'Resultater - Vestdanmark'!H140+'Resultater - Østdanmark'!H140</f>
        <v>2572.4691839803959</v>
      </c>
      <c r="I140" s="277">
        <f>'Resultater - Vestdanmark'!I140+'Resultater - Østdanmark'!I140</f>
        <v>4335.3358937496378</v>
      </c>
      <c r="J140" s="278">
        <f>'Resultater - Vestdanmark'!J140+'Resultater - Østdanmark'!J140</f>
        <v>7540.5480933300778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6">
        <f>'Resultater - Vestdanmark'!H141+'Resultater - Østdanmark'!H141</f>
        <v>8030838.3925888147</v>
      </c>
      <c r="I141" s="277">
        <f>'Resultater - Vestdanmark'!I141+'Resultater - Østdanmark'!I141</f>
        <v>6327866.3072155314</v>
      </c>
      <c r="J141" s="278">
        <f>'Resultater - Vestdanmark'!J141+'Resultater - Østdanmark'!J141</f>
        <v>3731711.8164796932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6">
        <f>'Resultater - Vestdanmark'!H142+'Resultater - Østdanmark'!H142</f>
        <v>2621245.5742450082</v>
      </c>
      <c r="I142" s="277">
        <f>'Resultater - Vestdanmark'!I142+'Resultater - Østdanmark'!I142</f>
        <v>2762833.7920636469</v>
      </c>
      <c r="J142" s="278">
        <f>'Resultater - Vestdanmark'!J142+'Resultater - Østdanmark'!J142</f>
        <v>1518806.7093072354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6">
        <f>'Resultater - Vestdanmark'!H143+'Resultater - Østdanmark'!H143</f>
        <v>-183300163.02627823</v>
      </c>
      <c r="I143" s="277">
        <f>'Resultater - Vestdanmark'!I143+'Resultater - Østdanmark'!I143</f>
        <v>-134730051.04042268</v>
      </c>
      <c r="J143" s="278">
        <f>'Resultater - Vestdanmark'!J143+'Resultater - Østdanmark'!J143</f>
        <v>-74064862.697606027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6">
        <f>'Resultater - Vestdanmark'!H144+'Resultater - Østdanmark'!H144</f>
        <v>2604803.426450097</v>
      </c>
      <c r="I144" s="277">
        <f>'Resultater - Vestdanmark'!I144+'Resultater - Østdanmark'!I144</f>
        <v>1914593.488635235</v>
      </c>
      <c r="J144" s="278">
        <f>'Resultater - Vestdanmark'!J144+'Resultater - Østdanmark'!J144</f>
        <v>1052505.3821508177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6">
        <f>'Resultater - Vestdanmark'!H145+'Resultater - Østdanmark'!H145</f>
        <v>225935.04552207049</v>
      </c>
      <c r="I145" s="277">
        <f>'Resultater - Vestdanmark'!I145+'Resultater - Østdanmark'!I145</f>
        <v>97684.522699468434</v>
      </c>
      <c r="J145" s="278">
        <f>'Resultater - Vestdanmark'!J145+'Resultater - Østdanmark'!J145</f>
        <v>0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6">
        <f>'Resultater - Vestdanmark'!H146+'Resultater - Østdanmark'!H146</f>
        <v>73744.634020790007</v>
      </c>
      <c r="I146" s="277">
        <f>'Resultater - Vestdanmark'!I146+'Resultater - Østdanmark'!I146</f>
        <v>42650.411240192348</v>
      </c>
      <c r="J146" s="278">
        <f>'Resultater - Vestdanmark'!J146+'Resultater - Østdanmark'!J146</f>
        <v>0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6">
        <f>'Resultater - Vestdanmark'!H147+'Resultater - Østdanmark'!H147</f>
        <v>-3491625.762942126</v>
      </c>
      <c r="I147" s="277">
        <f>'Resultater - Vestdanmark'!I147+'Resultater - Østdanmark'!I147</f>
        <v>-1408234.7657809048</v>
      </c>
      <c r="J147" s="278">
        <f>'Resultater - Vestdanmark'!J147+'Resultater - Østdanmark'!J147</f>
        <v>0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6">
        <f>'Resultater - Vestdanmark'!H148+'Resultater - Østdanmark'!H148</f>
        <v>429515.47728160548</v>
      </c>
      <c r="I148" s="277">
        <f>'Resultater - Vestdanmark'!I148+'Resultater - Østdanmark'!I148</f>
        <v>173231.23055412079</v>
      </c>
      <c r="J148" s="278">
        <f>'Resultater - Vestdanmark'!J148+'Resultater - Østdanmark'!J148</f>
        <v>0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6">
        <f>'Resultater - Vestdanmark'!H149+'Resultater - Østdanmark'!H149</f>
        <v>134184.5342649988</v>
      </c>
      <c r="I149" s="277">
        <f>'Resultater - Vestdanmark'!I149+'Resultater - Østdanmark'!I149</f>
        <v>33853.569003556622</v>
      </c>
      <c r="J149" s="278">
        <f>'Resultater - Vestdanmark'!J149+'Resultater - Østdanmark'!J149</f>
        <v>0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6">
        <f>'Resultater - Vestdanmark'!H150+'Resultater - Østdanmark'!H150</f>
        <v>43797.49652275996</v>
      </c>
      <c r="I150" s="277">
        <f>'Resultater - Vestdanmark'!I150+'Resultater - Østdanmark'!I150</f>
        <v>14780.935608315931</v>
      </c>
      <c r="J150" s="278">
        <f>'Resultater - Vestdanmark'!J150+'Resultater - Østdanmark'!J150</f>
        <v>0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6">
        <f>'Resultater - Vestdanmark'!H151+'Resultater - Østdanmark'!H151</f>
        <v>-1367276.6890666278</v>
      </c>
      <c r="I151" s="277">
        <f>'Resultater - Vestdanmark'!I151+'Resultater - Østdanmark'!I151</f>
        <v>-321783.3893588339</v>
      </c>
      <c r="J151" s="278">
        <f>'Resultater - Vestdanmark'!J151+'Resultater - Østdanmark'!J151</f>
        <v>0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6">
        <f>'Resultater - Vestdanmark'!H152+'Resultater - Østdanmark'!H152</f>
        <v>559922.97086443973</v>
      </c>
      <c r="I152" s="277">
        <f>'Resultater - Vestdanmark'!I152+'Resultater - Østdanmark'!I152</f>
        <v>131775.75013556535</v>
      </c>
      <c r="J152" s="278">
        <f>'Resultater - Vestdanmark'!J152+'Resultater - Østdanmark'!J152</f>
        <v>0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6">
        <f>'Resultater - Vestdanmark'!H153+'Resultater - Østdanmark'!H153</f>
        <v>687979.55575600604</v>
      </c>
      <c r="I153" s="277">
        <f>'Resultater - Vestdanmark'!I153+'Resultater - Østdanmark'!I153</f>
        <v>1132162.667023245</v>
      </c>
      <c r="J153" s="278">
        <f>'Resultater - Vestdanmark'!J153+'Resultater - Østdanmark'!J153</f>
        <v>1584035.0699886847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6">
        <f>'Resultater - Vestdanmark'!H154+'Resultater - Østdanmark'!H154</f>
        <v>224554.80704987101</v>
      </c>
      <c r="I154" s="277">
        <f>'Resultater - Vestdanmark'!I154+'Resultater - Østdanmark'!I154</f>
        <v>494317.85102633375</v>
      </c>
      <c r="J154" s="278">
        <f>'Resultater - Vestdanmark'!J154+'Resultater - Østdanmark'!J154</f>
        <v>644702.27348539489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6">
        <f>'Resultater - Vestdanmark'!H155+'Resultater - Østdanmark'!H155</f>
        <v>-15702814.396713404</v>
      </c>
      <c r="I155" s="277">
        <f>'Resultater - Vestdanmark'!I155+'Resultater - Østdanmark'!I155</f>
        <v>-24105492.516516812</v>
      </c>
      <c r="J155" s="278">
        <f>'Resultater - Vestdanmark'!J155+'Resultater - Østdanmark'!J155</f>
        <v>-31439013.979803957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6">
        <f>'Resultater - Vestdanmark'!H156+'Resultater - Østdanmark'!H156</f>
        <v>333054.11051750812</v>
      </c>
      <c r="I156" s="277">
        <f>'Resultater - Vestdanmark'!I156+'Resultater - Østdanmark'!I156</f>
        <v>511273.53134577599</v>
      </c>
      <c r="J156" s="278">
        <f>'Resultater - Vestdanmark'!J156+'Resultater - Østdanmark'!J156</f>
        <v>666816.31534679956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6">
        <f>'Resultater - Vestdanmark'!H157+'Resultater - Østdanmark'!H157</f>
        <v>19355.226023653049</v>
      </c>
      <c r="I157" s="277">
        <f>'Resultater - Vestdanmark'!I157+'Resultater - Østdanmark'!I157</f>
        <v>17477.418829189555</v>
      </c>
      <c r="J157" s="278">
        <f>'Resultater - Vestdanmark'!J157+'Resultater - Østdanmark'!J157</f>
        <v>0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6">
        <f>'Resultater - Vestdanmark'!H158+'Resultater - Østdanmark'!H158</f>
        <v>6317.4973860552982</v>
      </c>
      <c r="I158" s="277">
        <f>'Resultater - Vestdanmark'!I158+'Resultater - Østdanmark'!I158</f>
        <v>7630.8823535468018</v>
      </c>
      <c r="J158" s="278">
        <f>'Resultater - Vestdanmark'!J158+'Resultater - Østdanmark'!J158</f>
        <v>0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6">
        <f>'Resultater - Vestdanmark'!H159+'Resultater - Østdanmark'!H159</f>
        <v>-299117.85343258409</v>
      </c>
      <c r="I159" s="277">
        <f>'Resultater - Vestdanmark'!I159+'Resultater - Østdanmark'!I159</f>
        <v>-251957.09751379542</v>
      </c>
      <c r="J159" s="278">
        <f>'Resultater - Vestdanmark'!J159+'Resultater - Østdanmark'!J159</f>
        <v>0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6">
        <f>'Resultater - Vestdanmark'!H160+'Resultater - Østdanmark'!H160</f>
        <v>54918.499333549895</v>
      </c>
      <c r="I160" s="277">
        <f>'Resultater - Vestdanmark'!I160+'Resultater - Østdanmark'!I160</f>
        <v>46259.711792874237</v>
      </c>
      <c r="J160" s="278">
        <f>'Resultater - Vestdanmark'!J160+'Resultater - Østdanmark'!J160</f>
        <v>0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6">
        <f>'Resultater - Vestdanmark'!H161+'Resultater - Østdanmark'!H161</f>
        <v>11495.215288873653</v>
      </c>
      <c r="I161" s="277">
        <f>'Resultater - Vestdanmark'!I161+'Resultater - Østdanmark'!I161</f>
        <v>6056.977993927876</v>
      </c>
      <c r="J161" s="278">
        <f>'Resultater - Vestdanmark'!J161+'Resultater - Østdanmark'!J161</f>
        <v>0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6">
        <f>'Resultater - Vestdanmark'!H162+'Resultater - Østdanmark'!H162</f>
        <v>3752.0095322501388</v>
      </c>
      <c r="I162" s="277">
        <f>'Resultater - Vestdanmark'!I162+'Resultater - Østdanmark'!I162</f>
        <v>2644.5602146062902</v>
      </c>
      <c r="J162" s="278">
        <f>'Resultater - Vestdanmark'!J162+'Resultater - Østdanmark'!J162</f>
        <v>0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6">
        <f>'Resultater - Vestdanmark'!H163+'Resultater - Østdanmark'!H163</f>
        <v>-117130.7854990183</v>
      </c>
      <c r="I163" s="277">
        <f>'Resultater - Vestdanmark'!I163+'Resultater - Østdanmark'!I163</f>
        <v>-57572.509059627329</v>
      </c>
      <c r="J163" s="278">
        <f>'Resultater - Vestdanmark'!J163+'Resultater - Østdanmark'!J163</f>
        <v>0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6">
        <f>'Resultater - Vestdanmark'!H164+'Resultater - Østdanmark'!H164</f>
        <v>71592.598937004383</v>
      </c>
      <c r="I164" s="277">
        <f>'Resultater - Vestdanmark'!I164+'Resultater - Østdanmark'!I164</f>
        <v>35189.429775808137</v>
      </c>
      <c r="J164" s="278">
        <f>'Resultater - Vestdanmark'!J164+'Resultater - Østdanmark'!J164</f>
        <v>0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6">
        <f>'Resultater - Vestdanmark'!H165+'Resultater - Østdanmark'!H165</f>
        <v>230147.57425814544</v>
      </c>
      <c r="I165" s="277">
        <f>'Resultater - Vestdanmark'!I165+'Resultater - Østdanmark'!I165</f>
        <v>211534.82493982941</v>
      </c>
      <c r="J165" s="278">
        <f>'Resultater - Vestdanmark'!J165+'Resultater - Østdanmark'!J165</f>
        <v>167549.74730999325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6">
        <f>'Resultater - Vestdanmark'!H166+'Resultater - Østdanmark'!H166</f>
        <v>-2232747.9829002842</v>
      </c>
      <c r="I166" s="277">
        <f>'Resultater - Vestdanmark'!I166+'Resultater - Østdanmark'!I166</f>
        <v>-1914345.8182422235</v>
      </c>
      <c r="J166" s="278">
        <f>'Resultater - Vestdanmark'!J166+'Resultater - Østdanmark'!J166</f>
        <v>-1413446.0637029049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6">
        <f>'Resultater - Vestdanmark'!H167+'Resultater - Østdanmark'!H167</f>
        <v>25382.932563674498</v>
      </c>
      <c r="I167" s="277">
        <f>'Resultater - Vestdanmark'!I167+'Resultater - Østdanmark'!I167</f>
        <v>21763.186521783442</v>
      </c>
      <c r="J167" s="278">
        <f>'Resultater - Vestdanmark'!J167+'Resultater - Østdanmark'!J167</f>
        <v>16068.72176892895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6">
        <f>'Resultater - Vestdanmark'!H168+'Resultater - Østdanmark'!H168</f>
        <v>2806.7295229677611</v>
      </c>
      <c r="I168" s="277">
        <f>'Resultater - Vestdanmark'!I168+'Resultater - Østdanmark'!I168</f>
        <v>1213.6347893620054</v>
      </c>
      <c r="J168" s="278">
        <f>'Resultater - Vestdanmark'!J168+'Resultater - Østdanmark'!J168</f>
        <v>0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6">
        <f>'Resultater - Vestdanmark'!H169+'Resultater - Østdanmark'!H169</f>
        <v>-22123.673287397512</v>
      </c>
      <c r="I169" s="277">
        <f>'Resultater - Vestdanmark'!I169+'Resultater - Østdanmark'!I169</f>
        <v>-8923.8015830079312</v>
      </c>
      <c r="J169" s="278">
        <f>'Resultater - Vestdanmark'!J169+'Resultater - Østdanmark'!J169</f>
        <v>0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6">
        <f>'Resultater - Vestdanmark'!H170+'Resultater - Østdanmark'!H170</f>
        <v>1814.3334435803249</v>
      </c>
      <c r="I170" s="277">
        <f>'Resultater - Vestdanmark'!I170+'Resultater - Østdanmark'!I170</f>
        <v>731.82926928997813</v>
      </c>
      <c r="J170" s="278">
        <f>'Resultater - Vestdanmark'!J170+'Resultater - Østdanmark'!J170</f>
        <v>0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6">
        <f>'Resultater - Vestdanmark'!H171+'Resultater - Østdanmark'!H171</f>
        <v>843.56496811604438</v>
      </c>
      <c r="I171" s="277">
        <f>'Resultater - Vestdanmark'!I171+'Resultater - Østdanmark'!I171</f>
        <v>213.22624272858215</v>
      </c>
      <c r="J171" s="278">
        <f>'Resultater - Vestdanmark'!J171+'Resultater - Østdanmark'!J171</f>
        <v>0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6">
        <f>'Resultater - Vestdanmark'!H172+'Resultater - Østdanmark'!H172</f>
        <v>-5553.2523541027549</v>
      </c>
      <c r="I172" s="277">
        <f>'Resultater - Vestdanmark'!I172+'Resultater - Østdanmark'!I172</f>
        <v>-1309.4072534997401</v>
      </c>
      <c r="J172" s="278">
        <f>'Resultater - Vestdanmark'!J172+'Resultater - Østdanmark'!J172</f>
        <v>0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6">
        <f>'Resultater - Vestdanmark'!H173+'Resultater - Østdanmark'!H173</f>
        <v>1196.9215428986058</v>
      </c>
      <c r="I173" s="277">
        <f>'Resultater - Vestdanmark'!I173+'Resultater - Østdanmark'!I173</f>
        <v>282.22339814678895</v>
      </c>
      <c r="J173" s="278">
        <f>'Resultater - Vestdanmark'!J173+'Resultater - Østdanmark'!J173</f>
        <v>0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6">
        <f>'Resultater - Vestdanmark'!H174+'Resultater - Østdanmark'!H174</f>
        <v>16773.399891430559</v>
      </c>
      <c r="I174" s="277">
        <f>'Resultater - Vestdanmark'!I174+'Resultater - Østdanmark'!I174</f>
        <v>32198.338617151305</v>
      </c>
      <c r="J174" s="278">
        <f>'Resultater - Vestdanmark'!J174+'Resultater - Østdanmark'!J174</f>
        <v>60506.290047494214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6">
        <f>'Resultater - Vestdanmark'!H175+'Resultater - Østdanmark'!H175</f>
        <v>-162725.04672139056</v>
      </c>
      <c r="I175" s="277">
        <f>'Resultater - Vestdanmark'!I175+'Resultater - Østdanmark'!I175</f>
        <v>-291388.21422724938</v>
      </c>
      <c r="J175" s="278">
        <f>'Resultater - Vestdanmark'!J175+'Resultater - Østdanmark'!J175</f>
        <v>-510429.76113038929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6">
        <f>'Resultater - Vestdanmark'!H176+'Resultater - Østdanmark'!H176</f>
        <v>3245.5001945546865</v>
      </c>
      <c r="I176" s="277">
        <f>'Resultater - Vestdanmark'!I176+'Resultater - Østdanmark'!I176</f>
        <v>5811.6468547381037</v>
      </c>
      <c r="J176" s="278">
        <f>'Resultater - Vestdanmark'!J176+'Resultater - Østdanmark'!J176</f>
        <v>10180.362042799257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6">
        <f>'Resultater - Vestdanmark'!H177+'Resultater - Østdanmark'!H177</f>
        <v>204.5574315852524</v>
      </c>
      <c r="I177" s="277">
        <f>'Resultater - Vestdanmark'!I177+'Resultater - Østdanmark'!I177</f>
        <v>184.73092511622292</v>
      </c>
      <c r="J177" s="278">
        <f>'Resultater - Vestdanmark'!J177+'Resultater - Østdanmark'!J177</f>
        <v>0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6">
        <f>'Resultater - Vestdanmark'!H178+'Resultater - Østdanmark'!H178</f>
        <v>-1612.3968297864642</v>
      </c>
      <c r="I178" s="277">
        <f>'Resultater - Vestdanmark'!I178+'Resultater - Østdanmark'!I178</f>
        <v>-1358.318117140717</v>
      </c>
      <c r="J178" s="278">
        <f>'Resultater - Vestdanmark'!J178+'Resultater - Østdanmark'!J178</f>
        <v>0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6">
        <f>'Resultater - Vestdanmark'!H179+'Resultater - Østdanmark'!H179</f>
        <v>231.98342151189939</v>
      </c>
      <c r="I179" s="277">
        <f>'Resultater - Vestdanmark'!I179+'Resultater - Østdanmark'!I179</f>
        <v>195.42787389233163</v>
      </c>
      <c r="J179" s="278">
        <f>'Resultater - Vestdanmark'!J179+'Resultater - Østdanmark'!J179</f>
        <v>0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6">
        <f>'Resultater - Vestdanmark'!H180+'Resultater - Østdanmark'!H180</f>
        <v>61.479911705441317</v>
      </c>
      <c r="I180" s="277">
        <f>'Resultater - Vestdanmark'!I180+'Resultater - Østdanmark'!I180</f>
        <v>32.455794299546994</v>
      </c>
      <c r="J180" s="278">
        <f>'Resultater - Vestdanmark'!J180+'Resultater - Østdanmark'!J180</f>
        <v>0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6">
        <f>'Resultater - Vestdanmark'!H181+'Resultater - Østdanmark'!H181</f>
        <v>-404.72693546148446</v>
      </c>
      <c r="I181" s="277">
        <f>'Resultater - Vestdanmark'!I181+'Resultater - Østdanmark'!I181</f>
        <v>-199.30873390672787</v>
      </c>
      <c r="J181" s="278">
        <f>'Resultater - Vestdanmark'!J181+'Resultater - Østdanmark'!J181</f>
        <v>0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6">
        <f>'Resultater - Vestdanmark'!H182+'Resultater - Østdanmark'!H182</f>
        <v>153.04020095390325</v>
      </c>
      <c r="I182" s="277">
        <f>'Resultater - Vestdanmark'!I182+'Resultater - Østdanmark'!I182</f>
        <v>75.365007901374</v>
      </c>
      <c r="J182" s="278">
        <f>'Resultater - Vestdanmark'!J182+'Resultater - Østdanmark'!J182</f>
        <v>0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6">
        <f>'Resultater - Vestdanmark'!H183+'Resultater - Østdanmark'!H183</f>
        <v>27749.688657763778</v>
      </c>
      <c r="I183" s="277">
        <f>'Resultater - Vestdanmark'!I183+'Resultater - Østdanmark'!I183</f>
        <v>23621.411518283869</v>
      </c>
      <c r="J183" s="278">
        <f>'Resultater - Vestdanmark'!J183+'Resultater - Østdanmark'!J183</f>
        <v>17345.313656654216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6">
        <f>'Resultater - Vestdanmark'!H184+'Resultater - Østdanmark'!H184</f>
        <v>-23743486.815882854</v>
      </c>
      <c r="I184" s="277">
        <f>'Resultater - Vestdanmark'!I184+'Resultater - Østdanmark'!I184</f>
        <v>-20211205.966089319</v>
      </c>
      <c r="J184" s="278">
        <f>'Resultater - Vestdanmark'!J184+'Resultater - Østdanmark'!J184</f>
        <v>-14841183.6688805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6">
        <f>'Resultater - Vestdanmark'!H185+'Resultater - Østdanmark'!H185</f>
        <v>5141.4697369274418</v>
      </c>
      <c r="I185" s="277">
        <f>'Resultater - Vestdanmark'!I185+'Resultater - Østdanmark'!I185</f>
        <v>4376.5814443034124</v>
      </c>
      <c r="J185" s="278">
        <f>'Resultater - Vestdanmark'!J185+'Resultater - Østdanmark'!J185</f>
        <v>3213.7443537857903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6">
        <f>'Resultater - Vestdanmark'!H186+'Resultater - Østdanmark'!H186</f>
        <v>2022.4268112306345</v>
      </c>
      <c r="I186" s="277">
        <f>'Resultater - Vestdanmark'!I186+'Resultater - Østdanmark'!I186</f>
        <v>3595.4846058899502</v>
      </c>
      <c r="J186" s="278">
        <f>'Resultater - Vestdanmark'!J186+'Resultater - Østdanmark'!J186</f>
        <v>6263.8147530747519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6">
        <f>'Resultater - Vestdanmark'!H187+'Resultater - Østdanmark'!H187</f>
        <v>-1730450.5618338804</v>
      </c>
      <c r="I187" s="277">
        <f>'Resultater - Vestdanmark'!I187+'Resultater - Østdanmark'!I187</f>
        <v>-3076407.1766539719</v>
      </c>
      <c r="J187" s="278">
        <f>'Resultater - Vestdanmark'!J187+'Resultater - Østdanmark'!J187</f>
        <v>-5359512.4918690883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6">
        <f>'Resultater - Vestdanmark'!H188+'Resultater - Østdanmark'!H188</f>
        <v>657.39610620781025</v>
      </c>
      <c r="I188" s="277">
        <f>'Resultater - Vestdanmark'!I188+'Resultater - Østdanmark'!I188</f>
        <v>1168.7234201587275</v>
      </c>
      <c r="J188" s="278">
        <f>'Resultater - Vestdanmark'!J188+'Resultater - Østdanmark'!J188</f>
        <v>2036.0724085598515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6">
        <f>'Resultater - Vestdanmark'!H189+'Resultater - Østdanmark'!H189</f>
        <v>1955168.9801122241</v>
      </c>
      <c r="I189" s="277">
        <f>'Resultater - Vestdanmark'!I189+'Resultater - Østdanmark'!I189</f>
        <v>1832970.6202990049</v>
      </c>
      <c r="J189" s="278">
        <f>'Resultater - Vestdanmark'!J189+'Resultater - Østdanmark'!J189</f>
        <v>1451835.4807304083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6">
        <f>'Resultater - Vestdanmark'!H190+'Resultater - Østdanmark'!H190</f>
        <v>-6905324.6027384531</v>
      </c>
      <c r="I190" s="277">
        <f>'Resultater - Vestdanmark'!I190+'Resultater - Østdanmark'!I190</f>
        <v>-6038937.2766954433</v>
      </c>
      <c r="J190" s="278">
        <f>'Resultater - Vestdanmark'!J190+'Resultater - Østdanmark'!J190</f>
        <v>-4458814.0979311224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6">
        <f>'Resultater - Vestdanmark'!H191+'Resultater - Østdanmark'!H191</f>
        <v>104670.65103270129</v>
      </c>
      <c r="I191" s="277">
        <f>'Resultater - Vestdanmark'!I191+'Resultater - Østdanmark'!I191</f>
        <v>91537.984477469436</v>
      </c>
      <c r="J191" s="278">
        <f>'Resultater - Vestdanmark'!J191+'Resultater - Østdanmark'!J191</f>
        <v>67586.53666753837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6">
        <f>'Resultater - Vestdanmark'!H192+'Resultater - Østdanmark'!H192</f>
        <v>76780.532840637781</v>
      </c>
      <c r="I192" s="277">
        <f>'Resultater - Vestdanmark'!I192+'Resultater - Østdanmark'!I192</f>
        <v>33190.155806285897</v>
      </c>
      <c r="J192" s="278">
        <f>'Resultater - Vestdanmark'!J192+'Resultater - Østdanmark'!J192</f>
        <v>0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6">
        <f>'Resultater - Vestdanmark'!H193+'Resultater - Østdanmark'!H193</f>
        <v>-180783.86329737815</v>
      </c>
      <c r="I193" s="277">
        <f>'Resultater - Vestdanmark'!I193+'Resultater - Østdanmark'!I193</f>
        <v>-72899.247774163712</v>
      </c>
      <c r="J193" s="278">
        <f>'Resultater - Vestdanmark'!J193+'Resultater - Østdanmark'!J193</f>
        <v>0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6">
        <f>'Resultater - Vestdanmark'!H194+'Resultater - Østdanmark'!H194</f>
        <v>24092.002403541195</v>
      </c>
      <c r="I194" s="277">
        <f>'Resultater - Vestdanmark'!I194+'Resultater - Østdanmark'!I194</f>
        <v>9714.8540835335079</v>
      </c>
      <c r="J194" s="278">
        <f>'Resultater - Vestdanmark'!J194+'Resultater - Østdanmark'!J194</f>
        <v>0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6">
        <f>'Resultater - Vestdanmark'!H195+'Resultater - Østdanmark'!H195</f>
        <v>76689.476357594409</v>
      </c>
      <c r="I195" s="277">
        <f>'Resultater - Vestdanmark'!I195+'Resultater - Østdanmark'!I195</f>
        <v>19279.675033525986</v>
      </c>
      <c r="J195" s="278">
        <f>'Resultater - Vestdanmark'!J195+'Resultater - Østdanmark'!J195</f>
        <v>0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6">
        <f>'Resultater - Vestdanmark'!H196+'Resultater - Østdanmark'!H196</f>
        <v>-116080.37096608599</v>
      </c>
      <c r="I196" s="277">
        <f>'Resultater - Vestdanmark'!I196+'Resultater - Østdanmark'!I196</f>
        <v>-27222.495771888895</v>
      </c>
      <c r="J196" s="278">
        <f>'Resultater - Vestdanmark'!J196+'Resultater - Østdanmark'!J196</f>
        <v>0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6">
        <f>'Resultater - Vestdanmark'!H197+'Resultater - Østdanmark'!H197</f>
        <v>52818.754154083166</v>
      </c>
      <c r="I197" s="277">
        <f>'Resultater - Vestdanmark'!I197+'Resultater - Østdanmark'!I197</f>
        <v>12386.748075228432</v>
      </c>
      <c r="J197" s="278">
        <f>'Resultater - Vestdanmark'!J197+'Resultater - Østdanmark'!J197</f>
        <v>0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6">
        <f>'Resultater - Vestdanmark'!H198+'Resultater - Østdanmark'!H198</f>
        <v>142494.79389236751</v>
      </c>
      <c r="I198" s="277">
        <f>'Resultater - Vestdanmark'!I198+'Resultater - Østdanmark'!I198</f>
        <v>279001.85572028137</v>
      </c>
      <c r="J198" s="278">
        <f>'Resultater - Vestdanmark'!J198+'Resultater - Østdanmark'!J198</f>
        <v>524293.11358966085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6">
        <f>'Resultater - Vestdanmark'!H199+'Resultater - Østdanmark'!H199</f>
        <v>-503267.39838652278</v>
      </c>
      <c r="I199" s="277">
        <f>'Resultater - Vestdanmark'!I199+'Resultater - Østdanmark'!I199</f>
        <v>-919204.42592885857</v>
      </c>
      <c r="J199" s="278">
        <f>'Resultater - Vestdanmark'!J199+'Resultater - Østdanmark'!J199</f>
        <v>-1610186.2486138509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6">
        <f>'Resultater - Vestdanmark'!H200+'Resultater - Østdanmark'!H200</f>
        <v>13383.347942111091</v>
      </c>
      <c r="I200" s="277">
        <f>'Resultater - Vestdanmark'!I200+'Resultater - Østdanmark'!I200</f>
        <v>24444.32661756903</v>
      </c>
      <c r="J200" s="278">
        <f>'Resultater - Vestdanmark'!J200+'Resultater - Østdanmark'!J200</f>
        <v>42819.54858568254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6">
        <f>'Resultater - Vestdanmark'!H201+'Resultater - Østdanmark'!H201</f>
        <v>5595.8468620164213</v>
      </c>
      <c r="I201" s="277">
        <f>'Resultater - Vestdanmark'!I201+'Resultater - Østdanmark'!I201</f>
        <v>5051.9713513403003</v>
      </c>
      <c r="J201" s="278">
        <f>'Resultater - Vestdanmark'!J201+'Resultater - Østdanmark'!J201</f>
        <v>0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6">
        <f>'Resultater - Vestdanmark'!H202+'Resultater - Østdanmark'!H202</f>
        <v>-13175.720155987337</v>
      </c>
      <c r="I202" s="277">
        <f>'Resultater - Vestdanmark'!I202+'Resultater - Østdanmark'!I202</f>
        <v>-11096.209172346929</v>
      </c>
      <c r="J202" s="278">
        <f>'Resultater - Vestdanmark'!J202+'Resultater - Østdanmark'!J202</f>
        <v>0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6">
        <f>'Resultater - Vestdanmark'!H203+'Resultater - Østdanmark'!H203</f>
        <v>3080.4399094454293</v>
      </c>
      <c r="I203" s="277">
        <f>'Resultater - Vestdanmark'!I203+'Resultater - Østdanmark'!I203</f>
        <v>2594.2571011967971</v>
      </c>
      <c r="J203" s="278">
        <f>'Resultater - Vestdanmark'!J203+'Resultater - Østdanmark'!J203</f>
        <v>0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6">
        <f>'Resultater - Vestdanmark'!H204+'Resultater - Østdanmark'!H204</f>
        <v>5589.2105687262674</v>
      </c>
      <c r="I204" s="277">
        <f>'Resultater - Vestdanmark'!I204+'Resultater - Østdanmark'!I204</f>
        <v>2934.6161103009167</v>
      </c>
      <c r="J204" s="278">
        <f>'Resultater - Vestdanmark'!J204+'Resultater - Østdanmark'!J204</f>
        <v>0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6">
        <f>'Resultater - Vestdanmark'!H205+'Resultater - Østdanmark'!H205</f>
        <v>-8460.0608458981151</v>
      </c>
      <c r="I205" s="277">
        <f>'Resultater - Vestdanmark'!I205+'Resultater - Østdanmark'!I205</f>
        <v>-4143.6162443539606</v>
      </c>
      <c r="J205" s="278">
        <f>'Resultater - Vestdanmark'!J205+'Resultater - Østdanmark'!J205</f>
        <v>0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6">
        <f>'Resultater - Vestdanmark'!H206+'Resultater - Østdanmark'!H206</f>
        <v>6753.4858887241726</v>
      </c>
      <c r="I206" s="277">
        <f>'Resultater - Vestdanmark'!I206+'Resultater - Østdanmark'!I206</f>
        <v>3307.7603511682523</v>
      </c>
      <c r="J206" s="278">
        <f>'Resultater - Vestdanmark'!J206+'Resultater - Østdanmark'!J206</f>
        <v>0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6">
        <f>'Resultater - Vestdanmark'!H207+'Resultater - Østdanmark'!H207</f>
        <v>10596561.852889422</v>
      </c>
      <c r="I207" s="277">
        <f>'Resultater - Vestdanmark'!I207+'Resultater - Østdanmark'!I207</f>
        <v>24930579.147527792</v>
      </c>
      <c r="J207" s="278">
        <f>'Resultater - Vestdanmark'!J207+'Resultater - Østdanmark'!J207</f>
        <v>30365097.471496545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6">
        <f>'Resultater - Vestdanmark'!H208+'Resultater - Østdanmark'!H208</f>
        <v>-33100908.649694897</v>
      </c>
      <c r="I208" s="277">
        <f>'Resultater - Vestdanmark'!I208+'Resultater - Østdanmark'!I208</f>
        <v>-72646136.154678673</v>
      </c>
      <c r="J208" s="278">
        <f>'Resultater - Vestdanmark'!J208+'Resultater - Østdanmark'!J208</f>
        <v>-82480593.52087982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6">
        <f>'Resultater - Vestdanmark'!H209+'Resultater - Østdanmark'!H209</f>
        <v>485557.09390620678</v>
      </c>
      <c r="I209" s="277">
        <f>'Resultater - Vestdanmark'!I209+'Resultater - Østdanmark'!I209</f>
        <v>1065645.874803063</v>
      </c>
      <c r="J209" s="278">
        <f>'Resultater - Vestdanmark'!J209+'Resultater - Østdanmark'!J209</f>
        <v>1209907.4897760144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6">
        <f>'Resultater - Vestdanmark'!H210+'Resultater - Østdanmark'!H210</f>
        <v>1250706.5448330601</v>
      </c>
      <c r="I210" s="277">
        <f>'Resultater - Vestdanmark'!I210+'Resultater - Østdanmark'!I210</f>
        <v>540675.75810850132</v>
      </c>
      <c r="J210" s="278">
        <f>'Resultater - Vestdanmark'!J210+'Resultater - Østdanmark'!J210</f>
        <v>0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6">
        <f>'Resultater - Vestdanmark'!H211+'Resultater - Østdanmark'!H211</f>
        <v>-2730616.868673549</v>
      </c>
      <c r="I211" s="277">
        <f>'Resultater - Vestdanmark'!I211+'Resultater - Østdanmark'!I211</f>
        <v>-1101152.4738839993</v>
      </c>
      <c r="J211" s="278">
        <f>'Resultater - Vestdanmark'!J211+'Resultater - Østdanmark'!J211</f>
        <v>0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6">
        <f>'Resultater - Vestdanmark'!H212+'Resultater - Østdanmark'!H212</f>
        <v>335901.46460405836</v>
      </c>
      <c r="I212" s="277">
        <f>'Resultater - Vestdanmark'!I212+'Resultater - Østdanmark'!I212</f>
        <v>135456.10626425716</v>
      </c>
      <c r="J212" s="278">
        <f>'Resultater - Vestdanmark'!J212+'Resultater - Østdanmark'!J212</f>
        <v>0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6">
        <f>'Resultater - Vestdanmark'!H213+'Resultater - Østdanmark'!H213</f>
        <v>1501712.5809897545</v>
      </c>
      <c r="I213" s="277">
        <f>'Resultater - Vestdanmark'!I213+'Resultater - Østdanmark'!I213</f>
        <v>377902.5658139119</v>
      </c>
      <c r="J213" s="278">
        <f>'Resultater - Vestdanmark'!J213+'Resultater - Østdanmark'!J213</f>
        <v>0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6">
        <f>'Resultater - Vestdanmark'!H214+'Resultater - Østdanmark'!H214</f>
        <v>-2269819.4996822169</v>
      </c>
      <c r="I214" s="277">
        <f>'Resultater - Vestdanmark'!I214+'Resultater - Østdanmark'!I214</f>
        <v>-532831.09159544238</v>
      </c>
      <c r="J214" s="278">
        <f>'Resultater - Vestdanmark'!J214+'Resultater - Østdanmark'!J214</f>
        <v>0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6">
        <f>'Resultater - Vestdanmark'!H215+'Resultater - Østdanmark'!H215</f>
        <v>885266.2325747133</v>
      </c>
      <c r="I215" s="277">
        <f>'Resultater - Vestdanmark'!I215+'Resultater - Østdanmark'!I215</f>
        <v>207812.72392866859</v>
      </c>
      <c r="J215" s="278">
        <f>'Resultater - Vestdanmark'!J215+'Resultater - Østdanmark'!J215</f>
        <v>0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6">
        <f>'Resultater - Vestdanmark'!H216+'Resultater - Østdanmark'!H216</f>
        <v>1056816.1068755633</v>
      </c>
      <c r="I216" s="277">
        <f>'Resultater - Vestdanmark'!I216+'Resultater - Østdanmark'!I216</f>
        <v>5192825.1848926246</v>
      </c>
      <c r="J216" s="278">
        <f>'Resultater - Vestdanmark'!J216+'Resultater - Østdanmark'!J216</f>
        <v>15005524.293259056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6">
        <f>'Resultater - Vestdanmark'!H217+'Resultater - Østdanmark'!H217</f>
        <v>-3301219.1972130653</v>
      </c>
      <c r="I217" s="277">
        <f>'Resultater - Vestdanmark'!I217+'Resultater - Østdanmark'!I217</f>
        <v>-15131565.262757344</v>
      </c>
      <c r="J217" s="278">
        <f>'Resultater - Vestdanmark'!J217+'Resultater - Østdanmark'!J217</f>
        <v>-40759445.971209958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6">
        <f>'Resultater - Vestdanmark'!H218+'Resultater - Østdanmark'!H218</f>
        <v>62084.065298082889</v>
      </c>
      <c r="I218" s="277">
        <f>'Resultater - Vestdanmark'!I218+'Resultater - Østdanmark'!I218</f>
        <v>284570.34498899942</v>
      </c>
      <c r="J218" s="278">
        <f>'Resultater - Vestdanmark'!J218+'Resultater - Østdanmark'!J218</f>
        <v>766538.64951669169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6">
        <f>'Resultater - Vestdanmark'!H219+'Resultater - Østdanmark'!H219</f>
        <v>124735.44154265925</v>
      </c>
      <c r="I219" s="277">
        <f>'Resultater - Vestdanmark'!I219+'Resultater - Østdanmark'!I219</f>
        <v>112618.1095494187</v>
      </c>
      <c r="J219" s="278">
        <f>'Resultater - Vestdanmark'!J219+'Resultater - Østdanmark'!J219</f>
        <v>0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6">
        <f>'Resultater - Vestdanmark'!H220+'Resultater - Østdanmark'!H220</f>
        <v>-272329.83005081455</v>
      </c>
      <c r="I220" s="277">
        <f>'Resultater - Vestdanmark'!I220+'Resultater - Østdanmark'!I220</f>
        <v>-229360.58825407099</v>
      </c>
      <c r="J220" s="278">
        <f>'Resultater - Vestdanmark'!J220+'Resultater - Østdanmark'!J220</f>
        <v>0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6">
        <f>'Resultater - Vestdanmark'!H221+'Resultater - Østdanmark'!H221</f>
        <v>42948.869914417002</v>
      </c>
      <c r="I221" s="277">
        <f>'Resultater - Vestdanmark'!I221+'Resultater - Østdanmark'!I221</f>
        <v>36172.233010905118</v>
      </c>
      <c r="J221" s="278">
        <f>'Resultater - Vestdanmark'!J221+'Resultater - Østdanmark'!J221</f>
        <v>0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6">
        <f>'Resultater - Vestdanmark'!H222+'Resultater - Østdanmark'!H222</f>
        <v>149768.77080700482</v>
      </c>
      <c r="I222" s="277">
        <f>'Resultater - Vestdanmark'!I222+'Resultater - Østdanmark'!I222</f>
        <v>78713.853760939266</v>
      </c>
      <c r="J222" s="278">
        <f>'Resultater - Vestdanmark'!J222+'Resultater - Østdanmark'!J222</f>
        <v>0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6">
        <f>'Resultater - Vestdanmark'!H223+'Resultater - Østdanmark'!H223</f>
        <v>-226373.59553658532</v>
      </c>
      <c r="I223" s="277">
        <f>'Resultater - Vestdanmark'!I223+'Resultater - Østdanmark'!I223</f>
        <v>-110984.13299415944</v>
      </c>
      <c r="J223" s="278">
        <f>'Resultater - Vestdanmark'!J223+'Resultater - Østdanmark'!J223</f>
        <v>0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6">
        <f>'Resultater - Vestdanmark'!H224+'Resultater - Østdanmark'!H224</f>
        <v>113191.4810413066</v>
      </c>
      <c r="I224" s="277">
        <f>'Resultater - Vestdanmark'!I224+'Resultater - Østdanmark'!I224</f>
        <v>55494.36256431228</v>
      </c>
      <c r="J224" s="278">
        <f>'Resultater - Vestdanmark'!J224+'Resultater - Østdanmark'!J224</f>
        <v>0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6">
        <f>'Resultater - Vestdanmark'!H225+'Resultater - Østdanmark'!H225</f>
        <v>252119.08822285215</v>
      </c>
      <c r="I225" s="277">
        <f>'Resultater - Vestdanmark'!I225+'Resultater - Østdanmark'!I225</f>
        <v>235662.39035848522</v>
      </c>
      <c r="J225" s="278">
        <f>'Resultater - Vestdanmark'!J225+'Resultater - Østdanmark'!J225</f>
        <v>186660.39488422143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6">
        <f>'Resultater - Vestdanmark'!H226+'Resultater - Østdanmark'!H226</f>
        <v>74848.798129844407</v>
      </c>
      <c r="I226" s="277">
        <f>'Resultater - Vestdanmark'!I226+'Resultater - Østdanmark'!I226</f>
        <v>93587.968953165328</v>
      </c>
      <c r="J226" s="278">
        <f>'Resultater - Vestdanmark'!J226+'Resultater - Østdanmark'!J226</f>
        <v>69100.130742450609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6">
        <f>'Resultater - Vestdanmark'!H227+'Resultater - Østdanmark'!H227</f>
        <v>0</v>
      </c>
      <c r="I227" s="277">
        <f>'Resultater - Vestdanmark'!I227+'Resultater - Østdanmark'!I227</f>
        <v>0</v>
      </c>
      <c r="J227" s="278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6">
        <f>'Resultater - Vestdanmark'!H228+'Resultater - Østdanmark'!H228</f>
        <v>148508.2256030748</v>
      </c>
      <c r="I228" s="277">
        <f>'Resultater - Vestdanmark'!I228+'Resultater - Østdanmark'!I228</f>
        <v>129491.20562655819</v>
      </c>
      <c r="J228" s="278">
        <f>'Resultater - Vestdanmark'!J228+'Resultater - Østdanmark'!J228</f>
        <v>95609.076026327122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6">
        <f>'Resultater - Vestdanmark'!H229+'Resultater - Østdanmark'!H229</f>
        <v>9762.0012470722486</v>
      </c>
      <c r="I229" s="277">
        <f>'Resultater - Vestdanmark'!I229+'Resultater - Østdanmark'!I229</f>
        <v>4220.0105082575365</v>
      </c>
      <c r="J229" s="278">
        <f>'Resultater - Vestdanmark'!J229+'Resultater - Østdanmark'!J229</f>
        <v>0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6">
        <f>'Resultater - Vestdanmark'!H230+'Resultater - Østdanmark'!H230</f>
        <v>2898.1306645038535</v>
      </c>
      <c r="I230" s="277">
        <f>'Resultater - Vestdanmark'!I230+'Resultater - Østdanmark'!I230</f>
        <v>1675.8813819551733</v>
      </c>
      <c r="J230" s="278">
        <f>'Resultater - Vestdanmark'!J230+'Resultater - Østdanmark'!J230</f>
        <v>0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6">
        <f>'Resultater - Vestdanmark'!H231+'Resultater - Østdanmark'!H231</f>
        <v>0</v>
      </c>
      <c r="I231" s="277">
        <f>'Resultater - Vestdanmark'!I231+'Resultater - Østdanmark'!I231</f>
        <v>0</v>
      </c>
      <c r="J231" s="278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6">
        <f>'Resultater - Vestdanmark'!H232+'Resultater - Østdanmark'!H232</f>
        <v>33702.707331215737</v>
      </c>
      <c r="I232" s="277">
        <f>'Resultater - Vestdanmark'!I232+'Resultater - Østdanmark'!I232</f>
        <v>13590.789228169282</v>
      </c>
      <c r="J232" s="278">
        <f>'Resultater - Vestdanmark'!J232+'Resultater - Østdanmark'!J232</f>
        <v>0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6">
        <f>'Resultater - Vestdanmark'!H233+'Resultater - Østdanmark'!H233</f>
        <v>3876.3292971970382</v>
      </c>
      <c r="I233" s="277">
        <f>'Resultater - Vestdanmark'!I233+'Resultater - Østdanmark'!I233</f>
        <v>975.18865551965109</v>
      </c>
      <c r="J233" s="278">
        <f>'Resultater - Vestdanmark'!J233+'Resultater - Østdanmark'!J233</f>
        <v>0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6">
        <f>'Resultater - Vestdanmark'!H234+'Resultater - Østdanmark'!H234</f>
        <v>1150.7997712344754</v>
      </c>
      <c r="I234" s="277">
        <f>'Resultater - Vestdanmark'!I234+'Resultater - Østdanmark'!I234</f>
        <v>387.27403841325781</v>
      </c>
      <c r="J234" s="278">
        <f>'Resultater - Vestdanmark'!J234+'Resultater - Østdanmark'!J234</f>
        <v>0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6">
        <f>'Resultater - Vestdanmark'!H235+'Resultater - Østdanmark'!H235</f>
        <v>0</v>
      </c>
      <c r="I235" s="277">
        <f>'Resultater - Vestdanmark'!I235+'Resultater - Østdanmark'!I235</f>
        <v>0</v>
      </c>
      <c r="J235" s="278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6">
        <f>'Resultater - Vestdanmark'!H236+'Resultater - Østdanmark'!H236</f>
        <v>29374.954227709619</v>
      </c>
      <c r="I236" s="277">
        <f>'Resultater - Vestdanmark'!I236+'Resultater - Østdanmark'!I236</f>
        <v>6893.668415097407</v>
      </c>
      <c r="J236" s="278">
        <f>'Resultater - Vestdanmark'!J236+'Resultater - Østdanmark'!J236</f>
        <v>0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6">
        <f>'Resultater - Vestdanmark'!H237+'Resultater - Østdanmark'!H237</f>
        <v>18374.707188012384</v>
      </c>
      <c r="I237" s="277">
        <f>'Resultater - Vestdanmark'!I237+'Resultater - Østdanmark'!I237</f>
        <v>35870.866398703729</v>
      </c>
      <c r="J237" s="278">
        <f>'Resultater - Vestdanmark'!J237+'Resultater - Østdanmark'!J237</f>
        <v>67407.609826761502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6">
        <f>'Resultater - Vestdanmark'!H238+'Resultater - Østdanmark'!H238</f>
        <v>5455.059982585959</v>
      </c>
      <c r="I238" s="277">
        <f>'Resultater - Vestdanmark'!I238+'Resultater - Østdanmark'!I238</f>
        <v>14245.300345711916</v>
      </c>
      <c r="J238" s="278">
        <f>'Resultater - Vestdanmark'!J238+'Resultater - Østdanmark'!J238</f>
        <v>24953.73833830377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6">
        <f>'Resultater - Vestdanmark'!H239+'Resultater - Østdanmark'!H239</f>
        <v>0</v>
      </c>
      <c r="I239" s="277">
        <f>'Resultater - Vestdanmark'!I239+'Resultater - Østdanmark'!I239</f>
        <v>0</v>
      </c>
      <c r="J239" s="278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6">
        <f>'Resultater - Vestdanmark'!H240+'Resultater - Østdanmark'!H240</f>
        <v>18988.48660920751</v>
      </c>
      <c r="I240" s="277">
        <f>'Resultater - Vestdanmark'!I240+'Resultater - Østdanmark'!I240</f>
        <v>34579.364430046779</v>
      </c>
      <c r="J240" s="278">
        <f>'Resultater - Vestdanmark'!J240+'Resultater - Østdanmark'!J240</f>
        <v>60573.269145004677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6">
        <f>'Resultater - Vestdanmark'!H241+'Resultater - Østdanmark'!H241</f>
        <v>711.46502927780227</v>
      </c>
      <c r="I241" s="277">
        <f>'Resultater - Vestdanmark'!I241+'Resultater - Østdanmark'!I241</f>
        <v>642.34022625571447</v>
      </c>
      <c r="J241" s="278">
        <f>'Resultater - Vestdanmark'!J241+'Resultater - Østdanmark'!J241</f>
        <v>0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6">
        <f>'Resultater - Vestdanmark'!H242+'Resultater - Østdanmark'!H242</f>
        <v>211.21884395277317</v>
      </c>
      <c r="I242" s="277">
        <f>'Resultater - Vestdanmark'!I242+'Resultater - Østdanmark'!I242</f>
        <v>255.09084016648856</v>
      </c>
      <c r="J242" s="278">
        <f>'Resultater - Vestdanmark'!J242+'Resultater - Østdanmark'!J242</f>
        <v>0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6">
        <f>'Resultater - Vestdanmark'!H243+'Resultater - Østdanmark'!H243</f>
        <v>0</v>
      </c>
      <c r="I243" s="277">
        <f>'Resultater - Vestdanmark'!I243+'Resultater - Østdanmark'!I243</f>
        <v>0</v>
      </c>
      <c r="J243" s="278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6">
        <f>'Resultater - Vestdanmark'!H244+'Resultater - Østdanmark'!H244</f>
        <v>4309.2791948325566</v>
      </c>
      <c r="I244" s="277">
        <f>'Resultater - Vestdanmark'!I244+'Resultater - Østdanmark'!I244</f>
        <v>3629.2878063715584</v>
      </c>
      <c r="J244" s="278">
        <f>'Resultater - Vestdanmark'!J244+'Resultater - Østdanmark'!J244</f>
        <v>0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6">
        <f>'Resultater - Vestdanmark'!H245+'Resultater - Østdanmark'!H245</f>
        <v>282.51100026726743</v>
      </c>
      <c r="I245" s="277">
        <f>'Resultater - Vestdanmark'!I245+'Resultater - Østdanmark'!I245</f>
        <v>148.43633692446505</v>
      </c>
      <c r="J245" s="278">
        <f>'Resultater - Vestdanmark'!J245+'Resultater - Østdanmark'!J245</f>
        <v>0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6">
        <f>'Resultater - Vestdanmark'!H246+'Resultater - Østdanmark'!H246</f>
        <v>83.871510790861564</v>
      </c>
      <c r="I246" s="277">
        <f>'Resultater - Vestdanmark'!I246+'Resultater - Østdanmark'!I246</f>
        <v>58.948121804571329</v>
      </c>
      <c r="J246" s="278">
        <f>'Resultater - Vestdanmark'!J246+'Resultater - Østdanmark'!J246</f>
        <v>0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6">
        <f>'Resultater - Vestdanmark'!H247+'Resultater - Østdanmark'!H247</f>
        <v>0</v>
      </c>
      <c r="I247" s="277">
        <f>'Resultater - Vestdanmark'!I247+'Resultater - Østdanmark'!I247</f>
        <v>0</v>
      </c>
      <c r="J247" s="278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6">
        <f>'Resultater - Vestdanmark'!H248+'Resultater - Østdanmark'!H248</f>
        <v>3755.926129571902</v>
      </c>
      <c r="I248" s="277">
        <f>'Resultater - Vestdanmark'!I248+'Resultater - Østdanmark'!I248</f>
        <v>1840.8869639612467</v>
      </c>
      <c r="J248" s="278">
        <f>'Resultater - Vestdanmark'!J248+'Resultater - Østdanmark'!J248</f>
        <v>0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6">
        <f>'Resultater - Vestdanmark'!H249+'Resultater - Østdanmark'!H249</f>
        <v>2432067.6197482329</v>
      </c>
      <c r="I249" s="277">
        <f>'Resultater - Vestdanmark'!I249+'Resultater - Østdanmark'!I249</f>
        <v>2156677.2050291006</v>
      </c>
      <c r="J249" s="278">
        <f>'Resultater - Vestdanmark'!J249+'Resultater - Østdanmark'!J249</f>
        <v>1708232.7736562234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6">
        <f>'Resultater - Vestdanmark'!H250+'Resultater - Østdanmark'!H250</f>
        <v>-4040788.3212018311</v>
      </c>
      <c r="I250" s="277">
        <f>'Resultater - Vestdanmark'!I250+'Resultater - Østdanmark'!I250</f>
        <v>-3342572.3580883611</v>
      </c>
      <c r="J250" s="278">
        <f>'Resultater - Vestdanmark'!J250+'Resultater - Østdanmark'!J250</f>
        <v>-2467968.7949590366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6">
        <f>'Resultater - Vestdanmark'!H251+'Resultater - Østdanmark'!H251</f>
        <v>68055.686267538025</v>
      </c>
      <c r="I251" s="277">
        <f>'Resultater - Vestdanmark'!I251+'Resultater - Østdanmark'!I251</f>
        <v>56296.206988874823</v>
      </c>
      <c r="J251" s="278">
        <f>'Resultater - Vestdanmark'!J251+'Resultater - Østdanmark'!J251</f>
        <v>41565.975912801783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6">
        <f>'Resultater - Vestdanmark'!H252+'Resultater - Østdanmark'!H252</f>
        <v>13122.873542371528</v>
      </c>
      <c r="I252" s="277">
        <f>'Resultater - Vestdanmark'!I252+'Resultater - Østdanmark'!I252</f>
        <v>5680.1720024592632</v>
      </c>
      <c r="J252" s="278">
        <f>'Resultater - Vestdanmark'!J252+'Resultater - Østdanmark'!J252</f>
        <v>0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6">
        <f>'Resultater - Vestdanmark'!H253+'Resultater - Østdanmark'!H253</f>
        <v>-14131.676367037673</v>
      </c>
      <c r="I253" s="277">
        <f>'Resultater - Vestdanmark'!I253+'Resultater - Østdanmark'!I253</f>
        <v>-5705.99570875259</v>
      </c>
      <c r="J253" s="278">
        <f>'Resultater - Vestdanmark'!J253+'Resultater - Østdanmark'!J253</f>
        <v>0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6">
        <f>'Resultater - Vestdanmark'!H254+'Resultater - Østdanmark'!H254</f>
        <v>2152.2804701131786</v>
      </c>
      <c r="I254" s="277">
        <f>'Resultater - Vestdanmark'!I254+'Resultater - Østdanmark'!I254</f>
        <v>869.03370891957138</v>
      </c>
      <c r="J254" s="278">
        <f>'Resultater - Vestdanmark'!J254+'Resultater - Østdanmark'!J254</f>
        <v>0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6">
        <f>'Resultater - Vestdanmark'!H255+'Resultater - Østdanmark'!H255</f>
        <v>5615.3101846932177</v>
      </c>
      <c r="I255" s="277">
        <f>'Resultater - Vestdanmark'!I255+'Resultater - Østdanmark'!I255</f>
        <v>1444.8472391570785</v>
      </c>
      <c r="J255" s="278">
        <f>'Resultater - Vestdanmark'!J255+'Resultater - Østdanmark'!J255</f>
        <v>0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6">
        <f>'Resultater - Vestdanmark'!H256+'Resultater - Østdanmark'!H256</f>
        <v>-3702.2322974288109</v>
      </c>
      <c r="I256" s="277">
        <f>'Resultater - Vestdanmark'!I256+'Resultater - Østdanmark'!I256</f>
        <v>-888.62199978335343</v>
      </c>
      <c r="J256" s="278">
        <f>'Resultater - Vestdanmark'!J256+'Resultater - Østdanmark'!J256</f>
        <v>0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6">
        <f>'Resultater - Vestdanmark'!H257+'Resultater - Østdanmark'!H257</f>
        <v>2021.5024736231753</v>
      </c>
      <c r="I257" s="277">
        <f>'Resultater - Vestdanmark'!I257+'Resultater - Østdanmark'!I257</f>
        <v>485.20768724468815</v>
      </c>
      <c r="J257" s="278">
        <f>'Resultater - Vestdanmark'!J257+'Resultater - Østdanmark'!J257</f>
        <v>0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6">
        <f>'Resultater - Vestdanmark'!H258+'Resultater - Østdanmark'!H258</f>
        <v>177251.6737598984</v>
      </c>
      <c r="I258" s="277">
        <f>'Resultater - Vestdanmark'!I258+'Resultater - Østdanmark'!I258</f>
        <v>328274.18821071618</v>
      </c>
      <c r="J258" s="278">
        <f>'Resultater - Vestdanmark'!J258+'Resultater - Østdanmark'!J258</f>
        <v>616884.41391826724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6">
        <f>'Resultater - Vestdanmark'!H259+'Resultater - Østdanmark'!H259</f>
        <v>-294496.94877999288</v>
      </c>
      <c r="I259" s="277">
        <f>'Resultater - Vestdanmark'!I259+'Resultater - Østdanmark'!I259</f>
        <v>-508782.78159954399</v>
      </c>
      <c r="J259" s="278">
        <f>'Resultater - Vestdanmark'!J259+'Resultater - Østdanmark'!J259</f>
        <v>-891243.57471979177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6">
        <f>'Resultater - Vestdanmark'!H260+'Resultater - Østdanmark'!H260</f>
        <v>8701.7031017897862</v>
      </c>
      <c r="I260" s="277">
        <f>'Resultater - Vestdanmark'!I260+'Resultater - Østdanmark'!I260</f>
        <v>15033.35340866106</v>
      </c>
      <c r="J260" s="278">
        <f>'Resultater - Vestdanmark'!J260+'Resultater - Østdanmark'!J260</f>
        <v>26334.18448210524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6">
        <f>'Resultater - Vestdanmark'!H261+'Resultater - Østdanmark'!H261</f>
        <v>956.40897524289744</v>
      </c>
      <c r="I261" s="277">
        <f>'Resultater - Vestdanmark'!I261+'Resultater - Østdanmark'!I261</f>
        <v>864.59570707030878</v>
      </c>
      <c r="J261" s="278">
        <f>'Resultater - Vestdanmark'!J261+'Resultater - Østdanmark'!J261</f>
        <v>0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6">
        <f>'Resultater - Vestdanmark'!H262+'Resultater - Østdanmark'!H262</f>
        <v>-1029.9315976049757</v>
      </c>
      <c r="I262" s="277">
        <f>'Resultater - Vestdanmark'!I262+'Resultater - Østdanmark'!I262</f>
        <v>-868.52640944907262</v>
      </c>
      <c r="J262" s="278">
        <f>'Resultater - Vestdanmark'!J262+'Resultater - Østdanmark'!J262</f>
        <v>0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6">
        <f>'Resultater - Vestdanmark'!H263+'Resultater - Østdanmark'!H263</f>
        <v>275.19384007209339</v>
      </c>
      <c r="I263" s="277">
        <f>'Resultater - Vestdanmark'!I263+'Resultater - Østdanmark'!I263</f>
        <v>232.06698228904105</v>
      </c>
      <c r="J263" s="278">
        <f>'Resultater - Vestdanmark'!J263+'Resultater - Østdanmark'!J263</f>
        <v>0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6">
        <f>'Resultater - Vestdanmark'!H264+'Resultater - Østdanmark'!H264</f>
        <v>409.24977613118875</v>
      </c>
      <c r="I264" s="277">
        <f>'Resultater - Vestdanmark'!I264+'Resultater - Østdanmark'!I264</f>
        <v>219.92445295789383</v>
      </c>
      <c r="J264" s="278">
        <f>'Resultater - Vestdanmark'!J264+'Resultater - Østdanmark'!J264</f>
        <v>0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6">
        <f>'Resultater - Vestdanmark'!H265+'Resultater - Østdanmark'!H265</f>
        <v>-269.82262583436852</v>
      </c>
      <c r="I265" s="277">
        <f>'Resultater - Vestdanmark'!I265+'Resultater - Østdanmark'!I265</f>
        <v>-135.259771339368</v>
      </c>
      <c r="J265" s="278">
        <f>'Resultater - Vestdanmark'!J265+'Resultater - Østdanmark'!J265</f>
        <v>0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6">
        <f>'Resultater - Vestdanmark'!H266+'Resultater - Østdanmark'!H266</f>
        <v>258.47236740588181</v>
      </c>
      <c r="I266" s="277">
        <f>'Resultater - Vestdanmark'!I266+'Resultater - Østdanmark'!I266</f>
        <v>129.56998400247409</v>
      </c>
      <c r="J266" s="278">
        <f>'Resultater - Vestdanmark'!J266+'Resultater - Østdanmark'!J266</f>
        <v>0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6">
        <f>'Resultater - Vestdanmark'!H267+'Resultater - Østdanmark'!H267</f>
        <v>37068.149941239346</v>
      </c>
      <c r="I267" s="277">
        <f>'Resultater - Vestdanmark'!I267+'Resultater - Østdanmark'!I267</f>
        <v>33971.792896041763</v>
      </c>
      <c r="J267" s="278">
        <f>'Resultater - Vestdanmark'!J267+'Resultater - Østdanmark'!J267</f>
        <v>26907.934979586877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6">
        <f>'Resultater - Vestdanmark'!H268+'Resultater - Østdanmark'!H268</f>
        <v>-611253.35592149675</v>
      </c>
      <c r="I268" s="277">
        <f>'Resultater - Vestdanmark'!I268+'Resultater - Østdanmark'!I268</f>
        <v>-522569.4633552474</v>
      </c>
      <c r="J268" s="278">
        <f>'Resultater - Vestdanmark'!J268+'Resultater - Østdanmark'!J268</f>
        <v>-385836.11380572163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6">
        <f>'Resultater - Vestdanmark'!H269+'Resultater - Østdanmark'!H269</f>
        <v>8582.4091345819397</v>
      </c>
      <c r="I269" s="277">
        <f>'Resultater - Vestdanmark'!I269+'Resultater - Østdanmark'!I269</f>
        <v>7337.2275052664972</v>
      </c>
      <c r="J269" s="278">
        <f>'Resultater - Vestdanmark'!J269+'Resultater - Østdanmark'!J269</f>
        <v>5417.3991120027576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6">
        <f>'Resultater - Vestdanmark'!H270+'Resultater - Østdanmark'!H270</f>
        <v>1090.1789727130877</v>
      </c>
      <c r="I270" s="277">
        <f>'Resultater - Vestdanmark'!I270+'Resultater - Østdanmark'!I270</f>
        <v>471.42076731058688</v>
      </c>
      <c r="J270" s="278">
        <f>'Resultater - Vestdanmark'!J270+'Resultater - Østdanmark'!J270</f>
        <v>0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6">
        <f>'Resultater - Vestdanmark'!H271+'Resultater - Østdanmark'!H271</f>
        <v>-14980.865349414238</v>
      </c>
      <c r="I271" s="277">
        <f>'Resultater - Vestdanmark'!I271+'Resultater - Østdanmark'!I271</f>
        <v>-6043.005985923789</v>
      </c>
      <c r="J271" s="278">
        <f>'Resultater - Vestdanmark'!J271+'Resultater - Østdanmark'!J271</f>
        <v>0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6">
        <f>'Resultater - Vestdanmark'!H272+'Resultater - Østdanmark'!H272</f>
        <v>1140.8671979707708</v>
      </c>
      <c r="I272" s="277">
        <f>'Resultater - Vestdanmark'!I272+'Resultater - Østdanmark'!I272</f>
        <v>460.20487773431853</v>
      </c>
      <c r="J272" s="278">
        <f>'Resultater - Vestdanmark'!J272+'Resultater - Østdanmark'!J272</f>
        <v>0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6">
        <f>'Resultater - Vestdanmark'!H273+'Resultater - Østdanmark'!H273</f>
        <v>734.97559696711278</v>
      </c>
      <c r="I273" s="277">
        <f>'Resultater - Vestdanmark'!I273+'Resultater - Østdanmark'!I273</f>
        <v>185.9589798000782</v>
      </c>
      <c r="J273" s="278">
        <f>'Resultater - Vestdanmark'!J273+'Resultater - Østdanmark'!J273</f>
        <v>0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6">
        <f>'Resultater - Vestdanmark'!H274+'Resultater - Østdanmark'!H274</f>
        <v>-8656.9563835937897</v>
      </c>
      <c r="I274" s="277">
        <f>'Resultater - Vestdanmark'!I274+'Resultater - Østdanmark'!I274</f>
        <v>-2043.2178748492324</v>
      </c>
      <c r="J274" s="278">
        <f>'Resultater - Vestdanmark'!J274+'Resultater - Østdanmark'!J274</f>
        <v>0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6">
        <f>'Resultater - Vestdanmark'!H275+'Resultater - Østdanmark'!H275</f>
        <v>1762.4137499845892</v>
      </c>
      <c r="I275" s="277">
        <f>'Resultater - Vestdanmark'!I275+'Resultater - Østdanmark'!I275</f>
        <v>415.96550996525707</v>
      </c>
      <c r="J275" s="278">
        <f>'Resultater - Vestdanmark'!J275+'Resultater - Østdanmark'!J275</f>
        <v>0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6">
        <f>'Resultater - Vestdanmark'!H276+'Resultater - Østdanmark'!H276</f>
        <v>2701.5661764156534</v>
      </c>
      <c r="I276" s="277">
        <f>'Resultater - Vestdanmark'!I276+'Resultater - Østdanmark'!I276</f>
        <v>5170.9466344826524</v>
      </c>
      <c r="J276" s="278">
        <f>'Resultater - Vestdanmark'!J276+'Resultater - Østdanmark'!J276</f>
        <v>9717.1099604331848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6">
        <f>'Resultater - Vestdanmark'!H277+'Resultater - Østdanmark'!H277</f>
        <v>-44548.794428526671</v>
      </c>
      <c r="I277" s="277">
        <f>'Resultater - Vestdanmark'!I277+'Resultater - Østdanmark'!I277</f>
        <v>-79541.836843561716</v>
      </c>
      <c r="J277" s="278">
        <f>'Resultater - Vestdanmark'!J277+'Resultater - Østdanmark'!J277</f>
        <v>-139334.80764691409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6">
        <f>'Resultater - Vestdanmark'!H278+'Resultater - Østdanmark'!H278</f>
        <v>1097.3598281506586</v>
      </c>
      <c r="I278" s="277">
        <f>'Resultater - Vestdanmark'!I278+'Resultater - Østdanmark'!I278</f>
        <v>1959.3350960255229</v>
      </c>
      <c r="J278" s="278">
        <f>'Resultater - Vestdanmark'!J278+'Resultater - Østdanmark'!J278</f>
        <v>3432.2010850402148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6">
        <f>'Resultater - Vestdanmark'!H279+'Resultater - Østdanmark'!H279</f>
        <v>79.453402546120458</v>
      </c>
      <c r="I279" s="277">
        <f>'Resultater - Vestdanmark'!I279+'Resultater - Østdanmark'!I279</f>
        <v>71.756343199476461</v>
      </c>
      <c r="J279" s="278">
        <f>'Resultater - Vestdanmark'!J279+'Resultater - Østdanmark'!J279</f>
        <v>0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6">
        <f>'Resultater - Vestdanmark'!H280+'Resultater - Østdanmark'!H280</f>
        <v>-1091.8213934488481</v>
      </c>
      <c r="I280" s="277">
        <f>'Resultater - Vestdanmark'!I280+'Resultater - Østdanmark'!I280</f>
        <v>-919.82373614175742</v>
      </c>
      <c r="J280" s="278">
        <f>'Resultater - Vestdanmark'!J280+'Resultater - Østdanmark'!J280</f>
        <v>0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6">
        <f>'Resultater - Vestdanmark'!H281+'Resultater - Østdanmark'!H281</f>
        <v>145.87300752924452</v>
      </c>
      <c r="I281" s="277">
        <f>'Resultater - Vestdanmark'!I281+'Resultater - Østdanmark'!I281</f>
        <v>122.89322740228081</v>
      </c>
      <c r="J281" s="278">
        <f>'Resultater - Vestdanmark'!J281+'Resultater - Østdanmark'!J281</f>
        <v>0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6">
        <f>'Resultater - Vestdanmark'!H282+'Resultater - Østdanmark'!H282</f>
        <v>53.565802890212126</v>
      </c>
      <c r="I282" s="277">
        <f>'Resultater - Vestdanmark'!I282+'Resultater - Østdanmark'!I282</f>
        <v>28.305363914457434</v>
      </c>
      <c r="J282" s="278">
        <f>'Resultater - Vestdanmark'!J282+'Resultater - Østdanmark'!J282</f>
        <v>0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6">
        <f>'Resultater - Vestdanmark'!H283+'Resultater - Østdanmark'!H283</f>
        <v>-630.92818480815231</v>
      </c>
      <c r="I283" s="277">
        <f>'Resultater - Vestdanmark'!I283+'Resultater - Østdanmark'!I283</f>
        <v>-311.00420945688347</v>
      </c>
      <c r="J283" s="278">
        <f>'Resultater - Vestdanmark'!J283+'Resultater - Østdanmark'!J283</f>
        <v>0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6">
        <f>'Resultater - Vestdanmark'!H284+'Resultater - Østdanmark'!H284</f>
        <v>225.34489086759828</v>
      </c>
      <c r="I284" s="277">
        <f>'Resultater - Vestdanmark'!I284+'Resultater - Østdanmark'!I284</f>
        <v>111.07953540026973</v>
      </c>
      <c r="J284" s="278">
        <f>'Resultater - Vestdanmark'!J284+'Resultater - Østdanmark'!J284</f>
        <v>0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6">
        <f>'Resultater - Vestdanmark'!H285+'Resultater - Østdanmark'!H285</f>
        <v>1769792.6482433821</v>
      </c>
      <c r="I285" s="277">
        <f>'Resultater - Vestdanmark'!I285+'Resultater - Østdanmark'!I285</f>
        <v>1642490.0954895539</v>
      </c>
      <c r="J285" s="278">
        <f>'Resultater - Vestdanmark'!J285+'Resultater - Østdanmark'!J285</f>
        <v>1300962.1490774446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6">
        <f>'Resultater - Vestdanmark'!H286+'Resultater - Østdanmark'!H286</f>
        <v>-8439338.016000744</v>
      </c>
      <c r="I286" s="277">
        <f>'Resultater - Vestdanmark'!I286+'Resultater - Østdanmark'!I286</f>
        <v>-7306240.5888149878</v>
      </c>
      <c r="J286" s="278">
        <f>'Resultater - Vestdanmark'!J286+'Resultater - Østdanmark'!J286</f>
        <v>-5394520.1030654423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6">
        <f>'Resultater - Vestdanmark'!H287+'Resultater - Østdanmark'!H287</f>
        <v>135050.85263779573</v>
      </c>
      <c r="I287" s="277">
        <f>'Resultater - Vestdanmark'!I287+'Resultater - Østdanmark'!I287</f>
        <v>116918.41459905426</v>
      </c>
      <c r="J287" s="278">
        <f>'Resultater - Vestdanmark'!J287+'Resultater - Østdanmark'!J287</f>
        <v>86326.029139896651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6">
        <f>'Resultater - Vestdanmark'!H288+'Resultater - Østdanmark'!H288</f>
        <v>59344.705933036988</v>
      </c>
      <c r="I288" s="277">
        <f>'Resultater - Vestdanmark'!I288+'Resultater - Østdanmark'!I288</f>
        <v>25656.666486955044</v>
      </c>
      <c r="J288" s="278">
        <f>'Resultater - Vestdanmark'!J288+'Resultater - Østdanmark'!J288</f>
        <v>0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6">
        <f>'Resultater - Vestdanmark'!H289+'Resultater - Østdanmark'!H289</f>
        <v>-207469.18786644947</v>
      </c>
      <c r="I289" s="277">
        <f>'Resultater - Vestdanmark'!I289+'Resultater - Østdanmark'!I289</f>
        <v>-83671.406259077325</v>
      </c>
      <c r="J289" s="278">
        <f>'Resultater - Vestdanmark'!J289+'Resultater - Østdanmark'!J289</f>
        <v>0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6">
        <f>'Resultater - Vestdanmark'!H290+'Resultater - Østdanmark'!H290</f>
        <v>26542.270744245459</v>
      </c>
      <c r="I290" s="277">
        <f>'Resultater - Vestdanmark'!I290+'Resultater - Østdanmark'!I290</f>
        <v>10704.380449542996</v>
      </c>
      <c r="J290" s="278">
        <f>'Resultater - Vestdanmark'!J290+'Resultater - Østdanmark'!J290</f>
        <v>0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6">
        <f>'Resultater - Vestdanmark'!H291+'Resultater - Østdanmark'!H291</f>
        <v>39757.754782963726</v>
      </c>
      <c r="I291" s="277">
        <f>'Resultater - Vestdanmark'!I291+'Resultater - Østdanmark'!I291</f>
        <v>10020.474433812444</v>
      </c>
      <c r="J291" s="278">
        <f>'Resultater - Vestdanmark'!J291+'Resultater - Østdanmark'!J291</f>
        <v>0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6">
        <f>'Resultater - Vestdanmark'!H292+'Resultater - Østdanmark'!H292</f>
        <v>-102854.94948928599</v>
      </c>
      <c r="I292" s="277">
        <f>'Resultater - Vestdanmark'!I292+'Resultater - Østdanmark'!I292</f>
        <v>-24182.257616671224</v>
      </c>
      <c r="J292" s="278">
        <f>'Resultater - Vestdanmark'!J292+'Resultater - Østdanmark'!J292</f>
        <v>0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6">
        <f>'Resultater - Vestdanmark'!H293+'Resultater - Østdanmark'!H293</f>
        <v>39030.898430904032</v>
      </c>
      <c r="I293" s="277">
        <f>'Resultater - Vestdanmark'!I293+'Resultater - Østdanmark'!I293</f>
        <v>9176.5660821657184</v>
      </c>
      <c r="J293" s="278">
        <f>'Resultater - Vestdanmark'!J293+'Resultater - Østdanmark'!J293</f>
        <v>0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6">
        <f>'Resultater - Vestdanmark'!H294+'Resultater - Østdanmark'!H294</f>
        <v>128984.36974444673</v>
      </c>
      <c r="I294" s="277">
        <f>'Resultater - Vestdanmark'!I294+'Resultater - Østdanmark'!I294</f>
        <v>250008.25412521552</v>
      </c>
      <c r="J294" s="278">
        <f>'Resultater - Vestdanmark'!J294+'Resultater - Østdanmark'!J294</f>
        <v>469809.08295405324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6">
        <f>'Resultater - Vestdanmark'!H295+'Resultater - Østdanmark'!H295</f>
        <v>-615067.9268187969</v>
      </c>
      <c r="I295" s="277">
        <f>'Resultater - Vestdanmark'!I295+'Resultater - Østdanmark'!I295</f>
        <v>-1112104.3949333448</v>
      </c>
      <c r="J295" s="278">
        <f>'Resultater - Vestdanmark'!J295+'Resultater - Østdanmark'!J295</f>
        <v>-1948092.4517255195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6">
        <f>'Resultater - Vestdanmark'!H296+'Resultater - Østdanmark'!H296</f>
        <v>17267.806523585219</v>
      </c>
      <c r="I296" s="277">
        <f>'Resultater - Vestdanmark'!I296+'Resultater - Østdanmark'!I296</f>
        <v>31221.923121664109</v>
      </c>
      <c r="J296" s="278">
        <f>'Resultater - Vestdanmark'!J296+'Resultater - Østdanmark'!J296</f>
        <v>54691.981291301199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6">
        <f>'Resultater - Vestdanmark'!H297+'Resultater - Østdanmark'!H297</f>
        <v>4325.1052602347863</v>
      </c>
      <c r="I297" s="277">
        <f>'Resultater - Vestdanmark'!I297+'Resultater - Østdanmark'!I297</f>
        <v>3905.2767579488586</v>
      </c>
      <c r="J297" s="278">
        <f>'Resultater - Vestdanmark'!J297+'Resultater - Østdanmark'!J297</f>
        <v>0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6">
        <f>'Resultater - Vestdanmark'!H298+'Resultater - Østdanmark'!H298</f>
        <v>-15120.574980864158</v>
      </c>
      <c r="I298" s="277">
        <f>'Resultater - Vestdanmark'!I298+'Resultater - Østdanmark'!I298</f>
        <v>-12735.871136439731</v>
      </c>
      <c r="J298" s="278">
        <f>'Resultater - Vestdanmark'!J298+'Resultater - Østdanmark'!J298</f>
        <v>0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6">
        <f>'Resultater - Vestdanmark'!H299+'Resultater - Østdanmark'!H299</f>
        <v>3393.7349298895001</v>
      </c>
      <c r="I299" s="277">
        <f>'Resultater - Vestdanmark'!I299+'Resultater - Østdanmark'!I299</f>
        <v>2858.5004732298094</v>
      </c>
      <c r="J299" s="278">
        <f>'Resultater - Vestdanmark'!J299+'Resultater - Østdanmark'!J299</f>
        <v>0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6">
        <f>'Resultater - Vestdanmark'!H300+'Resultater - Østdanmark'!H300</f>
        <v>2897.587436711749</v>
      </c>
      <c r="I300" s="277">
        <f>'Resultater - Vestdanmark'!I300+'Resultater - Østdanmark'!I300</f>
        <v>1525.2459211677115</v>
      </c>
      <c r="J300" s="278">
        <f>'Resultater - Vestdanmark'!J300+'Resultater - Østdanmark'!J300</f>
        <v>0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6">
        <f>'Resultater - Vestdanmark'!H301+'Resultater - Østdanmark'!H301</f>
        <v>-7496.1780681710807</v>
      </c>
      <c r="I301" s="277">
        <f>'Resultater - Vestdanmark'!I301+'Resultater - Østdanmark'!I301</f>
        <v>-3680.8526420661265</v>
      </c>
      <c r="J301" s="278">
        <f>'Resultater - Vestdanmark'!J301+'Resultater - Østdanmark'!J301</f>
        <v>0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6">
        <f>'Resultater - Vestdanmark'!H302+'Resultater - Østdanmark'!H302</f>
        <v>4990.5497772321014</v>
      </c>
      <c r="I302" s="277">
        <f>'Resultater - Vestdanmark'!I302+'Resultater - Østdanmark'!I302</f>
        <v>2450.5125366330967</v>
      </c>
      <c r="J302" s="278">
        <f>'Resultater - Vestdanmark'!J302+'Resultater - Østdanmark'!J302</f>
        <v>0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6">
        <f>'Resultater - Vestdanmark'!H303+'Resultater - Østdanmark'!H303</f>
        <v>6805636.3914233753</v>
      </c>
      <c r="I303" s="277">
        <f>'Resultater - Vestdanmark'!I303+'Resultater - Østdanmark'!I303</f>
        <v>3859971.2484047078</v>
      </c>
      <c r="J303" s="278">
        <f>'Resultater - Vestdanmark'!J303+'Resultater - Østdanmark'!J303</f>
        <v>1667648.5752805036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6">
        <f>'Resultater - Vestdanmark'!H304+'Resultater - Østdanmark'!H304</f>
        <v>-24464206.304824531</v>
      </c>
      <c r="I304" s="277">
        <f>'Resultater - Vestdanmark'!I304+'Resultater - Østdanmark'!I304</f>
        <v>-12943498.353228377</v>
      </c>
      <c r="J304" s="278">
        <f>'Resultater - Vestdanmark'!J304+'Resultater - Østdanmark'!J304</f>
        <v>-5212776.2602420673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6">
        <f>'Resultater - Vestdanmark'!H305+'Resultater - Østdanmark'!H305</f>
        <v>347650.80050176143</v>
      </c>
      <c r="I305" s="277">
        <f>'Resultater - Vestdanmark'!I305+'Resultater - Østdanmark'!I305</f>
        <v>183934.74563307935</v>
      </c>
      <c r="J305" s="278">
        <f>'Resultater - Vestdanmark'!J305+'Resultater - Østdanmark'!J305</f>
        <v>74076.625136714443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6">
        <f>'Resultater - Vestdanmark'!H306+'Resultater - Østdanmark'!H306</f>
        <v>271759.53465639014</v>
      </c>
      <c r="I306" s="277">
        <f>'Resultater - Vestdanmark'!I306+'Resultater - Østdanmark'!I306</f>
        <v>117473.71914338772</v>
      </c>
      <c r="J306" s="278">
        <f>'Resultater - Vestdanmark'!J306+'Resultater - Østdanmark'!J306</f>
        <v>0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6">
        <f>'Resultater - Vestdanmark'!H307+'Resultater - Østdanmark'!H307</f>
        <v>-661438.24431458686</v>
      </c>
      <c r="I307" s="277">
        <f>'Resultater - Vestdanmark'!I307+'Resultater - Østdanmark'!I307</f>
        <v>-266716.84490377392</v>
      </c>
      <c r="J307" s="278">
        <f>'Resultater - Vestdanmark'!J307+'Resultater - Østdanmark'!J307</f>
        <v>0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6">
        <f>'Resultater - Vestdanmark'!H308+'Resultater - Østdanmark'!H308</f>
        <v>81365.524969577309</v>
      </c>
      <c r="I308" s="277">
        <f>'Resultater - Vestdanmark'!I308+'Resultater - Østdanmark'!I308</f>
        <v>32809.648202778262</v>
      </c>
      <c r="J308" s="278">
        <f>'Resultater - Vestdanmark'!J308+'Resultater - Østdanmark'!J308</f>
        <v>0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6">
        <f>'Resultater - Vestdanmark'!H309+'Resultater - Østdanmark'!H309</f>
        <v>107772.91589565421</v>
      </c>
      <c r="I309" s="277">
        <f>'Resultater - Vestdanmark'!I309+'Resultater - Østdanmark'!I309</f>
        <v>27091.447781144969</v>
      </c>
      <c r="J309" s="278">
        <f>'Resultater - Vestdanmark'!J309+'Resultater - Østdanmark'!J309</f>
        <v>0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6">
        <f>'Resultater - Vestdanmark'!H310+'Resultater - Østdanmark'!H310</f>
        <v>-172951.36870631672</v>
      </c>
      <c r="I310" s="277">
        <f>'Resultater - Vestdanmark'!I310+'Resultater - Østdanmark'!I310</f>
        <v>-40555.69042297484</v>
      </c>
      <c r="J310" s="278">
        <f>'Resultater - Vestdanmark'!J310+'Resultater - Østdanmark'!J310</f>
        <v>0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6">
        <f>'Resultater - Vestdanmark'!H311+'Resultater - Østdanmark'!H311</f>
        <v>70826.515916993711</v>
      </c>
      <c r="I311" s="277">
        <f>'Resultater - Vestdanmark'!I311+'Resultater - Østdanmark'!I311</f>
        <v>16608.242390640225</v>
      </c>
      <c r="J311" s="278">
        <f>'Resultater - Vestdanmark'!J311+'Resultater - Østdanmark'!J311</f>
        <v>0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6">
        <f>'Resultater - Vestdanmark'!H312+'Resultater - Østdanmark'!H312</f>
        <v>722248.54897796328</v>
      </c>
      <c r="I312" s="277">
        <f>'Resultater - Vestdanmark'!I312+'Resultater - Østdanmark'!I312</f>
        <v>855537.19288557116</v>
      </c>
      <c r="J312" s="278">
        <f>'Resultater - Vestdanmark'!J312+'Resultater - Østdanmark'!J312</f>
        <v>876929.17928006197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6">
        <f>'Resultater - Vestdanmark'!H313+'Resultater - Østdanmark'!H313</f>
        <v>-2596265.2850252553</v>
      </c>
      <c r="I313" s="277">
        <f>'Resultater - Vestdanmark'!I313+'Resultater - Østdanmark'!I313</f>
        <v>-2868841.1220204448</v>
      </c>
      <c r="J313" s="278">
        <f>'Resultater - Vestdanmark'!J313+'Resultater - Østdanmark'!J313</f>
        <v>-2741126.4431990841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6">
        <f>'Resultater - Vestdanmark'!H314+'Resultater - Østdanmark'!H314</f>
        <v>44451.157794126186</v>
      </c>
      <c r="I314" s="277">
        <f>'Resultater - Vestdanmark'!I314+'Resultater - Østdanmark'!I314</f>
        <v>49117.981177323454</v>
      </c>
      <c r="J314" s="278">
        <f>'Resultater - Vestdanmark'!J314+'Resultater - Østdanmark'!J314</f>
        <v>46931.353572795277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6">
        <f>'Resultater - Vestdanmark'!H315+'Resultater - Østdanmark'!H315</f>
        <v>28840.49606644551</v>
      </c>
      <c r="I315" s="277">
        <f>'Resultater - Vestdanmark'!I315+'Resultater - Østdanmark'!I315</f>
        <v>26037.27578419113</v>
      </c>
      <c r="J315" s="278">
        <f>'Resultater - Vestdanmark'!J315+'Resultater - Østdanmark'!J315</f>
        <v>0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6">
        <f>'Resultater - Vestdanmark'!H316+'Resultater - Østdanmark'!H316</f>
        <v>-70195.171284316559</v>
      </c>
      <c r="I316" s="277">
        <f>'Resultater - Vestdanmark'!I316+'Resultater - Østdanmark'!I316</f>
        <v>-59116.031208413362</v>
      </c>
      <c r="J316" s="278">
        <f>'Resultater - Vestdanmark'!J316+'Resultater - Østdanmark'!J316</f>
        <v>0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6">
        <f>'Resultater - Vestdanmark'!H317+'Resultater - Østdanmark'!H317</f>
        <v>10403.519233105488</v>
      </c>
      <c r="I317" s="277">
        <f>'Resultater - Vestdanmark'!I317+'Resultater - Østdanmark'!I317</f>
        <v>8761.4967868737604</v>
      </c>
      <c r="J317" s="278">
        <f>'Resultater - Vestdanmark'!J317+'Resultater - Østdanmark'!J317</f>
        <v>0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6">
        <f>'Resultater - Vestdanmark'!H318+'Resultater - Østdanmark'!H318</f>
        <v>11437.406826914037</v>
      </c>
      <c r="I318" s="277">
        <f>'Resultater - Vestdanmark'!I318+'Resultater - Østdanmark'!I318</f>
        <v>6004.6408883138583</v>
      </c>
      <c r="J318" s="278">
        <f>'Resultater - Vestdanmark'!J318+'Resultater - Østdanmark'!J318</f>
        <v>0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6">
        <f>'Resultater - Vestdanmark'!H319+'Resultater - Østdanmark'!H319</f>
        <v>-18354.473837201975</v>
      </c>
      <c r="I319" s="277">
        <f>'Resultater - Vestdanmark'!I319+'Resultater - Østdanmark'!I319</f>
        <v>-8988.9015505874722</v>
      </c>
      <c r="J319" s="278">
        <f>'Resultater - Vestdanmark'!J319+'Resultater - Østdanmark'!J319</f>
        <v>0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6">
        <f>'Resultater - Vestdanmark'!H320+'Resultater - Østdanmark'!H320</f>
        <v>9055.9855765916054</v>
      </c>
      <c r="I320" s="277">
        <f>'Resultater - Vestdanmark'!I320+'Resultater - Østdanmark'!I320</f>
        <v>4435.0692650490864</v>
      </c>
      <c r="J320" s="278">
        <f>'Resultater - Vestdanmark'!J320+'Resultater - Østdanmark'!J320</f>
        <v>0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6">
        <f>'Resultater - Vestdanmark'!H321+'Resultater - Østdanmark'!H321</f>
        <v>614076.2528869072</v>
      </c>
      <c r="I321" s="277">
        <f>'Resultater - Vestdanmark'!I321+'Resultater - Østdanmark'!I321</f>
        <v>173442.87793326032</v>
      </c>
      <c r="J321" s="278">
        <f>'Resultater - Vestdanmark'!J321+'Resultater - Østdanmark'!J321</f>
        <v>137378.37435846281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6">
        <f>'Resultater - Vestdanmark'!H322+'Resultater - Østdanmark'!H322</f>
        <v>327981.19704816159</v>
      </c>
      <c r="I322" s="277">
        <f>'Resultater - Vestdanmark'!I322+'Resultater - Østdanmark'!I322</f>
        <v>123917.81735922021</v>
      </c>
      <c r="J322" s="278">
        <f>'Resultater - Vestdanmark'!J322+'Resultater - Østdanmark'!J322</f>
        <v>91493.997322736221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6">
        <f>'Resultater - Vestdanmark'!H323+'Resultater - Østdanmark'!H323</f>
        <v>-24423487.330729261</v>
      </c>
      <c r="I323" s="277">
        <f>'Resultater - Vestdanmark'!I323+'Resultater - Østdanmark'!I323</f>
        <v>-6434977.8744743373</v>
      </c>
      <c r="J323" s="278">
        <f>'Resultater - Vestdanmark'!J323+'Resultater - Østdanmark'!J323</f>
        <v>-4751228.3621998001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6">
        <f>'Resultater - Vestdanmark'!H324+'Resultater - Østdanmark'!H324</f>
        <v>317323.11758989503</v>
      </c>
      <c r="I324" s="277">
        <f>'Resultater - Vestdanmark'!I324+'Resultater - Østdanmark'!I324</f>
        <v>83606.702560490638</v>
      </c>
      <c r="J324" s="278">
        <f>'Resultater - Vestdanmark'!J324+'Resultater - Østdanmark'!J324</f>
        <v>61730.520947262041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6">
        <f>'Resultater - Vestdanmark'!H325+'Resultater - Østdanmark'!H325</f>
        <v>13323.118692618173</v>
      </c>
      <c r="I325" s="277">
        <f>'Resultater - Vestdanmark'!I325+'Resultater - Østdanmark'!I325</f>
        <v>5760.5612347225724</v>
      </c>
      <c r="J325" s="278">
        <f>'Resultater - Vestdanmark'!J325+'Resultater - Østdanmark'!J325</f>
        <v>0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6">
        <f>'Resultater - Vestdanmark'!H326+'Resultater - Østdanmark'!H326</f>
        <v>7115.9443093208292</v>
      </c>
      <c r="I326" s="277">
        <f>'Resultater - Vestdanmark'!I326+'Resultater - Østdanmark'!I326</f>
        <v>4115.6845612630759</v>
      </c>
      <c r="J326" s="278">
        <f>'Resultater - Vestdanmark'!J326+'Resultater - Østdanmark'!J326</f>
        <v>0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6">
        <f>'Resultater - Vestdanmark'!H327+'Resultater - Østdanmark'!H327</f>
        <v>-365881.10046015814</v>
      </c>
      <c r="I327" s="277">
        <f>'Resultater - Vestdanmark'!I327+'Resultater - Østdanmark'!I327</f>
        <v>-147572.04372928909</v>
      </c>
      <c r="J327" s="278">
        <f>'Resultater - Vestdanmark'!J327+'Resultater - Østdanmark'!J327</f>
        <v>0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6">
        <f>'Resultater - Vestdanmark'!H328+'Resultater - Østdanmark'!H328</f>
        <v>40352.129195848909</v>
      </c>
      <c r="I328" s="277">
        <f>'Resultater - Vestdanmark'!I328+'Resultater - Østdanmark'!I328</f>
        <v>16275.358762096486</v>
      </c>
      <c r="J328" s="278">
        <f>'Resultater - Vestdanmark'!J328+'Resultater - Østdanmark'!J328</f>
        <v>0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6">
        <f>'Resultater - Vestdanmark'!H329+'Resultater - Østdanmark'!H329</f>
        <v>6434.7975318427207</v>
      </c>
      <c r="I329" s="277">
        <f>'Resultater - Vestdanmark'!I329+'Resultater - Østdanmark'!I329</f>
        <v>1624.5787980851514</v>
      </c>
      <c r="J329" s="278">
        <f>'Resultater - Vestdanmark'!J329+'Resultater - Østdanmark'!J329</f>
        <v>0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6">
        <f>'Resultater - Vestdanmark'!H330+'Resultater - Østdanmark'!H330</f>
        <v>3436.8575357448558</v>
      </c>
      <c r="I330" s="277">
        <f>'Resultater - Vestdanmark'!I330+'Resultater - Østdanmark'!I330</f>
        <v>1160.6948707587846</v>
      </c>
      <c r="J330" s="278">
        <f>'Resultater - Vestdanmark'!J330+'Resultater - Østdanmark'!J330</f>
        <v>0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6">
        <f>'Resultater - Vestdanmark'!H331+'Resultater - Østdanmark'!H331</f>
        <v>-120130.14872758326</v>
      </c>
      <c r="I331" s="277">
        <f>'Resultater - Vestdanmark'!I331+'Resultater - Østdanmark'!I331</f>
        <v>-28291.965766711146</v>
      </c>
      <c r="J331" s="278">
        <f>'Resultater - Vestdanmark'!J331+'Resultater - Østdanmark'!J331</f>
        <v>0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6">
        <f>'Resultater - Vestdanmark'!H332+'Resultater - Østdanmark'!H332</f>
        <v>42778.549000109218</v>
      </c>
      <c r="I332" s="277">
        <f>'Resultater - Vestdanmark'!I332+'Resultater - Østdanmark'!I332</f>
        <v>10074.816827249704</v>
      </c>
      <c r="J332" s="278">
        <f>'Resultater - Vestdanmark'!J332+'Resultater - Østdanmark'!J332</f>
        <v>0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6">
        <f>'Resultater - Vestdanmark'!H333+'Resultater - Østdanmark'!H333</f>
        <v>43184.19576890875</v>
      </c>
      <c r="I333" s="277">
        <f>'Resultater - Vestdanmark'!I333+'Resultater - Østdanmark'!I333</f>
        <v>25473.926589506849</v>
      </c>
      <c r="J333" s="278">
        <f>'Resultater - Vestdanmark'!J333+'Resultater - Østdanmark'!J333</f>
        <v>47869.94786284546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6">
        <f>'Resultater - Vestdanmark'!H334+'Resultater - Østdanmark'!H334</f>
        <v>23064.894881153006</v>
      </c>
      <c r="I334" s="277">
        <f>'Resultater - Vestdanmark'!I334+'Resultater - Østdanmark'!I334</f>
        <v>18200.07497658889</v>
      </c>
      <c r="J334" s="278">
        <f>'Resultater - Vestdanmark'!J334+'Resultater - Østdanmark'!J334</f>
        <v>31881.385276655077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6">
        <f>'Resultater - Vestdanmark'!H335+'Resultater - Østdanmark'!H335</f>
        <v>-1717553.2408088709</v>
      </c>
      <c r="I335" s="277">
        <f>'Resultater - Vestdanmark'!I335+'Resultater - Østdanmark'!I335</f>
        <v>-945118.96903911512</v>
      </c>
      <c r="J335" s="278">
        <f>'Resultater - Vestdanmark'!J335+'Resultater - Østdanmark'!J335</f>
        <v>-1655581.20079011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6">
        <f>'Resultater - Vestdanmark'!H336+'Resultater - Østdanmark'!H336</f>
        <v>40573.414332296394</v>
      </c>
      <c r="I336" s="277">
        <f>'Resultater - Vestdanmark'!I336+'Resultater - Østdanmark'!I336</f>
        <v>22326.355080601574</v>
      </c>
      <c r="J336" s="278">
        <f>'Resultater - Vestdanmark'!J336+'Resultater - Østdanmark'!J336</f>
        <v>39109.461310662729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6">
        <f>'Resultater - Vestdanmark'!H337+'Resultater - Østdanmark'!H337</f>
        <v>936.9327720614383</v>
      </c>
      <c r="I337" s="277">
        <f>'Resultater - Vestdanmark'!I337+'Resultater - Østdanmark'!I337</f>
        <v>846.06595414167396</v>
      </c>
      <c r="J337" s="278">
        <f>'Resultater - Vestdanmark'!J337+'Resultater - Østdanmark'!J337</f>
        <v>0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6">
        <f>'Resultater - Vestdanmark'!H338+'Resultater - Østdanmark'!H338</f>
        <v>500.42047822187442</v>
      </c>
      <c r="I338" s="277">
        <f>'Resultater - Vestdanmark'!I338+'Resultater - Østdanmark'!I338</f>
        <v>604.47939764655587</v>
      </c>
      <c r="J338" s="278">
        <f>'Resultater - Vestdanmark'!J338+'Resultater - Østdanmark'!J338</f>
        <v>0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6">
        <f>'Resultater - Vestdanmark'!H339+'Resultater - Østdanmark'!H339</f>
        <v>-25730.161353959949</v>
      </c>
      <c r="I339" s="277">
        <f>'Resultater - Vestdanmark'!I339+'Resultater - Østdanmark'!I339</f>
        <v>-21674.221815380253</v>
      </c>
      <c r="J339" s="278">
        <f>'Resultater - Vestdanmark'!J339+'Resultater - Østdanmark'!J339</f>
        <v>0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6">
        <f>'Resultater - Vestdanmark'!H340+'Resultater - Østdanmark'!H340</f>
        <v>5159.4843435562807</v>
      </c>
      <c r="I340" s="277">
        <f>'Resultater - Vestdanmark'!I340+'Resultater - Østdanmark'!I340</f>
        <v>4346.1759363592091</v>
      </c>
      <c r="J340" s="278">
        <f>'Resultater - Vestdanmark'!J340+'Resultater - Østdanmark'!J340</f>
        <v>0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6">
        <f>'Resultater - Vestdanmark'!H341+'Resultater - Østdanmark'!H341</f>
        <v>452.51962609204435</v>
      </c>
      <c r="I341" s="277">
        <f>'Resultater - Vestdanmark'!I341+'Resultater - Østdanmark'!I341</f>
        <v>238.60536410849261</v>
      </c>
      <c r="J341" s="278">
        <f>'Resultater - Vestdanmark'!J341+'Resultater - Østdanmark'!J341</f>
        <v>0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6">
        <f>'Resultater - Vestdanmark'!H342+'Resultater - Østdanmark'!H342</f>
        <v>241.69299489389135</v>
      </c>
      <c r="I342" s="277">
        <f>'Resultater - Vestdanmark'!I342+'Resultater - Østdanmark'!I342</f>
        <v>170.47373915176723</v>
      </c>
      <c r="J342" s="278">
        <f>'Resultater - Vestdanmark'!J342+'Resultater - Østdanmark'!J342</f>
        <v>0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6">
        <f>'Resultater - Vestdanmark'!H343+'Resultater - Østdanmark'!H343</f>
        <v>-8448.0125000949847</v>
      </c>
      <c r="I343" s="277">
        <f>'Resultater - Vestdanmark'!I343+'Resultater - Østdanmark'!I343</f>
        <v>-4155.3015471258741</v>
      </c>
      <c r="J343" s="278">
        <f>'Resultater - Vestdanmark'!J343+'Resultater - Østdanmark'!J343</f>
        <v>0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6">
        <f>'Resultater - Vestdanmark'!H344+'Resultater - Østdanmark'!H344</f>
        <v>5469.7300540171764</v>
      </c>
      <c r="I344" s="277">
        <f>'Resultater - Vestdanmark'!I344+'Resultater - Østdanmark'!I344</f>
        <v>2690.3816436780744</v>
      </c>
      <c r="J344" s="278">
        <f>'Resultater - Vestdanmark'!J344+'Resultater - Østdanmark'!J344</f>
        <v>0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6">
        <f>'Resultater - Vestdanmark'!H345+'Resultater - Østdanmark'!H345</f>
        <v>1244876.7164053498</v>
      </c>
      <c r="I345" s="277">
        <f>'Resultater - Vestdanmark'!I345+'Resultater - Østdanmark'!I345</f>
        <v>1137633.3620144599</v>
      </c>
      <c r="J345" s="278">
        <f>'Resultater - Vestdanmark'!J345+'Resultater - Østdanmark'!J345</f>
        <v>901081.80717363907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6">
        <f>'Resultater - Vestdanmark'!H346+'Resultater - Østdanmark'!H346</f>
        <v>206810.63376166133</v>
      </c>
      <c r="I346" s="277">
        <f>'Resultater - Vestdanmark'!I346+'Resultater - Østdanmark'!I346</f>
        <v>252813.04613849212</v>
      </c>
      <c r="J346" s="278">
        <f>'Resultater - Vestdanmark'!J346+'Resultater - Østdanmark'!J346</f>
        <v>186663.03732170214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6">
        <f>'Resultater - Vestdanmark'!H347+'Resultater - Østdanmark'!H347</f>
        <v>-13068327.181838907</v>
      </c>
      <c r="I347" s="277">
        <f>'Resultater - Vestdanmark'!I347+'Resultater - Østdanmark'!I347</f>
        <v>-11140410.376255527</v>
      </c>
      <c r="J347" s="278">
        <f>'Resultater - Vestdanmark'!J347+'Resultater - Østdanmark'!J347</f>
        <v>-8225456.9912618455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6">
        <f>'Resultater - Vestdanmark'!H348+'Resultater - Østdanmark'!H348</f>
        <v>198089.21270536177</v>
      </c>
      <c r="I348" s="277">
        <f>'Resultater - Vestdanmark'!I348+'Resultater - Østdanmark'!I348</f>
        <v>168865.92215979184</v>
      </c>
      <c r="J348" s="278">
        <f>'Resultater - Vestdanmark'!J348+'Resultater - Østdanmark'!J348</f>
        <v>124681.16820683975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6">
        <f>'Resultater - Vestdanmark'!H349+'Resultater - Østdanmark'!H349</f>
        <v>83193.972065214504</v>
      </c>
      <c r="I349" s="277">
        <f>'Resultater - Vestdanmark'!I349+'Resultater - Østdanmark'!I349</f>
        <v>35977.200855434035</v>
      </c>
      <c r="J349" s="278">
        <f>'Resultater - Vestdanmark'!J349+'Resultater - Østdanmark'!J349</f>
        <v>0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6">
        <f>'Resultater - Vestdanmark'!H350+'Resultater - Østdanmark'!H350</f>
        <v>13820.965450810663</v>
      </c>
      <c r="I350" s="277">
        <f>'Resultater - Vestdanmark'!I350+'Resultater - Østdanmark'!I350</f>
        <v>7995.1116444869476</v>
      </c>
      <c r="J350" s="278">
        <f>'Resultater - Vestdanmark'!J350+'Resultater - Østdanmark'!J350</f>
        <v>0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6">
        <f>'Resultater - Vestdanmark'!H351+'Resultater - Østdanmark'!H351</f>
        <v>-655008.26237096614</v>
      </c>
      <c r="I351" s="277">
        <f>'Resultater - Vestdanmark'!I351+'Resultater - Østdanmark'!I351</f>
        <v>-264233.2726218513</v>
      </c>
      <c r="J351" s="278">
        <f>'Resultater - Vestdanmark'!J351+'Resultater - Østdanmark'!J351</f>
        <v>0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6">
        <f>'Resultater - Vestdanmark'!H352+'Resultater - Østdanmark'!H352</f>
        <v>77590.310666771984</v>
      </c>
      <c r="I352" s="277">
        <f>'Resultater - Vestdanmark'!I352+'Resultater - Østdanmark'!I352</f>
        <v>31300.279536956361</v>
      </c>
      <c r="J352" s="278">
        <f>'Resultater - Vestdanmark'!J352+'Resultater - Østdanmark'!J352</f>
        <v>0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6">
        <f>'Resultater - Vestdanmark'!H353+'Resultater - Østdanmark'!H353</f>
        <v>72418.22612376757</v>
      </c>
      <c r="I353" s="277">
        <f>'Resultater - Vestdanmark'!I353+'Resultater - Østdanmark'!I353</f>
        <v>18341.422538208142</v>
      </c>
      <c r="J353" s="278">
        <f>'Resultater - Vestdanmark'!J353+'Resultater - Østdanmark'!J353</f>
        <v>0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6">
        <f>'Resultater - Vestdanmark'!H354+'Resultater - Østdanmark'!H354</f>
        <v>12030.797140939529</v>
      </c>
      <c r="I354" s="277">
        <f>'Resultater - Vestdanmark'!I354+'Resultater - Østdanmark'!I354</f>
        <v>4075.962482487972</v>
      </c>
      <c r="J354" s="278">
        <f>'Resultater - Vestdanmark'!J354+'Resultater - Østdanmark'!J354</f>
        <v>0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6">
        <f>'Resultater - Vestdanmark'!H355+'Resultater - Østdanmark'!H355</f>
        <v>-434413.67575579346</v>
      </c>
      <c r="I355" s="277">
        <f>'Resultater - Vestdanmark'!I355+'Resultater - Østdanmark'!I355</f>
        <v>-102634.61010125832</v>
      </c>
      <c r="J355" s="278">
        <f>'Resultater - Vestdanmark'!J355+'Resultater - Østdanmark'!J355</f>
        <v>0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6">
        <f>'Resultater - Vestdanmark'!H356+'Resultater - Østdanmark'!H356</f>
        <v>148249.80065505981</v>
      </c>
      <c r="I356" s="277">
        <f>'Resultater - Vestdanmark'!I356+'Resultater - Østdanmark'!I356</f>
        <v>35025.50986993972</v>
      </c>
      <c r="J356" s="278">
        <f>'Resultater - Vestdanmark'!J356+'Resultater - Østdanmark'!J356</f>
        <v>0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6">
        <f>'Resultater - Vestdanmark'!H357+'Resultater - Østdanmark'!H357</f>
        <v>90727.938572043873</v>
      </c>
      <c r="I357" s="277">
        <f>'Resultater - Vestdanmark'!I357+'Resultater - Østdanmark'!I357</f>
        <v>173162.52405592866</v>
      </c>
      <c r="J357" s="278">
        <f>'Resultater - Vestdanmark'!J357+'Resultater - Østdanmark'!J357</f>
        <v>325402.56286090281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6">
        <f>'Resultater - Vestdanmark'!H358+'Resultater - Østdanmark'!H358</f>
        <v>15072.578857570828</v>
      </c>
      <c r="I358" s="277">
        <f>'Resultater - Vestdanmark'!I358+'Resultater - Østdanmark'!I358</f>
        <v>38481.418219038482</v>
      </c>
      <c r="J358" s="278">
        <f>'Resultater - Vestdanmark'!J358+'Resultater - Østdanmark'!J358</f>
        <v>67408.564075223258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6">
        <f>'Resultater - Vestdanmark'!H359+'Resultater - Østdanmark'!H359</f>
        <v>-952433.57849676628</v>
      </c>
      <c r="I359" s="277">
        <f>'Resultater - Vestdanmark'!I359+'Resultater - Østdanmark'!I359</f>
        <v>-1695714.668876549</v>
      </c>
      <c r="J359" s="278">
        <f>'Resultater - Vestdanmark'!J359+'Resultater - Østdanmark'!J359</f>
        <v>-2970412.6355121881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6">
        <f>'Resultater - Vestdanmark'!H360+'Resultater - Østdanmark'!H360</f>
        <v>25327.986699790868</v>
      </c>
      <c r="I360" s="277">
        <f>'Resultater - Vestdanmark'!I360+'Resultater - Østdanmark'!I360</f>
        <v>45093.998730843072</v>
      </c>
      <c r="J360" s="278">
        <f>'Resultater - Vestdanmark'!J360+'Resultater - Østdanmark'!J360</f>
        <v>78991.935420721711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6">
        <f>'Resultater - Vestdanmark'!H361+'Resultater - Østdanmark'!H361</f>
        <v>6063.2651310986303</v>
      </c>
      <c r="I361" s="277">
        <f>'Resultater - Vestdanmark'!I361+'Resultater - Østdanmark'!I361</f>
        <v>5476.1956853678194</v>
      </c>
      <c r="J361" s="278">
        <f>'Resultater - Vestdanmark'!J361+'Resultater - Østdanmark'!J361</f>
        <v>0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6">
        <f>'Resultater - Vestdanmark'!H362+'Resultater - Østdanmark'!H362</f>
        <v>1007.2866557006012</v>
      </c>
      <c r="I362" s="277">
        <f>'Resultater - Vestdanmark'!I362+'Resultater - Østdanmark'!I362</f>
        <v>1216.9594868568115</v>
      </c>
      <c r="J362" s="278">
        <f>'Resultater - Vestdanmark'!J362+'Resultater - Østdanmark'!J362</f>
        <v>0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6">
        <f>'Resultater - Vestdanmark'!H363+'Resultater - Østdanmark'!H363</f>
        <v>-47737.698528232206</v>
      </c>
      <c r="I363" s="277">
        <f>'Resultater - Vestdanmark'!I363+'Resultater - Østdanmark'!I363</f>
        <v>-40219.724521560303</v>
      </c>
      <c r="J363" s="278">
        <f>'Resultater - Vestdanmark'!J363+'Resultater - Østdanmark'!J363</f>
        <v>0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6">
        <f>'Resultater - Vestdanmark'!H364+'Resultater - Østdanmark'!H364</f>
        <v>9920.8146156029889</v>
      </c>
      <c r="I364" s="277">
        <f>'Resultater - Vestdanmark'!I364+'Resultater - Østdanmark'!I364</f>
        <v>8358.4345951040013</v>
      </c>
      <c r="J364" s="278">
        <f>'Resultater - Vestdanmark'!J364+'Resultater - Østdanmark'!J364</f>
        <v>0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6">
        <f>'Resultater - Vestdanmark'!H365+'Resultater - Østdanmark'!H365</f>
        <v>5277.9173107404822</v>
      </c>
      <c r="I365" s="277">
        <f>'Resultater - Vestdanmark'!I365+'Resultater - Østdanmark'!I365</f>
        <v>2791.8019350878094</v>
      </c>
      <c r="J365" s="278">
        <f>'Resultater - Vestdanmark'!J365+'Resultater - Østdanmark'!J365</f>
        <v>0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6">
        <f>'Resultater - Vestdanmark'!H366+'Resultater - Østdanmark'!H366</f>
        <v>876.81728607450714</v>
      </c>
      <c r="I366" s="277">
        <f>'Resultater - Vestdanmark'!I366+'Resultater - Østdanmark'!I366</f>
        <v>620.4142520707079</v>
      </c>
      <c r="J366" s="278">
        <f>'Resultater - Vestdanmark'!J366+'Resultater - Østdanmark'!J366</f>
        <v>0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6">
        <f>'Resultater - Vestdanmark'!H367+'Resultater - Østdanmark'!H367</f>
        <v>-31660.530532401586</v>
      </c>
      <c r="I367" s="277">
        <f>'Resultater - Vestdanmark'!I367+'Resultater - Østdanmark'!I367</f>
        <v>-15622.316234783648</v>
      </c>
      <c r="J367" s="278">
        <f>'Resultater - Vestdanmark'!J367+'Resultater - Østdanmark'!J367</f>
        <v>0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6">
        <f>'Resultater - Vestdanmark'!H368+'Resultater - Østdanmark'!H368</f>
        <v>18955.444004025605</v>
      </c>
      <c r="I368" s="277">
        <f>'Resultater - Vestdanmark'!I368+'Resultater - Østdanmark'!I368</f>
        <v>9353.2210491091537</v>
      </c>
      <c r="J368" s="278">
        <f>'Resultater - Vestdanmark'!J368+'Resultater - Østdanmark'!J368</f>
        <v>0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6">
        <f>'Resultater - Vestdanmark'!H369+'Resultater - Østdanmark'!H369</f>
        <v>803523.26097451104</v>
      </c>
      <c r="I369" s="277">
        <f>'Resultater - Vestdanmark'!I369+'Resultater - Østdanmark'!I369</f>
        <v>747670.36173265241</v>
      </c>
      <c r="J369" s="278">
        <f>'Resultater - Vestdanmark'!J369+'Resultater - Østdanmark'!J369</f>
        <v>592204.99610459199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6">
        <f>'Resultater - Vestdanmark'!H370+'Resultater - Østdanmark'!H370</f>
        <v>-1767751.1741439244</v>
      </c>
      <c r="I370" s="277">
        <f>'Resultater - Vestdanmark'!I370+'Resultater - Østdanmark'!I370</f>
        <v>-1534398.1304214883</v>
      </c>
      <c r="J370" s="278">
        <f>'Resultater - Vestdanmark'!J370+'Resultater - Østdanmark'!J370</f>
        <v>-1132913.9055913934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6">
        <f>'Resultater - Vestdanmark'!H371+'Resultater - Østdanmark'!H371</f>
        <v>31589.622964822924</v>
      </c>
      <c r="I371" s="277">
        <f>'Resultater - Vestdanmark'!I371+'Resultater - Østdanmark'!I371</f>
        <v>27419.616022270369</v>
      </c>
      <c r="J371" s="278">
        <f>'Resultater - Vestdanmark'!J371+'Resultater - Østdanmark'!J371</f>
        <v>20245.113482426881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6">
        <f>'Resultater - Vestdanmark'!H372+'Resultater - Østdanmark'!H372</f>
        <v>27634.888548227009</v>
      </c>
      <c r="I372" s="277">
        <f>'Resultater - Vestdanmark'!I372+'Resultater - Østdanmark'!I372</f>
        <v>11947.015486351685</v>
      </c>
      <c r="J372" s="278">
        <f>'Resultater - Vestdanmark'!J372+'Resultater - Østdanmark'!J372</f>
        <v>0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6">
        <f>'Resultater - Vestdanmark'!H373+'Resultater - Østdanmark'!H373</f>
        <v>-46058.147580378347</v>
      </c>
      <c r="I373" s="277">
        <f>'Resultater - Vestdanmark'!I373+'Resultater - Østdanmark'!I373</f>
        <v>-18574.339997437324</v>
      </c>
      <c r="J373" s="278">
        <f>'Resultater - Vestdanmark'!J373+'Resultater - Østdanmark'!J373</f>
        <v>0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6">
        <f>'Resultater - Vestdanmark'!H374+'Resultater - Østdanmark'!H374</f>
        <v>4910.5789263453398</v>
      </c>
      <c r="I374" s="277">
        <f>'Resultater - Vestdanmark'!I374+'Resultater - Østdanmark'!I374</f>
        <v>1980.3393613043743</v>
      </c>
      <c r="J374" s="278">
        <f>'Resultater - Vestdanmark'!J374+'Resultater - Østdanmark'!J374</f>
        <v>0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6">
        <f>'Resultater - Vestdanmark'!H375+'Resultater - Østdanmark'!H375</f>
        <v>18493.012942248984</v>
      </c>
      <c r="I375" s="277">
        <f>'Resultater - Vestdanmark'!I375+'Resultater - Østdanmark'!I375</f>
        <v>4657.7029661546139</v>
      </c>
      <c r="J375" s="278">
        <f>'Resultater - Vestdanmark'!J375+'Resultater - Østdanmark'!J375</f>
        <v>0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6">
        <f>'Resultater - Vestdanmark'!H376+'Resultater - Østdanmark'!H376</f>
        <v>-23776.730925748692</v>
      </c>
      <c r="I376" s="277">
        <f>'Resultater - Vestdanmark'!I376+'Resultater - Østdanmark'!I376</f>
        <v>-5586.2642184690194</v>
      </c>
      <c r="J376" s="278">
        <f>'Resultater - Vestdanmark'!J376+'Resultater - Østdanmark'!J376</f>
        <v>0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6">
        <f>'Resultater - Vestdanmark'!H377+'Resultater - Østdanmark'!H377</f>
        <v>7529.7457544847666</v>
      </c>
      <c r="I377" s="277">
        <f>'Resultater - Vestdanmark'!I377+'Resultater - Østdanmark'!I377</f>
        <v>1769.0888378980453</v>
      </c>
      <c r="J377" s="278">
        <f>'Resultater - Vestdanmark'!J377+'Resultater - Østdanmark'!J377</f>
        <v>0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6">
        <f>'Resultater - Vestdanmark'!H378+'Resultater - Østdanmark'!H378</f>
        <v>58561.6295189554</v>
      </c>
      <c r="I378" s="277">
        <f>'Resultater - Vestdanmark'!I378+'Resultater - Østdanmark'!I378</f>
        <v>113805.1074470772</v>
      </c>
      <c r="J378" s="278">
        <f>'Resultater - Vestdanmark'!J378+'Resultater - Østdanmark'!J378</f>
        <v>213859.6317640788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6">
        <f>'Resultater - Vestdanmark'!H379+'Resultater - Østdanmark'!H379</f>
        <v>-128835.58494170189</v>
      </c>
      <c r="I379" s="277">
        <f>'Resultater - Vestdanmark'!I379+'Resultater - Østdanmark'!I379</f>
        <v>-233555.25782049424</v>
      </c>
      <c r="J379" s="278">
        <f>'Resultater - Vestdanmark'!J379+'Resultater - Østdanmark'!J379</f>
        <v>-409122.77380954218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6">
        <f>'Resultater - Vestdanmark'!H380+'Resultater - Østdanmark'!H380</f>
        <v>4039.0970279361727</v>
      </c>
      <c r="I380" s="277">
        <f>'Resultater - Vestdanmark'!I380+'Resultater - Østdanmark'!I380</f>
        <v>7322.1412247904327</v>
      </c>
      <c r="J380" s="278">
        <f>'Resultater - Vestdanmark'!J380+'Resultater - Østdanmark'!J380</f>
        <v>12826.321085924164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6">
        <f>'Resultater - Vestdanmark'!H381+'Resultater - Østdanmark'!H381</f>
        <v>2014.0600571988041</v>
      </c>
      <c r="I381" s="277">
        <f>'Resultater - Vestdanmark'!I381+'Resultater - Østdanmark'!I381</f>
        <v>1818.4904079189887</v>
      </c>
      <c r="J381" s="278">
        <f>'Resultater - Vestdanmark'!J381+'Resultater - Østdanmark'!J381</f>
        <v>0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6">
        <f>'Resultater - Vestdanmark'!H382+'Resultater - Østdanmark'!H382</f>
        <v>-3356.766761998007</v>
      </c>
      <c r="I382" s="277">
        <f>'Resultater - Vestdanmark'!I382+'Resultater - Østdanmark'!I382</f>
        <v>-2827.2549874362385</v>
      </c>
      <c r="J382" s="278">
        <f>'Resultater - Vestdanmark'!J382+'Resultater - Østdanmark'!J382</f>
        <v>0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6">
        <f>'Resultater - Vestdanmark'!H383+'Resultater - Østdanmark'!H383</f>
        <v>627.87405753257133</v>
      </c>
      <c r="I383" s="277">
        <f>'Resultater - Vestdanmark'!I383+'Resultater - Østdanmark'!I383</f>
        <v>528.83032587708988</v>
      </c>
      <c r="J383" s="278">
        <f>'Resultater - Vestdanmark'!J383+'Resultater - Østdanmark'!J383</f>
        <v>0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6">
        <f>'Resultater - Vestdanmark'!H384+'Resultater - Østdanmark'!H384</f>
        <v>1347.7904439254141</v>
      </c>
      <c r="I384" s="277">
        <f>'Resultater - Vestdanmark'!I384+'Resultater - Østdanmark'!I384</f>
        <v>708.96268415857787</v>
      </c>
      <c r="J384" s="278">
        <f>'Resultater - Vestdanmark'!J384+'Resultater - Østdanmark'!J384</f>
        <v>0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6">
        <f>'Resultater - Vestdanmark'!H385+'Resultater - Østdanmark'!H385</f>
        <v>-1732.8734279041039</v>
      </c>
      <c r="I385" s="277">
        <f>'Resultater - Vestdanmark'!I385+'Resultater - Østdanmark'!I385</f>
        <v>-850.30172673603408</v>
      </c>
      <c r="J385" s="278">
        <f>'Resultater - Vestdanmark'!J385+'Resultater - Østdanmark'!J385</f>
        <v>0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6">
        <f>'Resultater - Vestdanmark'!H386+'Resultater - Østdanmark'!H386</f>
        <v>962.76469434034368</v>
      </c>
      <c r="I386" s="277">
        <f>'Resultater - Vestdanmark'!I386+'Resultater - Østdanmark'!I386</f>
        <v>472.41793246736052</v>
      </c>
      <c r="J386" s="278">
        <f>'Resultater - Vestdanmark'!J386+'Resultater - Østdanmark'!J386</f>
        <v>0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6">
        <f>'Resultater - Vestdanmark'!H387+'Resultater - Østdanmark'!H387</f>
        <v>151119.96541178104</v>
      </c>
      <c r="I387" s="277">
        <f>'Resultater - Vestdanmark'!I387+'Resultater - Østdanmark'!I387</f>
        <v>140249.78952530943</v>
      </c>
      <c r="J387" s="278">
        <f>'Resultater - Vestdanmark'!J387+'Resultater - Østdanmark'!J387</f>
        <v>111087.22548133403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6">
        <f>'Resultater - Vestdanmark'!H388+'Resultater - Østdanmark'!H388</f>
        <v>-743510.2298259628</v>
      </c>
      <c r="I388" s="277">
        <f>'Resultater - Vestdanmark'!I388+'Resultater - Østdanmark'!I388</f>
        <v>-643683.73550794995</v>
      </c>
      <c r="J388" s="278">
        <f>'Resultater - Vestdanmark'!J388+'Resultater - Østdanmark'!J388</f>
        <v>-475260.12988535943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6">
        <f>'Resultater - Vestdanmark'!H389+'Resultater - Østdanmark'!H389</f>
        <v>12179.28225780596</v>
      </c>
      <c r="I389" s="277">
        <f>'Resultater - Vestdanmark'!I389+'Resultater - Østdanmark'!I389</f>
        <v>10544.04577774982</v>
      </c>
      <c r="J389" s="278">
        <f>'Resultater - Vestdanmark'!J389+'Resultater - Østdanmark'!J389</f>
        <v>7785.1346700504955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6">
        <f>'Resultater - Vestdanmark'!H390+'Resultater - Østdanmark'!H390</f>
        <v>22625.724932981873</v>
      </c>
      <c r="I390" s="277">
        <f>'Resultater - Vestdanmark'!I390+'Resultater - Østdanmark'!I390</f>
        <v>9781.8443870312694</v>
      </c>
      <c r="J390" s="278">
        <f>'Resultater - Vestdanmark'!J390+'Resultater - Østdanmark'!J390</f>
        <v>0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6">
        <f>'Resultater - Vestdanmark'!H391+'Resultater - Østdanmark'!H391</f>
        <v>-92765.472225225691</v>
      </c>
      <c r="I391" s="277">
        <f>'Resultater - Vestdanmark'!I391+'Resultater - Østdanmark'!I391</f>
        <v>-37411.904838459152</v>
      </c>
      <c r="J391" s="278">
        <f>'Resultater - Vestdanmark'!J391+'Resultater - Østdanmark'!J391</f>
        <v>0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6">
        <f>'Resultater - Vestdanmark'!H392+'Resultater - Østdanmark'!H392</f>
        <v>8241.9759393401473</v>
      </c>
      <c r="I392" s="277">
        <f>'Resultater - Vestdanmark'!I392+'Resultater - Østdanmark'!I392</f>
        <v>3323.9524591091831</v>
      </c>
      <c r="J392" s="278">
        <f>'Resultater - Vestdanmark'!J392+'Resultater - Østdanmark'!J392</f>
        <v>0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6">
        <f>'Resultater - Vestdanmark'!H393+'Resultater - Østdanmark'!H393</f>
        <v>21786.130098302907</v>
      </c>
      <c r="I393" s="277">
        <f>'Resultater - Vestdanmark'!I393+'Resultater - Østdanmark'!I393</f>
        <v>5490.9378271858859</v>
      </c>
      <c r="J393" s="278">
        <f>'Resultater - Vestdanmark'!J393+'Resultater - Østdanmark'!J393</f>
        <v>0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6">
        <f>'Resultater - Vestdanmark'!H394+'Resultater - Østdanmark'!H394</f>
        <v>-76562.685774035956</v>
      </c>
      <c r="I394" s="277">
        <f>'Resultater - Vestdanmark'!I394+'Resultater - Østdanmark'!I394</f>
        <v>-18000.675712789551</v>
      </c>
      <c r="J394" s="278">
        <f>'Resultater - Vestdanmark'!J394+'Resultater - Østdanmark'!J394</f>
        <v>0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6">
        <f>'Resultater - Vestdanmark'!H395+'Resultater - Østdanmark'!H395</f>
        <v>18184.718915711666</v>
      </c>
      <c r="I395" s="277">
        <f>'Resultater - Vestdanmark'!I395+'Resultater - Østdanmark'!I395</f>
        <v>4275.4146464512196</v>
      </c>
      <c r="J395" s="278">
        <f>'Resultater - Vestdanmark'!J395+'Resultater - Østdanmark'!J395</f>
        <v>0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6">
        <f>'Resultater - Vestdanmark'!H396+'Resultater - Østdanmark'!H396</f>
        <v>11013.783741156445</v>
      </c>
      <c r="I396" s="277">
        <f>'Resultater - Vestdanmark'!I396+'Resultater - Østdanmark'!I396</f>
        <v>21347.833461486196</v>
      </c>
      <c r="J396" s="278">
        <f>'Resultater - Vestdanmark'!J396+'Resultater - Østdanmark'!J396</f>
        <v>40116.299746541554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6">
        <f>'Resultater - Vestdanmark'!H397+'Resultater - Østdanmark'!H397</f>
        <v>-54187.816006489709</v>
      </c>
      <c r="I397" s="277">
        <f>'Resultater - Vestdanmark'!I397+'Resultater - Østdanmark'!I397</f>
        <v>-97976.996856820973</v>
      </c>
      <c r="J397" s="278">
        <f>'Resultater - Vestdanmark'!J397+'Resultater - Østdanmark'!J397</f>
        <v>-171627.99543737777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6">
        <f>'Resultater - Vestdanmark'!H398+'Resultater - Østdanmark'!H398</f>
        <v>1557.2614723727386</v>
      </c>
      <c r="I398" s="277">
        <f>'Resultater - Vestdanmark'!I398+'Resultater - Østdanmark'!I398</f>
        <v>2815.6846617630654</v>
      </c>
      <c r="J398" s="278">
        <f>'Resultater - Vestdanmark'!J398+'Resultater - Østdanmark'!J398</f>
        <v>4932.2833908490338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6">
        <f>'Resultater - Vestdanmark'!H399+'Resultater - Østdanmark'!H399</f>
        <v>1648.986887468722</v>
      </c>
      <c r="I399" s="277">
        <f>'Resultater - Vestdanmark'!I399+'Resultater - Østdanmark'!I399</f>
        <v>1488.9233390459615</v>
      </c>
      <c r="J399" s="278">
        <f>'Resultater - Vestdanmark'!J399+'Resultater - Østdanmark'!J399</f>
        <v>0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6">
        <f>'Resultater - Vestdanmark'!H400+'Resultater - Østdanmark'!H400</f>
        <v>-6760.8462386217598</v>
      </c>
      <c r="I400" s="277">
        <f>'Resultater - Vestdanmark'!I400+'Resultater - Østdanmark'!I400</f>
        <v>-5694.5762034407098</v>
      </c>
      <c r="J400" s="278">
        <f>'Resultater - Vestdanmark'!J400+'Resultater - Østdanmark'!J400</f>
        <v>0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6">
        <f>'Resultater - Vestdanmark'!H401+'Resultater - Østdanmark'!H401</f>
        <v>1053.8315242945746</v>
      </c>
      <c r="I401" s="277">
        <f>'Resultater - Vestdanmark'!I401+'Resultater - Østdanmark'!I401</f>
        <v>887.62910867603182</v>
      </c>
      <c r="J401" s="278">
        <f>'Resultater - Vestdanmark'!J401+'Resultater - Østdanmark'!J401</f>
        <v>0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6">
        <f>'Resultater - Vestdanmark'!H402+'Resultater - Østdanmark'!H402</f>
        <v>1587.7963233089895</v>
      </c>
      <c r="I402" s="277">
        <f>'Resultater - Vestdanmark'!I402+'Resultater - Østdanmark'!I402</f>
        <v>835.79181600829224</v>
      </c>
      <c r="J402" s="278">
        <f>'Resultater - Vestdanmark'!J402+'Resultater - Østdanmark'!J402</f>
        <v>0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6">
        <f>'Resultater - Vestdanmark'!H403+'Resultater - Østdanmark'!H403</f>
        <v>-5579.9699362001647</v>
      </c>
      <c r="I403" s="277">
        <f>'Resultater - Vestdanmark'!I403+'Resultater - Østdanmark'!I403</f>
        <v>-2739.935857383261</v>
      </c>
      <c r="J403" s="278">
        <f>'Resultater - Vestdanmark'!J403+'Resultater - Østdanmark'!J403</f>
        <v>0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6">
        <f>'Resultater - Vestdanmark'!H404+'Resultater - Østdanmark'!H404</f>
        <v>2325.1256973879313</v>
      </c>
      <c r="I404" s="277">
        <f>'Resultater - Vestdanmark'!I404+'Resultater - Østdanmark'!I404</f>
        <v>1141.7078127726895</v>
      </c>
      <c r="J404" s="278">
        <f>'Resultater - Vestdanmark'!J404+'Resultater - Østdanmark'!J404</f>
        <v>0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6">
        <f>'Resultater - Vestdanmark'!H405+'Resultater - Østdanmark'!H405</f>
        <v>2073397.5877193159</v>
      </c>
      <c r="I405" s="277">
        <f>'Resultater - Vestdanmark'!I405+'Resultater - Østdanmark'!I405</f>
        <v>1923555.276849512</v>
      </c>
      <c r="J405" s="278">
        <f>'Resultater - Vestdanmark'!J405+'Resultater - Østdanmark'!J405</f>
        <v>1523584.5949460801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6">
        <f>'Resultater - Vestdanmark'!H406+'Resultater - Østdanmark'!H406</f>
        <v>-7517757.7509764899</v>
      </c>
      <c r="I406" s="277">
        <f>'Resultater - Vestdanmark'!I406+'Resultater - Østdanmark'!I406</f>
        <v>-6506023.4435019139</v>
      </c>
      <c r="J406" s="278">
        <f>'Resultater - Vestdanmark'!J406+'Resultater - Østdanmark'!J406</f>
        <v>-4803684.4435037365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6">
        <f>'Resultater - Vestdanmark'!H407+'Resultater - Østdanmark'!H407</f>
        <v>295552.28134429298</v>
      </c>
      <c r="I407" s="277">
        <f>'Resultater - Vestdanmark'!I407+'Resultater - Østdanmark'!I407</f>
        <v>255777.07275240147</v>
      </c>
      <c r="J407" s="278">
        <f>'Resultater - Vestdanmark'!J407+'Resultater - Østdanmark'!J407</f>
        <v>188851.50907545647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6">
        <f>'Resultater - Vestdanmark'!H408+'Resultater - Østdanmark'!H408</f>
        <v>362721.58612359717</v>
      </c>
      <c r="I408" s="277">
        <f>'Resultater - Vestdanmark'!I408+'Resultater - Østdanmark'!I408</f>
        <v>436384.93059594795</v>
      </c>
      <c r="J408" s="278">
        <f>'Resultater - Vestdanmark'!J408+'Resultater - Østdanmark'!J408</f>
        <v>355335.70670859941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6">
        <f>'Resultater - Vestdanmark'!H409+'Resultater - Østdanmark'!H409</f>
        <v>-1095968.0508931505</v>
      </c>
      <c r="I409" s="277">
        <f>'Resultater - Vestdanmark'!I409+'Resultater - Østdanmark'!I409</f>
        <v>-1229983.9707484487</v>
      </c>
      <c r="J409" s="278">
        <f>'Resultater - Vestdanmark'!J409+'Resultater - Østdanmark'!J409</f>
        <v>-933610.01647013542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6">
        <f>'Resultater - Vestdanmark'!H410+'Resultater - Østdanmark'!H410</f>
        <v>233697.52790303045</v>
      </c>
      <c r="I410" s="277">
        <f>'Resultater - Vestdanmark'!I410+'Resultater - Østdanmark'!I410</f>
        <v>262274.26346052281</v>
      </c>
      <c r="J410" s="278">
        <f>'Resultater - Vestdanmark'!J410+'Resultater - Østdanmark'!J410</f>
        <v>199077.29308055306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6">
        <f>'Resultater - Vestdanmark'!H411+'Resultater - Østdanmark'!H411</f>
        <v>457088.33107391914</v>
      </c>
      <c r="I411" s="277">
        <f>'Resultater - Vestdanmark'!I411+'Resultater - Østdanmark'!I411</f>
        <v>483891.518703232</v>
      </c>
      <c r="J411" s="278">
        <f>'Resultater - Vestdanmark'!J411+'Resultater - Østdanmark'!J411</f>
        <v>111882.6348183525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6">
        <f>'Resultater - Vestdanmark'!H412+'Resultater - Østdanmark'!H412</f>
        <v>-1183798.6405105125</v>
      </c>
      <c r="I412" s="277">
        <f>'Resultater - Vestdanmark'!I412+'Resultater - Østdanmark'!I412</f>
        <v>-1169044.1885266507</v>
      </c>
      <c r="J412" s="278">
        <f>'Resultater - Vestdanmark'!J412+'Resultater - Østdanmark'!J412</f>
        <v>-251966.35156980372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6">
        <f>'Resultater - Vestdanmark'!H413+'Resultater - Østdanmark'!H413</f>
        <v>674805.3408895086</v>
      </c>
      <c r="I413" s="277">
        <f>'Resultater - Vestdanmark'!I413+'Resultater - Østdanmark'!I413</f>
        <v>666394.80326943309</v>
      </c>
      <c r="J413" s="278">
        <f>'Resultater - Vestdanmark'!J413+'Resultater - Østdanmark'!J413</f>
        <v>143629.35886665876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6">
        <f>'Resultater - Vestdanmark'!H414+'Resultater - Østdanmark'!H414</f>
        <v>265107.75527814421</v>
      </c>
      <c r="I414" s="277">
        <f>'Resultater - Vestdanmark'!I414+'Resultater - Østdanmark'!I414</f>
        <v>513666.68954603304</v>
      </c>
      <c r="J414" s="278">
        <f>'Resultater - Vestdanmark'!J414+'Resultater - Østdanmark'!J414</f>
        <v>965269.23562611442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6">
        <f>'Resultater - Vestdanmark'!H415+'Resultater - Østdanmark'!H415</f>
        <v>-961231.89005853585</v>
      </c>
      <c r="I415" s="277">
        <f>'Resultater - Vestdanmark'!I415+'Resultater - Østdanmark'!I415</f>
        <v>-1737370.1523181985</v>
      </c>
      <c r="J415" s="278">
        <f>'Resultater - Vestdanmark'!J415+'Resultater - Østdanmark'!J415</f>
        <v>-3043381.264388544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6">
        <f>'Resultater - Vestdanmark'!H416+'Resultater - Østdanmark'!H416</f>
        <v>37789.762242709345</v>
      </c>
      <c r="I416" s="277">
        <f>'Resultater - Vestdanmark'!I416+'Resultater - Østdanmark'!I416</f>
        <v>68302.774452984784</v>
      </c>
      <c r="J416" s="278">
        <f>'Resultater - Vestdanmark'!J416+'Resultater - Østdanmark'!J416</f>
        <v>119647.1481903868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6">
        <f>'Resultater - Vestdanmark'!H417+'Resultater - Østdanmark'!H417</f>
        <v>46378.13126518044</v>
      </c>
      <c r="I417" s="277">
        <f>'Resultater - Vestdanmark'!I417+'Resultater - Østdanmark'!I417</f>
        <v>116532.34267025055</v>
      </c>
      <c r="J417" s="278">
        <f>'Resultater - Vestdanmark'!J417+'Resultater - Østdanmark'!J417</f>
        <v>225123.45369140041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6">
        <f>'Resultater - Vestdanmark'!H418+'Resultater - Østdanmark'!H418</f>
        <v>-140132.13459384954</v>
      </c>
      <c r="I418" s="277">
        <f>'Resultater - Vestdanmark'!I418+'Resultater - Østdanmark'!I418</f>
        <v>-328455.23185787251</v>
      </c>
      <c r="J418" s="278">
        <f>'Resultater - Vestdanmark'!J418+'Resultater - Østdanmark'!J418</f>
        <v>-591489.98352986411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6">
        <f>'Resultater - Vestdanmark'!H419+'Resultater - Østdanmark'!H419</f>
        <v>29880.919802059198</v>
      </c>
      <c r="I419" s="277">
        <f>'Resultater - Vestdanmark'!I419+'Resultater - Østdanmark'!I419</f>
        <v>70037.785909404207</v>
      </c>
      <c r="J419" s="278">
        <f>'Resultater - Vestdanmark'!J419+'Resultater - Østdanmark'!J419</f>
        <v>126125.70851648843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6">
        <f>'Resultater - Vestdanmark'!H420+'Resultater - Østdanmark'!H420</f>
        <v>58444.006172560563</v>
      </c>
      <c r="I420" s="277">
        <f>'Resultater - Vestdanmark'!I420+'Resultater - Østdanmark'!I420</f>
        <v>129218.51402097104</v>
      </c>
      <c r="J420" s="278">
        <f>'Resultater - Vestdanmark'!J420+'Resultater - Østdanmark'!J420</f>
        <v>70883.405981647404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6">
        <f>'Resultater - Vestdanmark'!H421+'Resultater - Østdanmark'!H421</f>
        <v>-151362.28678276329</v>
      </c>
      <c r="I421" s="277">
        <f>'Resultater - Vestdanmark'!I421+'Resultater - Østdanmark'!I421</f>
        <v>-312181.8569399463</v>
      </c>
      <c r="J421" s="278">
        <f>'Resultater - Vestdanmark'!J421+'Resultater - Østdanmark'!J421</f>
        <v>-159633.64843019607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6">
        <f>'Resultater - Vestdanmark'!H422+'Resultater - Østdanmark'!H422</f>
        <v>86281.632732920101</v>
      </c>
      <c r="I422" s="277">
        <f>'Resultater - Vestdanmark'!I422+'Resultater - Østdanmark'!I422</f>
        <v>177954.23747152844</v>
      </c>
      <c r="J422" s="278">
        <f>'Resultater - Vestdanmark'!J422+'Resultater - Østdanmark'!J422</f>
        <v>90996.589166481499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6">
        <f ca="1">'Resultater - Vestdanmark'!H423+'Resultater - Østdanmark'!H423</f>
        <v>827693.20492220437</v>
      </c>
      <c r="I423" s="277">
        <f ca="1">'Resultater - Vestdanmark'!I423+'Resultater - Østdanmark'!I423</f>
        <v>783291.25515859458</v>
      </c>
      <c r="J423" s="278">
        <f ca="1">'Resultater - Vestdanmark'!J423+'Resultater - Østdanmark'!J423</f>
        <v>719934.56565560447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6">
        <f ca="1">'Resultater - Vestdanmark'!H424+'Resultater - Østdanmark'!H424</f>
        <v>896667.6386657214</v>
      </c>
      <c r="I424" s="277">
        <f ca="1">'Resultater - Vestdanmark'!I424+'Resultater - Østdanmark'!I424</f>
        <v>848565.52642181097</v>
      </c>
      <c r="J424" s="278">
        <f ca="1">'Resultater - Vestdanmark'!J424+'Resultater - Østdanmark'!J424</f>
        <v>779929.11279357155</v>
      </c>
    </row>
    <row r="425" spans="1:10" s="169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6">
        <f ca="1">'Resultater - Vestdanmark'!H425+'Resultater - Østdanmark'!H425</f>
        <v>-605900.32409827493</v>
      </c>
      <c r="I425" s="277">
        <f ca="1">'Resultater - Vestdanmark'!I425+'Resultater - Østdanmark'!I425</f>
        <v>-573396.54662085196</v>
      </c>
      <c r="J425" s="278">
        <f ca="1">'Resultater - Vestdanmark'!J425+'Resultater - Østdanmark'!J425</f>
        <v>-531093.49927380856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6">
        <f>'Resultater - Vestdanmark'!H426+'Resultater - Østdanmark'!H426</f>
        <v>3383628.2</v>
      </c>
      <c r="I426" s="277">
        <f>'Resultater - Vestdanmark'!I426+'Resultater - Østdanmark'!I426</f>
        <v>3232117.5489188707</v>
      </c>
      <c r="J426" s="278">
        <f>'Resultater - Vestdanmark'!J426+'Resultater - Østdanmark'!J426</f>
        <v>2956643.6378622735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6">
        <f>'Resultater - Vestdanmark'!H427+'Resultater - Østdanmark'!H427</f>
        <v>131725</v>
      </c>
      <c r="I427" s="277">
        <f>'Resultater - Vestdanmark'!I427+'Resultater - Østdanmark'!I427</f>
        <v>125826.67449436031</v>
      </c>
      <c r="J427" s="278">
        <f>'Resultater - Vestdanmark'!J427+'Resultater - Østdanmark'!J427</f>
        <v>115102.44630228817</v>
      </c>
    </row>
    <row r="428" spans="1:10" s="169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6">
        <f>'Resultater - Vestdanmark'!H428+'Resultater - Østdanmark'!H428</f>
        <v>17308.665000000001</v>
      </c>
      <c r="I428" s="277">
        <f>'Resultater - Vestdanmark'!I428+'Resultater - Østdanmark'!I428</f>
        <v>16533.625028558949</v>
      </c>
      <c r="J428" s="278">
        <f>'Resultater - Vestdanmark'!J428+'Resultater - Østdanmark'!J428</f>
        <v>15124.461444120667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6">
        <f>'Resultater - Vestdanmark'!H429+'Resultater - Østdanmark'!H429</f>
        <v>1753646.8000000003</v>
      </c>
      <c r="I429" s="277">
        <f>'Resultater - Vestdanmark'!I429+'Resultater - Østdanmark'!I429</f>
        <v>1675122.7563611814</v>
      </c>
      <c r="J429" s="278">
        <f>'Resultater - Vestdanmark'!J429+'Resultater - Østdanmark'!J429</f>
        <v>1532351.7679269654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6">
        <f>'Resultater - Vestdanmark'!H430+'Resultater - Østdanmark'!H430</f>
        <v>1601127.6966659406</v>
      </c>
      <c r="I430" s="277">
        <f>'Resultater - Vestdanmark'!I430+'Resultater - Østdanmark'!I430</f>
        <v>1495582.5030794735</v>
      </c>
      <c r="J430" s="278">
        <f>'Resultater - Vestdanmark'!J430+'Resultater - Østdanmark'!J430</f>
        <v>1303682.1511040796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6">
        <f>'Resultater - Vestdanmark'!H431+'Resultater - Østdanmark'!H431</f>
        <v>22728.326432774025</v>
      </c>
      <c r="I431" s="277">
        <f>'Resultater - Vestdanmark'!I431+'Resultater - Østdanmark'!I431</f>
        <v>28653.012428385053</v>
      </c>
      <c r="J431" s="278">
        <f>'Resultater - Vestdanmark'!J431+'Resultater - Østdanmark'!J431</f>
        <v>24976.503002231217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6">
        <f>'Resultater - Vestdanmark'!H432+'Resultater - Østdanmark'!H432</f>
        <v>142794.72651993899</v>
      </c>
      <c r="I432" s="277">
        <f>'Resultater - Vestdanmark'!I432+'Resultater - Østdanmark'!I432</f>
        <v>133381.80018991744</v>
      </c>
      <c r="J432" s="278">
        <f>'Resultater - Vestdanmark'!J432+'Resultater - Østdanmark'!J432</f>
        <v>116267.38868078741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6">
        <f>'Resultater - Vestdanmark'!H433+'Resultater - Østdanmark'!H433</f>
        <v>140895.61996077577</v>
      </c>
      <c r="I433" s="277">
        <f>'Resultater - Vestdanmark'!I433+'Resultater - Østdanmark'!I433</f>
        <v>131607.88137801859</v>
      </c>
      <c r="J433" s="278">
        <f>'Resultater - Vestdanmark'!J433+'Resultater - Østdanmark'!J433</f>
        <v>114721.0839548238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6">
        <f>'Resultater - Vestdanmark'!H434+'Resultater - Østdanmark'!H434</f>
        <v>115671.91919191919</v>
      </c>
      <c r="I434" s="277">
        <f>'Resultater - Vestdanmark'!I434+'Resultater - Østdanmark'!I434</f>
        <v>106857.25383790686</v>
      </c>
      <c r="J434" s="278">
        <f>'Resultater - Vestdanmark'!J434+'Resultater - Østdanmark'!J434</f>
        <v>90830.589557884436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6">
        <f>'Resultater - Vestdanmark'!H435+'Resultater - Østdanmark'!H435</f>
        <v>50006.545454545456</v>
      </c>
      <c r="I435" s="277">
        <f>'Resultater - Vestdanmark'!I435+'Resultater - Østdanmark'!I435</f>
        <v>51826.634053474285</v>
      </c>
      <c r="J435" s="278">
        <f>'Resultater - Vestdanmark'!J435+'Resultater - Østdanmark'!J435</f>
        <v>44053.572001939916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6">
        <f>'Resultater - Vestdanmark'!H436+'Resultater - Østdanmark'!H436</f>
        <v>7405.2525252525256</v>
      </c>
      <c r="I436" s="277">
        <f>'Resultater - Vestdanmark'!I436+'Resultater - Østdanmark'!I436</f>
        <v>6840.9425066407157</v>
      </c>
      <c r="J436" s="278">
        <f>'Resultater - Vestdanmark'!J436+'Resultater - Østdanmark'!J436</f>
        <v>5814.9242909828781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6">
        <f>'Resultater - Vestdanmark'!H437+'Resultater - Østdanmark'!H437</f>
        <v>76114.747474747448</v>
      </c>
      <c r="I437" s="277">
        <f>'Resultater - Vestdanmark'!I437+'Resultater - Østdanmark'!I437</f>
        <v>70314.497663193164</v>
      </c>
      <c r="J437" s="278">
        <f>'Resultater - Vestdanmark'!J437+'Resultater - Østdanmark'!J437</f>
        <v>59768.588914912609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6">
        <f>'Resultater - Vestdanmark'!H438+'Resultater - Østdanmark'!H438</f>
        <v>201545.30567673693</v>
      </c>
      <c r="I438" s="277">
        <f>'Resultater - Vestdanmark'!I438+'Resultater - Østdanmark'!I438</f>
        <v>180510.73441147013</v>
      </c>
      <c r="J438" s="278">
        <f>'Resultater - Vestdanmark'!J438+'Resultater - Østdanmark'!J438</f>
        <v>142266.05938371239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9">
        <f>'Resultater - Vestdanmark'!H439+'Resultater - Østdanmark'!H439</f>
        <v>550.81037157810442</v>
      </c>
      <c r="I439" s="280">
        <f>'Resultater - Vestdanmark'!I439+'Resultater - Østdanmark'!I439</f>
        <v>665.8108676297586</v>
      </c>
      <c r="J439" s="281">
        <f>'Resultater - Vestdanmark'!J439+'Resultater - Østdanmark'!J439</f>
        <v>524.74601436510136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3">
        <f>'Resultater - Vestdanmark'!H440+'Resultater - Østdanmark'!H440</f>
        <v>5940049093.1121235</v>
      </c>
      <c r="I440" s="274">
        <f>'Resultater - Vestdanmark'!I440+'Resultater - Østdanmark'!I440</f>
        <v>5643811019.9855995</v>
      </c>
      <c r="J440" s="275">
        <f>'Resultater - Vestdanmark'!J440+'Resultater - Østdanmark'!J440</f>
        <v>4158597593.6736002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6">
        <f>'Resultater - Vestdanmark'!H441+'Resultater - Østdanmark'!H441</f>
        <v>164945487.85478973</v>
      </c>
      <c r="I441" s="277">
        <f>'Resultater - Vestdanmark'!I441+'Resultater - Østdanmark'!I441</f>
        <v>163373476.89431998</v>
      </c>
      <c r="J441" s="278">
        <f>'Resultater - Vestdanmark'!J441+'Resultater - Østdanmark'!J441</f>
        <v>163373476.89431998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6">
        <f>'Resultater - Vestdanmark'!H442+'Resultater - Østdanmark'!H442</f>
        <v>0</v>
      </c>
      <c r="I442" s="277">
        <f>'Resultater - Vestdanmark'!I442+'Resultater - Østdanmark'!I442</f>
        <v>0</v>
      </c>
      <c r="J442" s="278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6">
        <f>'Resultater - Vestdanmark'!H443+'Resultater - Østdanmark'!H443</f>
        <v>78449683.248009756</v>
      </c>
      <c r="I443" s="277">
        <f>'Resultater - Vestdanmark'!I443+'Resultater - Østdanmark'!I443</f>
        <v>74260671.315599993</v>
      </c>
      <c r="J443" s="278">
        <f>'Resultater - Vestdanmark'!J443+'Resultater - Østdanmark'!J443</f>
        <v>74260671.315599993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6">
        <f>'Resultater - Vestdanmark'!H444+'Resultater - Østdanmark'!H444</f>
        <v>143824419.28801787</v>
      </c>
      <c r="I444" s="277">
        <f>'Resultater - Vestdanmark'!I444+'Resultater - Østdanmark'!I444</f>
        <v>148521342.63119999</v>
      </c>
      <c r="J444" s="278">
        <f>'Resultater - Vestdanmark'!J444+'Resultater - Østdanmark'!J444</f>
        <v>148521342.63119999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6">
        <f>'Resultater - Vestdanmark'!H445+'Resultater - Østdanmark'!H445</f>
        <v>1682645129.1528244</v>
      </c>
      <c r="I445" s="277">
        <f>'Resultater - Vestdanmark'!I445+'Resultater - Østdanmark'!I445</f>
        <v>1188170741.0495999</v>
      </c>
      <c r="J445" s="278">
        <f>'Resultater - Vestdanmark'!J445+'Resultater - Østdanmark'!J445</f>
        <v>460416162.15672004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6">
        <f>'Resultater - Vestdanmark'!H446+'Resultater - Østdanmark'!H446</f>
        <v>242389405.93295321</v>
      </c>
      <c r="I446" s="277">
        <f>'Resultater - Vestdanmark'!I446+'Resultater - Østdanmark'!I446</f>
        <v>103964939.84184</v>
      </c>
      <c r="J446" s="278">
        <f>'Resultater - Vestdanmark'!J446+'Resultater - Østdanmark'!J446</f>
        <v>74260671.315599993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6">
        <f>'Resultater - Vestdanmark'!H447+'Resultater - Østdanmark'!H447</f>
        <v>0</v>
      </c>
      <c r="I447" s="277">
        <f>'Resultater - Vestdanmark'!I447+'Resultater - Østdanmark'!I447</f>
        <v>0</v>
      </c>
      <c r="J447" s="278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6">
        <f>'Resultater - Vestdanmark'!H448+'Resultater - Østdanmark'!H448</f>
        <v>0</v>
      </c>
      <c r="I448" s="277">
        <f>'Resultater - Vestdanmark'!I448+'Resultater - Østdanmark'!I448</f>
        <v>0</v>
      </c>
      <c r="J448" s="278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6">
        <f>'Resultater - Vestdanmark'!H449+'Resultater - Østdanmark'!H449</f>
        <v>2285098465.8907456</v>
      </c>
      <c r="I449" s="277">
        <f>'Resultater - Vestdanmark'!I449+'Resultater - Østdanmark'!I449</f>
        <v>2287228676.5204797</v>
      </c>
      <c r="J449" s="278">
        <f>'Resultater - Vestdanmark'!J449+'Resultater - Østdanmark'!J449</f>
        <v>2287228676.5204797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6">
        <f>'Resultater - Vestdanmark'!H450+'Resultater - Østdanmark'!H450</f>
        <v>163939722.68494347</v>
      </c>
      <c r="I450" s="277">
        <f>'Resultater - Vestdanmark'!I450+'Resultater - Østdanmark'!I450</f>
        <v>163373476.89431998</v>
      </c>
      <c r="J450" s="278">
        <f>'Resultater - Vestdanmark'!J450+'Resultater - Østdanmark'!J450</f>
        <v>163373476.89431998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6">
        <f>'Resultater - Vestdanmark'!H451+'Resultater - Østdanmark'!H451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'Resultater - Vestdanmark'!J451+'Resultater - Østdanmark'!J451</f>
        <v>594085370.52479994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6">
        <f>'Resultater - Vestdanmark'!H452+'Resultater - Østdanmark'!H452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'Resultater - Vestdanmark'!J452+'Resultater - Østdanmark'!J452</f>
        <v>2584271361.7828798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6">
        <f>'Resultater - Vestdanmark'!H453+'Resultater - Østdanmark'!H453</f>
        <v>121697585.55139975</v>
      </c>
      <c r="I453" s="277">
        <f>'Resultater - Vestdanmark'!I453+'Resultater - Østdanmark'!I453</f>
        <v>118817074.10495999</v>
      </c>
      <c r="J453" s="278">
        <f>'Resultater - Vestdanmark'!J453+'Resultater - Østdanmark'!J453</f>
        <v>118817074.10495999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6">
        <f>'Resultater - Vestdanmark'!H454+'Resultater - Østdanmark'!H454</f>
        <v>4029095270.4041944</v>
      </c>
      <c r="I454" s="277">
        <f>'Resultater - Vestdanmark'!I454+'Resultater - Østdanmark'!I454</f>
        <v>4024928385.3055205</v>
      </c>
      <c r="J454" s="278">
        <f>'Resultater - Vestdanmark'!J454+'Resultater - Østdanmark'!J454</f>
        <v>4024928385.3055205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6">
        <f>'Resultater - Vestdanmark'!H455+'Resultater - Østdanmark'!H455</f>
        <v>12195000.399999999</v>
      </c>
      <c r="I455" s="277">
        <f>'Resultater - Vestdanmark'!I455+'Resultater - Østdanmark'!I455</f>
        <v>12195000.400000002</v>
      </c>
      <c r="J455" s="278">
        <f>'Resultater - Vestdanmark'!J455+'Resultater - Østdanmark'!J455</f>
        <v>12195000.399999999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6">
        <f>'Resultater - Vestdanmark'!H456+'Resultater - Østdanmark'!H456</f>
        <v>361184.39999999997</v>
      </c>
      <c r="I456" s="277">
        <f>'Resultater - Vestdanmark'!I456+'Resultater - Østdanmark'!I456</f>
        <v>361184.4</v>
      </c>
      <c r="J456" s="278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6">
        <f>'Resultater - Vestdanmark'!H457+'Resultater - Østdanmark'!H457</f>
        <v>4390946.2499999991</v>
      </c>
      <c r="I457" s="277">
        <f>'Resultater - Vestdanmark'!I457+'Resultater - Østdanmark'!I457</f>
        <v>4390946.2500000009</v>
      </c>
      <c r="J457" s="278">
        <f>'Resultater - Vestdanmark'!J457+'Resultater - Østdanmark'!J457</f>
        <v>4390946.25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6">
        <f>'Resultater - Vestdanmark'!H458+'Resultater - Østdanmark'!H458</f>
        <v>34978432</v>
      </c>
      <c r="I458" s="277">
        <f>'Resultater - Vestdanmark'!I458+'Resultater - Østdanmark'!I458</f>
        <v>100906744.56294727</v>
      </c>
      <c r="J458" s="278">
        <f>'Resultater - Vestdanmark'!J458+'Resultater - Østdanmark'!J458</f>
        <v>80194425.58648777</v>
      </c>
    </row>
    <row r="459" spans="1:10" s="169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2">
        <f>'Resultater - Vestdanmark'!H459+'Resultater - Østdanmark'!H459</f>
        <v>-37099.291058504961</v>
      </c>
      <c r="I459" s="283">
        <f>'Resultater - Vestdanmark'!I459+'Resultater - Østdanmark'!I459</f>
        <v>-107025.05722117542</v>
      </c>
      <c r="J459" s="284">
        <f>'Resultater - Vestdanmark'!J459+'Resultater - Østdanmark'!J459</f>
        <v>-85056.881226200407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6">
        <f>'Resultater - Vestdanmark'!H460+'Resultater - Østdanmark'!H460</f>
        <v>61384486.300000004</v>
      </c>
      <c r="I460" s="277">
        <f>'Resultater - Vestdanmark'!I460+'Resultater - Østdanmark'!I460</f>
        <v>143626683.01436502</v>
      </c>
      <c r="J460" s="278">
        <f>'Resultater - Vestdanmark'!J460+'Resultater - Østdanmark'!J460</f>
        <v>131021015.76775596</v>
      </c>
    </row>
    <row r="461" spans="1:10" s="169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2">
        <f>'Resultater - Vestdanmark'!H461+'Resultater - Østdanmark'!H461</f>
        <v>-128107.91983655478</v>
      </c>
      <c r="I461" s="283">
        <f>'Resultater - Vestdanmark'!I461+'Resultater - Østdanmark'!I461</f>
        <v>-299745.37058224983</v>
      </c>
      <c r="J461" s="284">
        <f>'Resultater - Vestdanmark'!J461+'Resultater - Østdanmark'!J461</f>
        <v>-273437.65170320665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6">
        <f>'Resultater - Vestdanmark'!H462+'Resultater - Østdanmark'!H462</f>
        <v>58183.649999999994</v>
      </c>
      <c r="I462" s="277">
        <f>'Resultater - Vestdanmark'!I462+'Resultater - Østdanmark'!I462</f>
        <v>62899.525884344213</v>
      </c>
      <c r="J462" s="278">
        <f>'Resultater - Vestdanmark'!J462+'Resultater - Østdanmark'!J462</f>
        <v>71473.845674060969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6">
        <f>'Resultater - Vestdanmark'!H463+'Resultater - Østdanmark'!H463</f>
        <v>45425220.000000007</v>
      </c>
      <c r="I463" s="277">
        <f>'Resultater - Vestdanmark'!I463+'Resultater - Østdanmark'!I463</f>
        <v>98514529.576358944</v>
      </c>
      <c r="J463" s="278">
        <f>'Resultater - Vestdanmark'!J463+'Resultater - Østdanmark'!J463</f>
        <v>117646219.71519344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6">
        <f>'Resultater - Vestdanmark'!H464+'Resultater - Østdanmark'!H464</f>
        <v>33002599.999999996</v>
      </c>
      <c r="I464" s="277">
        <f>'Resultater - Vestdanmark'!I464+'Resultater - Østdanmark'!I464</f>
        <v>33002600</v>
      </c>
      <c r="J464" s="278">
        <f>'Resultater - Vestdanmark'!J464+'Resultater - Østdanmark'!J464</f>
        <v>33002600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6">
        <f>'Resultater - Vestdanmark'!H465+'Resultater - Østdanmark'!H465</f>
        <v>2165562</v>
      </c>
      <c r="I465" s="277">
        <f>'Resultater - Vestdanmark'!I465+'Resultater - Østdanmark'!I465</f>
        <v>2165562.0000000005</v>
      </c>
      <c r="J465" s="278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6">
        <f ca="1">'Resultater - Vestdanmark'!H466+'Resultater - Østdanmark'!H466</f>
        <v>69194816.600000009</v>
      </c>
      <c r="I466" s="277">
        <f ca="1">'Resultater - Vestdanmark'!I466+'Resultater - Østdanmark'!I466</f>
        <v>34543125.5</v>
      </c>
      <c r="J466" s="278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6">
        <f>'Resultater - Vestdanmark'!H467+'Resultater - Østdanmark'!H467</f>
        <v>102149122.13</v>
      </c>
      <c r="I467" s="277">
        <f>'Resultater - Vestdanmark'!I467+'Resultater - Østdanmark'!I467</f>
        <v>73910156.164999992</v>
      </c>
      <c r="J467" s="278">
        <f>'Resultater - Vestdanmark'!J467+'Resultater - Østdanmark'!J467</f>
        <v>72576421.165000007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6">
        <f>'Resultater - Vestdanmark'!H468+'Resultater - Østdanmark'!H468</f>
        <v>0</v>
      </c>
      <c r="I468" s="277">
        <f>'Resultater - Vestdanmark'!I468+'Resultater - Østdanmark'!I468</f>
        <v>0</v>
      </c>
      <c r="J468" s="278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6">
        <f>'Resultater - Vestdanmark'!H469+'Resultater - Østdanmark'!H469</f>
        <v>0</v>
      </c>
      <c r="I469" s="277">
        <f>'Resultater - Vestdanmark'!I469+'Resultater - Østdanmark'!I469</f>
        <v>0</v>
      </c>
      <c r="J469" s="278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6">
        <f>'Resultater - Vestdanmark'!H470+'Resultater - Østdanmark'!H470</f>
        <v>3689.3999999999996</v>
      </c>
      <c r="I470" s="277">
        <f>'Resultater - Vestdanmark'!I470+'Resultater - Østdanmark'!I470</f>
        <v>3689.3999999999996</v>
      </c>
      <c r="J470" s="278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6">
        <f>'Resultater - Vestdanmark'!H471+'Resultater - Østdanmark'!H471</f>
        <v>0</v>
      </c>
      <c r="I471" s="277">
        <f>'Resultater - Vestdanmark'!I471+'Resultater - Østdanmark'!I471</f>
        <v>1273908.0615685196</v>
      </c>
      <c r="J471" s="278">
        <f>'Resultater - Vestdanmark'!J471+'Resultater - Østdanmark'!J471</f>
        <v>8692549.1259969585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6">
        <f>'Resultater - Vestdanmark'!H472+'Resultater - Østdanmark'!H472</f>
        <v>60431253.120000005</v>
      </c>
      <c r="I472" s="277">
        <f>'Resultater - Vestdanmark'!I472+'Resultater - Østdanmark'!I472</f>
        <v>60431253.120000005</v>
      </c>
      <c r="J472" s="278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6">
        <f>'Resultater - Vestdanmark'!H473+'Resultater - Østdanmark'!H473</f>
        <v>37096792.599999994</v>
      </c>
      <c r="I473" s="277">
        <f>'Resultater - Vestdanmark'!I473+'Resultater - Østdanmark'!I473</f>
        <v>38552897.575376116</v>
      </c>
      <c r="J473" s="278">
        <f>'Resultater - Vestdanmark'!J473+'Resultater - Østdanmark'!J473</f>
        <v>40112473.859055504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2">
        <f ca="1">'Resultater - Vestdanmark'!H474+'Resultater - Østdanmark'!H474</f>
        <v>12034020.807749998</v>
      </c>
      <c r="I474" s="283">
        <f ca="1">'Resultater - Vestdanmark'!I474+'Resultater - Østdanmark'!I474</f>
        <v>22842111.584458482</v>
      </c>
      <c r="J474" s="284">
        <f ca="1">'Resultater - Vestdanmark'!J474+'Resultater - Østdanmark'!J474</f>
        <v>21254774.81123827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2">
        <f>'Resultater - Vestdanmark'!H475+'Resultater - Østdanmark'!H475</f>
        <v>78133292.533333316</v>
      </c>
      <c r="I475" s="283">
        <f>'Resultater - Vestdanmark'!I475+'Resultater - Østdanmark'!I475</f>
        <v>39521808.287154347</v>
      </c>
      <c r="J475" s="284">
        <f>'Resultater - Vestdanmark'!J475+'Resultater - Østdanmark'!J475</f>
        <v>31409483.35470771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2">
        <f>'Resultater - Vestdanmark'!H476+'Resultater - Østdanmark'!H476</f>
        <v>77571922.666666672</v>
      </c>
      <c r="I476" s="283">
        <f>'Resultater - Vestdanmark'!I476+'Resultater - Østdanmark'!I476</f>
        <v>25733784.190703698</v>
      </c>
      <c r="J476" s="284">
        <f>'Resultater - Vestdanmark'!J476+'Resultater - Østdanmark'!J476</f>
        <v>23475209.991983149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2">
        <f>'Resultater - Vestdanmark'!H477+'Resultater - Østdanmark'!H477</f>
        <v>31090.5</v>
      </c>
      <c r="I477" s="283">
        <f>'Resultater - Vestdanmark'!I477+'Resultater - Østdanmark'!I477</f>
        <v>33610.433678657209</v>
      </c>
      <c r="J477" s="284">
        <f>'Resultater - Vestdanmark'!J477+'Resultater - Østdanmark'!J477</f>
        <v>38192.13127621579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2">
        <f>'Resultater - Vestdanmark'!H478+'Resultater - Østdanmark'!H478</f>
        <v>11532709.900000002</v>
      </c>
      <c r="I478" s="283">
        <f>'Resultater - Vestdanmark'!I478+'Resultater - Østdanmark'!I478</f>
        <v>8702116.7792450394</v>
      </c>
      <c r="J478" s="284">
        <f>'Resultater - Vestdanmark'!J478+'Resultater - Østdanmark'!J478</f>
        <v>10392082.741508752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2">
        <f ca="1">'Resultater - Vestdanmark'!H479+'Resultater - Østdanmark'!H479</f>
        <v>61624442.148559391</v>
      </c>
      <c r="I479" s="283">
        <f ca="1">'Resultater - Vestdanmark'!I479+'Resultater - Østdanmark'!I479</f>
        <v>139145678.44478354</v>
      </c>
      <c r="J479" s="284">
        <f ca="1">'Resultater - Vestdanmark'!J479+'Resultater - Østdanmark'!J479</f>
        <v>126025611.75695524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2">
        <f ca="1">'Resultater - Vestdanmark'!H480+'Resultater - Østdanmark'!H480</f>
        <v>151170414.18881321</v>
      </c>
      <c r="I480" s="283">
        <f ca="1">'Resultater - Vestdanmark'!I480+'Resultater - Østdanmark'!I480</f>
        <v>133994461.94308338</v>
      </c>
      <c r="J480" s="284">
        <f ca="1">'Resultater - Vestdanmark'!J480+'Resultater - Østdanmark'!J480</f>
        <v>114353176.77694002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6">
        <f>'Resultater - Vestdanmark'!H481+'Resultater - Østdanmark'!H481</f>
        <v>19.573590488557194</v>
      </c>
      <c r="I481" s="287">
        <f>'Resultater - Vestdanmark'!I481+'Resultater - Østdanmark'!I481</f>
        <v>22.002712479471196</v>
      </c>
      <c r="J481" s="288">
        <f>'Resultater - Vestdanmark'!J481+'Resultater - Østdanmark'!J481</f>
        <v>9.2039706806864032</v>
      </c>
      <c r="L481" s="168" t="s">
        <v>215</v>
      </c>
      <c r="M481" s="166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6">
        <f>'Resultater - Vestdanmark'!H482+'Resultater - Østdanmark'!H482</f>
        <v>3.951047127829578</v>
      </c>
      <c r="I482" s="287">
        <f>'Resultater - Vestdanmark'!I482+'Resultater - Østdanmark'!I482</f>
        <v>2.3227300977868404</v>
      </c>
      <c r="J482" s="288">
        <f>'Resultater - Vestdanmark'!J482+'Resultater - Østdanmark'!J482</f>
        <v>2.0747812088786524</v>
      </c>
      <c r="L482" s="168" t="s">
        <v>219</v>
      </c>
      <c r="M482" s="166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5">
        <f>'Resultater - Vestdanmark'!H483+'Resultater - Østdanmark'!H483</f>
        <v>3.8599959280679998</v>
      </c>
      <c r="I483" s="287">
        <f>'Resultater - Vestdanmark'!I483+'Resultater - Østdanmark'!I483</f>
        <v>3.297190214551633</v>
      </c>
      <c r="J483" s="288">
        <f>'Resultater - Vestdanmark'!J483+'Resultater - Østdanmark'!J483</f>
        <v>2.7821448641929103</v>
      </c>
      <c r="L483" s="168" t="s">
        <v>216</v>
      </c>
      <c r="M483" s="166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5">
        <f ca="1">'Resultater - Vestdanmark'!H484+'Resultater - Østdanmark'!H484</f>
        <v>43.629098996273854</v>
      </c>
      <c r="I484" s="287">
        <f ca="1">'Resultater - Vestdanmark'!I484+'Resultater - Østdanmark'!I484</f>
        <v>41.288597648257841</v>
      </c>
      <c r="J484" s="288">
        <f ca="1">'Resultater - Vestdanmark'!J484+'Resultater - Østdanmark'!J484</f>
        <v>37.819373764437117</v>
      </c>
      <c r="L484" s="168" t="s">
        <v>217</v>
      </c>
      <c r="M484" s="166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5">
        <f>'Resultater - Vestdanmark'!H485+'Resultater - Østdanmark'!H485</f>
        <v>17.543930524502301</v>
      </c>
      <c r="I485" s="287">
        <f>'Resultater - Vestdanmark'!I485+'Resultater - Østdanmark'!I485</f>
        <v>17.543930524502301</v>
      </c>
      <c r="J485" s="288">
        <f>'Resultater - Vestdanmark'!J485+'Resultater - Østdanmark'!J485</f>
        <v>17.543930524502301</v>
      </c>
      <c r="L485" s="168" t="s">
        <v>218</v>
      </c>
      <c r="M485" s="166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5">
        <f ca="1">'Resultater - Vestdanmark'!H486+'Resultater - Østdanmark'!H486</f>
        <v>0</v>
      </c>
      <c r="I486" s="287">
        <f ca="1">'Resultater - Vestdanmark'!I486+'Resultater - Østdanmark'!I486</f>
        <v>0</v>
      </c>
      <c r="J486" s="288">
        <f ca="1">'Resultater - Vestdanmark'!J486+'Resultater - Østdanmark'!J486</f>
        <v>0</v>
      </c>
      <c r="L486" s="167" t="s">
        <v>109</v>
      </c>
      <c r="M486" s="166">
        <v>16604.849999999999</v>
      </c>
    </row>
    <row r="487" spans="1:13" s="169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5">
        <f>'Resultater - Vestdanmark'!H487+'Resultater - Østdanmark'!H487</f>
        <v>0</v>
      </c>
      <c r="I487" s="287">
        <f>'Resultater - Vestdanmark'!I487+'Resultater - Østdanmark'!I487</f>
        <v>0</v>
      </c>
      <c r="J487" s="288">
        <f>'Resultater - Vestdanmark'!J487+'Resultater - Østdanmark'!J487</f>
        <v>0</v>
      </c>
      <c r="L487" s="167"/>
      <c r="M487" s="166"/>
    </row>
    <row r="488" spans="1:13" s="169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5">
        <f>'Resultater - Vestdanmark'!H488+'Resultater - Østdanmark'!H488</f>
        <v>0</v>
      </c>
      <c r="I488" s="287">
        <f>'Resultater - Vestdanmark'!I488+'Resultater - Østdanmark'!I488</f>
        <v>0</v>
      </c>
      <c r="J488" s="288">
        <f>'Resultater - Vestdanmark'!J488+'Resultater - Østdanmark'!J488</f>
        <v>0</v>
      </c>
      <c r="L488" s="167"/>
      <c r="M488" s="166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9">
        <f ca="1">'Resultater - Vestdanmark'!H489+'Resultater - Østdanmark'!H489</f>
        <v>16.609927730843868</v>
      </c>
      <c r="I489" s="290">
        <f ca="1">'Resultater - Vestdanmark'!I489+'Resultater - Østdanmark'!I489</f>
        <v>21.666885287540723</v>
      </c>
      <c r="J489" s="291">
        <f ca="1">'Resultater - Vestdanmark'!J489+'Resultater - Østdanmark'!J489</f>
        <v>21.453773850740212</v>
      </c>
    </row>
    <row r="490" spans="1:13" x14ac:dyDescent="0.25">
      <c r="A490" s="155" t="str">
        <f>'Resultater - Vestdanmark'!A490</f>
        <v>Proteinproces</v>
      </c>
      <c r="B490" s="155" t="str">
        <f>'Resultater - Vestdanmark'!B490</f>
        <v/>
      </c>
      <c r="C490" s="155" t="str">
        <f>'Resultater - Vestdanmark'!C490</f>
        <v/>
      </c>
      <c r="D490" s="155" t="str">
        <f>'Resultater - Vestdanmark'!D490</f>
        <v>Græs</v>
      </c>
      <c r="E490" s="155" t="str">
        <f>'Resultater - Vestdanmark'!E490</f>
        <v>Ton</v>
      </c>
      <c r="F490" s="155" t="str">
        <f>'Resultater - Vestdanmark'!F490</f>
        <v>Græsprotein</v>
      </c>
      <c r="G490" s="155" t="str">
        <f>'Resultater - Vestdanmark'!G490</f>
        <v>Ton</v>
      </c>
      <c r="H490" s="292">
        <f>'Resultater - Vestdanmark'!H490+'Resultater - Østdanmark'!H490</f>
        <v>0</v>
      </c>
      <c r="I490" s="293">
        <f>'Resultater - Vestdanmark'!I490+'Resultater - Østdanmark'!I490</f>
        <v>275439.58087967994</v>
      </c>
      <c r="J490" s="294">
        <f>'Resultater - Vestdanmark'!J490+'Resultater - Østdanmark'!J490</f>
        <v>939735.04064831976</v>
      </c>
    </row>
    <row r="491" spans="1:13" x14ac:dyDescent="0.25">
      <c r="A491" s="155" t="str">
        <f>'Resultater - Vestdanmark'!A491</f>
        <v>Proteinproces</v>
      </c>
      <c r="B491" s="155" t="str">
        <f>'Resultater - Vestdanmark'!B491</f>
        <v/>
      </c>
      <c r="C491" s="155" t="str">
        <f>'Resultater - Vestdanmark'!C491</f>
        <v/>
      </c>
      <c r="D491" s="155" t="str">
        <f>'Resultater - Vestdanmark'!D491</f>
        <v>Græs</v>
      </c>
      <c r="E491" s="155" t="str">
        <f>'Resultater - Vestdanmark'!E491</f>
        <v>Ton</v>
      </c>
      <c r="F491" s="155" t="str">
        <f>'Resultater - Vestdanmark'!F491</f>
        <v>Fiberfraktion</v>
      </c>
      <c r="G491" s="155" t="str">
        <f>'Resultater - Vestdanmark'!G491</f>
        <v>Ton</v>
      </c>
      <c r="H491" s="292">
        <f>'Resultater - Vestdanmark'!H491+'Resultater - Østdanmark'!H491</f>
        <v>0</v>
      </c>
      <c r="I491" s="293">
        <f>'Resultater - Vestdanmark'!I491+'Resultater - Østdanmark'!I491</f>
        <v>567081.49004639999</v>
      </c>
      <c r="J491" s="294">
        <f>'Resultater - Vestdanmark'!J491+'Resultater - Østdanmark'!J491</f>
        <v>1934748.6130994821</v>
      </c>
    </row>
    <row r="492" spans="1:13" x14ac:dyDescent="0.25">
      <c r="A492" s="155" t="str">
        <f>'Resultater - Vestdanmark'!A492</f>
        <v>Proteinproces</v>
      </c>
      <c r="B492" s="155" t="str">
        <f>'Resultater - Vestdanmark'!B492</f>
        <v/>
      </c>
      <c r="C492" s="155" t="str">
        <f>'Resultater - Vestdanmark'!C492</f>
        <v/>
      </c>
      <c r="D492" s="155" t="str">
        <f>'Resultater - Vestdanmark'!D492</f>
        <v>Græs</v>
      </c>
      <c r="E492" s="155" t="str">
        <f>'Resultater - Vestdanmark'!E492</f>
        <v>Ton</v>
      </c>
      <c r="F492" s="155" t="str">
        <f>'Resultater - Vestdanmark'!F492</f>
        <v>Brun saft</v>
      </c>
      <c r="G492" s="155" t="str">
        <f>'Resultater - Vestdanmark'!G492</f>
        <v>PJ</v>
      </c>
      <c r="H492" s="292">
        <f>'Resultater - Vestdanmark'!H492+'Resultater - Østdanmark'!H492</f>
        <v>0</v>
      </c>
      <c r="I492" s="293">
        <f>'Resultater - Vestdanmark'!I492+'Resultater - Østdanmark'!I492</f>
        <v>805126.75855911337</v>
      </c>
      <c r="J492" s="294">
        <f>'Resultater - Vestdanmark'!J492+'Resultater - Østdanmark'!J492</f>
        <v>2746903.0586134456</v>
      </c>
    </row>
    <row r="493" spans="1:13" x14ac:dyDescent="0.25">
      <c r="A493" s="155" t="str">
        <f>'Resultater - Vestdanmark'!A493</f>
        <v>Rapskageproduktion</v>
      </c>
      <c r="B493" s="155" t="str">
        <f>'Resultater - Vestdanmark'!B493</f>
        <v/>
      </c>
      <c r="C493" s="155" t="str">
        <f>'Resultater - Vestdanmark'!C493</f>
        <v/>
      </c>
      <c r="D493" s="155" t="str">
        <f>'Resultater - Vestdanmark'!D493</f>
        <v>Raps</v>
      </c>
      <c r="E493" s="155" t="str">
        <f>'Resultater - Vestdanmark'!E493</f>
        <v>Ton</v>
      </c>
      <c r="F493" s="155" t="str">
        <f>'Resultater - Vestdanmark'!F493</f>
        <v>Rapskage</v>
      </c>
      <c r="G493" s="155" t="str">
        <f>'Resultater - Vestdanmark'!G493</f>
        <v>Ton</v>
      </c>
      <c r="H493" s="292">
        <f>'Resultater - Vestdanmark'!H493+'Resultater - Østdanmark'!H493</f>
        <v>339203.90863921517</v>
      </c>
      <c r="I493" s="293">
        <f>'Resultater - Vestdanmark'!I493+'Resultater - Østdanmark'!I493</f>
        <v>103693.30793691252</v>
      </c>
      <c r="J493" s="294">
        <f>'Resultater - Vestdanmark'!J493+'Resultater - Østdanmark'!J493</f>
        <v>92624.161110654139</v>
      </c>
    </row>
    <row r="494" spans="1:13" x14ac:dyDescent="0.25">
      <c r="A494" s="155" t="str">
        <f>'Resultater - Vestdanmark'!A494</f>
        <v>Rapskageproduktion</v>
      </c>
      <c r="B494" s="155" t="str">
        <f>'Resultater - Vestdanmark'!B494</f>
        <v/>
      </c>
      <c r="C494" s="155" t="str">
        <f>'Resultater - Vestdanmark'!C494</f>
        <v/>
      </c>
      <c r="D494" s="155" t="str">
        <f>'Resultater - Vestdanmark'!D494</f>
        <v>Raps</v>
      </c>
      <c r="E494" s="155" t="str">
        <f>'Resultater - Vestdanmark'!E494</f>
        <v>Ton</v>
      </c>
      <c r="F494" s="155" t="str">
        <f>'Resultater - Vestdanmark'!F494</f>
        <v>Rapsolie</v>
      </c>
      <c r="G494" s="155" t="str">
        <f>'Resultater - Vestdanmark'!G494</f>
        <v>Ton</v>
      </c>
      <c r="H494" s="292">
        <f>'Resultater - Vestdanmark'!H494+'Resultater - Østdanmark'!H494</f>
        <v>217090.50152909773</v>
      </c>
      <c r="I494" s="293">
        <f>'Resultater - Vestdanmark'!I494+'Resultater - Østdanmark'!I494</f>
        <v>66363.71707962401</v>
      </c>
      <c r="J494" s="294">
        <f>'Resultater - Vestdanmark'!J494+'Resultater - Østdanmark'!J494</f>
        <v>59279.463110818644</v>
      </c>
    </row>
    <row r="495" spans="1:13" x14ac:dyDescent="0.25">
      <c r="A495" s="155" t="str">
        <f>'Resultater - Vestdanmark'!A495</f>
        <v>Pyrolyseproces</v>
      </c>
      <c r="B495" s="155" t="str">
        <f>'Resultater - Vestdanmark'!B495</f>
        <v/>
      </c>
      <c r="C495" s="155" t="str">
        <f>'Resultater - Vestdanmark'!C495</f>
        <v/>
      </c>
      <c r="D495" s="155" t="str">
        <f>'Resultater - Vestdanmark'!D495</f>
        <v>Halm</v>
      </c>
      <c r="E495" s="155" t="str">
        <f>'Resultater - Vestdanmark'!E495</f>
        <v>Ton</v>
      </c>
      <c r="F495" s="155" t="str">
        <f>'Resultater - Vestdanmark'!F495</f>
        <v>CO2 - atmosfære</v>
      </c>
      <c r="G495" s="155" t="str">
        <f>'Resultater - Vestdanmark'!G495</f>
        <v>t CO2-ækvivalenter</v>
      </c>
      <c r="H495" s="292">
        <f>'Resultater - Vestdanmark'!H495+'Resultater - Østdanmark'!H495</f>
        <v>0</v>
      </c>
      <c r="I495" s="293">
        <f>'Resultater - Vestdanmark'!I495+'Resultater - Østdanmark'!I495</f>
        <v>0</v>
      </c>
      <c r="J495" s="294">
        <f>'Resultater - Vestdanmark'!J495+'Resultater - Østdanmark'!J495</f>
        <v>0</v>
      </c>
    </row>
    <row r="496" spans="1:13" x14ac:dyDescent="0.25">
      <c r="A496" s="155" t="str">
        <f>'Resultater - Vestdanmark'!A496</f>
        <v>Pyrolyseproces</v>
      </c>
      <c r="B496" s="155" t="str">
        <f>'Resultater - Vestdanmark'!B496</f>
        <v/>
      </c>
      <c r="C496" s="155" t="str">
        <f>'Resultater - Vestdanmark'!C496</f>
        <v/>
      </c>
      <c r="D496" s="155" t="str">
        <f>'Resultater - Vestdanmark'!D496</f>
        <v>Halm</v>
      </c>
      <c r="E496" s="155" t="str">
        <f>'Resultater - Vestdanmark'!E496</f>
        <v>Ton</v>
      </c>
      <c r="F496" s="155" t="str">
        <f>'Resultater - Vestdanmark'!F496</f>
        <v>Pyrolyseolie</v>
      </c>
      <c r="G496" s="155" t="str">
        <f>'Resultater - Vestdanmark'!G496</f>
        <v>Ton</v>
      </c>
      <c r="H496" s="292">
        <f>'Resultater - Vestdanmark'!H496+'Resultater - Østdanmark'!H496</f>
        <v>0</v>
      </c>
      <c r="I496" s="293">
        <f>'Resultater - Vestdanmark'!I496+'Resultater - Østdanmark'!I496</f>
        <v>0</v>
      </c>
      <c r="J496" s="294">
        <f>'Resultater - Vestdanmark'!J496+'Resultater - Østdanmark'!J496</f>
        <v>0</v>
      </c>
    </row>
    <row r="497" spans="1:10" ht="15.75" thickBot="1" x14ac:dyDescent="0.3">
      <c r="A497" s="155" t="str">
        <f>'Resultater - Vestdanmark'!A497</f>
        <v>Pyrolyseproces</v>
      </c>
      <c r="B497" s="155" t="str">
        <f>'Resultater - Vestdanmark'!B497</f>
        <v/>
      </c>
      <c r="C497" s="155" t="str">
        <f>'Resultater - Vestdanmark'!C497</f>
        <v/>
      </c>
      <c r="D497" s="155" t="str">
        <f>'Resultater - Vestdanmark'!D497</f>
        <v>Halm</v>
      </c>
      <c r="E497" s="155" t="str">
        <f>'Resultater - Vestdanmark'!E497</f>
        <v>Ton</v>
      </c>
      <c r="F497" s="155" t="str">
        <f>'Resultater - Vestdanmark'!F497</f>
        <v>Pyrolysegas</v>
      </c>
      <c r="G497" s="155" t="str">
        <f>'Resultater - Vestdanmark'!G497</f>
        <v>Ton</v>
      </c>
      <c r="H497" s="295">
        <f>'Resultater - Vestdanmark'!H497+'Resultater - Østdanmark'!H497</f>
        <v>0</v>
      </c>
      <c r="I497" s="296">
        <f>'Resultater - Vestdanmark'!I497+'Resultater - Østdanmark'!I497</f>
        <v>0</v>
      </c>
      <c r="J497" s="297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124" activePane="bottomRight" state="frozen"/>
      <selection pane="topRight" activeCell="F1" sqref="F1"/>
      <selection pane="bottomLeft" activeCell="A3" sqref="A3"/>
      <selection pane="bottomRight" activeCell="F211" activeCellId="1" sqref="F67 F211"/>
    </sheetView>
  </sheetViews>
  <sheetFormatPr defaultColWidth="18" defaultRowHeight="15" x14ac:dyDescent="0.25"/>
  <cols>
    <col min="1" max="2" width="18.140625" style="188" bestFit="1" customWidth="1"/>
    <col min="3" max="3" width="8.140625" style="188" bestFit="1" customWidth="1"/>
    <col min="4" max="4" width="7.85546875" style="188" customWidth="1"/>
    <col min="5" max="5" width="11.140625" style="188" bestFit="1" customWidth="1"/>
    <col min="6" max="6" width="14.28515625" style="188" bestFit="1" customWidth="1"/>
    <col min="7" max="7" width="10.7109375" style="188" bestFit="1" customWidth="1"/>
    <col min="8" max="8" width="11.7109375" style="188" bestFit="1" customWidth="1"/>
    <col min="9" max="9" width="9" style="188" bestFit="1" customWidth="1"/>
    <col min="10" max="11" width="9.5703125" style="188" bestFit="1" customWidth="1"/>
    <col min="12" max="12" width="10.5703125" style="188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1" t="s">
        <v>250</v>
      </c>
      <c r="B1" s="441"/>
      <c r="C1" s="441"/>
      <c r="F1" s="442" t="s">
        <v>252</v>
      </c>
      <c r="G1" s="442"/>
      <c r="H1" s="442"/>
      <c r="I1" s="442"/>
      <c r="J1" s="442"/>
      <c r="K1" s="442"/>
      <c r="L1" s="442"/>
      <c r="M1" s="443"/>
      <c r="N1" s="444" t="s">
        <v>253</v>
      </c>
      <c r="O1" s="445"/>
      <c r="P1" s="446"/>
      <c r="Q1" s="438" t="s">
        <v>122</v>
      </c>
      <c r="R1" s="438"/>
      <c r="S1" s="438"/>
      <c r="T1" s="439"/>
      <c r="U1" s="440" t="s">
        <v>229</v>
      </c>
      <c r="V1" s="438"/>
      <c r="W1" s="438"/>
      <c r="X1" s="439"/>
    </row>
    <row r="2" spans="1:26" x14ac:dyDescent="0.25">
      <c r="A2" s="195" t="s">
        <v>128</v>
      </c>
      <c r="B2" s="195" t="s">
        <v>314</v>
      </c>
      <c r="C2" s="195" t="s">
        <v>129</v>
      </c>
      <c r="D2" s="195" t="s">
        <v>58</v>
      </c>
      <c r="E2" s="195" t="s">
        <v>64</v>
      </c>
      <c r="F2" s="195" t="s">
        <v>132</v>
      </c>
      <c r="G2" s="195" t="s">
        <v>112</v>
      </c>
      <c r="H2" s="195" t="s">
        <v>124</v>
      </c>
      <c r="I2" s="195" t="s">
        <v>127</v>
      </c>
      <c r="J2" s="195" t="s">
        <v>109</v>
      </c>
      <c r="K2" s="195" t="s">
        <v>114</v>
      </c>
      <c r="L2" s="195" t="s">
        <v>120</v>
      </c>
      <c r="M2" s="186" t="s">
        <v>223</v>
      </c>
      <c r="N2" s="198" t="s">
        <v>251</v>
      </c>
      <c r="O2" s="195" t="s">
        <v>130</v>
      </c>
      <c r="P2" s="199" t="s">
        <v>190</v>
      </c>
      <c r="Q2" s="195" t="s">
        <v>131</v>
      </c>
      <c r="R2" s="195" t="s">
        <v>232</v>
      </c>
      <c r="S2" s="195" t="s">
        <v>233</v>
      </c>
      <c r="T2" s="197" t="s">
        <v>287</v>
      </c>
      <c r="U2" s="196" t="s">
        <v>235</v>
      </c>
      <c r="V2" s="195" t="s">
        <v>234</v>
      </c>
      <c r="W2" s="195" t="s">
        <v>236</v>
      </c>
      <c r="X2" s="197" t="s">
        <v>286</v>
      </c>
      <c r="Y2" s="95" t="s">
        <v>281</v>
      </c>
      <c r="Z2" s="195" t="s">
        <v>303</v>
      </c>
    </row>
    <row r="3" spans="1:26" x14ac:dyDescent="0.25">
      <c r="A3" s="190" t="s">
        <v>15</v>
      </c>
      <c r="B3" s="190"/>
      <c r="C3" s="190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0">
        <f t="shared" ref="D3:D15" si="0">År1</f>
        <v>2019</v>
      </c>
      <c r="E3" s="188" t="s">
        <v>23</v>
      </c>
      <c r="F3" s="191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8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1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5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0">
        <f>F3-SUM(G3:M3)</f>
        <v>185027.43463784308</v>
      </c>
      <c r="O3" s="191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1">
        <f>SUM(J3,L3)</f>
        <v>0</v>
      </c>
      <c r="Q3" s="188">
        <f>IFERROR(VLOOKUP(A3,[1]Energiindhold!$A$2:$C$11,3,FALSE),IFERROR(VLOOKUP(A3,[1]Biogasudbytte!$A$2:$B$18,2,FALSE)*[1]Energiindhold!$C$10,0))*O3</f>
        <v>0</v>
      </c>
      <c r="R3" s="188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8">
        <f>IFERROR(VLOOKUP(A3,[1]Biogasudbytte!$A$2:$B$18,2,FALSE)*[1]Energiindhold!$C$10,0)*J3*IFERROR(VLOOKUP(A3,Biogasanlæg!$F$3:$G$8,2,FALSE),1)</f>
        <v>0</v>
      </c>
      <c r="T3" s="189">
        <f>R3-S3</f>
        <v>0</v>
      </c>
      <c r="U3" s="187">
        <f>O3*IFERROR(VLOOKUP(A3,[1]Tørstofindhold!A$2:B$24,2,FALSE),0)</f>
        <v>0</v>
      </c>
      <c r="V3" s="188">
        <f>IF(D3=År1,P3,SUM(O3,P3))*IFERROR(VLOOKUP(A3,[1]Tørstofindhold!A$2:B$24,2,FALSE),0)</f>
        <v>0</v>
      </c>
      <c r="W3" s="188">
        <f>J3*IFERROR(VLOOKUP(A3,[1]Tørstofindhold!A$2:B$24,2,FALSE),0)</f>
        <v>0</v>
      </c>
      <c r="X3" s="189">
        <f>V3-W3</f>
        <v>0</v>
      </c>
      <c r="Y3" s="169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0" t="s">
        <v>49</v>
      </c>
      <c r="B4" s="190"/>
      <c r="C4" s="190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0">
        <f t="shared" si="0"/>
        <v>2019</v>
      </c>
      <c r="E4" s="188" t="s">
        <v>23</v>
      </c>
      <c r="F4" s="191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8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1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5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0">
        <f t="shared" ref="N4:N15" si="4">F4-SUM(G4:M4)</f>
        <v>193587.85406079434</v>
      </c>
      <c r="O4" s="191">
        <f t="shared" si="1"/>
        <v>0</v>
      </c>
      <c r="P4" s="201">
        <f t="shared" ref="P4:P15" si="5">SUM(J4,L4)</f>
        <v>0</v>
      </c>
      <c r="Q4" s="188">
        <f>IFERROR(VLOOKUP(A4,[1]Energiindhold!$A$2:$C$11,3,FALSE),IFERROR(VLOOKUP(A4,[1]Biogasudbytte!$A$2:$B$18,2,FALSE)*[1]Energiindhold!$C$10,0))*O4</f>
        <v>0</v>
      </c>
      <c r="R4" s="188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8">
        <f>IFERROR(VLOOKUP(A4,[1]Biogasudbytte!$A$2:$B$18,2,FALSE)*[1]Energiindhold!$C$10,0)*J4*IFERROR(VLOOKUP(A4,Biogasanlæg!$F$3:$G$8,2,FALSE),1)</f>
        <v>0</v>
      </c>
      <c r="T4" s="189">
        <f t="shared" ref="T4:T15" si="6">R4-S4</f>
        <v>0</v>
      </c>
      <c r="U4" s="187">
        <f>O4*IFERROR(VLOOKUP(A4,[1]Tørstofindhold!A$2:B$24,2,FALSE),0)</f>
        <v>0</v>
      </c>
      <c r="V4" s="188">
        <f>IF(D4=År1,P4,SUM(O4,P4))*IFERROR(VLOOKUP(A4,[1]Tørstofindhold!A$2:B$24,2,FALSE),0)</f>
        <v>0</v>
      </c>
      <c r="W4" s="188">
        <f>J4*IFERROR(VLOOKUP(A4,[1]Tørstofindhold!A$2:B$24,2,FALSE),0)</f>
        <v>0</v>
      </c>
      <c r="X4" s="189">
        <f t="shared" ref="X4:X15" si="7">V4-W4</f>
        <v>0</v>
      </c>
      <c r="Y4" s="169">
        <f t="shared" si="2"/>
        <v>0</v>
      </c>
      <c r="Z4" s="103">
        <f t="shared" si="3"/>
        <v>1</v>
      </c>
    </row>
    <row r="5" spans="1:26" x14ac:dyDescent="0.25">
      <c r="A5" s="190" t="s">
        <v>102</v>
      </c>
      <c r="B5" s="190" t="s">
        <v>230</v>
      </c>
      <c r="C5" s="190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0">
        <f t="shared" si="0"/>
        <v>2019</v>
      </c>
      <c r="E5" s="188" t="s">
        <v>23</v>
      </c>
      <c r="F5" s="191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8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1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1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5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0">
        <f t="shared" ca="1" si="4"/>
        <v>-199952.34120163022</v>
      </c>
      <c r="O5" s="191">
        <f t="shared" ca="1" si="1"/>
        <v>0</v>
      </c>
      <c r="P5" s="201">
        <f t="shared" ca="1" si="5"/>
        <v>393543.64426779439</v>
      </c>
      <c r="Q5" s="188">
        <f ca="1">IFERROR(VLOOKUP(A5,[1]Energiindhold!$A$2:$C$11,3,FALSE),IFERROR(VLOOKUP(A5,[1]Biogasudbytte!$A$2:$B$18,2,FALSE)*[1]Energiindhold!$C$10,0))*O5</f>
        <v>0</v>
      </c>
      <c r="R5" s="188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8">
        <f ca="1">IFERROR(VLOOKUP(A5,[1]Biogasudbytte!$A$2:$B$18,2,FALSE)*[1]Energiindhold!$C$10,0)*J5*IFERROR(VLOOKUP(A5,Biogasanlæg!$F$3:$G$8,2,FALSE),1)</f>
        <v>1.3407677770923916</v>
      </c>
      <c r="T5" s="189">
        <f t="shared" ca="1" si="6"/>
        <v>0</v>
      </c>
      <c r="U5" s="187">
        <f ca="1">O5*IFERROR(VLOOKUP(A5,[1]Tørstofindhold!A$2:B$24,2,FALSE),0)</f>
        <v>0</v>
      </c>
      <c r="V5" s="188">
        <f ca="1">IF(D5=År1,P5,SUM(O5,P5))*IFERROR(VLOOKUP(A5,[1]Tørstofindhold!A$2:B$24,2,FALSE),0)</f>
        <v>110192.22039498243</v>
      </c>
      <c r="W5" s="188">
        <f ca="1">J5*IFERROR(VLOOKUP(A5,[1]Tørstofindhold!A$2:B$24,2,FALSE),0)</f>
        <v>110192.22039498243</v>
      </c>
      <c r="X5" s="189">
        <f t="shared" ca="1" si="7"/>
        <v>0</v>
      </c>
      <c r="Y5" s="169">
        <f t="shared" ca="1" si="2"/>
        <v>1</v>
      </c>
      <c r="Z5" s="103">
        <f t="shared" ca="1" si="3"/>
        <v>0</v>
      </c>
    </row>
    <row r="6" spans="1:26" x14ac:dyDescent="0.25">
      <c r="A6" s="190" t="s">
        <v>109</v>
      </c>
      <c r="B6" s="190"/>
      <c r="C6" s="190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0">
        <f t="shared" si="0"/>
        <v>2019</v>
      </c>
      <c r="E6" s="188" t="s">
        <v>23</v>
      </c>
      <c r="F6" s="191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8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1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5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0">
        <f t="shared" ca="1" si="4"/>
        <v>0</v>
      </c>
      <c r="O6" s="191">
        <f t="shared" ca="1" si="1"/>
        <v>0</v>
      </c>
      <c r="P6" s="201">
        <f t="shared" ca="1" si="5"/>
        <v>352020257.59705466</v>
      </c>
      <c r="Q6" s="188">
        <f ca="1">IFERROR(VLOOKUP(A6,[1]Energiindhold!$A$2:$C$11,3,FALSE),IFERROR(VLOOKUP(A6,[1]Biogasudbytte!$A$2:$B$18,2,FALSE)*[1]Energiindhold!$C$10,0))*O6</f>
        <v>0</v>
      </c>
      <c r="R6" s="188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8">
        <f>IFERROR(VLOOKUP(A6,[1]Biogasudbytte!$A$2:$B$18,2,FALSE)*[1]Energiindhold!$C$10,0)*J6*IFERROR(VLOOKUP(A6,Biogasanlæg!$F$3:$G$8,2,FALSE),1)</f>
        <v>0</v>
      </c>
      <c r="T6" s="189">
        <f t="shared" si="6"/>
        <v>0</v>
      </c>
      <c r="U6" s="187">
        <f ca="1">O6*IFERROR(VLOOKUP(A6,[1]Tørstofindhold!A$2:B$24,2,FALSE),0)</f>
        <v>0</v>
      </c>
      <c r="V6" s="188">
        <f ca="1">IF(D6=År1,P6,SUM(O6,P6))*IFERROR(VLOOKUP(A6,[1]Tørstofindhold!A$2:B$24,2,FALSE),0)</f>
        <v>0</v>
      </c>
      <c r="W6" s="188">
        <f>J6*IFERROR(VLOOKUP(A6,[1]Tørstofindhold!A$2:B$24,2,FALSE),0)</f>
        <v>0</v>
      </c>
      <c r="X6" s="189">
        <f t="shared" ca="1" si="7"/>
        <v>0</v>
      </c>
      <c r="Y6" s="169">
        <f t="shared" ca="1" si="2"/>
        <v>0</v>
      </c>
      <c r="Z6" s="103">
        <f t="shared" ca="1" si="3"/>
        <v>0</v>
      </c>
    </row>
    <row r="7" spans="1:26" x14ac:dyDescent="0.25">
      <c r="A7" s="190" t="s">
        <v>110</v>
      </c>
      <c r="B7" s="190"/>
      <c r="C7" s="190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0">
        <f t="shared" si="0"/>
        <v>2019</v>
      </c>
      <c r="E7" s="188" t="s">
        <v>23</v>
      </c>
      <c r="F7" s="191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8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1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1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5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0">
        <f t="shared" ca="1" si="4"/>
        <v>2569365.51571796</v>
      </c>
      <c r="O7" s="191">
        <f t="shared" si="1"/>
        <v>0</v>
      </c>
      <c r="P7" s="201">
        <f t="shared" si="5"/>
        <v>0</v>
      </c>
      <c r="Q7" s="188">
        <f>IFERROR(VLOOKUP(A7,[1]Energiindhold!$A$2:$C$11,3,FALSE),IFERROR(VLOOKUP(A7,[1]Biogasudbytte!$A$2:$B$18,2,FALSE)*[1]Energiindhold!$C$10,0))*O7</f>
        <v>0</v>
      </c>
      <c r="R7" s="188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8">
        <f>IFERROR(VLOOKUP(A7,[1]Biogasudbytte!$A$2:$B$18,2,FALSE)*[1]Energiindhold!$C$10,0)*J7*IFERROR(VLOOKUP(A7,Biogasanlæg!$F$3:$G$8,2,FALSE),1)</f>
        <v>0</v>
      </c>
      <c r="T7" s="189">
        <f t="shared" si="6"/>
        <v>0</v>
      </c>
      <c r="U7" s="187">
        <f>O7*IFERROR(VLOOKUP(A7,[1]Tørstofindhold!A$2:B$24,2,FALSE),0)</f>
        <v>0</v>
      </c>
      <c r="V7" s="188">
        <f>IF(D7=År1,P7,SUM(O7,P7))*IFERROR(VLOOKUP(A7,[1]Tørstofindhold!A$2:B$24,2,FALSE),0)</f>
        <v>0</v>
      </c>
      <c r="W7" s="188">
        <f>J7*IFERROR(VLOOKUP(A7,[1]Tørstofindhold!A$2:B$24,2,FALSE),0)</f>
        <v>0</v>
      </c>
      <c r="X7" s="189">
        <f t="shared" si="7"/>
        <v>0</v>
      </c>
      <c r="Y7" s="169">
        <f t="shared" ca="1" si="2"/>
        <v>0</v>
      </c>
      <c r="Z7" s="103">
        <f t="shared" ca="1" si="3"/>
        <v>1</v>
      </c>
    </row>
    <row r="8" spans="1:26" x14ac:dyDescent="0.25">
      <c r="A8" s="190" t="s">
        <v>208</v>
      </c>
      <c r="B8" s="190" t="s">
        <v>230</v>
      </c>
      <c r="C8" s="190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0">
        <f t="shared" si="0"/>
        <v>2019</v>
      </c>
      <c r="E8" s="188" t="s">
        <v>23</v>
      </c>
      <c r="F8" s="191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8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1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5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0">
        <f t="shared" si="4"/>
        <v>0</v>
      </c>
      <c r="O8" s="191">
        <f t="shared" si="1"/>
        <v>0</v>
      </c>
      <c r="P8" s="201">
        <f t="shared" si="5"/>
        <v>0</v>
      </c>
      <c r="Q8" s="188">
        <f>IFERROR(VLOOKUP(A8,[1]Energiindhold!$A$2:$C$11,3,FALSE),IFERROR(VLOOKUP(A8,[1]Biogasudbytte!$A$2:$B$18,2,FALSE)*[1]Energiindhold!$C$10,0))*O8</f>
        <v>0</v>
      </c>
      <c r="R8" s="188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8">
        <f>IFERROR(VLOOKUP(A8,[1]Biogasudbytte!$A$2:$B$18,2,FALSE)*[1]Energiindhold!$C$10,0)*J8*IFERROR(VLOOKUP(A8,Biogasanlæg!$F$3:$G$8,2,FALSE),1)</f>
        <v>0</v>
      </c>
      <c r="T8" s="189">
        <f t="shared" si="6"/>
        <v>0</v>
      </c>
      <c r="U8" s="187">
        <f>O8*IFERROR(VLOOKUP(A8,[1]Tørstofindhold!A$2:B$24,2,FALSE),0)</f>
        <v>0</v>
      </c>
      <c r="V8" s="188">
        <f>IF(D8=År1,P8,SUM(O8,P8))*IFERROR(VLOOKUP(A8,[1]Tørstofindhold!A$2:B$24,2,FALSE),0)</f>
        <v>0</v>
      </c>
      <c r="W8" s="188">
        <f>J8*IFERROR(VLOOKUP(A8,[1]Tørstofindhold!A$2:B$24,2,FALSE),0)</f>
        <v>0</v>
      </c>
      <c r="X8" s="189">
        <f t="shared" si="7"/>
        <v>0</v>
      </c>
      <c r="Y8" s="169">
        <f t="shared" si="2"/>
        <v>0</v>
      </c>
      <c r="Z8" s="103">
        <f t="shared" si="3"/>
        <v>0</v>
      </c>
    </row>
    <row r="9" spans="1:26" x14ac:dyDescent="0.25">
      <c r="A9" s="188" t="s">
        <v>101</v>
      </c>
      <c r="B9" s="190" t="s">
        <v>222</v>
      </c>
      <c r="C9" s="190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0">
        <f t="shared" si="0"/>
        <v>2019</v>
      </c>
      <c r="E9" s="188" t="s">
        <v>23</v>
      </c>
      <c r="F9" s="191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8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1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5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0">
        <f t="shared" si="4"/>
        <v>1198807.4305444965</v>
      </c>
      <c r="O9" s="191">
        <f t="shared" si="1"/>
        <v>1198807.4305444965</v>
      </c>
      <c r="P9" s="201">
        <f>SUM(J9,L9)</f>
        <v>671194.67155029252</v>
      </c>
      <c r="Q9" s="188">
        <f>IFERROR(VLOOKUP(A9,[1]Energiindhold!$A$2:$C$11,3,FALSE),IFERROR(VLOOKUP(A9,[1]Biogasudbytte!$A$2:$B$18,2,FALSE)*[1]Energiindhold!$C$10,0))*O9</f>
        <v>2.5822312053928456</v>
      </c>
      <c r="R9" s="188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8">
        <f>IFERROR(VLOOKUP(A9,[1]Biogasudbytte!$A$2:$B$18,2,FALSE)*[1]Energiindhold!$C$10,0)*J9*IFERROR(VLOOKUP(A9,Biogasanlæg!$F$3:$G$8,2,FALSE),1)</f>
        <v>1.4457533225193302</v>
      </c>
      <c r="T9" s="189">
        <f t="shared" si="6"/>
        <v>0</v>
      </c>
      <c r="U9" s="187">
        <f>O9*IFERROR(VLOOKUP(A9,[1]Tørstofindhold!A$2:B$24,2,FALSE),0)</f>
        <v>359642.22916334897</v>
      </c>
      <c r="V9" s="188">
        <f>IF(D9=År1,P9,SUM(O9,P9))*IFERROR(VLOOKUP(A9,[1]Tørstofindhold!A$2:B$24,2,FALSE),0)</f>
        <v>201358.40146508775</v>
      </c>
      <c r="W9" s="188">
        <f>J9*IFERROR(VLOOKUP(A9,[1]Tørstofindhold!A$2:B$24,2,FALSE),0)</f>
        <v>201358.40146508775</v>
      </c>
      <c r="X9" s="189">
        <f t="shared" si="7"/>
        <v>0</v>
      </c>
      <c r="Y9" s="169">
        <f t="shared" si="2"/>
        <v>0</v>
      </c>
      <c r="Z9" s="103">
        <f t="shared" si="3"/>
        <v>1</v>
      </c>
    </row>
    <row r="10" spans="1:26" x14ac:dyDescent="0.25">
      <c r="A10" s="188" t="s">
        <v>204</v>
      </c>
      <c r="B10" s="190"/>
      <c r="C10" s="190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0">
        <f t="shared" si="0"/>
        <v>2019</v>
      </c>
      <c r="E10" s="188" t="s">
        <v>23</v>
      </c>
      <c r="F10" s="191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8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1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5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0">
        <f t="shared" si="4"/>
        <v>0</v>
      </c>
      <c r="O10" s="191">
        <f t="shared" si="1"/>
        <v>0</v>
      </c>
      <c r="P10" s="201">
        <f t="shared" si="5"/>
        <v>0</v>
      </c>
      <c r="Q10" s="188">
        <f>IFERROR(VLOOKUP(A10,[1]Energiindhold!$A$2:$C$11,3,FALSE),IFERROR(VLOOKUP(A10,[1]Biogasudbytte!$A$2:$B$18,2,FALSE)*[1]Energiindhold!$C$10,0))*O10</f>
        <v>0</v>
      </c>
      <c r="R10" s="188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8">
        <f>IFERROR(VLOOKUP(A10,[1]Biogasudbytte!$A$2:$B$18,2,FALSE)*[1]Energiindhold!$C$10,0)*J10*IFERROR(VLOOKUP(A10,Biogasanlæg!$F$3:$G$8,2,FALSE),1)</f>
        <v>0</v>
      </c>
      <c r="T10" s="189">
        <f t="shared" si="6"/>
        <v>0</v>
      </c>
      <c r="U10" s="187">
        <f>O10*IFERROR(VLOOKUP(A10,[1]Tørstofindhold!A$2:B$24,2,FALSE),0)</f>
        <v>0</v>
      </c>
      <c r="V10" s="188">
        <f>IF(D10=År1,P10,SUM(O10,P10))*IFERROR(VLOOKUP(A10,[1]Tørstofindhold!A$2:B$24,2,FALSE),0)</f>
        <v>0</v>
      </c>
      <c r="W10" s="188">
        <f>J10*IFERROR(VLOOKUP(A10,[1]Tørstofindhold!A$2:B$24,2,FALSE),0)</f>
        <v>0</v>
      </c>
      <c r="X10" s="189">
        <f t="shared" si="7"/>
        <v>0</v>
      </c>
      <c r="Y10" s="169">
        <f t="shared" si="2"/>
        <v>0</v>
      </c>
      <c r="Z10" s="103">
        <f t="shared" si="3"/>
        <v>0</v>
      </c>
    </row>
    <row r="11" spans="1:26" x14ac:dyDescent="0.25">
      <c r="A11" s="188" t="s">
        <v>137</v>
      </c>
      <c r="B11" s="190" t="s">
        <v>222</v>
      </c>
      <c r="C11" s="190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0">
        <f t="shared" si="0"/>
        <v>2019</v>
      </c>
      <c r="E11" s="188" t="s">
        <v>23</v>
      </c>
      <c r="F11" s="191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8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1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5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0">
        <f t="shared" si="4"/>
        <v>0</v>
      </c>
      <c r="O11" s="191">
        <f t="shared" si="1"/>
        <v>0</v>
      </c>
      <c r="P11" s="201">
        <f t="shared" si="5"/>
        <v>4103.8061780475591</v>
      </c>
      <c r="Q11" s="188">
        <f>IFERROR(VLOOKUP(A11,[1]Energiindhold!$A$2:$C$11,3,FALSE),IFERROR(VLOOKUP(A11,[1]Biogasudbytte!$A$2:$B$18,2,FALSE)*[1]Energiindhold!$C$10,0))*O11</f>
        <v>0</v>
      </c>
      <c r="R11" s="188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8">
        <f>IFERROR(VLOOKUP(A11,[1]Biogasudbytte!$A$2:$B$18,2,FALSE)*[1]Energiindhold!$C$10,0)*J11*IFERROR(VLOOKUP(A11,Biogasanlæg!$F$3:$G$8,2,FALSE),1)</f>
        <v>1.9299790074739866E-3</v>
      </c>
      <c r="T11" s="189">
        <f t="shared" si="6"/>
        <v>0</v>
      </c>
      <c r="U11" s="187">
        <f>O11*IFERROR(VLOOKUP(A11,[1]Tørstofindhold!A$2:B$24,2,FALSE),0)</f>
        <v>0</v>
      </c>
      <c r="V11" s="188">
        <f>IF(D11=År1,P11,SUM(O11,P11))*IFERROR(VLOOKUP(A11,[1]Tørstofindhold!A$2:B$24,2,FALSE),0)</f>
        <v>258.53978921699621</v>
      </c>
      <c r="W11" s="188">
        <f>J11*IFERROR(VLOOKUP(A11,[1]Tørstofindhold!A$2:B$24,2,FALSE),0)</f>
        <v>258.53978921699621</v>
      </c>
      <c r="X11" s="189">
        <f t="shared" si="7"/>
        <v>0</v>
      </c>
      <c r="Y11" s="169">
        <f t="shared" si="2"/>
        <v>0</v>
      </c>
      <c r="Z11" s="103">
        <f t="shared" si="3"/>
        <v>0</v>
      </c>
    </row>
    <row r="12" spans="1:26" x14ac:dyDescent="0.25">
      <c r="A12" s="188" t="s">
        <v>96</v>
      </c>
      <c r="B12" s="190"/>
      <c r="C12" s="190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0">
        <f t="shared" si="0"/>
        <v>2019</v>
      </c>
      <c r="E12" s="188" t="s">
        <v>23</v>
      </c>
      <c r="F12" s="191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8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1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5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0">
        <f t="shared" si="4"/>
        <v>151426.86140259454</v>
      </c>
      <c r="O12" s="191">
        <f t="shared" si="1"/>
        <v>0</v>
      </c>
      <c r="P12" s="201">
        <f t="shared" si="5"/>
        <v>0</v>
      </c>
      <c r="Q12" s="188">
        <f>IFERROR(VLOOKUP(A12,[1]Energiindhold!$A$2:$C$11,3,FALSE),IFERROR(VLOOKUP(A12,[1]Biogasudbytte!$A$2:$B$18,2,FALSE)*[1]Energiindhold!$C$10,0))*O12</f>
        <v>0</v>
      </c>
      <c r="R12" s="188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8">
        <f>IFERROR(VLOOKUP(A12,[1]Biogasudbytte!$A$2:$B$18,2,FALSE)*[1]Energiindhold!$C$10,0)*J12*IFERROR(VLOOKUP(A12,Biogasanlæg!$F$3:$G$8,2,FALSE),1)</f>
        <v>0</v>
      </c>
      <c r="T12" s="189">
        <f t="shared" si="6"/>
        <v>0</v>
      </c>
      <c r="U12" s="187">
        <f>O12*IFERROR(VLOOKUP(A12,[1]Tørstofindhold!A$2:B$24,2,FALSE),0)</f>
        <v>0</v>
      </c>
      <c r="V12" s="188">
        <f>IF(D12=År1,P12,SUM(O12,P12))*IFERROR(VLOOKUP(A12,[1]Tørstofindhold!A$2:B$24,2,FALSE),0)</f>
        <v>0</v>
      </c>
      <c r="W12" s="188">
        <f>J12*IFERROR(VLOOKUP(A12,[1]Tørstofindhold!A$2:B$24,2,FALSE),0)</f>
        <v>0</v>
      </c>
      <c r="X12" s="189">
        <f t="shared" si="7"/>
        <v>0</v>
      </c>
      <c r="Y12" s="169">
        <f t="shared" si="2"/>
        <v>0</v>
      </c>
      <c r="Z12" s="103">
        <f t="shared" si="3"/>
        <v>1</v>
      </c>
    </row>
    <row r="13" spans="1:26" x14ac:dyDescent="0.25">
      <c r="A13" s="188" t="s">
        <v>113</v>
      </c>
      <c r="B13" s="190"/>
      <c r="C13" s="190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0">
        <f t="shared" si="0"/>
        <v>2019</v>
      </c>
      <c r="E13" s="188" t="s">
        <v>23</v>
      </c>
      <c r="F13" s="191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8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1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5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0">
        <f t="shared" si="4"/>
        <v>890042.58416558511</v>
      </c>
      <c r="O13" s="191">
        <f t="shared" si="1"/>
        <v>0</v>
      </c>
      <c r="P13" s="201">
        <f t="shared" si="5"/>
        <v>0</v>
      </c>
      <c r="Q13" s="188">
        <f>IFERROR(VLOOKUP(A13,[1]Energiindhold!$A$2:$C$11,3,FALSE),IFERROR(VLOOKUP(A13,[1]Biogasudbytte!$A$2:$B$18,2,FALSE)*[1]Energiindhold!$C$10,0))*O13</f>
        <v>0</v>
      </c>
      <c r="R13" s="188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8">
        <f>IFERROR(VLOOKUP(A13,[1]Biogasudbytte!$A$2:$B$18,2,FALSE)*[1]Energiindhold!$C$10,0)*J13*IFERROR(VLOOKUP(A13,Biogasanlæg!$F$3:$G$8,2,FALSE),1)</f>
        <v>0</v>
      </c>
      <c r="T13" s="189">
        <f t="shared" si="6"/>
        <v>0</v>
      </c>
      <c r="U13" s="187">
        <f>O13*IFERROR(VLOOKUP(A13,[1]Tørstofindhold!A$2:B$24,2,FALSE),0)</f>
        <v>0</v>
      </c>
      <c r="V13" s="188">
        <f>IF(D13=År1,P13,SUM(O13,P13))*IFERROR(VLOOKUP(A13,[1]Tørstofindhold!A$2:B$24,2,FALSE),0)</f>
        <v>0</v>
      </c>
      <c r="W13" s="188">
        <f>J13*IFERROR(VLOOKUP(A13,[1]Tørstofindhold!A$2:B$24,2,FALSE),0)</f>
        <v>0</v>
      </c>
      <c r="X13" s="189">
        <f t="shared" si="7"/>
        <v>0</v>
      </c>
      <c r="Y13" s="169">
        <f t="shared" si="2"/>
        <v>0</v>
      </c>
      <c r="Z13" s="103">
        <f t="shared" si="3"/>
        <v>1</v>
      </c>
    </row>
    <row r="14" spans="1:26" x14ac:dyDescent="0.25">
      <c r="A14" s="188" t="s">
        <v>54</v>
      </c>
      <c r="B14" s="190"/>
      <c r="C14" s="190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0">
        <f t="shared" si="0"/>
        <v>2019</v>
      </c>
      <c r="E14" s="188" t="s">
        <v>23</v>
      </c>
      <c r="F14" s="191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8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1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5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0">
        <f t="shared" si="4"/>
        <v>-223630.22327361835</v>
      </c>
      <c r="O14" s="191">
        <f t="shared" si="1"/>
        <v>0</v>
      </c>
      <c r="P14" s="201">
        <f t="shared" si="5"/>
        <v>0</v>
      </c>
      <c r="Q14" s="188">
        <f>IFERROR(VLOOKUP(A14,[1]Energiindhold!$A$2:$C$11,3,FALSE),IFERROR(VLOOKUP(A14,[1]Biogasudbytte!$A$2:$B$18,2,FALSE)*[1]Energiindhold!$C$10,0))*O14</f>
        <v>0</v>
      </c>
      <c r="R14" s="188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8">
        <f>IFERROR(VLOOKUP(A14,[1]Biogasudbytte!$A$2:$B$18,2,FALSE)*[1]Energiindhold!$C$10,0)*J14*IFERROR(VLOOKUP(A14,Biogasanlæg!$F$3:$G$8,2,FALSE),1)</f>
        <v>0</v>
      </c>
      <c r="T14" s="189">
        <f t="shared" si="6"/>
        <v>0</v>
      </c>
      <c r="U14" s="187">
        <f>O14*IFERROR(VLOOKUP(A14,[1]Tørstofindhold!A$2:B$24,2,FALSE),0)</f>
        <v>0</v>
      </c>
      <c r="V14" s="188">
        <f>IF(D14=År1,P14,SUM(O14,P14))*IFERROR(VLOOKUP(A14,[1]Tørstofindhold!A$2:B$24,2,FALSE),0)</f>
        <v>0</v>
      </c>
      <c r="W14" s="188">
        <f>J14*IFERROR(VLOOKUP(A14,[1]Tørstofindhold!A$2:B$24,2,FALSE),0)</f>
        <v>0</v>
      </c>
      <c r="X14" s="189">
        <f t="shared" si="7"/>
        <v>0</v>
      </c>
      <c r="Y14" s="169">
        <f t="shared" si="2"/>
        <v>1</v>
      </c>
      <c r="Z14" s="103">
        <f t="shared" si="3"/>
        <v>0</v>
      </c>
    </row>
    <row r="15" spans="1:26" x14ac:dyDescent="0.25">
      <c r="A15" s="190" t="s">
        <v>158</v>
      </c>
      <c r="B15" s="190" t="s">
        <v>158</v>
      </c>
      <c r="C15" s="190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0">
        <f t="shared" si="0"/>
        <v>2019</v>
      </c>
      <c r="E15" s="188" t="s">
        <v>23</v>
      </c>
      <c r="F15" s="191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8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1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5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0">
        <f t="shared" si="4"/>
        <v>-114193.60000000001</v>
      </c>
      <c r="O15" s="191">
        <f t="shared" si="1"/>
        <v>0</v>
      </c>
      <c r="P15" s="201">
        <f t="shared" si="5"/>
        <v>114193.60000000001</v>
      </c>
      <c r="Q15" s="188">
        <f>IFERROR(VLOOKUP(A15,[1]Energiindhold!$A$2:$C$11,3,FALSE),IFERROR(VLOOKUP(A15,[1]Biogasudbytte!$A$2:$B$18,2,FALSE)*[1]Energiindhold!$C$10,0))*O15</f>
        <v>0</v>
      </c>
      <c r="R15" s="188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8">
        <f>IFERROR(VLOOKUP(A15,[1]Biogasudbytte!$A$2:$B$18,2,FALSE)*[1]Energiindhold!$C$10,0)*J15*IFERROR(VLOOKUP(A15,Biogasanlæg!$F$3:$G$8,2,FALSE),1)</f>
        <v>1.7355855896064003</v>
      </c>
      <c r="T15" s="189">
        <f t="shared" si="6"/>
        <v>0</v>
      </c>
      <c r="U15" s="187">
        <f>O15*IFERROR(VLOOKUP(A15,[1]Tørstofindhold!A$2:B$24,2,FALSE),0)</f>
        <v>0</v>
      </c>
      <c r="V15" s="188">
        <f>IF(D15=År1,P15,SUM(O15,P15))*IFERROR(VLOOKUP(A15,[1]Tørstofindhold!A$2:B$24,2,FALSE),0)</f>
        <v>102774.24</v>
      </c>
      <c r="W15" s="188">
        <f>J15*IFERROR(VLOOKUP(A15,[1]Tørstofindhold!A$2:B$24,2,FALSE),0)</f>
        <v>102774.24</v>
      </c>
      <c r="X15" s="189">
        <f t="shared" si="7"/>
        <v>0</v>
      </c>
      <c r="Y15" s="169">
        <f t="shared" si="2"/>
        <v>1</v>
      </c>
      <c r="Z15" s="103">
        <f t="shared" si="3"/>
        <v>0</v>
      </c>
    </row>
    <row r="16" spans="1:26" x14ac:dyDescent="0.25">
      <c r="A16" s="190" t="s">
        <v>51</v>
      </c>
      <c r="B16" s="190" t="s">
        <v>224</v>
      </c>
      <c r="C16" s="190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0">
        <f t="shared" ref="D16:D50" si="8">År1</f>
        <v>2019</v>
      </c>
      <c r="E16" s="188" t="s">
        <v>23</v>
      </c>
      <c r="F16" s="191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8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1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5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0">
        <f t="shared" ref="N16:N81" si="9">F16-SUM(G16:M16)</f>
        <v>3550175.4953867961</v>
      </c>
      <c r="O16" s="191">
        <f t="shared" si="1"/>
        <v>3550175.4953867961</v>
      </c>
      <c r="P16" s="201">
        <f t="shared" ref="P16:P81" si="10">SUM(J16,L16)</f>
        <v>75746.163899662715</v>
      </c>
      <c r="Q16" s="188">
        <f>IFERROR(VLOOKUP(A16,[1]Energiindhold!$A$2:$C$11,3,FALSE),IFERROR(VLOOKUP(A16,[1]Biogasudbytte!$A$2:$B$18,2,FALSE)*[1]Energiindhold!$C$10,0))*O16</f>
        <v>6.5318791395747819</v>
      </c>
      <c r="R16" s="188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8">
        <f>IFERROR(VLOOKUP(A16,[1]Biogasudbytte!$A$2:$B$18,2,FALSE)*[1]Energiindhold!$C$10,0)*J16*IFERROR(VLOOKUP(A16,Biogasanlæg!$F$3:$G$8,2,FALSE),1)</f>
        <v>0.13936347330489193</v>
      </c>
      <c r="T16" s="189">
        <f t="shared" ref="T16:T81" si="11">R16-S16</f>
        <v>0</v>
      </c>
      <c r="U16" s="187">
        <f>O16*IFERROR(VLOOKUP(A16,[1]Tørstofindhold!A$2:B$24,2,FALSE),0)</f>
        <v>994049.13870830298</v>
      </c>
      <c r="V16" s="188">
        <f>IF(D16=År1,P16,SUM(O16,P16))*IFERROR(VLOOKUP(A16,[1]Tørstofindhold!A$2:B$24,2,FALSE),0)</f>
        <v>21208.925891905561</v>
      </c>
      <c r="W16" s="188">
        <f>J16*IFERROR(VLOOKUP(A16,[1]Tørstofindhold!A$2:B$24,2,FALSE),0)</f>
        <v>21208.925891905561</v>
      </c>
      <c r="X16" s="189">
        <f t="shared" ref="X16:X81" si="12">V16-W16</f>
        <v>0</v>
      </c>
      <c r="Y16" s="169">
        <f t="shared" si="2"/>
        <v>0</v>
      </c>
      <c r="Z16" s="103">
        <f t="shared" si="3"/>
        <v>1</v>
      </c>
    </row>
    <row r="17" spans="1:26" x14ac:dyDescent="0.25">
      <c r="A17" s="190" t="s">
        <v>203</v>
      </c>
      <c r="B17" s="190"/>
      <c r="C17" s="190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0">
        <f t="shared" si="8"/>
        <v>2019</v>
      </c>
      <c r="E17" s="188" t="s">
        <v>23</v>
      </c>
      <c r="F17" s="191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8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1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5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0">
        <f t="shared" si="9"/>
        <v>0</v>
      </c>
      <c r="O17" s="191">
        <f t="shared" si="1"/>
        <v>0</v>
      </c>
      <c r="P17" s="201">
        <f t="shared" si="10"/>
        <v>0</v>
      </c>
      <c r="Q17" s="188">
        <f>IFERROR(VLOOKUP(A17,[1]Energiindhold!$A$2:$C$11,3,FALSE),IFERROR(VLOOKUP(A17,[1]Biogasudbytte!$A$2:$B$18,2,FALSE)*[1]Energiindhold!$C$10,0))*O17</f>
        <v>0</v>
      </c>
      <c r="R17" s="188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8">
        <f>IFERROR(VLOOKUP(A17,[1]Biogasudbytte!$A$2:$B$18,2,FALSE)*[1]Energiindhold!$C$10,0)*J17*IFERROR(VLOOKUP(A17,Biogasanlæg!$F$3:$G$8,2,FALSE),1)</f>
        <v>0</v>
      </c>
      <c r="T17" s="189">
        <f t="shared" si="11"/>
        <v>0</v>
      </c>
      <c r="U17" s="187">
        <f>O17*IFERROR(VLOOKUP(A17,[1]Tørstofindhold!A$2:B$24,2,FALSE),0)</f>
        <v>0</v>
      </c>
      <c r="V17" s="188">
        <f>IF(D17=År1,P17,SUM(O17,P17))*IFERROR(VLOOKUP(A17,[1]Tørstofindhold!A$2:B$24,2,FALSE),0)</f>
        <v>0</v>
      </c>
      <c r="W17" s="188">
        <f>J17*IFERROR(VLOOKUP(A17,[1]Tørstofindhold!A$2:B$24,2,FALSE),0)</f>
        <v>0</v>
      </c>
      <c r="X17" s="189">
        <f t="shared" si="12"/>
        <v>0</v>
      </c>
      <c r="Y17" s="169">
        <f t="shared" si="2"/>
        <v>0</v>
      </c>
      <c r="Z17" s="103">
        <f t="shared" si="3"/>
        <v>0</v>
      </c>
    </row>
    <row r="18" spans="1:26" x14ac:dyDescent="0.25">
      <c r="A18" s="190" t="s">
        <v>6</v>
      </c>
      <c r="B18" s="190"/>
      <c r="C18" s="190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0">
        <f t="shared" si="8"/>
        <v>2019</v>
      </c>
      <c r="E18" s="188" t="s">
        <v>23</v>
      </c>
      <c r="F18" s="191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8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1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5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0">
        <f t="shared" si="9"/>
        <v>-76844.925452788419</v>
      </c>
      <c r="O18" s="191">
        <f t="shared" si="1"/>
        <v>0</v>
      </c>
      <c r="P18" s="201">
        <f t="shared" si="10"/>
        <v>0</v>
      </c>
      <c r="Q18" s="188">
        <f>IFERROR(VLOOKUP(A18,[1]Energiindhold!$A$2:$C$11,3,FALSE),IFERROR(VLOOKUP(A18,[1]Biogasudbytte!$A$2:$B$18,2,FALSE)*[1]Energiindhold!$C$10,0))*O18</f>
        <v>0</v>
      </c>
      <c r="R18" s="188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8">
        <f>IFERROR(VLOOKUP(A18,[1]Biogasudbytte!$A$2:$B$18,2,FALSE)*[1]Energiindhold!$C$10,0)*J18*IFERROR(VLOOKUP(A18,Biogasanlæg!$F$3:$G$8,2,FALSE),1)</f>
        <v>0</v>
      </c>
      <c r="T18" s="189">
        <f t="shared" si="11"/>
        <v>0</v>
      </c>
      <c r="U18" s="187">
        <f>O18*IFERROR(VLOOKUP(A18,[1]Tørstofindhold!A$2:B$24,2,FALSE),0)</f>
        <v>0</v>
      </c>
      <c r="V18" s="188">
        <f>IF(D18=År1,P18,SUM(O18,P18))*IFERROR(VLOOKUP(A18,[1]Tørstofindhold!A$2:B$24,2,FALSE),0)</f>
        <v>0</v>
      </c>
      <c r="W18" s="188">
        <f>J18*IFERROR(VLOOKUP(A18,[1]Tørstofindhold!A$2:B$24,2,FALSE),0)</f>
        <v>0</v>
      </c>
      <c r="X18" s="189">
        <f t="shared" si="12"/>
        <v>0</v>
      </c>
      <c r="Y18" s="169">
        <f t="shared" si="2"/>
        <v>1</v>
      </c>
      <c r="Z18" s="103">
        <f t="shared" si="3"/>
        <v>0</v>
      </c>
    </row>
    <row r="19" spans="1:26" x14ac:dyDescent="0.25">
      <c r="A19" s="190" t="s">
        <v>67</v>
      </c>
      <c r="B19" s="190" t="s">
        <v>227</v>
      </c>
      <c r="C19" s="190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0">
        <f t="shared" si="8"/>
        <v>2019</v>
      </c>
      <c r="E19" s="188" t="s">
        <v>23</v>
      </c>
      <c r="F19" s="191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8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1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5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0">
        <f t="shared" si="9"/>
        <v>0</v>
      </c>
      <c r="O19" s="191">
        <f t="shared" si="1"/>
        <v>0</v>
      </c>
      <c r="P19" s="201">
        <f t="shared" si="10"/>
        <v>1212729.2061799087</v>
      </c>
      <c r="Q19" s="188">
        <f>IFERROR(VLOOKUP(A19,[1]Energiindhold!$A$2:$C$11,3,FALSE),IFERROR(VLOOKUP(A19,[1]Biogasudbytte!$A$2:$B$18,2,FALSE)*[1]Energiindhold!$C$10,0))*O19</f>
        <v>0</v>
      </c>
      <c r="R19" s="188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8">
        <f>IFERROR(VLOOKUP(A19,[1]Biogasudbytte!$A$2:$B$18,2,FALSE)*[1]Energiindhold!$C$10,0)*J19*IFERROR(VLOOKUP(A19,Biogasanlæg!$F$3:$G$8,2,FALSE),1)</f>
        <v>0.3063744116894675</v>
      </c>
      <c r="T19" s="189">
        <f t="shared" si="11"/>
        <v>11.985300912376998</v>
      </c>
      <c r="U19" s="187">
        <f>O19*IFERROR(VLOOKUP(A19,[1]Tørstofindhold!A$2:B$24,2,FALSE),0)</f>
        <v>0</v>
      </c>
      <c r="V19" s="188">
        <f>IF(D19=År1,P19,SUM(O19,P19))*IFERROR(VLOOKUP(A19,[1]Tørstofindhold!A$2:B$24,2,FALSE),0)</f>
        <v>1030819.8252529224</v>
      </c>
      <c r="W19" s="188">
        <f>J19*IFERROR(VLOOKUP(A19,[1]Tørstofindhold!A$2:B$24,2,FALSE),0)</f>
        <v>45168.058835086973</v>
      </c>
      <c r="X19" s="189">
        <f t="shared" si="12"/>
        <v>985651.76641783537</v>
      </c>
      <c r="Y19" s="169">
        <f t="shared" si="2"/>
        <v>0</v>
      </c>
      <c r="Z19" s="103">
        <f t="shared" si="3"/>
        <v>0</v>
      </c>
    </row>
    <row r="20" spans="1:26" x14ac:dyDescent="0.25">
      <c r="A20" s="190" t="s">
        <v>162</v>
      </c>
      <c r="B20" s="190" t="s">
        <v>230</v>
      </c>
      <c r="C20" s="190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0">
        <f t="shared" si="8"/>
        <v>2019</v>
      </c>
      <c r="E20" s="188" t="s">
        <v>23</v>
      </c>
      <c r="F20" s="191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8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1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5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0">
        <f t="shared" si="9"/>
        <v>0</v>
      </c>
      <c r="O20" s="191">
        <f t="shared" si="1"/>
        <v>0</v>
      </c>
      <c r="P20" s="201">
        <f t="shared" si="10"/>
        <v>530462.48766233202</v>
      </c>
      <c r="Q20" s="188">
        <f>IFERROR(VLOOKUP(A20,[1]Energiindhold!$A$2:$C$11,3,FALSE),IFERROR(VLOOKUP(A20,[1]Biogasudbytte!$A$2:$B$18,2,FALSE)*[1]Energiindhold!$C$10,0))*O20</f>
        <v>0</v>
      </c>
      <c r="R20" s="188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8">
        <f>IFERROR(VLOOKUP(A20,[1]Biogasudbytte!$A$2:$B$18,2,FALSE)*[1]Energiindhold!$C$10,0)*J20*IFERROR(VLOOKUP(A20,Biogasanlæg!$F$3:$G$8,2,FALSE),1)</f>
        <v>7.148842760000421E-5</v>
      </c>
      <c r="T20" s="189">
        <f t="shared" si="11"/>
        <v>9.4691817325671721</v>
      </c>
      <c r="U20" s="187">
        <f>O20*IFERROR(VLOOKUP(A20,[1]Tørstofindhold!A$2:B$24,2,FALSE),0)</f>
        <v>0</v>
      </c>
      <c r="V20" s="188">
        <f>IF(D20=År1,P20,SUM(O20,P20))*IFERROR(VLOOKUP(A20,[1]Tørstofindhold!A$2:B$24,2,FALSE),0)</f>
        <v>159138.74629869961</v>
      </c>
      <c r="W20" s="188">
        <f>J20*IFERROR(VLOOKUP(A20,[1]Tørstofindhold!A$2:B$24,2,FALSE),0)</f>
        <v>12.629943571231609</v>
      </c>
      <c r="X20" s="189">
        <f t="shared" si="12"/>
        <v>159126.11635512838</v>
      </c>
      <c r="Y20" s="169">
        <f t="shared" si="2"/>
        <v>0</v>
      </c>
      <c r="Z20" s="103">
        <f t="shared" si="3"/>
        <v>0</v>
      </c>
    </row>
    <row r="21" spans="1:26" x14ac:dyDescent="0.25">
      <c r="A21" s="188" t="s">
        <v>159</v>
      </c>
      <c r="B21" s="190"/>
      <c r="C21" s="190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0">
        <f t="shared" si="8"/>
        <v>2019</v>
      </c>
      <c r="E21" s="188" t="s">
        <v>23</v>
      </c>
      <c r="F21" s="191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8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1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5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0">
        <f t="shared" si="9"/>
        <v>-4828427.5390456235</v>
      </c>
      <c r="O21" s="191">
        <f t="shared" si="1"/>
        <v>0</v>
      </c>
      <c r="P21" s="201">
        <f t="shared" si="10"/>
        <v>0</v>
      </c>
      <c r="Q21" s="188">
        <f>IFERROR(VLOOKUP(A21,[1]Energiindhold!$A$2:$C$11,3,FALSE),IFERROR(VLOOKUP(A21,[1]Biogasudbytte!$A$2:$B$18,2,FALSE)*[1]Energiindhold!$C$10,0))*O21</f>
        <v>0</v>
      </c>
      <c r="R21" s="188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8">
        <f>IFERROR(VLOOKUP(A21,[1]Biogasudbytte!$A$2:$B$18,2,FALSE)*[1]Energiindhold!$C$10,0)*J21*IFERROR(VLOOKUP(A21,Biogasanlæg!$F$3:$G$8,2,FALSE),1)</f>
        <v>0</v>
      </c>
      <c r="T21" s="189">
        <f t="shared" si="11"/>
        <v>0</v>
      </c>
      <c r="U21" s="187">
        <f>O21*IFERROR(VLOOKUP(A21,[1]Tørstofindhold!A$2:B$24,2,FALSE),0)</f>
        <v>0</v>
      </c>
      <c r="V21" s="188">
        <f>IF(D21=År1,P21,SUM(O21,P21))*IFERROR(VLOOKUP(A21,[1]Tørstofindhold!A$2:B$24,2,FALSE),0)</f>
        <v>0</v>
      </c>
      <c r="W21" s="188">
        <f>J21*IFERROR(VLOOKUP(A21,[1]Tørstofindhold!A$2:B$24,2,FALSE),0)</f>
        <v>0</v>
      </c>
      <c r="X21" s="189">
        <f t="shared" si="12"/>
        <v>0</v>
      </c>
      <c r="Y21" s="169">
        <f t="shared" si="2"/>
        <v>1</v>
      </c>
      <c r="Z21" s="103">
        <f t="shared" si="3"/>
        <v>0</v>
      </c>
    </row>
    <row r="22" spans="1:26" x14ac:dyDescent="0.25">
      <c r="A22" s="190" t="s">
        <v>103</v>
      </c>
      <c r="B22" s="190" t="s">
        <v>230</v>
      </c>
      <c r="C22" s="190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0">
        <f t="shared" si="8"/>
        <v>2019</v>
      </c>
      <c r="E22" s="188" t="s">
        <v>23</v>
      </c>
      <c r="F22" s="191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8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1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5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0">
        <f t="shared" si="9"/>
        <v>-203061.53166372905</v>
      </c>
      <c r="O22" s="191">
        <f t="shared" si="1"/>
        <v>0</v>
      </c>
      <c r="P22" s="201">
        <f t="shared" si="10"/>
        <v>716103.75203569303</v>
      </c>
      <c r="Q22" s="188">
        <f>IFERROR(VLOOKUP(A22,[1]Energiindhold!$A$2:$C$11,3,FALSE),IFERROR(VLOOKUP(A22,[1]Biogasudbytte!$A$2:$B$18,2,FALSE)*[1]Energiindhold!$C$10,0))*O22</f>
        <v>0</v>
      </c>
      <c r="R22" s="188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8">
        <f>IFERROR(VLOOKUP(A22,[1]Biogasudbytte!$A$2:$B$18,2,FALSE)*[1]Energiindhold!$C$10,0)*J22*IFERROR(VLOOKUP(A22,Biogasanlæg!$F$3:$G$8,2,FALSE),1)</f>
        <v>2.637525053399659</v>
      </c>
      <c r="T22" s="189">
        <f t="shared" si="11"/>
        <v>0</v>
      </c>
      <c r="U22" s="187">
        <f>O22*IFERROR(VLOOKUP(A22,[1]Tørstofindhold!A$2:B$24,2,FALSE),0)</f>
        <v>0</v>
      </c>
      <c r="V22" s="188">
        <f>IF(D22=År1,P22,SUM(O22,P22))*IFERROR(VLOOKUP(A22,[1]Tørstofindhold!A$2:B$24,2,FALSE),0)</f>
        <v>300763.57585499104</v>
      </c>
      <c r="W22" s="188">
        <f>J22*IFERROR(VLOOKUP(A22,[1]Tørstofindhold!A$2:B$24,2,FALSE),0)</f>
        <v>300763.57585499104</v>
      </c>
      <c r="X22" s="189">
        <f t="shared" si="12"/>
        <v>0</v>
      </c>
      <c r="Y22" s="169">
        <f t="shared" si="2"/>
        <v>1</v>
      </c>
      <c r="Z22" s="103">
        <f t="shared" si="3"/>
        <v>0</v>
      </c>
    </row>
    <row r="23" spans="1:26" x14ac:dyDescent="0.25">
      <c r="A23" s="190" t="s">
        <v>56</v>
      </c>
      <c r="B23" s="190"/>
      <c r="C23" s="190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0">
        <f t="shared" si="8"/>
        <v>2019</v>
      </c>
      <c r="E23" s="188" t="s">
        <v>23</v>
      </c>
      <c r="F23" s="191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8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1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5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0">
        <f t="shared" si="9"/>
        <v>765723.03528474667</v>
      </c>
      <c r="O23" s="191">
        <f t="shared" si="1"/>
        <v>0</v>
      </c>
      <c r="P23" s="201">
        <f t="shared" si="10"/>
        <v>0</v>
      </c>
      <c r="Q23" s="188">
        <f>IFERROR(VLOOKUP(A23,[1]Energiindhold!$A$2:$C$11,3,FALSE),IFERROR(VLOOKUP(A23,[1]Biogasudbytte!$A$2:$B$18,2,FALSE)*[1]Energiindhold!$C$10,0))*O23</f>
        <v>0</v>
      </c>
      <c r="R23" s="188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8">
        <f>IFERROR(VLOOKUP(A23,[1]Biogasudbytte!$A$2:$B$18,2,FALSE)*[1]Energiindhold!$C$10,0)*J23*IFERROR(VLOOKUP(A23,Biogasanlæg!$F$3:$G$8,2,FALSE),1)</f>
        <v>0</v>
      </c>
      <c r="T23" s="189">
        <f t="shared" si="11"/>
        <v>0</v>
      </c>
      <c r="U23" s="187">
        <f>O23*IFERROR(VLOOKUP(A23,[1]Tørstofindhold!A$2:B$24,2,FALSE),0)</f>
        <v>0</v>
      </c>
      <c r="V23" s="188">
        <f>IF(D23=År1,P23,SUM(O23,P23))*IFERROR(VLOOKUP(A23,[1]Tørstofindhold!A$2:B$24,2,FALSE),0)</f>
        <v>0</v>
      </c>
      <c r="W23" s="188">
        <f>J23*IFERROR(VLOOKUP(A23,[1]Tørstofindhold!A$2:B$24,2,FALSE),0)</f>
        <v>0</v>
      </c>
      <c r="X23" s="189">
        <f t="shared" si="12"/>
        <v>0</v>
      </c>
      <c r="Y23" s="169">
        <f t="shared" si="2"/>
        <v>0</v>
      </c>
      <c r="Z23" s="103">
        <f t="shared" si="3"/>
        <v>1</v>
      </c>
    </row>
    <row r="24" spans="1:26" x14ac:dyDescent="0.25">
      <c r="A24" s="190" t="s">
        <v>12</v>
      </c>
      <c r="B24" s="190"/>
      <c r="C24" s="190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0">
        <f t="shared" si="8"/>
        <v>2019</v>
      </c>
      <c r="E24" s="188" t="s">
        <v>23</v>
      </c>
      <c r="F24" s="191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8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1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5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0">
        <f t="shared" si="9"/>
        <v>2026381.0153085976</v>
      </c>
      <c r="O24" s="191">
        <f t="shared" si="1"/>
        <v>0</v>
      </c>
      <c r="P24" s="201">
        <f t="shared" si="10"/>
        <v>0</v>
      </c>
      <c r="Q24" s="188">
        <f>IFERROR(VLOOKUP(A24,[1]Energiindhold!$A$2:$C$11,3,FALSE),IFERROR(VLOOKUP(A24,[1]Biogasudbytte!$A$2:$B$18,2,FALSE)*[1]Energiindhold!$C$10,0))*O24</f>
        <v>0</v>
      </c>
      <c r="R24" s="188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8">
        <f>IFERROR(VLOOKUP(A24,[1]Biogasudbytte!$A$2:$B$18,2,FALSE)*[1]Energiindhold!$C$10,0)*J24*IFERROR(VLOOKUP(A24,Biogasanlæg!$F$3:$G$8,2,FALSE),1)</f>
        <v>0</v>
      </c>
      <c r="T24" s="189">
        <f t="shared" si="11"/>
        <v>0</v>
      </c>
      <c r="U24" s="187">
        <f>O24*IFERROR(VLOOKUP(A24,[1]Tørstofindhold!A$2:B$24,2,FALSE),0)</f>
        <v>0</v>
      </c>
      <c r="V24" s="188">
        <f>IF(D24=År1,P24,SUM(O24,P24))*IFERROR(VLOOKUP(A24,[1]Tørstofindhold!A$2:B$24,2,FALSE),0)</f>
        <v>0</v>
      </c>
      <c r="W24" s="188">
        <f>J24*IFERROR(VLOOKUP(A24,[1]Tørstofindhold!A$2:B$24,2,FALSE),0)</f>
        <v>0</v>
      </c>
      <c r="X24" s="189">
        <f t="shared" si="12"/>
        <v>0</v>
      </c>
      <c r="Y24" s="169">
        <f t="shared" si="2"/>
        <v>0</v>
      </c>
      <c r="Z24" s="103">
        <f t="shared" si="3"/>
        <v>1</v>
      </c>
    </row>
    <row r="25" spans="1:26" x14ac:dyDescent="0.25">
      <c r="A25" s="190" t="s">
        <v>48</v>
      </c>
      <c r="B25" s="190" t="s">
        <v>227</v>
      </c>
      <c r="C25" s="190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0">
        <f t="shared" si="8"/>
        <v>2019</v>
      </c>
      <c r="E25" s="188" t="s">
        <v>23</v>
      </c>
      <c r="F25" s="191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8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1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5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0">
        <f t="shared" si="9"/>
        <v>665604.70837060641</v>
      </c>
      <c r="O25" s="191">
        <f t="shared" si="1"/>
        <v>665604.70837060641</v>
      </c>
      <c r="P25" s="201">
        <f t="shared" si="10"/>
        <v>2840.1853290986264</v>
      </c>
      <c r="Q25" s="188">
        <f>IFERROR(VLOOKUP(A25,[1]Energiindhold!$A$2:$C$11,3,FALSE),IFERROR(VLOOKUP(A25,[1]Biogasudbytte!$A$2:$B$18,2,FALSE)*[1]Energiindhold!$C$10,0))*O25</f>
        <v>2.2796029415101553</v>
      </c>
      <c r="R25" s="188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8">
        <f>IFERROR(VLOOKUP(A25,[1]Biogasudbytte!$A$2:$B$18,2,FALSE)*[1]Energiindhold!$C$10,0)*J25*IFERROR(VLOOKUP(A25,Biogasanlæg!$F$3:$G$8,2,FALSE),1)</f>
        <v>9.7272371262167243E-3</v>
      </c>
      <c r="T25" s="189">
        <f t="shared" si="11"/>
        <v>0</v>
      </c>
      <c r="U25" s="187">
        <f>O25*IFERROR(VLOOKUP(A25,[1]Tørstofindhold!A$2:B$24,2,FALSE),0)</f>
        <v>206337.459594888</v>
      </c>
      <c r="V25" s="188">
        <f>IF(D25=År1,P25,SUM(O25,P25))*IFERROR(VLOOKUP(A25,[1]Tørstofindhold!A$2:B$24,2,FALSE),0)</f>
        <v>880.45745202057424</v>
      </c>
      <c r="W25" s="188">
        <f>J25*IFERROR(VLOOKUP(A25,[1]Tørstofindhold!A$2:B$24,2,FALSE),0)</f>
        <v>880.45745202057424</v>
      </c>
      <c r="X25" s="189">
        <f t="shared" si="12"/>
        <v>0</v>
      </c>
      <c r="Y25" s="169">
        <f t="shared" si="2"/>
        <v>0</v>
      </c>
      <c r="Z25" s="103">
        <f t="shared" si="3"/>
        <v>1</v>
      </c>
    </row>
    <row r="26" spans="1:26" x14ac:dyDescent="0.25">
      <c r="A26" s="190" t="s">
        <v>115</v>
      </c>
      <c r="B26" s="190"/>
      <c r="C26" s="190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0">
        <f t="shared" si="8"/>
        <v>2019</v>
      </c>
      <c r="E26" s="188" t="s">
        <v>23</v>
      </c>
      <c r="F26" s="191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8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1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1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5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0">
        <f t="shared" ca="1" si="9"/>
        <v>-567745.18896312197</v>
      </c>
      <c r="O26" s="191">
        <f t="shared" si="1"/>
        <v>0</v>
      </c>
      <c r="P26" s="201">
        <f t="shared" si="10"/>
        <v>0</v>
      </c>
      <c r="Q26" s="188">
        <f>IFERROR(VLOOKUP(A26,[1]Energiindhold!$A$2:$C$11,3,FALSE),IFERROR(VLOOKUP(A26,[1]Biogasudbytte!$A$2:$B$18,2,FALSE)*[1]Energiindhold!$C$10,0))*O26</f>
        <v>0</v>
      </c>
      <c r="R26" s="188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8">
        <f>IFERROR(VLOOKUP(A26,[1]Biogasudbytte!$A$2:$B$18,2,FALSE)*[1]Energiindhold!$C$10,0)*J26*IFERROR(VLOOKUP(A26,Biogasanlæg!$F$3:$G$8,2,FALSE),1)</f>
        <v>0</v>
      </c>
      <c r="T26" s="189">
        <f t="shared" si="11"/>
        <v>0</v>
      </c>
      <c r="U26" s="187">
        <f>O26*IFERROR(VLOOKUP(A26,[1]Tørstofindhold!A$2:B$24,2,FALSE),0)</f>
        <v>0</v>
      </c>
      <c r="V26" s="188">
        <f>IF(D26=År1,P26,SUM(O26,P26))*IFERROR(VLOOKUP(A26,[1]Tørstofindhold!A$2:B$24,2,FALSE),0)</f>
        <v>0</v>
      </c>
      <c r="W26" s="188">
        <f>J26*IFERROR(VLOOKUP(A26,[1]Tørstofindhold!A$2:B$24,2,FALSE),0)</f>
        <v>0</v>
      </c>
      <c r="X26" s="189">
        <f t="shared" si="12"/>
        <v>0</v>
      </c>
      <c r="Y26" s="169">
        <f t="shared" ca="1" si="2"/>
        <v>1</v>
      </c>
      <c r="Z26" s="103">
        <f t="shared" ca="1" si="3"/>
        <v>0</v>
      </c>
    </row>
    <row r="27" spans="1:26" x14ac:dyDescent="0.25">
      <c r="A27" s="190" t="s">
        <v>136</v>
      </c>
      <c r="B27" s="190" t="s">
        <v>222</v>
      </c>
      <c r="C27" s="190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0">
        <f t="shared" si="8"/>
        <v>2019</v>
      </c>
      <c r="E27" s="188" t="s">
        <v>23</v>
      </c>
      <c r="F27" s="191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8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1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5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0">
        <f t="shared" si="9"/>
        <v>0</v>
      </c>
      <c r="O27" s="191">
        <f t="shared" si="1"/>
        <v>0</v>
      </c>
      <c r="P27" s="201">
        <f t="shared" si="10"/>
        <v>4066864.6068164087</v>
      </c>
      <c r="Q27" s="188">
        <f>IFERROR(VLOOKUP(A27,[1]Energiindhold!$A$2:$C$11,3,FALSE),IFERROR(VLOOKUP(A27,[1]Biogasudbytte!$A$2:$B$18,2,FALSE)*[1]Energiindhold!$C$10,0))*O27</f>
        <v>0</v>
      </c>
      <c r="R27" s="188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8">
        <f>IFERROR(VLOOKUP(A27,[1]Biogasudbytte!$A$2:$B$18,2,FALSE)*[1]Energiindhold!$C$10,0)*J27*IFERROR(VLOOKUP(A27,Biogasanlæg!$F$3:$G$8,2,FALSE),1)</f>
        <v>2.0586061953243981</v>
      </c>
      <c r="T27" s="189">
        <f t="shared" si="11"/>
        <v>0</v>
      </c>
      <c r="U27" s="187">
        <f>O27*IFERROR(VLOOKUP(A27,[1]Tørstofindhold!A$2:B$24,2,FALSE),0)</f>
        <v>0</v>
      </c>
      <c r="V27" s="188">
        <f>IF(D27=År1,P27,SUM(O27,P27))*IFERROR(VLOOKUP(A27,[1]Tørstofindhold!A$2:B$24,2,FALSE),0)</f>
        <v>309081.71011804708</v>
      </c>
      <c r="W27" s="188">
        <f>J27*IFERROR(VLOOKUP(A27,[1]Tørstofindhold!A$2:B$24,2,FALSE),0)</f>
        <v>309081.71011804708</v>
      </c>
      <c r="X27" s="189">
        <f t="shared" si="12"/>
        <v>0</v>
      </c>
      <c r="Y27" s="169">
        <f t="shared" si="2"/>
        <v>0</v>
      </c>
      <c r="Z27" s="103">
        <f t="shared" si="3"/>
        <v>0</v>
      </c>
    </row>
    <row r="28" spans="1:26" x14ac:dyDescent="0.25">
      <c r="A28" s="190" t="s">
        <v>108</v>
      </c>
      <c r="B28" s="190"/>
      <c r="C28" s="190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0">
        <f t="shared" si="8"/>
        <v>2019</v>
      </c>
      <c r="E28" s="188" t="s">
        <v>23</v>
      </c>
      <c r="F28" s="191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8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1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5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0">
        <f t="shared" si="9"/>
        <v>122443.54553678865</v>
      </c>
      <c r="O28" s="191">
        <f t="shared" si="1"/>
        <v>0</v>
      </c>
      <c r="P28" s="201">
        <f t="shared" si="10"/>
        <v>0</v>
      </c>
      <c r="Q28" s="188">
        <f>IFERROR(VLOOKUP(A28,[1]Energiindhold!$A$2:$C$11,3,FALSE),IFERROR(VLOOKUP(A28,[1]Biogasudbytte!$A$2:$B$18,2,FALSE)*[1]Energiindhold!$C$10,0))*O28</f>
        <v>0</v>
      </c>
      <c r="R28" s="188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8">
        <f>IFERROR(VLOOKUP(A28,[1]Biogasudbytte!$A$2:$B$18,2,FALSE)*[1]Energiindhold!$C$10,0)*J28*IFERROR(VLOOKUP(A28,Biogasanlæg!$F$3:$G$8,2,FALSE),1)</f>
        <v>0</v>
      </c>
      <c r="T28" s="189">
        <f t="shared" si="11"/>
        <v>0</v>
      </c>
      <c r="U28" s="187">
        <f>O28*IFERROR(VLOOKUP(A28,[1]Tørstofindhold!A$2:B$24,2,FALSE),0)</f>
        <v>0</v>
      </c>
      <c r="V28" s="188">
        <f>IF(D28=År1,P28,SUM(O28,P28))*IFERROR(VLOOKUP(A28,[1]Tørstofindhold!A$2:B$24,2,FALSE),0)</f>
        <v>0</v>
      </c>
      <c r="W28" s="188">
        <f>J28*IFERROR(VLOOKUP(A28,[1]Tørstofindhold!A$2:B$24,2,FALSE),0)</f>
        <v>0</v>
      </c>
      <c r="X28" s="189">
        <f t="shared" si="12"/>
        <v>0</v>
      </c>
      <c r="Y28" s="169">
        <f t="shared" si="2"/>
        <v>0</v>
      </c>
      <c r="Z28" s="103">
        <f t="shared" si="3"/>
        <v>1</v>
      </c>
    </row>
    <row r="29" spans="1:26" x14ac:dyDescent="0.25">
      <c r="A29" s="188" t="s">
        <v>53</v>
      </c>
      <c r="B29" s="190" t="s">
        <v>224</v>
      </c>
      <c r="C29" s="190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0">
        <f t="shared" si="8"/>
        <v>2019</v>
      </c>
      <c r="E29" s="188" t="s">
        <v>23</v>
      </c>
      <c r="F29" s="191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8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1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5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0">
        <f t="shared" si="9"/>
        <v>1609663.314373374</v>
      </c>
      <c r="O29" s="191">
        <f t="shared" si="1"/>
        <v>1266262.2462674922</v>
      </c>
      <c r="P29" s="201">
        <f t="shared" si="10"/>
        <v>314821.43493156106</v>
      </c>
      <c r="Q29" s="188">
        <f>IFERROR(VLOOKUP(A29,[1]Energiindhold!$A$2:$C$11,3,FALSE),IFERROR(VLOOKUP(A29,[1]Biogasudbytte!$A$2:$B$18,2,FALSE)*[1]Energiindhold!$C$10,0))*O29</f>
        <v>4.5458814641002974</v>
      </c>
      <c r="R29" s="188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8">
        <f>IFERROR(VLOOKUP(A29,[1]Biogasudbytte!$A$2:$B$18,2,FALSE)*[1]Energiindhold!$C$10,0)*J29*IFERROR(VLOOKUP(A29,Biogasanlæg!$F$3:$G$8,2,FALSE),1)</f>
        <v>1.1302089514043043</v>
      </c>
      <c r="T29" s="189">
        <f t="shared" si="11"/>
        <v>0</v>
      </c>
      <c r="U29" s="187">
        <f>O29*IFERROR(VLOOKUP(A29,[1]Tørstofindhold!A$2:B$24,2,FALSE),0)</f>
        <v>379878.67388024763</v>
      </c>
      <c r="V29" s="188">
        <f>IF(D29=År1,P29,SUM(O29,P29))*IFERROR(VLOOKUP(A29,[1]Tørstofindhold!A$2:B$24,2,FALSE),0)</f>
        <v>94446.430479468312</v>
      </c>
      <c r="W29" s="188">
        <f>J29*IFERROR(VLOOKUP(A29,[1]Tørstofindhold!A$2:B$24,2,FALSE),0)</f>
        <v>94446.430479468312</v>
      </c>
      <c r="X29" s="189">
        <f t="shared" si="12"/>
        <v>0</v>
      </c>
      <c r="Y29" s="169">
        <f t="shared" si="2"/>
        <v>0</v>
      </c>
      <c r="Z29" s="103">
        <f t="shared" si="3"/>
        <v>1</v>
      </c>
    </row>
    <row r="30" spans="1:26" x14ac:dyDescent="0.25">
      <c r="A30" s="190" t="s">
        <v>116</v>
      </c>
      <c r="B30" s="190"/>
      <c r="C30" s="190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0">
        <f t="shared" si="8"/>
        <v>2019</v>
      </c>
      <c r="E30" s="188" t="s">
        <v>23</v>
      </c>
      <c r="F30" s="191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8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1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5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0">
        <f t="shared" si="9"/>
        <v>2703717.1158706988</v>
      </c>
      <c r="O30" s="191">
        <f t="shared" si="1"/>
        <v>0</v>
      </c>
      <c r="P30" s="201">
        <f t="shared" si="10"/>
        <v>0</v>
      </c>
      <c r="Q30" s="188">
        <f>IFERROR(VLOOKUP(A30,[1]Energiindhold!$A$2:$C$11,3,FALSE),IFERROR(VLOOKUP(A30,[1]Biogasudbytte!$A$2:$B$18,2,FALSE)*[1]Energiindhold!$C$10,0))*O30</f>
        <v>0</v>
      </c>
      <c r="R30" s="188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8">
        <f>IFERROR(VLOOKUP(A30,[1]Biogasudbytte!$A$2:$B$18,2,FALSE)*[1]Energiindhold!$C$10,0)*J30*IFERROR(VLOOKUP(A30,Biogasanlæg!$F$3:$G$8,2,FALSE),1)</f>
        <v>0</v>
      </c>
      <c r="T30" s="189">
        <f t="shared" si="11"/>
        <v>0</v>
      </c>
      <c r="U30" s="187">
        <f>O30*IFERROR(VLOOKUP(A30,[1]Tørstofindhold!A$2:B$24,2,FALSE),0)</f>
        <v>0</v>
      </c>
      <c r="V30" s="188">
        <f>IF(D30=År1,P30,SUM(O30,P30))*IFERROR(VLOOKUP(A30,[1]Tørstofindhold!A$2:B$24,2,FALSE),0)</f>
        <v>0</v>
      </c>
      <c r="W30" s="188">
        <f>J30*IFERROR(VLOOKUP(A30,[1]Tørstofindhold!A$2:B$24,2,FALSE),0)</f>
        <v>0</v>
      </c>
      <c r="X30" s="189">
        <f t="shared" si="12"/>
        <v>0</v>
      </c>
      <c r="Y30" s="169">
        <f t="shared" si="2"/>
        <v>0</v>
      </c>
      <c r="Z30" s="103">
        <f t="shared" si="3"/>
        <v>1</v>
      </c>
    </row>
    <row r="31" spans="1:26" x14ac:dyDescent="0.25">
      <c r="A31" s="190" t="s">
        <v>106</v>
      </c>
      <c r="B31" s="190" t="s">
        <v>226</v>
      </c>
      <c r="C31" s="190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0">
        <f t="shared" si="8"/>
        <v>2019</v>
      </c>
      <c r="E31" s="188" t="s">
        <v>23</v>
      </c>
      <c r="F31" s="191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8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1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5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0">
        <f t="shared" si="9"/>
        <v>878.90231344976178</v>
      </c>
      <c r="O31" s="191">
        <f t="shared" si="1"/>
        <v>878.90231344976178</v>
      </c>
      <c r="P31" s="201">
        <f t="shared" si="10"/>
        <v>0</v>
      </c>
      <c r="Q31" s="188">
        <f>IFERROR(VLOOKUP(A31,[1]Energiindhold!$A$2:$C$11,3,FALSE),IFERROR(VLOOKUP(A31,[1]Biogasudbytte!$A$2:$B$18,2,FALSE)*[1]Energiindhold!$C$10,0))*O31</f>
        <v>7.8881482632116122E-4</v>
      </c>
      <c r="R31" s="188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8">
        <f>IFERROR(VLOOKUP(A31,[1]Biogasudbytte!$A$2:$B$18,2,FALSE)*[1]Energiindhold!$C$10,0)*J31*IFERROR(VLOOKUP(A31,Biogasanlæg!$F$3:$G$8,2,FALSE),1)</f>
        <v>0</v>
      </c>
      <c r="T31" s="189">
        <f t="shared" si="11"/>
        <v>0</v>
      </c>
      <c r="U31" s="187">
        <f>O31*IFERROR(VLOOKUP(A31,[1]Tørstofindhold!A$2:B$24,2,FALSE),0)</f>
        <v>131.83534701746427</v>
      </c>
      <c r="V31" s="188">
        <f>IF(D31=År1,P31,SUM(O31,P31))*IFERROR(VLOOKUP(A31,[1]Tørstofindhold!A$2:B$24,2,FALSE),0)</f>
        <v>0</v>
      </c>
      <c r="W31" s="188">
        <f>J31*IFERROR(VLOOKUP(A31,[1]Tørstofindhold!A$2:B$24,2,FALSE),0)</f>
        <v>0</v>
      </c>
      <c r="X31" s="189">
        <f t="shared" si="12"/>
        <v>0</v>
      </c>
      <c r="Y31" s="169">
        <f t="shared" si="2"/>
        <v>0</v>
      </c>
      <c r="Z31" s="103">
        <f t="shared" si="3"/>
        <v>1</v>
      </c>
    </row>
    <row r="32" spans="1:26" x14ac:dyDescent="0.25">
      <c r="A32" s="190" t="s">
        <v>14</v>
      </c>
      <c r="B32" s="190"/>
      <c r="C32" s="190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0">
        <f t="shared" si="8"/>
        <v>2019</v>
      </c>
      <c r="E32" s="188" t="s">
        <v>23</v>
      </c>
      <c r="F32" s="191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8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1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5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0">
        <f t="shared" si="9"/>
        <v>50014.542046090508</v>
      </c>
      <c r="O32" s="191">
        <f t="shared" si="1"/>
        <v>0</v>
      </c>
      <c r="P32" s="201">
        <f t="shared" si="10"/>
        <v>0</v>
      </c>
      <c r="Q32" s="188">
        <f>IFERROR(VLOOKUP(A32,[1]Energiindhold!$A$2:$C$11,3,FALSE),IFERROR(VLOOKUP(A32,[1]Biogasudbytte!$A$2:$B$18,2,FALSE)*[1]Energiindhold!$C$10,0))*O32</f>
        <v>0</v>
      </c>
      <c r="R32" s="188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8">
        <f>IFERROR(VLOOKUP(A32,[1]Biogasudbytte!$A$2:$B$18,2,FALSE)*[1]Energiindhold!$C$10,0)*J32*IFERROR(VLOOKUP(A32,Biogasanlæg!$F$3:$G$8,2,FALSE),1)</f>
        <v>0</v>
      </c>
      <c r="T32" s="189">
        <f t="shared" si="11"/>
        <v>0</v>
      </c>
      <c r="U32" s="187">
        <f>O32*IFERROR(VLOOKUP(A32,[1]Tørstofindhold!A$2:B$24,2,FALSE),0)</f>
        <v>0</v>
      </c>
      <c r="V32" s="188">
        <f>IF(D32=År1,P32,SUM(O32,P32))*IFERROR(VLOOKUP(A32,[1]Tørstofindhold!A$2:B$24,2,FALSE),0)</f>
        <v>0</v>
      </c>
      <c r="W32" s="188">
        <f>J32*IFERROR(VLOOKUP(A32,[1]Tørstofindhold!A$2:B$24,2,FALSE),0)</f>
        <v>0</v>
      </c>
      <c r="X32" s="189">
        <f t="shared" si="12"/>
        <v>0</v>
      </c>
      <c r="Y32" s="169">
        <f t="shared" si="2"/>
        <v>0</v>
      </c>
      <c r="Z32" s="103">
        <f t="shared" si="3"/>
        <v>1</v>
      </c>
    </row>
    <row r="33" spans="1:26" x14ac:dyDescent="0.25">
      <c r="A33" s="190" t="s">
        <v>55</v>
      </c>
      <c r="B33" s="190"/>
      <c r="C33" s="190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0">
        <f t="shared" si="8"/>
        <v>2019</v>
      </c>
      <c r="E33" s="188" t="s">
        <v>23</v>
      </c>
      <c r="F33" s="191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8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1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5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0">
        <f t="shared" si="9"/>
        <v>1609044.2994914718</v>
      </c>
      <c r="O33" s="191">
        <f t="shared" si="1"/>
        <v>0</v>
      </c>
      <c r="P33" s="201">
        <f t="shared" si="10"/>
        <v>0</v>
      </c>
      <c r="Q33" s="188">
        <f>IFERROR(VLOOKUP(A33,[1]Energiindhold!$A$2:$C$11,3,FALSE),IFERROR(VLOOKUP(A33,[1]Biogasudbytte!$A$2:$B$18,2,FALSE)*[1]Energiindhold!$C$10,0))*O33</f>
        <v>0</v>
      </c>
      <c r="R33" s="188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8">
        <f>IFERROR(VLOOKUP(A33,[1]Biogasudbytte!$A$2:$B$18,2,FALSE)*[1]Energiindhold!$C$10,0)*J33*IFERROR(VLOOKUP(A33,Biogasanlæg!$F$3:$G$8,2,FALSE),1)</f>
        <v>0</v>
      </c>
      <c r="T33" s="189">
        <f t="shared" si="11"/>
        <v>0</v>
      </c>
      <c r="U33" s="187">
        <f>O33*IFERROR(VLOOKUP(A33,[1]Tørstofindhold!A$2:B$24,2,FALSE),0)</f>
        <v>0</v>
      </c>
      <c r="V33" s="188">
        <f>IF(D33=År1,P33,SUM(O33,P33))*IFERROR(VLOOKUP(A33,[1]Tørstofindhold!A$2:B$24,2,FALSE),0)</f>
        <v>0</v>
      </c>
      <c r="W33" s="188">
        <f>J33*IFERROR(VLOOKUP(A33,[1]Tørstofindhold!A$2:B$24,2,FALSE),0)</f>
        <v>0</v>
      </c>
      <c r="X33" s="189">
        <f t="shared" si="12"/>
        <v>0</v>
      </c>
      <c r="Y33" s="169">
        <f t="shared" si="2"/>
        <v>0</v>
      </c>
      <c r="Z33" s="103">
        <f t="shared" si="3"/>
        <v>1</v>
      </c>
    </row>
    <row r="34" spans="1:26" x14ac:dyDescent="0.25">
      <c r="A34" s="190" t="s">
        <v>95</v>
      </c>
      <c r="B34" s="190" t="s">
        <v>225</v>
      </c>
      <c r="C34" s="190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0">
        <f t="shared" si="8"/>
        <v>2019</v>
      </c>
      <c r="E34" s="188" t="s">
        <v>23</v>
      </c>
      <c r="F34" s="191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8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1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5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0">
        <f t="shared" si="9"/>
        <v>0</v>
      </c>
      <c r="O34" s="191">
        <f t="shared" si="1"/>
        <v>0</v>
      </c>
      <c r="P34" s="201">
        <f t="shared" si="10"/>
        <v>172205.06744997756</v>
      </c>
      <c r="Q34" s="188">
        <f>IFERROR(VLOOKUP(A34,[1]Energiindhold!$A$2:$C$11,3,FALSE),IFERROR(VLOOKUP(A34,[1]Biogasudbytte!$A$2:$B$18,2,FALSE)*[1]Energiindhold!$C$10,0))*O34</f>
        <v>0</v>
      </c>
      <c r="R34" s="188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8">
        <f>IFERROR(VLOOKUP(A34,[1]Biogasudbytte!$A$2:$B$18,2,FALSE)*[1]Energiindhold!$C$10,0)*J34*IFERROR(VLOOKUP(A34,Biogasanlæg!$F$3:$G$8,2,FALSE),1)</f>
        <v>0</v>
      </c>
      <c r="T34" s="189">
        <f t="shared" si="11"/>
        <v>3.1685732410795864</v>
      </c>
      <c r="U34" s="187">
        <f>O34*IFERROR(VLOOKUP(A34,[1]Tørstofindhold!A$2:B$24,2,FALSE),0)</f>
        <v>0</v>
      </c>
      <c r="V34" s="188">
        <f>IF(D34=År1,P34,SUM(O34,P34))*IFERROR(VLOOKUP(A34,[1]Tørstofindhold!A$2:B$24,2,FALSE),0)</f>
        <v>71465.1029917407</v>
      </c>
      <c r="W34" s="188">
        <f>J34*IFERROR(VLOOKUP(A34,[1]Tørstofindhold!A$2:B$24,2,FALSE),0)</f>
        <v>0</v>
      </c>
      <c r="X34" s="189">
        <f t="shared" si="12"/>
        <v>71465.1029917407</v>
      </c>
      <c r="Y34" s="169">
        <f t="shared" si="2"/>
        <v>0</v>
      </c>
      <c r="Z34" s="103">
        <f t="shared" si="3"/>
        <v>0</v>
      </c>
    </row>
    <row r="35" spans="1:26" x14ac:dyDescent="0.25">
      <c r="A35" s="190" t="s">
        <v>309</v>
      </c>
      <c r="B35" s="190" t="s">
        <v>315</v>
      </c>
      <c r="C35" s="190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0">
        <f t="shared" si="8"/>
        <v>2019</v>
      </c>
      <c r="E35" s="188" t="s">
        <v>23</v>
      </c>
      <c r="F35" s="191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8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1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5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0">
        <f t="shared" ref="N35:N36" si="13">F35-SUM(G35:M35)</f>
        <v>0</v>
      </c>
      <c r="O35" s="191">
        <f t="shared" si="1"/>
        <v>0</v>
      </c>
      <c r="P35" s="201">
        <f t="shared" ref="P35:P36" si="14">SUM(J35,L35)</f>
        <v>0</v>
      </c>
      <c r="Q35" s="188">
        <f>IFERROR(VLOOKUP(A35,[1]Energiindhold!$A$2:$C$11,3,FALSE),IFERROR(VLOOKUP(A35,[1]Biogasudbytte!$A$2:$B$18,2,FALSE)*[1]Energiindhold!$C$10,0))*O35</f>
        <v>0</v>
      </c>
      <c r="R35" s="188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8">
        <f>IFERROR(VLOOKUP(A35,[1]Biogasudbytte!$A$2:$B$18,2,FALSE)*[1]Energiindhold!$C$10,0)*J35*IFERROR(VLOOKUP(A35,Biogasanlæg!$F$3:$G$8,2,FALSE),1)</f>
        <v>0</v>
      </c>
      <c r="T35" s="189">
        <f t="shared" ref="T35:T36" si="15">R35-S35</f>
        <v>0</v>
      </c>
      <c r="U35" s="187">
        <f>O35*IFERROR(VLOOKUP(A35,[1]Tørstofindhold!A$2:B$24,2,FALSE),0)</f>
        <v>0</v>
      </c>
      <c r="V35" s="188">
        <f>IF(D35=År1,P35,SUM(O35,P35))*IFERROR(VLOOKUP(A35,[1]Tørstofindhold!A$2:B$24,2,FALSE),0)</f>
        <v>0</v>
      </c>
      <c r="W35" s="188">
        <f>J35*IFERROR(VLOOKUP(A35,[1]Tørstofindhold!A$2:B$24,2,FALSE),0)</f>
        <v>0</v>
      </c>
      <c r="X35" s="189">
        <f t="shared" ref="X35:X36" si="16">V35-W35</f>
        <v>0</v>
      </c>
      <c r="Y35" s="169">
        <f t="shared" si="2"/>
        <v>0</v>
      </c>
      <c r="Z35" s="103">
        <f t="shared" si="3"/>
        <v>0</v>
      </c>
    </row>
    <row r="36" spans="1:26" x14ac:dyDescent="0.25">
      <c r="A36" s="190" t="s">
        <v>310</v>
      </c>
      <c r="B36" s="190" t="s">
        <v>315</v>
      </c>
      <c r="C36" s="190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0">
        <f t="shared" si="8"/>
        <v>2019</v>
      </c>
      <c r="E36" s="188" t="s">
        <v>23</v>
      </c>
      <c r="F36" s="191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8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1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5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0">
        <f t="shared" si="13"/>
        <v>0</v>
      </c>
      <c r="O36" s="191">
        <f t="shared" si="1"/>
        <v>0</v>
      </c>
      <c r="P36" s="201">
        <f t="shared" si="14"/>
        <v>0</v>
      </c>
      <c r="Q36" s="188">
        <f>IFERROR(VLOOKUP(A36,[1]Energiindhold!$A$2:$C$11,3,FALSE),IFERROR(VLOOKUP(A36,[1]Biogasudbytte!$A$2:$B$18,2,FALSE)*[1]Energiindhold!$C$10,0))*O36</f>
        <v>0</v>
      </c>
      <c r="R36" s="188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8">
        <f>IFERROR(VLOOKUP(A36,[1]Biogasudbytte!$A$2:$B$18,2,FALSE)*[1]Energiindhold!$C$10,0)*J36*IFERROR(VLOOKUP(A36,Biogasanlæg!$F$3:$G$8,2,FALSE),1)</f>
        <v>0</v>
      </c>
      <c r="T36" s="189">
        <f t="shared" si="15"/>
        <v>0</v>
      </c>
      <c r="U36" s="187">
        <f>O36*IFERROR(VLOOKUP(A36,[1]Tørstofindhold!A$2:B$24,2,FALSE),0)</f>
        <v>0</v>
      </c>
      <c r="V36" s="188">
        <f>IF(D36=År1,P36,SUM(O36,P36))*IFERROR(VLOOKUP(A36,[1]Tørstofindhold!A$2:B$24,2,FALSE),0)</f>
        <v>0</v>
      </c>
      <c r="W36" s="188">
        <f>J36*IFERROR(VLOOKUP(A36,[1]Tørstofindhold!A$2:B$24,2,FALSE),0)</f>
        <v>0</v>
      </c>
      <c r="X36" s="189">
        <f t="shared" si="16"/>
        <v>0</v>
      </c>
      <c r="Y36" s="169">
        <f t="shared" si="2"/>
        <v>0</v>
      </c>
      <c r="Z36" s="103">
        <f t="shared" si="3"/>
        <v>0</v>
      </c>
    </row>
    <row r="37" spans="1:26" x14ac:dyDescent="0.25">
      <c r="A37" s="190" t="s">
        <v>117</v>
      </c>
      <c r="B37" s="190"/>
      <c r="C37" s="190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0">
        <f t="shared" si="8"/>
        <v>2019</v>
      </c>
      <c r="E37" s="188" t="s">
        <v>23</v>
      </c>
      <c r="F37" s="191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8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1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5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0">
        <f t="shared" si="9"/>
        <v>4922001.9803787302</v>
      </c>
      <c r="O37" s="191">
        <f t="shared" si="1"/>
        <v>0</v>
      </c>
      <c r="P37" s="201">
        <f t="shared" si="10"/>
        <v>0</v>
      </c>
      <c r="Q37" s="188">
        <f>IFERROR(VLOOKUP(A37,[1]Energiindhold!$A$2:$C$11,3,FALSE),IFERROR(VLOOKUP(A37,[1]Biogasudbytte!$A$2:$B$18,2,FALSE)*[1]Energiindhold!$C$10,0))*O37</f>
        <v>0</v>
      </c>
      <c r="R37" s="188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8">
        <f>IFERROR(VLOOKUP(A37,[1]Biogasudbytte!$A$2:$B$18,2,FALSE)*[1]Energiindhold!$C$10,0)*J37*IFERROR(VLOOKUP(A37,Biogasanlæg!$F$3:$G$8,2,FALSE),1)</f>
        <v>0</v>
      </c>
      <c r="T37" s="189">
        <f t="shared" si="11"/>
        <v>0</v>
      </c>
      <c r="U37" s="187">
        <f>O37*IFERROR(VLOOKUP(A37,[1]Tørstofindhold!A$2:B$24,2,FALSE),0)</f>
        <v>0</v>
      </c>
      <c r="V37" s="188">
        <f>IF(D37=År1,P37,SUM(O37,P37))*IFERROR(VLOOKUP(A37,[1]Tørstofindhold!A$2:B$24,2,FALSE),0)</f>
        <v>0</v>
      </c>
      <c r="W37" s="188">
        <f>J37*IFERROR(VLOOKUP(A37,[1]Tørstofindhold!A$2:B$24,2,FALSE),0)</f>
        <v>0</v>
      </c>
      <c r="X37" s="189">
        <f t="shared" si="12"/>
        <v>0</v>
      </c>
      <c r="Y37" s="169">
        <f t="shared" si="2"/>
        <v>0</v>
      </c>
      <c r="Z37" s="103">
        <f t="shared" si="3"/>
        <v>1</v>
      </c>
    </row>
    <row r="38" spans="1:26" x14ac:dyDescent="0.25">
      <c r="A38" s="188" t="s">
        <v>50</v>
      </c>
      <c r="B38" s="190"/>
      <c r="C38" s="190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0">
        <f t="shared" si="8"/>
        <v>2019</v>
      </c>
      <c r="E38" s="188" t="s">
        <v>23</v>
      </c>
      <c r="F38" s="191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8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1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5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0">
        <f t="shared" si="9"/>
        <v>0</v>
      </c>
      <c r="O38" s="191">
        <f t="shared" si="1"/>
        <v>0</v>
      </c>
      <c r="P38" s="201">
        <f t="shared" si="10"/>
        <v>0</v>
      </c>
      <c r="Q38" s="188">
        <f>IFERROR(VLOOKUP(A38,[1]Energiindhold!$A$2:$C$11,3,FALSE),IFERROR(VLOOKUP(A38,[1]Biogasudbytte!$A$2:$B$18,2,FALSE)*[1]Energiindhold!$C$10,0))*O38</f>
        <v>0</v>
      </c>
      <c r="R38" s="188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8">
        <f>IFERROR(VLOOKUP(A38,[1]Biogasudbytte!$A$2:$B$18,2,FALSE)*[1]Energiindhold!$C$10,0)*J38*IFERROR(VLOOKUP(A38,Biogasanlæg!$F$3:$G$8,2,FALSE),1)</f>
        <v>0</v>
      </c>
      <c r="T38" s="189">
        <f t="shared" si="11"/>
        <v>0</v>
      </c>
      <c r="U38" s="187">
        <f>O38*IFERROR(VLOOKUP(A38,[1]Tørstofindhold!A$2:B$24,2,FALSE),0)</f>
        <v>0</v>
      </c>
      <c r="V38" s="188">
        <f>IF(D38=År1,P38,SUM(O38,P38))*IFERROR(VLOOKUP(A38,[1]Tørstofindhold!A$2:B$24,2,FALSE),0)</f>
        <v>0</v>
      </c>
      <c r="W38" s="188">
        <f>J38*IFERROR(VLOOKUP(A38,[1]Tørstofindhold!A$2:B$24,2,FALSE),0)</f>
        <v>0</v>
      </c>
      <c r="X38" s="189">
        <f t="shared" si="12"/>
        <v>0</v>
      </c>
      <c r="Y38" s="169">
        <f t="shared" si="2"/>
        <v>0</v>
      </c>
      <c r="Z38" s="103">
        <f t="shared" si="3"/>
        <v>0</v>
      </c>
    </row>
    <row r="39" spans="1:26" x14ac:dyDescent="0.25">
      <c r="A39" s="188" t="s">
        <v>238</v>
      </c>
      <c r="B39" s="190"/>
      <c r="C39" s="190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0">
        <f t="shared" si="8"/>
        <v>2019</v>
      </c>
      <c r="E39" s="188" t="s">
        <v>23</v>
      </c>
      <c r="F39" s="191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8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1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5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0">
        <f t="shared" si="9"/>
        <v>28317.736356098671</v>
      </c>
      <c r="O39" s="191">
        <f t="shared" si="1"/>
        <v>0</v>
      </c>
      <c r="P39" s="201">
        <f t="shared" si="10"/>
        <v>0</v>
      </c>
      <c r="Q39" s="188">
        <f>IFERROR(VLOOKUP(A39,[1]Energiindhold!$A$2:$C$11,3,FALSE),IFERROR(VLOOKUP(A39,[1]Biogasudbytte!$A$2:$B$18,2,FALSE)*[1]Energiindhold!$C$10,0))*O39</f>
        <v>0</v>
      </c>
      <c r="R39" s="188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8">
        <f>IFERROR(VLOOKUP(A39,[1]Biogasudbytte!$A$2:$B$18,2,FALSE)*[1]Energiindhold!$C$10,0)*J39*IFERROR(VLOOKUP(A39,Biogasanlæg!$F$3:$G$8,2,FALSE),1)</f>
        <v>0</v>
      </c>
      <c r="T39" s="189">
        <f t="shared" si="11"/>
        <v>0</v>
      </c>
      <c r="U39" s="187">
        <f>O39*IFERROR(VLOOKUP(A39,[1]Tørstofindhold!A$2:B$24,2,FALSE),0)</f>
        <v>0</v>
      </c>
      <c r="V39" s="188">
        <f>IF(D39=År1,P39,SUM(O39,P39))*IFERROR(VLOOKUP(A39,[1]Tørstofindhold!A$2:B$24,2,FALSE),0)</f>
        <v>0</v>
      </c>
      <c r="W39" s="188">
        <f>J39*IFERROR(VLOOKUP(A39,[1]Tørstofindhold!A$2:B$24,2,FALSE),0)</f>
        <v>0</v>
      </c>
      <c r="X39" s="189">
        <f t="shared" si="12"/>
        <v>0</v>
      </c>
      <c r="Y39" s="169">
        <f t="shared" si="2"/>
        <v>0</v>
      </c>
      <c r="Z39" s="103">
        <f t="shared" si="3"/>
        <v>1</v>
      </c>
    </row>
    <row r="40" spans="1:26" x14ac:dyDescent="0.25">
      <c r="A40" s="188" t="s">
        <v>231</v>
      </c>
      <c r="B40" s="190" t="s">
        <v>231</v>
      </c>
      <c r="C40" s="190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0">
        <f t="shared" si="8"/>
        <v>2019</v>
      </c>
      <c r="E40" s="188" t="s">
        <v>23</v>
      </c>
      <c r="F40" s="191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8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1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5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0">
        <f t="shared" si="9"/>
        <v>0</v>
      </c>
      <c r="O40" s="191">
        <f t="shared" si="1"/>
        <v>0</v>
      </c>
      <c r="P40" s="201">
        <f t="shared" si="10"/>
        <v>80676.325166481722</v>
      </c>
      <c r="Q40" s="188">
        <f>IFERROR(VLOOKUP(A40,[1]Energiindhold!$A$2:$C$11,3,FALSE),IFERROR(VLOOKUP(A40,[1]Biogasudbytte!$A$2:$B$18,2,FALSE)*[1]Energiindhold!$C$10,0))*O40</f>
        <v>0</v>
      </c>
      <c r="R40" s="188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8">
        <f>IFERROR(VLOOKUP(A40,[1]Biogasudbytte!$A$2:$B$18,2,FALSE)*[1]Energiindhold!$C$10,0)*J40*IFERROR(VLOOKUP(A40,Biogasanlæg!$F$3:$G$8,2,FALSE),1)</f>
        <v>0</v>
      </c>
      <c r="T40" s="189">
        <f t="shared" si="11"/>
        <v>2.8236713808268599</v>
      </c>
      <c r="U40" s="187">
        <f>O40*IFERROR(VLOOKUP(A40,[1]Tørstofindhold!A$2:B$24,2,FALSE),0)</f>
        <v>0</v>
      </c>
      <c r="V40" s="188">
        <f>IF(D40=År1,P40,SUM(O40,P40))*IFERROR(VLOOKUP(A40,[1]Tørstofindhold!A$2:B$24,2,FALSE),0)</f>
        <v>0</v>
      </c>
      <c r="W40" s="188">
        <f>J40*IFERROR(VLOOKUP(A40,[1]Tørstofindhold!A$2:B$24,2,FALSE),0)</f>
        <v>0</v>
      </c>
      <c r="X40" s="189">
        <f t="shared" si="12"/>
        <v>0</v>
      </c>
      <c r="Y40" s="169">
        <f t="shared" si="2"/>
        <v>0</v>
      </c>
      <c r="Z40" s="103">
        <f t="shared" si="3"/>
        <v>0</v>
      </c>
    </row>
    <row r="41" spans="1:26" x14ac:dyDescent="0.25">
      <c r="A41" s="188" t="s">
        <v>52</v>
      </c>
      <c r="B41" s="190" t="s">
        <v>224</v>
      </c>
      <c r="C41" s="190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0">
        <f t="shared" si="8"/>
        <v>2019</v>
      </c>
      <c r="E41" s="188" t="s">
        <v>23</v>
      </c>
      <c r="F41" s="191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8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1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5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0">
        <f t="shared" si="9"/>
        <v>-468819.27146385383</v>
      </c>
      <c r="O41" s="191">
        <f t="shared" si="1"/>
        <v>0</v>
      </c>
      <c r="P41" s="201">
        <f t="shared" si="10"/>
        <v>4101.0489241972273</v>
      </c>
      <c r="Q41" s="188">
        <f>IFERROR(VLOOKUP(A41,[1]Energiindhold!$A$2:$C$11,3,FALSE),IFERROR(VLOOKUP(A41,[1]Biogasudbytte!$A$2:$B$18,2,FALSE)*[1]Energiindhold!$C$10,0))*O41</f>
        <v>0</v>
      </c>
      <c r="R41" s="188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8">
        <f>IFERROR(VLOOKUP(A41,[1]Biogasudbytte!$A$2:$B$18,2,FALSE)*[1]Energiindhold!$C$10,0)*J41*IFERROR(VLOOKUP(A41,Biogasanlæg!$F$3:$G$8,2,FALSE),1)</f>
        <v>1.1130410822228242E-2</v>
      </c>
      <c r="T41" s="189">
        <f t="shared" si="11"/>
        <v>0</v>
      </c>
      <c r="U41" s="187">
        <f>O41*IFERROR(VLOOKUP(A41,[1]Tørstofindhold!A$2:B$24,2,FALSE),0)</f>
        <v>0</v>
      </c>
      <c r="V41" s="188">
        <f>IF(D41=År1,P41,SUM(O41,P41))*IFERROR(VLOOKUP(A41,[1]Tørstofindhold!A$2:B$24,2,FALSE),0)</f>
        <v>820.20978483944555</v>
      </c>
      <c r="W41" s="188">
        <f>J41*IFERROR(VLOOKUP(A41,[1]Tørstofindhold!A$2:B$24,2,FALSE),0)</f>
        <v>820.20978483944555</v>
      </c>
      <c r="X41" s="189">
        <f t="shared" si="12"/>
        <v>0</v>
      </c>
      <c r="Y41" s="169">
        <f t="shared" si="2"/>
        <v>0</v>
      </c>
      <c r="Z41" s="103">
        <f t="shared" si="3"/>
        <v>1</v>
      </c>
    </row>
    <row r="42" spans="1:26" x14ac:dyDescent="0.25">
      <c r="A42" s="188" t="s">
        <v>121</v>
      </c>
      <c r="B42" s="190"/>
      <c r="C42" s="190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0">
        <f t="shared" si="8"/>
        <v>2019</v>
      </c>
      <c r="E42" s="188" t="s">
        <v>23</v>
      </c>
      <c r="F42" s="191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8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1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5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0">
        <f t="shared" si="9"/>
        <v>193830.89221723122</v>
      </c>
      <c r="O42" s="191">
        <f t="shared" si="1"/>
        <v>0</v>
      </c>
      <c r="P42" s="201">
        <f t="shared" si="10"/>
        <v>0</v>
      </c>
      <c r="Q42" s="188">
        <f>IFERROR(VLOOKUP(A42,[1]Energiindhold!$A$2:$C$11,3,FALSE),IFERROR(VLOOKUP(A42,[1]Biogasudbytte!$A$2:$B$18,2,FALSE)*[1]Energiindhold!$C$10,0))*O42</f>
        <v>0</v>
      </c>
      <c r="R42" s="188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8">
        <f>IFERROR(VLOOKUP(A42,[1]Biogasudbytte!$A$2:$B$18,2,FALSE)*[1]Energiindhold!$C$10,0)*J42*IFERROR(VLOOKUP(A42,Biogasanlæg!$F$3:$G$8,2,FALSE),1)</f>
        <v>0</v>
      </c>
      <c r="T42" s="189">
        <f t="shared" si="11"/>
        <v>0</v>
      </c>
      <c r="U42" s="187">
        <f>O42*IFERROR(VLOOKUP(A42,[1]Tørstofindhold!A$2:B$24,2,FALSE),0)</f>
        <v>0</v>
      </c>
      <c r="V42" s="188">
        <f>IF(D42=År1,P42,SUM(O42,P42))*IFERROR(VLOOKUP(A42,[1]Tørstofindhold!A$2:B$24,2,FALSE),0)</f>
        <v>0</v>
      </c>
      <c r="W42" s="188">
        <f>J42*IFERROR(VLOOKUP(A42,[1]Tørstofindhold!A$2:B$24,2,FALSE),0)</f>
        <v>0</v>
      </c>
      <c r="X42" s="189">
        <f t="shared" si="12"/>
        <v>0</v>
      </c>
      <c r="Y42" s="169">
        <f t="shared" si="2"/>
        <v>0</v>
      </c>
      <c r="Z42" s="103">
        <f t="shared" si="3"/>
        <v>1</v>
      </c>
    </row>
    <row r="43" spans="1:26" x14ac:dyDescent="0.25">
      <c r="A43" s="188" t="s">
        <v>107</v>
      </c>
      <c r="B43" s="190"/>
      <c r="C43" s="190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0">
        <f t="shared" si="8"/>
        <v>2019</v>
      </c>
      <c r="E43" s="188" t="s">
        <v>23</v>
      </c>
      <c r="F43" s="191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8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1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5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0">
        <f t="shared" si="9"/>
        <v>91860.340866184866</v>
      </c>
      <c r="O43" s="191">
        <f t="shared" si="1"/>
        <v>0</v>
      </c>
      <c r="P43" s="201">
        <f t="shared" si="10"/>
        <v>0</v>
      </c>
      <c r="Q43" s="188">
        <f>IFERROR(VLOOKUP(A43,[1]Energiindhold!$A$2:$C$11,3,FALSE),IFERROR(VLOOKUP(A43,[1]Biogasudbytte!$A$2:$B$18,2,FALSE)*[1]Energiindhold!$C$10,0))*O43</f>
        <v>0</v>
      </c>
      <c r="R43" s="188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8">
        <f>IFERROR(VLOOKUP(A43,[1]Biogasudbytte!$A$2:$B$18,2,FALSE)*[1]Energiindhold!$C$10,0)*J43*IFERROR(VLOOKUP(A43,Biogasanlæg!$F$3:$G$8,2,FALSE),1)</f>
        <v>0</v>
      </c>
      <c r="T43" s="189">
        <f t="shared" si="11"/>
        <v>0</v>
      </c>
      <c r="U43" s="187">
        <f>O43*IFERROR(VLOOKUP(A43,[1]Tørstofindhold!A$2:B$24,2,FALSE),0)</f>
        <v>0</v>
      </c>
      <c r="V43" s="188">
        <f>IF(D43=År1,P43,SUM(O43,P43))*IFERROR(VLOOKUP(A43,[1]Tørstofindhold!A$2:B$24,2,FALSE),0)</f>
        <v>0</v>
      </c>
      <c r="W43" s="188">
        <f>J43*IFERROR(VLOOKUP(A43,[1]Tørstofindhold!A$2:B$24,2,FALSE),0)</f>
        <v>0</v>
      </c>
      <c r="X43" s="189">
        <f t="shared" si="12"/>
        <v>0</v>
      </c>
      <c r="Y43" s="169">
        <f t="shared" si="2"/>
        <v>0</v>
      </c>
      <c r="Z43" s="103">
        <f t="shared" si="3"/>
        <v>1</v>
      </c>
    </row>
    <row r="44" spans="1:26" x14ac:dyDescent="0.25">
      <c r="A44" s="190" t="s">
        <v>140</v>
      </c>
      <c r="B44" s="190" t="s">
        <v>230</v>
      </c>
      <c r="C44" s="190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0">
        <f t="shared" si="8"/>
        <v>2019</v>
      </c>
      <c r="E44" s="188" t="s">
        <v>23</v>
      </c>
      <c r="F44" s="191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8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1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5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0">
        <f t="shared" si="9"/>
        <v>2390013.9527756004</v>
      </c>
      <c r="O44" s="191">
        <f t="shared" si="1"/>
        <v>2390013.9527756004</v>
      </c>
      <c r="P44" s="201">
        <f t="shared" si="10"/>
        <v>1460182.5874658169</v>
      </c>
      <c r="Q44" s="188">
        <f>IFERROR(VLOOKUP(A44,[1]Energiindhold!$A$2:$C$11,3,FALSE),IFERROR(VLOOKUP(A44,[1]Biogasudbytte!$A$2:$B$18,2,FALSE)*[1]Energiindhold!$C$10,0))*O44</f>
        <v>1.1926408625745526</v>
      </c>
      <c r="R44" s="188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8">
        <f>IFERROR(VLOOKUP(A44,[1]Biogasudbytte!$A$2:$B$18,2,FALSE)*[1]Energiindhold!$C$10,0)*J44*IFERROR(VLOOKUP(A44,Biogasanlæg!$F$3:$G$8,2,FALSE),1)</f>
        <v>0.72864571297131742</v>
      </c>
      <c r="T44" s="189">
        <f t="shared" si="11"/>
        <v>0</v>
      </c>
      <c r="U44" s="187">
        <f>O44*IFERROR(VLOOKUP(A44,[1]Tørstofindhold!A$2:B$24,2,FALSE),0)</f>
        <v>143400.83716653602</v>
      </c>
      <c r="V44" s="188">
        <f>IF(D44=År1,P44,SUM(O44,P44))*IFERROR(VLOOKUP(A44,[1]Tørstofindhold!A$2:B$24,2,FALSE),0)</f>
        <v>87610.955247949008</v>
      </c>
      <c r="W44" s="188">
        <f>J44*IFERROR(VLOOKUP(A44,[1]Tørstofindhold!A$2:B$24,2,FALSE),0)</f>
        <v>87610.955247949008</v>
      </c>
      <c r="X44" s="189">
        <f t="shared" si="12"/>
        <v>0</v>
      </c>
      <c r="Y44" s="169">
        <f t="shared" si="2"/>
        <v>0</v>
      </c>
      <c r="Z44" s="103">
        <f t="shared" si="3"/>
        <v>1</v>
      </c>
    </row>
    <row r="45" spans="1:26" x14ac:dyDescent="0.25">
      <c r="A45" s="190" t="s">
        <v>135</v>
      </c>
      <c r="B45" s="190" t="s">
        <v>222</v>
      </c>
      <c r="C45" s="190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0">
        <f t="shared" si="8"/>
        <v>2019</v>
      </c>
      <c r="E45" s="188" t="s">
        <v>23</v>
      </c>
      <c r="F45" s="191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8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1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5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0">
        <f t="shared" si="9"/>
        <v>0</v>
      </c>
      <c r="O45" s="191">
        <f t="shared" si="1"/>
        <v>0</v>
      </c>
      <c r="P45" s="201">
        <f t="shared" si="10"/>
        <v>2534442.072977222</v>
      </c>
      <c r="Q45" s="188">
        <f>IFERROR(VLOOKUP(A45,[1]Energiindhold!$A$2:$C$11,3,FALSE),IFERROR(VLOOKUP(A45,[1]Biogasudbytte!$A$2:$B$18,2,FALSE)*[1]Energiindhold!$C$10,0))*O45</f>
        <v>0</v>
      </c>
      <c r="R45" s="188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8">
        <f>IFERROR(VLOOKUP(A45,[1]Biogasudbytte!$A$2:$B$18,2,FALSE)*[1]Energiindhold!$C$10,0)*J45*IFERROR(VLOOKUP(A45,Biogasanlæg!$F$3:$G$8,2,FALSE),1)</f>
        <v>1.0918376450385874</v>
      </c>
      <c r="T45" s="189">
        <f t="shared" si="11"/>
        <v>0</v>
      </c>
      <c r="U45" s="187">
        <f>O45*IFERROR(VLOOKUP(A45,[1]Tørstofindhold!A$2:B$24,2,FALSE),0)</f>
        <v>0</v>
      </c>
      <c r="V45" s="188">
        <f>IF(D45=År1,P45,SUM(O45,P45))*IFERROR(VLOOKUP(A45,[1]Tørstofindhold!A$2:B$24,2,FALSE),0)</f>
        <v>126722.10364886111</v>
      </c>
      <c r="W45" s="188">
        <f>J45*IFERROR(VLOOKUP(A45,[1]Tørstofindhold!A$2:B$24,2,FALSE),0)</f>
        <v>126722.10364886111</v>
      </c>
      <c r="X45" s="189">
        <f t="shared" si="12"/>
        <v>0</v>
      </c>
      <c r="Y45" s="169">
        <f t="shared" si="2"/>
        <v>0</v>
      </c>
      <c r="Z45" s="103">
        <f t="shared" si="3"/>
        <v>0</v>
      </c>
    </row>
    <row r="46" spans="1:26" x14ac:dyDescent="0.25">
      <c r="A46" s="190" t="s">
        <v>13</v>
      </c>
      <c r="B46" s="190"/>
      <c r="C46" s="190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0">
        <f t="shared" si="8"/>
        <v>2019</v>
      </c>
      <c r="E46" s="188" t="s">
        <v>23</v>
      </c>
      <c r="F46" s="191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8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1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5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0">
        <f t="shared" si="9"/>
        <v>1276456.3476501952</v>
      </c>
      <c r="O46" s="191">
        <f t="shared" si="1"/>
        <v>0</v>
      </c>
      <c r="P46" s="201">
        <f t="shared" si="10"/>
        <v>0</v>
      </c>
      <c r="Q46" s="188">
        <f>IFERROR(VLOOKUP(A46,[1]Energiindhold!$A$2:$C$11,3,FALSE),IFERROR(VLOOKUP(A46,[1]Biogasudbytte!$A$2:$B$18,2,FALSE)*[1]Energiindhold!$C$10,0))*O46</f>
        <v>0</v>
      </c>
      <c r="R46" s="188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8">
        <f>IFERROR(VLOOKUP(A46,[1]Biogasudbytte!$A$2:$B$18,2,FALSE)*[1]Energiindhold!$C$10,0)*J46*IFERROR(VLOOKUP(A46,Biogasanlæg!$F$3:$G$8,2,FALSE),1)</f>
        <v>0</v>
      </c>
      <c r="T46" s="189">
        <f t="shared" si="11"/>
        <v>0</v>
      </c>
      <c r="U46" s="187">
        <f>O46*IFERROR(VLOOKUP(A46,[1]Tørstofindhold!A$2:B$24,2,FALSE),0)</f>
        <v>0</v>
      </c>
      <c r="V46" s="188">
        <f>IF(D46=År1,P46,SUM(O46,P46))*IFERROR(VLOOKUP(A46,[1]Tørstofindhold!A$2:B$24,2,FALSE),0)</f>
        <v>0</v>
      </c>
      <c r="W46" s="188">
        <f>J46*IFERROR(VLOOKUP(A46,[1]Tørstofindhold!A$2:B$24,2,FALSE),0)</f>
        <v>0</v>
      </c>
      <c r="X46" s="189">
        <f t="shared" si="12"/>
        <v>0</v>
      </c>
      <c r="Y46" s="169">
        <f t="shared" si="2"/>
        <v>0</v>
      </c>
      <c r="Z46" s="103">
        <f t="shared" si="3"/>
        <v>1</v>
      </c>
    </row>
    <row r="47" spans="1:26" x14ac:dyDescent="0.25">
      <c r="A47" s="190" t="s">
        <v>99</v>
      </c>
      <c r="B47" s="190" t="s">
        <v>226</v>
      </c>
      <c r="C47" s="190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0">
        <f t="shared" si="8"/>
        <v>2019</v>
      </c>
      <c r="E47" s="188" t="s">
        <v>23</v>
      </c>
      <c r="F47" s="191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8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1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5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0">
        <f t="shared" si="9"/>
        <v>76.5</v>
      </c>
      <c r="O47" s="191">
        <f t="shared" si="1"/>
        <v>76.5</v>
      </c>
      <c r="P47" s="201">
        <f t="shared" si="10"/>
        <v>0</v>
      </c>
      <c r="Q47" s="188">
        <f>IFERROR(VLOOKUP(A47,[1]Energiindhold!$A$2:$C$11,3,FALSE),IFERROR(VLOOKUP(A47,[1]Biogasudbytte!$A$2:$B$18,2,FALSE)*[1]Energiindhold!$C$10,0))*O47</f>
        <v>6.8658750000000004E-5</v>
      </c>
      <c r="R47" s="188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8">
        <f>IFERROR(VLOOKUP(A47,[1]Biogasudbytte!$A$2:$B$18,2,FALSE)*[1]Energiindhold!$C$10,0)*J47*IFERROR(VLOOKUP(A47,Biogasanlæg!$F$3:$G$8,2,FALSE),1)</f>
        <v>0</v>
      </c>
      <c r="T47" s="189">
        <f t="shared" si="11"/>
        <v>0</v>
      </c>
      <c r="U47" s="187">
        <f>O47*IFERROR(VLOOKUP(A47,[1]Tørstofindhold!A$2:B$24,2,FALSE),0)</f>
        <v>11.475</v>
      </c>
      <c r="V47" s="188">
        <f>IF(D47=År1,P47,SUM(O47,P47))*IFERROR(VLOOKUP(A47,[1]Tørstofindhold!A$2:B$24,2,FALSE),0)</f>
        <v>0</v>
      </c>
      <c r="W47" s="188">
        <f>J47*IFERROR(VLOOKUP(A47,[1]Tørstofindhold!A$2:B$24,2,FALSE),0)</f>
        <v>0</v>
      </c>
      <c r="X47" s="189">
        <f t="shared" si="12"/>
        <v>0</v>
      </c>
      <c r="Y47" s="169">
        <f t="shared" si="2"/>
        <v>0</v>
      </c>
      <c r="Z47" s="103">
        <f t="shared" si="3"/>
        <v>1</v>
      </c>
    </row>
    <row r="48" spans="1:26" x14ac:dyDescent="0.25">
      <c r="A48" s="190" t="s">
        <v>104</v>
      </c>
      <c r="B48" s="190"/>
      <c r="C48" s="190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0">
        <f t="shared" si="8"/>
        <v>2019</v>
      </c>
      <c r="E48" s="188" t="s">
        <v>23</v>
      </c>
      <c r="F48" s="191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8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1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5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0">
        <f t="shared" si="9"/>
        <v>0</v>
      </c>
      <c r="O48" s="191">
        <f t="shared" si="1"/>
        <v>0</v>
      </c>
      <c r="P48" s="201">
        <f t="shared" si="10"/>
        <v>0</v>
      </c>
      <c r="Q48" s="188">
        <f>IFERROR(VLOOKUP(A48,[1]Energiindhold!$A$2:$C$11,3,FALSE),IFERROR(VLOOKUP(A48,[1]Biogasudbytte!$A$2:$B$18,2,FALSE)*[1]Energiindhold!$C$10,0))*O48</f>
        <v>0</v>
      </c>
      <c r="R48" s="188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8">
        <f>IFERROR(VLOOKUP(A48,[1]Biogasudbytte!$A$2:$B$18,2,FALSE)*[1]Energiindhold!$C$10,0)*J48*IFERROR(VLOOKUP(A48,Biogasanlæg!$F$3:$G$8,2,FALSE),1)</f>
        <v>0</v>
      </c>
      <c r="T48" s="189">
        <f t="shared" si="11"/>
        <v>0</v>
      </c>
      <c r="U48" s="187">
        <f>O48*IFERROR(VLOOKUP(A48,[1]Tørstofindhold!A$2:B$24,2,FALSE),0)</f>
        <v>0</v>
      </c>
      <c r="V48" s="188">
        <f>IF(D48=År1,P48,SUM(O48,P48))*IFERROR(VLOOKUP(A48,[1]Tørstofindhold!A$2:B$24,2,FALSE),0)</f>
        <v>0</v>
      </c>
      <c r="W48" s="188">
        <f>J48*IFERROR(VLOOKUP(A48,[1]Tørstofindhold!A$2:B$24,2,FALSE),0)</f>
        <v>0</v>
      </c>
      <c r="X48" s="189">
        <f t="shared" si="12"/>
        <v>0</v>
      </c>
      <c r="Y48" s="169">
        <f t="shared" si="2"/>
        <v>0</v>
      </c>
      <c r="Z48" s="103">
        <f t="shared" si="3"/>
        <v>0</v>
      </c>
    </row>
    <row r="49" spans="1:26" x14ac:dyDescent="0.25">
      <c r="A49" s="190" t="s">
        <v>119</v>
      </c>
      <c r="B49" s="190" t="s">
        <v>225</v>
      </c>
      <c r="C49" s="190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0">
        <f t="shared" si="8"/>
        <v>2019</v>
      </c>
      <c r="E49" s="188" t="s">
        <v>23</v>
      </c>
      <c r="F49" s="191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8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1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5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0">
        <f t="shared" ca="1" si="9"/>
        <v>0</v>
      </c>
      <c r="O49" s="191">
        <f t="shared" ca="1" si="1"/>
        <v>0</v>
      </c>
      <c r="P49" s="201">
        <f t="shared" ca="1" si="10"/>
        <v>2328635.6388303456</v>
      </c>
      <c r="Q49" s="188">
        <f ca="1">IFERROR(VLOOKUP(A49,[1]Energiindhold!$A$2:$C$11,3,FALSE),IFERROR(VLOOKUP(A49,[1]Biogasudbytte!$A$2:$B$18,2,FALSE)*[1]Energiindhold!$C$10,0))*O49</f>
        <v>0</v>
      </c>
      <c r="R49" s="188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8">
        <f>IFERROR(VLOOKUP(A49,[1]Biogasudbytte!$A$2:$B$18,2,FALSE)*[1]Energiindhold!$C$10,0)*J49*IFERROR(VLOOKUP(A49,Biogasanlæg!$F$3:$G$8,2,FALSE),1)</f>
        <v>0</v>
      </c>
      <c r="T49" s="189">
        <f t="shared" ca="1" si="11"/>
        <v>33.750241076188566</v>
      </c>
      <c r="U49" s="187">
        <f ca="1">O49*IFERROR(VLOOKUP(A49,[1]Tørstofindhold!A$2:B$24,2,FALSE),0)</f>
        <v>0</v>
      </c>
      <c r="V49" s="188">
        <f ca="1">IF(D49=År1,P49,SUM(O49,P49))*IFERROR(VLOOKUP(A49,[1]Tørstofindhold!A$2:B$24,2,FALSE),0)</f>
        <v>1151704.3763715085</v>
      </c>
      <c r="W49" s="188">
        <f>J49*IFERROR(VLOOKUP(A49,[1]Tørstofindhold!A$2:B$24,2,FALSE),0)</f>
        <v>0</v>
      </c>
      <c r="X49" s="189">
        <f t="shared" ca="1" si="12"/>
        <v>1151704.3763715085</v>
      </c>
      <c r="Y49" s="169">
        <f t="shared" ca="1" si="2"/>
        <v>0</v>
      </c>
      <c r="Z49" s="103">
        <f t="shared" ca="1" si="3"/>
        <v>0</v>
      </c>
    </row>
    <row r="50" spans="1:26" x14ac:dyDescent="0.25">
      <c r="A50" s="190" t="s">
        <v>118</v>
      </c>
      <c r="B50" s="190"/>
      <c r="C50" s="190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0">
        <f t="shared" si="8"/>
        <v>2019</v>
      </c>
      <c r="E50" s="188" t="s">
        <v>23</v>
      </c>
      <c r="F50" s="191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8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1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5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0">
        <f t="shared" si="9"/>
        <v>0</v>
      </c>
      <c r="O50" s="191">
        <f t="shared" si="1"/>
        <v>0</v>
      </c>
      <c r="P50" s="201">
        <f t="shared" si="10"/>
        <v>0</v>
      </c>
      <c r="Q50" s="188">
        <f>IFERROR(VLOOKUP(A50,[1]Energiindhold!$A$2:$C$11,3,FALSE),IFERROR(VLOOKUP(A50,[1]Biogasudbytte!$A$2:$B$18,2,FALSE)*[1]Energiindhold!$C$10,0))*O50</f>
        <v>0</v>
      </c>
      <c r="R50" s="188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8">
        <f>IFERROR(VLOOKUP(A50,[1]Biogasudbytte!$A$2:$B$18,2,FALSE)*[1]Energiindhold!$C$10,0)*J50*IFERROR(VLOOKUP(A50,Biogasanlæg!$F$3:$G$8,2,FALSE),1)</f>
        <v>0</v>
      </c>
      <c r="T50" s="189">
        <f t="shared" si="11"/>
        <v>0</v>
      </c>
      <c r="U50" s="187">
        <f>O50*IFERROR(VLOOKUP(A50,[1]Tørstofindhold!A$2:B$24,2,FALSE),0)</f>
        <v>0</v>
      </c>
      <c r="V50" s="188">
        <f>IF(D50=År1,P50,SUM(O50,P50))*IFERROR(VLOOKUP(A50,[1]Tørstofindhold!A$2:B$24,2,FALSE),0)</f>
        <v>0</v>
      </c>
      <c r="W50" s="188">
        <f>J50*IFERROR(VLOOKUP(A50,[1]Tørstofindhold!A$2:B$24,2,FALSE),0)</f>
        <v>0</v>
      </c>
      <c r="X50" s="189">
        <f t="shared" si="12"/>
        <v>0</v>
      </c>
      <c r="Y50" s="169">
        <f t="shared" ca="1" si="2"/>
        <v>0</v>
      </c>
      <c r="Z50" s="103">
        <f t="shared" ca="1" si="3"/>
        <v>0</v>
      </c>
    </row>
    <row r="51" spans="1:26" x14ac:dyDescent="0.25">
      <c r="A51" s="190" t="str">
        <f t="shared" ref="A51:A82" si="17">A3</f>
        <v>Æg</v>
      </c>
      <c r="B51" s="190" t="str">
        <f t="shared" ref="B51:B82" si="18">IF(B3&lt;&gt;"",B3,"")</f>
        <v/>
      </c>
      <c r="C51" s="190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0">
        <f t="shared" ref="D51:D98" si="19">År2</f>
        <v>2030</v>
      </c>
      <c r="E51" s="188" t="s">
        <v>23</v>
      </c>
      <c r="F51" s="191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203244.93784208916</v>
      </c>
      <c r="G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8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1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5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0">
        <f t="shared" si="9"/>
        <v>170665.1532890893</v>
      </c>
      <c r="O51" s="191">
        <f t="shared" si="1"/>
        <v>0</v>
      </c>
      <c r="P51" s="201">
        <f t="shared" si="10"/>
        <v>0</v>
      </c>
      <c r="Q51" s="188">
        <f>IFERROR(VLOOKUP(A51,[1]Energiindhold!$A$2:$C$11,3,FALSE),IFERROR(VLOOKUP(A51,[1]Biogasudbytte!$A$2:$B$18,2,FALSE)*[1]Energiindhold!$C$10,0))*O51</f>
        <v>0</v>
      </c>
      <c r="R51" s="188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8">
        <f>IFERROR(VLOOKUP(A51,[1]Biogasudbytte!$A$2:$B$18,2,FALSE)*[1]Energiindhold!$C$10,0)*J51*IFERROR(VLOOKUP(A51,Biogasanlæg!$F$3:$G$8,2,FALSE),1)</f>
        <v>0</v>
      </c>
      <c r="T51" s="189">
        <f t="shared" si="11"/>
        <v>0</v>
      </c>
      <c r="U51" s="187">
        <f>O51*IFERROR(VLOOKUP(A51,[1]Tørstofindhold!A$2:B$24,2,FALSE),0)</f>
        <v>0</v>
      </c>
      <c r="V51" s="188">
        <f>IF(D51=År1,P51,SUM(O51,P51))*IFERROR(VLOOKUP(A51,[1]Tørstofindhold!A$2:B$24,2,FALSE),0)</f>
        <v>0</v>
      </c>
      <c r="W51" s="188">
        <f>J51*IFERROR(VLOOKUP(A51,[1]Tørstofindhold!A$2:B$24,2,FALSE),0)</f>
        <v>0</v>
      </c>
      <c r="X51" s="189">
        <f t="shared" si="12"/>
        <v>0</v>
      </c>
      <c r="Y51" s="169">
        <f t="shared" si="2"/>
        <v>0</v>
      </c>
      <c r="Z51" s="103">
        <f t="shared" si="3"/>
        <v>1</v>
      </c>
    </row>
    <row r="52" spans="1:26" x14ac:dyDescent="0.25">
      <c r="A52" s="190" t="str">
        <f t="shared" si="17"/>
        <v>Bælgsæd</v>
      </c>
      <c r="B52" s="190" t="str">
        <f t="shared" si="18"/>
        <v/>
      </c>
      <c r="C52" s="190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0">
        <f t="shared" si="19"/>
        <v>2030</v>
      </c>
      <c r="E52" s="188" t="s">
        <v>23</v>
      </c>
      <c r="F52" s="191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213692.89158762878</v>
      </c>
      <c r="G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61054.422265523077</v>
      </c>
      <c r="H52" s="188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1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5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0">
        <f t="shared" si="9"/>
        <v>152638.4693221057</v>
      </c>
      <c r="O52" s="191">
        <f t="shared" si="1"/>
        <v>0</v>
      </c>
      <c r="P52" s="201">
        <f t="shared" si="10"/>
        <v>0</v>
      </c>
      <c r="Q52" s="188">
        <f>IFERROR(VLOOKUP(A52,[1]Energiindhold!$A$2:$C$11,3,FALSE),IFERROR(VLOOKUP(A52,[1]Biogasudbytte!$A$2:$B$18,2,FALSE)*[1]Energiindhold!$C$10,0))*O52</f>
        <v>0</v>
      </c>
      <c r="R52" s="188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8">
        <f>IFERROR(VLOOKUP(A52,[1]Biogasudbytte!$A$2:$B$18,2,FALSE)*[1]Energiindhold!$C$10,0)*J52*IFERROR(VLOOKUP(A52,Biogasanlæg!$F$3:$G$8,2,FALSE),1)</f>
        <v>0</v>
      </c>
      <c r="T52" s="189">
        <f t="shared" si="11"/>
        <v>0</v>
      </c>
      <c r="U52" s="187">
        <f>O52*IFERROR(VLOOKUP(A52,[1]Tørstofindhold!A$2:B$24,2,FALSE),0)</f>
        <v>0</v>
      </c>
      <c r="V52" s="188">
        <f>IF(D52=År1,P52,SUM(O52,P52))*IFERROR(VLOOKUP(A52,[1]Tørstofindhold!A$2:B$24,2,FALSE),0)</f>
        <v>0</v>
      </c>
      <c r="W52" s="188">
        <f>J52*IFERROR(VLOOKUP(A52,[1]Tørstofindhold!A$2:B$24,2,FALSE),0)</f>
        <v>0</v>
      </c>
      <c r="X52" s="189">
        <f t="shared" si="12"/>
        <v>0</v>
      </c>
      <c r="Y52" s="169">
        <f t="shared" si="2"/>
        <v>0</v>
      </c>
      <c r="Z52" s="103">
        <f t="shared" si="3"/>
        <v>1</v>
      </c>
    </row>
    <row r="53" spans="1:26" x14ac:dyDescent="0.25">
      <c r="A53" s="190" t="str">
        <f t="shared" si="17"/>
        <v>Bioaffald</v>
      </c>
      <c r="B53" s="190" t="str">
        <f t="shared" si="18"/>
        <v>Bionedbrydeligt affald</v>
      </c>
      <c r="C53" s="190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0">
        <f t="shared" si="19"/>
        <v>2030</v>
      </c>
      <c r="E53" s="188" t="s">
        <v>23</v>
      </c>
      <c r="F53" s="191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8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1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1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5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0">
        <f t="shared" ca="1" si="9"/>
        <v>-1.5144408156629652E-2</v>
      </c>
      <c r="O53" s="191">
        <f t="shared" ca="1" si="1"/>
        <v>0</v>
      </c>
      <c r="P53" s="201">
        <f t="shared" ca="1" si="10"/>
        <v>195082.24112879002</v>
      </c>
      <c r="Q53" s="188">
        <f ca="1">IFERROR(VLOOKUP(A53,[1]Energiindhold!$A$2:$C$11,3,FALSE),IFERROR(VLOOKUP(A53,[1]Biogasudbytte!$A$2:$B$18,2,FALSE)*[1]Energiindhold!$C$10,0))*O53</f>
        <v>0</v>
      </c>
      <c r="R53" s="188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8">
        <f ca="1">IFERROR(VLOOKUP(A53,[1]Biogasudbytte!$A$2:$B$18,2,FALSE)*[1]Energiindhold!$C$10,0)*J53*IFERROR(VLOOKUP(A53,Biogasanlæg!$F$3:$G$8,2,FALSE),1)</f>
        <v>0.6646276381240861</v>
      </c>
      <c r="T53" s="189">
        <f t="shared" ca="1" si="11"/>
        <v>0</v>
      </c>
      <c r="U53" s="187">
        <f ca="1">O53*IFERROR(VLOOKUP(A53,[1]Tørstofindhold!A$2:B$24,2,FALSE),0)</f>
        <v>0</v>
      </c>
      <c r="V53" s="188">
        <f ca="1">IF(D53=År1,P53,SUM(O53,P53))*IFERROR(VLOOKUP(A53,[1]Tørstofindhold!A$2:B$24,2,FALSE),0)</f>
        <v>54623.027516061207</v>
      </c>
      <c r="W53" s="188">
        <f ca="1">J53*IFERROR(VLOOKUP(A53,[1]Tørstofindhold!A$2:B$24,2,FALSE),0)</f>
        <v>54623.027516061207</v>
      </c>
      <c r="X53" s="189">
        <f t="shared" ca="1" si="12"/>
        <v>0</v>
      </c>
      <c r="Y53" s="169">
        <f t="shared" ca="1" si="2"/>
        <v>1</v>
      </c>
      <c r="Z53" s="103">
        <f t="shared" ca="1" si="3"/>
        <v>0</v>
      </c>
    </row>
    <row r="54" spans="1:26" x14ac:dyDescent="0.25">
      <c r="A54" s="190" t="str">
        <f t="shared" si="17"/>
        <v>Biogas</v>
      </c>
      <c r="B54" s="190" t="str">
        <f t="shared" si="18"/>
        <v/>
      </c>
      <c r="C54" s="190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0">
        <f t="shared" si="19"/>
        <v>2030</v>
      </c>
      <c r="E54" s="188" t="s">
        <v>23</v>
      </c>
      <c r="F54" s="191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490930075.51985109</v>
      </c>
      <c r="G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8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1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490930075.51985109</v>
      </c>
      <c r="M54" s="155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0">
        <f t="shared" ca="1" si="9"/>
        <v>0</v>
      </c>
      <c r="O54" s="191">
        <f t="shared" ca="1" si="1"/>
        <v>0</v>
      </c>
      <c r="P54" s="201">
        <f t="shared" ca="1" si="10"/>
        <v>490930075.51985109</v>
      </c>
      <c r="Q54" s="188">
        <f ca="1">IFERROR(VLOOKUP(A54,[1]Energiindhold!$A$2:$C$11,3,FALSE),IFERROR(VLOOKUP(A54,[1]Biogasudbytte!$A$2:$B$18,2,FALSE)*[1]Energiindhold!$C$10,0))*O54</f>
        <v>0</v>
      </c>
      <c r="R54" s="188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8">
        <f>IFERROR(VLOOKUP(A54,[1]Biogasudbytte!$A$2:$B$18,2,FALSE)*[1]Energiindhold!$C$10,0)*J54*IFERROR(VLOOKUP(A54,Biogasanlæg!$F$3:$G$8,2,FALSE),1)</f>
        <v>0</v>
      </c>
      <c r="T54" s="189">
        <f t="shared" si="11"/>
        <v>0</v>
      </c>
      <c r="U54" s="187">
        <f ca="1">O54*IFERROR(VLOOKUP(A54,[1]Tørstofindhold!A$2:B$24,2,FALSE),0)</f>
        <v>0</v>
      </c>
      <c r="V54" s="188">
        <f ca="1">IF(D54=År1,P54,SUM(O54,P54))*IFERROR(VLOOKUP(A54,[1]Tørstofindhold!A$2:B$24,2,FALSE),0)</f>
        <v>0</v>
      </c>
      <c r="W54" s="188">
        <f>J54*IFERROR(VLOOKUP(A54,[1]Tørstofindhold!A$2:B$24,2,FALSE),0)</f>
        <v>0</v>
      </c>
      <c r="X54" s="189">
        <f t="shared" ca="1" si="12"/>
        <v>0</v>
      </c>
      <c r="Y54" s="169">
        <f t="shared" ca="1" si="2"/>
        <v>0</v>
      </c>
      <c r="Z54" s="103">
        <f t="shared" ca="1" si="3"/>
        <v>0</v>
      </c>
    </row>
    <row r="55" spans="1:26" x14ac:dyDescent="0.25">
      <c r="A55" s="190" t="str">
        <f t="shared" si="17"/>
        <v>Biogasgylle</v>
      </c>
      <c r="B55" s="190" t="str">
        <f t="shared" si="18"/>
        <v/>
      </c>
      <c r="C55" s="190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0">
        <f t="shared" si="19"/>
        <v>2030</v>
      </c>
      <c r="E55" s="188" t="s">
        <v>23</v>
      </c>
      <c r="F55" s="191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19407846.937600072</v>
      </c>
      <c r="G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8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1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16889344.422970317</v>
      </c>
      <c r="L55" s="191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5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0">
        <f t="shared" ca="1" si="9"/>
        <v>2518502.5146297552</v>
      </c>
      <c r="O55" s="191">
        <f t="shared" si="1"/>
        <v>0</v>
      </c>
      <c r="P55" s="201">
        <f t="shared" si="10"/>
        <v>0</v>
      </c>
      <c r="Q55" s="188">
        <f>IFERROR(VLOOKUP(A55,[1]Energiindhold!$A$2:$C$11,3,FALSE),IFERROR(VLOOKUP(A55,[1]Biogasudbytte!$A$2:$B$18,2,FALSE)*[1]Energiindhold!$C$10,0))*O55</f>
        <v>0</v>
      </c>
      <c r="R55" s="188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8">
        <f>IFERROR(VLOOKUP(A55,[1]Biogasudbytte!$A$2:$B$18,2,FALSE)*[1]Energiindhold!$C$10,0)*J55*IFERROR(VLOOKUP(A55,Biogasanlæg!$F$3:$G$8,2,FALSE),1)</f>
        <v>0</v>
      </c>
      <c r="T55" s="189">
        <f t="shared" si="11"/>
        <v>0</v>
      </c>
      <c r="U55" s="187">
        <f>O55*IFERROR(VLOOKUP(A55,[1]Tørstofindhold!A$2:B$24,2,FALSE),0)</f>
        <v>0</v>
      </c>
      <c r="V55" s="188">
        <f>IF(D55=År1,P55,SUM(O55,P55))*IFERROR(VLOOKUP(A55,[1]Tørstofindhold!A$2:B$24,2,FALSE),0)</f>
        <v>0</v>
      </c>
      <c r="W55" s="188">
        <f>J55*IFERROR(VLOOKUP(A55,[1]Tørstofindhold!A$2:B$24,2,FALSE),0)</f>
        <v>0</v>
      </c>
      <c r="X55" s="189">
        <f t="shared" si="12"/>
        <v>0</v>
      </c>
      <c r="Y55" s="169">
        <f t="shared" ca="1" si="2"/>
        <v>0</v>
      </c>
      <c r="Z55" s="103">
        <f t="shared" ca="1" si="3"/>
        <v>1</v>
      </c>
    </row>
    <row r="56" spans="1:26" x14ac:dyDescent="0.25">
      <c r="A56" s="190" t="str">
        <f t="shared" si="17"/>
        <v>Brun saft</v>
      </c>
      <c r="B56" s="190" t="str">
        <f t="shared" si="18"/>
        <v>Bionedbrydeligt affald</v>
      </c>
      <c r="C56" s="190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0">
        <f t="shared" si="19"/>
        <v>2030</v>
      </c>
      <c r="E56" s="188" t="s">
        <v>23</v>
      </c>
      <c r="F56" s="191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717108.09021932539</v>
      </c>
      <c r="G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8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71710.809021932539</v>
      </c>
      <c r="K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1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5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0">
        <f t="shared" si="9"/>
        <v>645397.28119739285</v>
      </c>
      <c r="O56" s="191">
        <f t="shared" si="1"/>
        <v>645397.28119739285</v>
      </c>
      <c r="P56" s="201">
        <f t="shared" si="10"/>
        <v>71710.809021932539</v>
      </c>
      <c r="Q56" s="188">
        <f>IFERROR(VLOOKUP(A56,[1]Energiindhold!$A$2:$C$11,3,FALSE),IFERROR(VLOOKUP(A56,[1]Biogasudbytte!$A$2:$B$18,2,FALSE)*[1]Energiindhold!$C$10,0))*O56</f>
        <v>0.36660248570577353</v>
      </c>
      <c r="R56" s="188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0.40733609522863723</v>
      </c>
      <c r="S56" s="188">
        <f>IFERROR(VLOOKUP(A56,[1]Biogasudbytte!$A$2:$B$18,2,FALSE)*[1]Energiindhold!$C$10,0)*J56*IFERROR(VLOOKUP(A56,Biogasanlæg!$F$3:$G$8,2,FALSE),1)</f>
        <v>4.0733609522863728E-2</v>
      </c>
      <c r="T56" s="189">
        <f t="shared" si="11"/>
        <v>0.36660248570577347</v>
      </c>
      <c r="U56" s="187">
        <f>O56*IFERROR(VLOOKUP(A56,[1]Tørstofindhold!A$2:B$24,2,FALSE),0)</f>
        <v>27599.374065028493</v>
      </c>
      <c r="V56" s="188">
        <f>IF(D56=År1,P56,SUM(O56,P56))*IFERROR(VLOOKUP(A56,[1]Tørstofindhold!A$2:B$24,2,FALSE),0)</f>
        <v>30665.971183364993</v>
      </c>
      <c r="W56" s="188">
        <f>J56*IFERROR(VLOOKUP(A56,[1]Tørstofindhold!A$2:B$24,2,FALSE),0)</f>
        <v>3066.5971183364991</v>
      </c>
      <c r="X56" s="189">
        <f t="shared" si="12"/>
        <v>27599.374065028493</v>
      </c>
      <c r="Y56" s="169">
        <f t="shared" si="2"/>
        <v>0</v>
      </c>
      <c r="Z56" s="103">
        <f t="shared" si="3"/>
        <v>1</v>
      </c>
    </row>
    <row r="57" spans="1:26" x14ac:dyDescent="0.25">
      <c r="A57" s="190" t="str">
        <f t="shared" si="17"/>
        <v>Dybstrøelse</v>
      </c>
      <c r="B57" s="190" t="str">
        <f t="shared" si="18"/>
        <v>Husdyrgødning</v>
      </c>
      <c r="C57" s="190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0">
        <f t="shared" si="19"/>
        <v>2030</v>
      </c>
      <c r="E57" s="188" t="s">
        <v>23</v>
      </c>
      <c r="F57" s="191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2889771.2970238337</v>
      </c>
      <c r="G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8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1444885.6485119169</v>
      </c>
      <c r="K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546992.42407951143</v>
      </c>
      <c r="L57" s="191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5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0">
        <f t="shared" si="9"/>
        <v>897893.22443240555</v>
      </c>
      <c r="O57" s="191">
        <f t="shared" si="1"/>
        <v>897893.22443240555</v>
      </c>
      <c r="P57" s="201">
        <f t="shared" si="10"/>
        <v>1444885.6485119169</v>
      </c>
      <c r="Q57" s="188">
        <f>IFERROR(VLOOKUP(A57,[1]Energiindhold!$A$2:$C$11,3,FALSE),IFERROR(VLOOKUP(A57,[1]Biogasudbytte!$A$2:$B$18,2,FALSE)*[1]Energiindhold!$C$10,0))*O57</f>
        <v>1.9340620054274016</v>
      </c>
      <c r="R57" s="188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5.0463456923220704</v>
      </c>
      <c r="S57" s="188">
        <f>IFERROR(VLOOKUP(A57,[1]Biogasudbytte!$A$2:$B$18,2,FALSE)*[1]Energiindhold!$C$10,0)*J57*IFERROR(VLOOKUP(A57,Biogasanlæg!$F$3:$G$8,2,FALSE),1)</f>
        <v>3.1122836868946688</v>
      </c>
      <c r="T57" s="189">
        <f t="shared" si="11"/>
        <v>1.9340620054274016</v>
      </c>
      <c r="U57" s="187">
        <f>O57*IFERROR(VLOOKUP(A57,[1]Tørstofindhold!A$2:B$24,2,FALSE),0)</f>
        <v>269367.96732972167</v>
      </c>
      <c r="V57" s="188">
        <f>IF(D57=År1,P57,SUM(O57,P57))*IFERROR(VLOOKUP(A57,[1]Tørstofindhold!A$2:B$24,2,FALSE),0)</f>
        <v>702833.66188329668</v>
      </c>
      <c r="W57" s="188">
        <f>J57*IFERROR(VLOOKUP(A57,[1]Tørstofindhold!A$2:B$24,2,FALSE),0)</f>
        <v>433465.69455357507</v>
      </c>
      <c r="X57" s="189">
        <f t="shared" si="12"/>
        <v>269367.96732972161</v>
      </c>
      <c r="Y57" s="169">
        <f t="shared" si="2"/>
        <v>0</v>
      </c>
      <c r="Z57" s="103">
        <f t="shared" si="3"/>
        <v>1</v>
      </c>
    </row>
    <row r="58" spans="1:26" x14ac:dyDescent="0.25">
      <c r="A58" s="190" t="str">
        <f t="shared" si="17"/>
        <v>Fiberfraktion</v>
      </c>
      <c r="B58" s="190" t="str">
        <f t="shared" si="18"/>
        <v/>
      </c>
      <c r="C58" s="190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0">
        <f t="shared" si="19"/>
        <v>2030</v>
      </c>
      <c r="E58" s="188" t="s">
        <v>23</v>
      </c>
      <c r="F58" s="191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505086.58419659996</v>
      </c>
      <c r="G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513062.37197918544</v>
      </c>
      <c r="H58" s="188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1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5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0">
        <f t="shared" si="9"/>
        <v>-7975.7877825854812</v>
      </c>
      <c r="O58" s="191">
        <f t="shared" si="1"/>
        <v>0</v>
      </c>
      <c r="P58" s="201">
        <f t="shared" si="10"/>
        <v>0</v>
      </c>
      <c r="Q58" s="188">
        <f>IFERROR(VLOOKUP(A58,[1]Energiindhold!$A$2:$C$11,3,FALSE),IFERROR(VLOOKUP(A58,[1]Biogasudbytte!$A$2:$B$18,2,FALSE)*[1]Energiindhold!$C$10,0))*O58</f>
        <v>0</v>
      </c>
      <c r="R58" s="188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8">
        <f>IFERROR(VLOOKUP(A58,[1]Biogasudbytte!$A$2:$B$18,2,FALSE)*[1]Energiindhold!$C$10,0)*J58*IFERROR(VLOOKUP(A58,Biogasanlæg!$F$3:$G$8,2,FALSE),1)</f>
        <v>0</v>
      </c>
      <c r="T58" s="189">
        <f t="shared" si="11"/>
        <v>0</v>
      </c>
      <c r="U58" s="187">
        <f>O58*IFERROR(VLOOKUP(A58,[1]Tørstofindhold!A$2:B$24,2,FALSE),0)</f>
        <v>0</v>
      </c>
      <c r="V58" s="188">
        <f>IF(D58=År1,P58,SUM(O58,P58))*IFERROR(VLOOKUP(A58,[1]Tørstofindhold!A$2:B$24,2,FALSE),0)</f>
        <v>0</v>
      </c>
      <c r="W58" s="188">
        <f>J58*IFERROR(VLOOKUP(A58,[1]Tørstofindhold!A$2:B$24,2,FALSE),0)</f>
        <v>0</v>
      </c>
      <c r="X58" s="189">
        <f t="shared" si="12"/>
        <v>0</v>
      </c>
      <c r="Y58" s="169">
        <f t="shared" si="2"/>
        <v>1</v>
      </c>
      <c r="Z58" s="103">
        <f t="shared" si="3"/>
        <v>0</v>
      </c>
    </row>
    <row r="59" spans="1:26" x14ac:dyDescent="0.25">
      <c r="A59" s="190" t="str">
        <f t="shared" si="17"/>
        <v>Fjerkrægylle</v>
      </c>
      <c r="B59" s="190" t="str">
        <f t="shared" si="18"/>
        <v>Husdyrgødning</v>
      </c>
      <c r="C59" s="190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0">
        <f t="shared" si="19"/>
        <v>2030</v>
      </c>
      <c r="E59" s="188" t="s">
        <v>23</v>
      </c>
      <c r="F59" s="191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8859.4137270526517</v>
      </c>
      <c r="G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8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4429.7068635263258</v>
      </c>
      <c r="K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4429.7068635263258</v>
      </c>
      <c r="L59" s="191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5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0">
        <f t="shared" si="9"/>
        <v>0</v>
      </c>
      <c r="O59" s="191">
        <f t="shared" si="1"/>
        <v>0</v>
      </c>
      <c r="P59" s="201">
        <f t="shared" si="10"/>
        <v>4429.7068635263258</v>
      </c>
      <c r="Q59" s="188">
        <f>IFERROR(VLOOKUP(A59,[1]Energiindhold!$A$2:$C$11,3,FALSE),IFERROR(VLOOKUP(A59,[1]Biogasudbytte!$A$2:$B$18,2,FALSE)*[1]Energiindhold!$C$10,0))*O59</f>
        <v>0</v>
      </c>
      <c r="R59" s="188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2.0832468408477959E-3</v>
      </c>
      <c r="S59" s="188">
        <f>IFERROR(VLOOKUP(A59,[1]Biogasudbytte!$A$2:$B$18,2,FALSE)*[1]Energiindhold!$C$10,0)*J59*IFERROR(VLOOKUP(A59,Biogasanlæg!$F$3:$G$8,2,FALSE),1)</f>
        <v>2.0832468408477959E-3</v>
      </c>
      <c r="T59" s="189">
        <f t="shared" si="11"/>
        <v>0</v>
      </c>
      <c r="U59" s="187">
        <f>O59*IFERROR(VLOOKUP(A59,[1]Tørstofindhold!A$2:B$24,2,FALSE),0)</f>
        <v>0</v>
      </c>
      <c r="V59" s="188">
        <f>IF(D59=År1,P59,SUM(O59,P59))*IFERROR(VLOOKUP(A59,[1]Tørstofindhold!A$2:B$24,2,FALSE),0)</f>
        <v>279.07153240215854</v>
      </c>
      <c r="W59" s="188">
        <f>J59*IFERROR(VLOOKUP(A59,[1]Tørstofindhold!A$2:B$24,2,FALSE),0)</f>
        <v>279.07153240215854</v>
      </c>
      <c r="X59" s="189">
        <f t="shared" si="12"/>
        <v>0</v>
      </c>
      <c r="Y59" s="169">
        <f t="shared" si="2"/>
        <v>0</v>
      </c>
      <c r="Z59" s="103">
        <f t="shared" si="3"/>
        <v>0</v>
      </c>
    </row>
    <row r="60" spans="1:26" x14ac:dyDescent="0.25">
      <c r="A60" s="190" t="str">
        <f t="shared" si="17"/>
        <v>Fjerkrækød</v>
      </c>
      <c r="B60" s="190" t="str">
        <f t="shared" si="18"/>
        <v/>
      </c>
      <c r="C60" s="190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0">
        <f t="shared" si="19"/>
        <v>2030</v>
      </c>
      <c r="E60" s="188" t="s">
        <v>23</v>
      </c>
      <c r="F60" s="191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166533.62844565022</v>
      </c>
      <c r="G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8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1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5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0">
        <f t="shared" si="9"/>
        <v>131238.86184656702</v>
      </c>
      <c r="O60" s="191">
        <f t="shared" si="1"/>
        <v>0</v>
      </c>
      <c r="P60" s="201">
        <f t="shared" si="10"/>
        <v>0</v>
      </c>
      <c r="Q60" s="188">
        <f>IFERROR(VLOOKUP(A60,[1]Energiindhold!$A$2:$C$11,3,FALSE),IFERROR(VLOOKUP(A60,[1]Biogasudbytte!$A$2:$B$18,2,FALSE)*[1]Energiindhold!$C$10,0))*O60</f>
        <v>0</v>
      </c>
      <c r="R60" s="188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8">
        <f>IFERROR(VLOOKUP(A60,[1]Biogasudbytte!$A$2:$B$18,2,FALSE)*[1]Energiindhold!$C$10,0)*J60*IFERROR(VLOOKUP(A60,Biogasanlæg!$F$3:$G$8,2,FALSE),1)</f>
        <v>0</v>
      </c>
      <c r="T60" s="189">
        <f t="shared" si="11"/>
        <v>0</v>
      </c>
      <c r="U60" s="187">
        <f>O60*IFERROR(VLOOKUP(A60,[1]Tørstofindhold!A$2:B$24,2,FALSE),0)</f>
        <v>0</v>
      </c>
      <c r="V60" s="188">
        <f>IF(D60=År1,P60,SUM(O60,P60))*IFERROR(VLOOKUP(A60,[1]Tørstofindhold!A$2:B$24,2,FALSE),0)</f>
        <v>0</v>
      </c>
      <c r="W60" s="188">
        <f>J60*IFERROR(VLOOKUP(A60,[1]Tørstofindhold!A$2:B$24,2,FALSE),0)</f>
        <v>0</v>
      </c>
      <c r="X60" s="189">
        <f t="shared" si="12"/>
        <v>0</v>
      </c>
      <c r="Y60" s="169">
        <f t="shared" si="2"/>
        <v>0</v>
      </c>
      <c r="Z60" s="103">
        <f t="shared" si="3"/>
        <v>1</v>
      </c>
    </row>
    <row r="61" spans="1:26" x14ac:dyDescent="0.25">
      <c r="A61" s="190" t="str">
        <f t="shared" si="17"/>
        <v>Frø</v>
      </c>
      <c r="B61" s="190" t="str">
        <f t="shared" si="18"/>
        <v/>
      </c>
      <c r="C61" s="190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0">
        <f t="shared" si="19"/>
        <v>2030</v>
      </c>
      <c r="E61" s="188" t="s">
        <v>23</v>
      </c>
      <c r="F61" s="191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1051403.8466263001</v>
      </c>
      <c r="G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8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1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5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0">
        <f t="shared" si="9"/>
        <v>1051403.8466263001</v>
      </c>
      <c r="O61" s="191">
        <f t="shared" si="1"/>
        <v>0</v>
      </c>
      <c r="P61" s="201">
        <f t="shared" si="10"/>
        <v>0</v>
      </c>
      <c r="Q61" s="188">
        <f>IFERROR(VLOOKUP(A61,[1]Energiindhold!$A$2:$C$11,3,FALSE),IFERROR(VLOOKUP(A61,[1]Biogasudbytte!$A$2:$B$18,2,FALSE)*[1]Energiindhold!$C$10,0))*O61</f>
        <v>0</v>
      </c>
      <c r="R61" s="188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8">
        <f>IFERROR(VLOOKUP(A61,[1]Biogasudbytte!$A$2:$B$18,2,FALSE)*[1]Energiindhold!$C$10,0)*J61*IFERROR(VLOOKUP(A61,Biogasanlæg!$F$3:$G$8,2,FALSE),1)</f>
        <v>0</v>
      </c>
      <c r="T61" s="189">
        <f t="shared" si="11"/>
        <v>0</v>
      </c>
      <c r="U61" s="187">
        <f>O61*IFERROR(VLOOKUP(A61,[1]Tørstofindhold!A$2:B$24,2,FALSE),0)</f>
        <v>0</v>
      </c>
      <c r="V61" s="188">
        <f>IF(D61=År1,P61,SUM(O61,P61))*IFERROR(VLOOKUP(A61,[1]Tørstofindhold!A$2:B$24,2,FALSE),0)</f>
        <v>0</v>
      </c>
      <c r="W61" s="188">
        <f>J61*IFERROR(VLOOKUP(A61,[1]Tørstofindhold!A$2:B$24,2,FALSE),0)</f>
        <v>0</v>
      </c>
      <c r="X61" s="189">
        <f t="shared" si="12"/>
        <v>0</v>
      </c>
      <c r="Y61" s="169">
        <f t="shared" si="2"/>
        <v>0</v>
      </c>
      <c r="Z61" s="103">
        <f t="shared" si="3"/>
        <v>1</v>
      </c>
    </row>
    <row r="62" spans="1:26" x14ac:dyDescent="0.25">
      <c r="A62" s="190" t="str">
        <f t="shared" si="17"/>
        <v>Frugt</v>
      </c>
      <c r="B62" s="190" t="str">
        <f t="shared" si="18"/>
        <v/>
      </c>
      <c r="C62" s="190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0">
        <f t="shared" si="19"/>
        <v>2030</v>
      </c>
      <c r="E62" s="188" t="s">
        <v>23</v>
      </c>
      <c r="F62" s="191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30577.183238476249</v>
      </c>
      <c r="G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8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1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5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0">
        <f t="shared" si="9"/>
        <v>-227346.11113943937</v>
      </c>
      <c r="O62" s="191">
        <f t="shared" si="1"/>
        <v>0</v>
      </c>
      <c r="P62" s="201">
        <f t="shared" si="10"/>
        <v>0</v>
      </c>
      <c r="Q62" s="188">
        <f>IFERROR(VLOOKUP(A62,[1]Energiindhold!$A$2:$C$11,3,FALSE),IFERROR(VLOOKUP(A62,[1]Biogasudbytte!$A$2:$B$18,2,FALSE)*[1]Energiindhold!$C$10,0))*O62</f>
        <v>0</v>
      </c>
      <c r="R62" s="188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8">
        <f>IFERROR(VLOOKUP(A62,[1]Biogasudbytte!$A$2:$B$18,2,FALSE)*[1]Energiindhold!$C$10,0)*J62*IFERROR(VLOOKUP(A62,Biogasanlæg!$F$3:$G$8,2,FALSE),1)</f>
        <v>0</v>
      </c>
      <c r="T62" s="189">
        <f t="shared" si="11"/>
        <v>0</v>
      </c>
      <c r="U62" s="187">
        <f>O62*IFERROR(VLOOKUP(A62,[1]Tørstofindhold!A$2:B$24,2,FALSE),0)</f>
        <v>0</v>
      </c>
      <c r="V62" s="188">
        <f>IF(D62=År1,P62,SUM(O62,P62))*IFERROR(VLOOKUP(A62,[1]Tørstofindhold!A$2:B$24,2,FALSE),0)</f>
        <v>0</v>
      </c>
      <c r="W62" s="188">
        <f>J62*IFERROR(VLOOKUP(A62,[1]Tørstofindhold!A$2:B$24,2,FALSE),0)</f>
        <v>0</v>
      </c>
      <c r="X62" s="189">
        <f t="shared" si="12"/>
        <v>0</v>
      </c>
      <c r="Y62" s="169">
        <f t="shared" si="2"/>
        <v>1</v>
      </c>
      <c r="Z62" s="103">
        <f t="shared" si="3"/>
        <v>0</v>
      </c>
    </row>
    <row r="63" spans="1:26" x14ac:dyDescent="0.25">
      <c r="A63" s="190" t="str">
        <f t="shared" si="17"/>
        <v>Glycerin</v>
      </c>
      <c r="B63" s="190" t="str">
        <f t="shared" si="18"/>
        <v>Glycerin</v>
      </c>
      <c r="C63" s="190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0">
        <f t="shared" si="19"/>
        <v>2030</v>
      </c>
      <c r="E63" s="188" t="s">
        <v>23</v>
      </c>
      <c r="F63" s="191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8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1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5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0">
        <f t="shared" si="9"/>
        <v>-114193.60000000001</v>
      </c>
      <c r="O63" s="191">
        <f t="shared" si="1"/>
        <v>0</v>
      </c>
      <c r="P63" s="201">
        <f t="shared" si="10"/>
        <v>114193.60000000001</v>
      </c>
      <c r="Q63" s="188">
        <f>IFERROR(VLOOKUP(A63,[1]Energiindhold!$A$2:$C$11,3,FALSE),IFERROR(VLOOKUP(A63,[1]Biogasudbytte!$A$2:$B$18,2,FALSE)*[1]Energiindhold!$C$10,0))*O63</f>
        <v>0</v>
      </c>
      <c r="R63" s="188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8">
        <f>IFERROR(VLOOKUP(A63,[1]Biogasudbytte!$A$2:$B$18,2,FALSE)*[1]Energiindhold!$C$10,0)*J63*IFERROR(VLOOKUP(A63,Biogasanlæg!$F$3:$G$8,2,FALSE),1)</f>
        <v>1.7355855896064003</v>
      </c>
      <c r="T63" s="189">
        <f t="shared" si="11"/>
        <v>0</v>
      </c>
      <c r="U63" s="187">
        <f>O63*IFERROR(VLOOKUP(A63,[1]Tørstofindhold!A$2:B$24,2,FALSE),0)</f>
        <v>0</v>
      </c>
      <c r="V63" s="188">
        <f>IF(D63=År1,P63,SUM(O63,P63))*IFERROR(VLOOKUP(A63,[1]Tørstofindhold!A$2:B$24,2,FALSE),0)</f>
        <v>102774.24</v>
      </c>
      <c r="W63" s="188">
        <f>J63*IFERROR(VLOOKUP(A63,[1]Tørstofindhold!A$2:B$24,2,FALSE),0)</f>
        <v>102774.24</v>
      </c>
      <c r="X63" s="189">
        <f t="shared" si="12"/>
        <v>0</v>
      </c>
      <c r="Y63" s="169">
        <f t="shared" si="2"/>
        <v>1</v>
      </c>
      <c r="Z63" s="103">
        <f t="shared" si="3"/>
        <v>0</v>
      </c>
    </row>
    <row r="64" spans="1:26" x14ac:dyDescent="0.25">
      <c r="A64" s="190" t="str">
        <f t="shared" si="17"/>
        <v>Græs</v>
      </c>
      <c r="B64" s="190" t="str">
        <f t="shared" si="18"/>
        <v>Græs og urter</v>
      </c>
      <c r="C64" s="190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0">
        <f t="shared" si="19"/>
        <v>2030</v>
      </c>
      <c r="E64" s="188" t="s">
        <v>23</v>
      </c>
      <c r="F64" s="191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27042134.224778831</v>
      </c>
      <c r="G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12249098.107862087</v>
      </c>
      <c r="H64" s="188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66507.389797586569</v>
      </c>
      <c r="K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1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5">
        <f>SUMIFS('Forbrug af biomasse'!E:E,'Forbrug af biomasse'!C:C,'Resultat-Produktion &amp; forbrug'!$A64,'Forbrug af biomasse'!D:D,'Resultat-Produktion &amp; forbrug'!$D64,'Forbrug af biomasse'!G:G,1,'Forbrug af biomasse'!B:B,$E64)</f>
        <v>1467522.4438828453</v>
      </c>
      <c r="N64" s="200">
        <f t="shared" si="9"/>
        <v>13259006.283236312</v>
      </c>
      <c r="O64" s="191">
        <f t="shared" si="1"/>
        <v>13259006.283236312</v>
      </c>
      <c r="P64" s="201">
        <f t="shared" si="10"/>
        <v>66507.389797586569</v>
      </c>
      <c r="Q64" s="188">
        <f>IFERROR(VLOOKUP(A64,[1]Energiindhold!$A$2:$C$11,3,FALSE),IFERROR(VLOOKUP(A64,[1]Biogasudbytte!$A$2:$B$18,2,FALSE)*[1]Energiindhold!$C$10,0))*O64</f>
        <v>24.394914185369412</v>
      </c>
      <c r="R64" s="188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24.517279469173246</v>
      </c>
      <c r="S64" s="188">
        <f>IFERROR(VLOOKUP(A64,[1]Biogasudbytte!$A$2:$B$18,2,FALSE)*[1]Energiindhold!$C$10,0)*J64*IFERROR(VLOOKUP(A64,Biogasanlæg!$F$3:$G$8,2,FALSE),1)</f>
        <v>0.1223652838038346</v>
      </c>
      <c r="T64" s="189">
        <f t="shared" si="11"/>
        <v>24.394914185369412</v>
      </c>
      <c r="U64" s="187">
        <f>O64*IFERROR(VLOOKUP(A64,[1]Tørstofindhold!A$2:B$24,2,FALSE),0)</f>
        <v>3712521.7593061677</v>
      </c>
      <c r="V64" s="188">
        <f>IF(D64=År1,P64,SUM(O64,P64))*IFERROR(VLOOKUP(A64,[1]Tørstofindhold!A$2:B$24,2,FALSE),0)</f>
        <v>3731143.8284494919</v>
      </c>
      <c r="W64" s="188">
        <f>J64*IFERROR(VLOOKUP(A64,[1]Tørstofindhold!A$2:B$24,2,FALSE),0)</f>
        <v>18622.069143324243</v>
      </c>
      <c r="X64" s="189">
        <f t="shared" si="12"/>
        <v>3712521.7593061677</v>
      </c>
      <c r="Y64" s="169">
        <f t="shared" si="2"/>
        <v>0</v>
      </c>
      <c r="Z64" s="103">
        <f t="shared" si="3"/>
        <v>1</v>
      </c>
    </row>
    <row r="65" spans="1:26" x14ac:dyDescent="0.25">
      <c r="A65" s="190" t="str">
        <f t="shared" si="17"/>
        <v>Græsprotein</v>
      </c>
      <c r="B65" s="190" t="str">
        <f t="shared" si="18"/>
        <v/>
      </c>
      <c r="C65" s="190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0">
        <f t="shared" si="19"/>
        <v>2030</v>
      </c>
      <c r="E65" s="188" t="s">
        <v>23</v>
      </c>
      <c r="F65" s="191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245327.76946691994</v>
      </c>
      <c r="G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245327.76946691994</v>
      </c>
      <c r="H65" s="188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1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5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0">
        <f t="shared" si="9"/>
        <v>0</v>
      </c>
      <c r="O65" s="191">
        <f t="shared" si="1"/>
        <v>0</v>
      </c>
      <c r="P65" s="201">
        <f t="shared" si="10"/>
        <v>0</v>
      </c>
      <c r="Q65" s="188">
        <f>IFERROR(VLOOKUP(A65,[1]Energiindhold!$A$2:$C$11,3,FALSE),IFERROR(VLOOKUP(A65,[1]Biogasudbytte!$A$2:$B$18,2,FALSE)*[1]Energiindhold!$C$10,0))*O65</f>
        <v>0</v>
      </c>
      <c r="R65" s="188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8">
        <f>IFERROR(VLOOKUP(A65,[1]Biogasudbytte!$A$2:$B$18,2,FALSE)*[1]Energiindhold!$C$10,0)*J65*IFERROR(VLOOKUP(A65,Biogasanlæg!$F$3:$G$8,2,FALSE),1)</f>
        <v>0</v>
      </c>
      <c r="T65" s="189">
        <f t="shared" si="11"/>
        <v>0</v>
      </c>
      <c r="U65" s="187">
        <f>O65*IFERROR(VLOOKUP(A65,[1]Tørstofindhold!A$2:B$24,2,FALSE),0)</f>
        <v>0</v>
      </c>
      <c r="V65" s="188">
        <f>IF(D65=År1,P65,SUM(O65,P65))*IFERROR(VLOOKUP(A65,[1]Tørstofindhold!A$2:B$24,2,FALSE),0)</f>
        <v>0</v>
      </c>
      <c r="W65" s="188">
        <f>J65*IFERROR(VLOOKUP(A65,[1]Tørstofindhold!A$2:B$24,2,FALSE),0)</f>
        <v>0</v>
      </c>
      <c r="X65" s="189">
        <f t="shared" si="12"/>
        <v>0</v>
      </c>
      <c r="Y65" s="169">
        <f t="shared" si="2"/>
        <v>0</v>
      </c>
      <c r="Z65" s="103">
        <f t="shared" si="3"/>
        <v>0</v>
      </c>
    </row>
    <row r="66" spans="1:26" x14ac:dyDescent="0.25">
      <c r="A66" s="190" t="str">
        <f t="shared" si="17"/>
        <v>Grøntsager</v>
      </c>
      <c r="B66" s="190" t="str">
        <f t="shared" si="18"/>
        <v/>
      </c>
      <c r="C66" s="190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0">
        <f t="shared" si="19"/>
        <v>2030</v>
      </c>
      <c r="E66" s="188" t="s">
        <v>23</v>
      </c>
      <c r="F66" s="191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208875.62977638197</v>
      </c>
      <c r="G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8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1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5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0">
        <f t="shared" si="9"/>
        <v>-61265.083808908617</v>
      </c>
      <c r="O66" s="191">
        <f t="shared" si="1"/>
        <v>0</v>
      </c>
      <c r="P66" s="201">
        <f t="shared" si="10"/>
        <v>0</v>
      </c>
      <c r="Q66" s="188">
        <f>IFERROR(VLOOKUP(A66,[1]Energiindhold!$A$2:$C$11,3,FALSE),IFERROR(VLOOKUP(A66,[1]Biogasudbytte!$A$2:$B$18,2,FALSE)*[1]Energiindhold!$C$10,0))*O66</f>
        <v>0</v>
      </c>
      <c r="R66" s="188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8">
        <f>IFERROR(VLOOKUP(A66,[1]Biogasudbytte!$A$2:$B$18,2,FALSE)*[1]Energiindhold!$C$10,0)*J66*IFERROR(VLOOKUP(A66,Biogasanlæg!$F$3:$G$8,2,FALSE),1)</f>
        <v>0</v>
      </c>
      <c r="T66" s="189">
        <f t="shared" si="11"/>
        <v>0</v>
      </c>
      <c r="U66" s="187">
        <f>O66*IFERROR(VLOOKUP(A66,[1]Tørstofindhold!A$2:B$24,2,FALSE),0)</f>
        <v>0</v>
      </c>
      <c r="V66" s="188">
        <f>IF(D66=År1,P66,SUM(O66,P66))*IFERROR(VLOOKUP(A66,[1]Tørstofindhold!A$2:B$24,2,FALSE),0)</f>
        <v>0</v>
      </c>
      <c r="W66" s="188">
        <f>J66*IFERROR(VLOOKUP(A66,[1]Tørstofindhold!A$2:B$24,2,FALSE),0)</f>
        <v>0</v>
      </c>
      <c r="X66" s="189">
        <f t="shared" si="12"/>
        <v>0</v>
      </c>
      <c r="Y66" s="169">
        <f t="shared" si="2"/>
        <v>1</v>
      </c>
      <c r="Z66" s="103">
        <f t="shared" si="3"/>
        <v>0</v>
      </c>
    </row>
    <row r="67" spans="1:26" x14ac:dyDescent="0.25">
      <c r="A67" s="190" t="str">
        <f t="shared" si="17"/>
        <v>Halm</v>
      </c>
      <c r="B67" s="190" t="str">
        <f t="shared" si="18"/>
        <v>Halm og strå</v>
      </c>
      <c r="C67" s="190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0">
        <f t="shared" si="19"/>
        <v>2030</v>
      </c>
      <c r="E67" s="188" t="s">
        <v>23</v>
      </c>
      <c r="F67" s="191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2986321.1440299363</v>
      </c>
      <c r="G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765718.007862392</v>
      </c>
      <c r="H67" s="188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721366.03790670179</v>
      </c>
      <c r="I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56123.823182797991</v>
      </c>
      <c r="K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1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1443113.2750780443</v>
      </c>
      <c r="M67" s="155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0">
        <f t="shared" si="9"/>
        <v>0</v>
      </c>
      <c r="O67" s="191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1">
        <f t="shared" si="10"/>
        <v>1499237.0982608423</v>
      </c>
      <c r="Q67" s="188">
        <f>IFERROR(VLOOKUP(A67,[1]Energiindhold!$A$2:$C$11,3,FALSE),IFERROR(VLOOKUP(A67,[1]Biogasudbytte!$A$2:$B$18,2,FALSE)*[1]Energiindhold!$C$10,0))*O67</f>
        <v>0</v>
      </c>
      <c r="R67" s="188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15.239323484153955</v>
      </c>
      <c r="S67" s="188">
        <f>IFERROR(VLOOKUP(A67,[1]Biogasudbytte!$A$2:$B$18,2,FALSE)*[1]Energiindhold!$C$10,0)*J67*IFERROR(VLOOKUP(A67,Biogasanlæg!$F$3:$G$8,2,FALSE),1)</f>
        <v>0.32358414751334913</v>
      </c>
      <c r="T67" s="189">
        <f t="shared" si="11"/>
        <v>14.915739336640605</v>
      </c>
      <c r="U67" s="187">
        <f>O67*IFERROR(VLOOKUP(A67,[1]Tørstofindhold!A$2:B$24,2,FALSE),0)</f>
        <v>0</v>
      </c>
      <c r="V67" s="188">
        <f>IF(D67=År1,P67,SUM(O67,P67))*IFERROR(VLOOKUP(A67,[1]Tørstofindhold!A$2:B$24,2,FALSE),0)</f>
        <v>1274351.5335217158</v>
      </c>
      <c r="W67" s="188">
        <f>J67*IFERROR(VLOOKUP(A67,[1]Tørstofindhold!A$2:B$24,2,FALSE),0)</f>
        <v>47705.249705378294</v>
      </c>
      <c r="X67" s="189">
        <f t="shared" si="12"/>
        <v>1226646.2838163376</v>
      </c>
      <c r="Y67" s="169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0" t="str">
        <f t="shared" si="17"/>
        <v>Have/parkaffald</v>
      </c>
      <c r="B68" s="190" t="str">
        <f t="shared" si="18"/>
        <v>Bionedbrydeligt affald</v>
      </c>
      <c r="C68" s="190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0">
        <f t="shared" si="19"/>
        <v>2030</v>
      </c>
      <c r="E68" s="188" t="s">
        <v>23</v>
      </c>
      <c r="F68" s="191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8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1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5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0">
        <f t="shared" si="9"/>
        <v>0</v>
      </c>
      <c r="O68" s="191">
        <f t="shared" si="20"/>
        <v>0</v>
      </c>
      <c r="P68" s="201">
        <f t="shared" si="10"/>
        <v>526734.10986839118</v>
      </c>
      <c r="Q68" s="188">
        <f>IFERROR(VLOOKUP(A68,[1]Energiindhold!$A$2:$C$11,3,FALSE),IFERROR(VLOOKUP(A68,[1]Biogasudbytte!$A$2:$B$18,2,FALSE)*[1]Energiindhold!$C$10,0))*O68</f>
        <v>0</v>
      </c>
      <c r="R68" s="188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8">
        <f>IFERROR(VLOOKUP(A68,[1]Biogasudbytte!$A$2:$B$18,2,FALSE)*[1]Energiindhold!$C$10,0)*J68*IFERROR(VLOOKUP(A68,Biogasanlæg!$F$3:$G$8,2,FALSE),1)</f>
        <v>7.0985968194887394E-5</v>
      </c>
      <c r="T68" s="189">
        <f t="shared" si="11"/>
        <v>9.4026271924825835</v>
      </c>
      <c r="U68" s="187">
        <f>O68*IFERROR(VLOOKUP(A68,[1]Tørstofindhold!A$2:B$24,2,FALSE),0)</f>
        <v>0</v>
      </c>
      <c r="V68" s="188">
        <f>IF(D68=År1,P68,SUM(O68,P68))*IFERROR(VLOOKUP(A68,[1]Tørstofindhold!A$2:B$24,2,FALSE),0)</f>
        <v>158020.23296051734</v>
      </c>
      <c r="W68" s="188">
        <f>J68*IFERROR(VLOOKUP(A68,[1]Tørstofindhold!A$2:B$24,2,FALSE),0)</f>
        <v>12.541173484288761</v>
      </c>
      <c r="X68" s="189">
        <f t="shared" si="12"/>
        <v>158007.69178703305</v>
      </c>
      <c r="Y68" s="169">
        <f t="shared" si="21"/>
        <v>0</v>
      </c>
      <c r="Z68" s="103">
        <f t="shared" si="22"/>
        <v>0</v>
      </c>
    </row>
    <row r="69" spans="1:26" x14ac:dyDescent="0.25">
      <c r="A69" s="190" t="str">
        <f t="shared" si="17"/>
        <v>Import af foder</v>
      </c>
      <c r="B69" s="190" t="str">
        <f t="shared" si="18"/>
        <v/>
      </c>
      <c r="C69" s="190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0">
        <f t="shared" si="19"/>
        <v>2030</v>
      </c>
      <c r="E69" s="188" t="s">
        <v>23</v>
      </c>
      <c r="F69" s="191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4823433.985552296</v>
      </c>
      <c r="H69" s="188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1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5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0">
        <f t="shared" si="9"/>
        <v>-4823433.985552296</v>
      </c>
      <c r="O69" s="191">
        <f t="shared" si="20"/>
        <v>0</v>
      </c>
      <c r="P69" s="201">
        <f t="shared" si="10"/>
        <v>0</v>
      </c>
      <c r="Q69" s="188">
        <f>IFERROR(VLOOKUP(A69,[1]Energiindhold!$A$2:$C$11,3,FALSE),IFERROR(VLOOKUP(A69,[1]Biogasudbytte!$A$2:$B$18,2,FALSE)*[1]Energiindhold!$C$10,0))*O69</f>
        <v>0</v>
      </c>
      <c r="R69" s="188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8">
        <f>IFERROR(VLOOKUP(A69,[1]Biogasudbytte!$A$2:$B$18,2,FALSE)*[1]Energiindhold!$C$10,0)*J69*IFERROR(VLOOKUP(A69,Biogasanlæg!$F$3:$G$8,2,FALSE),1)</f>
        <v>0</v>
      </c>
      <c r="T69" s="189">
        <f t="shared" si="11"/>
        <v>0</v>
      </c>
      <c r="U69" s="187">
        <f>O69*IFERROR(VLOOKUP(A69,[1]Tørstofindhold!A$2:B$24,2,FALSE),0)</f>
        <v>0</v>
      </c>
      <c r="V69" s="188">
        <f>IF(D69=År1,P69,SUM(O69,P69))*IFERROR(VLOOKUP(A69,[1]Tørstofindhold!A$2:B$24,2,FALSE),0)</f>
        <v>0</v>
      </c>
      <c r="W69" s="188">
        <f>J69*IFERROR(VLOOKUP(A69,[1]Tørstofindhold!A$2:B$24,2,FALSE),0)</f>
        <v>0</v>
      </c>
      <c r="X69" s="189">
        <f t="shared" si="12"/>
        <v>0</v>
      </c>
      <c r="Y69" s="169">
        <f t="shared" si="21"/>
        <v>1</v>
      </c>
      <c r="Z69" s="103">
        <f t="shared" si="22"/>
        <v>0</v>
      </c>
    </row>
    <row r="70" spans="1:26" x14ac:dyDescent="0.25">
      <c r="A70" s="190" t="str">
        <f t="shared" si="17"/>
        <v>Industriaffald</v>
      </c>
      <c r="B70" s="190" t="str">
        <f t="shared" si="18"/>
        <v>Bionedbrydeligt affald</v>
      </c>
      <c r="C70" s="190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0">
        <f t="shared" si="19"/>
        <v>2030</v>
      </c>
      <c r="E70" s="188" t="s">
        <v>23</v>
      </c>
      <c r="F70" s="191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517960.14483851765</v>
      </c>
      <c r="G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8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517960.35709807038</v>
      </c>
      <c r="K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1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5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0">
        <f t="shared" si="9"/>
        <v>-0.21225955273257568</v>
      </c>
      <c r="O70" s="191">
        <f t="shared" si="20"/>
        <v>0</v>
      </c>
      <c r="P70" s="201">
        <f t="shared" si="10"/>
        <v>517960.35709807038</v>
      </c>
      <c r="Q70" s="188">
        <f>IFERROR(VLOOKUP(A70,[1]Energiindhold!$A$2:$C$11,3,FALSE),IFERROR(VLOOKUP(A70,[1]Biogasudbytte!$A$2:$B$18,2,FALSE)*[1]Energiindhold!$C$10,0))*O70</f>
        <v>0</v>
      </c>
      <c r="R70" s="188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1.9077311278295077</v>
      </c>
      <c r="S70" s="188">
        <f>IFERROR(VLOOKUP(A70,[1]Biogasudbytte!$A$2:$B$18,2,FALSE)*[1]Energiindhold!$C$10,0)*J70*IFERROR(VLOOKUP(A70,Biogasanlæg!$F$3:$G$8,2,FALSE),1)</f>
        <v>1.9077311278295077</v>
      </c>
      <c r="T70" s="189">
        <f t="shared" si="11"/>
        <v>0</v>
      </c>
      <c r="U70" s="187">
        <f>O70*IFERROR(VLOOKUP(A70,[1]Tørstofindhold!A$2:B$24,2,FALSE),0)</f>
        <v>0</v>
      </c>
      <c r="V70" s="188">
        <f>IF(D70=År1,P70,SUM(O70,P70))*IFERROR(VLOOKUP(A70,[1]Tørstofindhold!A$2:B$24,2,FALSE),0)</f>
        <v>217543.34998118956</v>
      </c>
      <c r="W70" s="188">
        <f>J70*IFERROR(VLOOKUP(A70,[1]Tørstofindhold!A$2:B$24,2,FALSE),0)</f>
        <v>217543.34998118956</v>
      </c>
      <c r="X70" s="189">
        <f t="shared" si="12"/>
        <v>0</v>
      </c>
      <c r="Y70" s="169">
        <f t="shared" si="21"/>
        <v>1</v>
      </c>
      <c r="Z70" s="103">
        <f t="shared" si="22"/>
        <v>0</v>
      </c>
    </row>
    <row r="71" spans="1:26" x14ac:dyDescent="0.25">
      <c r="A71" s="190" t="str">
        <f t="shared" si="17"/>
        <v>Juletræer</v>
      </c>
      <c r="B71" s="190" t="str">
        <f t="shared" si="18"/>
        <v/>
      </c>
      <c r="C71" s="190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0">
        <f t="shared" si="19"/>
        <v>2030</v>
      </c>
      <c r="E71" s="188" t="s">
        <v>23</v>
      </c>
      <c r="F71" s="191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677461.36910389608</v>
      </c>
      <c r="G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8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1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5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0">
        <f t="shared" si="9"/>
        <v>677461.36910389608</v>
      </c>
      <c r="O71" s="191">
        <f t="shared" si="20"/>
        <v>0</v>
      </c>
      <c r="P71" s="201">
        <f t="shared" si="10"/>
        <v>0</v>
      </c>
      <c r="Q71" s="188">
        <f>IFERROR(VLOOKUP(A71,[1]Energiindhold!$A$2:$C$11,3,FALSE),IFERROR(VLOOKUP(A71,[1]Biogasudbytte!$A$2:$B$18,2,FALSE)*[1]Energiindhold!$C$10,0))*O71</f>
        <v>0</v>
      </c>
      <c r="R71" s="188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8">
        <f>IFERROR(VLOOKUP(A71,[1]Biogasudbytte!$A$2:$B$18,2,FALSE)*[1]Energiindhold!$C$10,0)*J71*IFERROR(VLOOKUP(A71,Biogasanlæg!$F$3:$G$8,2,FALSE),1)</f>
        <v>0</v>
      </c>
      <c r="T71" s="189">
        <f t="shared" si="11"/>
        <v>0</v>
      </c>
      <c r="U71" s="187">
        <f>O71*IFERROR(VLOOKUP(A71,[1]Tørstofindhold!A$2:B$24,2,FALSE),0)</f>
        <v>0</v>
      </c>
      <c r="V71" s="188">
        <f>IF(D71=År1,P71,SUM(O71,P71))*IFERROR(VLOOKUP(A71,[1]Tørstofindhold!A$2:B$24,2,FALSE),0)</f>
        <v>0</v>
      </c>
      <c r="W71" s="188">
        <f>J71*IFERROR(VLOOKUP(A71,[1]Tørstofindhold!A$2:B$24,2,FALSE),0)</f>
        <v>0</v>
      </c>
      <c r="X71" s="189">
        <f t="shared" si="12"/>
        <v>0</v>
      </c>
      <c r="Y71" s="169">
        <f t="shared" si="21"/>
        <v>0</v>
      </c>
      <c r="Z71" s="103">
        <f t="shared" si="22"/>
        <v>1</v>
      </c>
    </row>
    <row r="72" spans="1:26" x14ac:dyDescent="0.25">
      <c r="A72" s="190" t="str">
        <f t="shared" si="17"/>
        <v>Kartofler</v>
      </c>
      <c r="B72" s="190" t="str">
        <f t="shared" si="18"/>
        <v/>
      </c>
      <c r="C72" s="190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0">
        <f t="shared" si="19"/>
        <v>2030</v>
      </c>
      <c r="E72" s="188" t="s">
        <v>23</v>
      </c>
      <c r="F72" s="191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1676585.1390430741</v>
      </c>
      <c r="G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8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1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5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0">
        <f t="shared" si="9"/>
        <v>1553053.4559462829</v>
      </c>
      <c r="O72" s="191">
        <f t="shared" si="20"/>
        <v>0</v>
      </c>
      <c r="P72" s="201">
        <f t="shared" si="10"/>
        <v>0</v>
      </c>
      <c r="Q72" s="188">
        <f>IFERROR(VLOOKUP(A72,[1]Energiindhold!$A$2:$C$11,3,FALSE),IFERROR(VLOOKUP(A72,[1]Biogasudbytte!$A$2:$B$18,2,FALSE)*[1]Energiindhold!$C$10,0))*O72</f>
        <v>0</v>
      </c>
      <c r="R72" s="188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8">
        <f>IFERROR(VLOOKUP(A72,[1]Biogasudbytte!$A$2:$B$18,2,FALSE)*[1]Energiindhold!$C$10,0)*J72*IFERROR(VLOOKUP(A72,Biogasanlæg!$F$3:$G$8,2,FALSE),1)</f>
        <v>0</v>
      </c>
      <c r="T72" s="189">
        <f t="shared" si="11"/>
        <v>0</v>
      </c>
      <c r="U72" s="187">
        <f>O72*IFERROR(VLOOKUP(A72,[1]Tørstofindhold!A$2:B$24,2,FALSE),0)</f>
        <v>0</v>
      </c>
      <c r="V72" s="188">
        <f>IF(D72=År1,P72,SUM(O72,P72))*IFERROR(VLOOKUP(A72,[1]Tørstofindhold!A$2:B$24,2,FALSE),0)</f>
        <v>0</v>
      </c>
      <c r="W72" s="188">
        <f>J72*IFERROR(VLOOKUP(A72,[1]Tørstofindhold!A$2:B$24,2,FALSE),0)</f>
        <v>0</v>
      </c>
      <c r="X72" s="189">
        <f t="shared" si="12"/>
        <v>0</v>
      </c>
      <c r="Y72" s="169">
        <f t="shared" si="21"/>
        <v>0</v>
      </c>
      <c r="Z72" s="103">
        <f t="shared" si="22"/>
        <v>1</v>
      </c>
    </row>
    <row r="73" spans="1:26" x14ac:dyDescent="0.25">
      <c r="A73" s="190" t="str">
        <f t="shared" si="17"/>
        <v>Korn</v>
      </c>
      <c r="B73" s="190" t="str">
        <f t="shared" si="18"/>
        <v>Halm og strå</v>
      </c>
      <c r="C73" s="190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0">
        <f t="shared" si="19"/>
        <v>2030</v>
      </c>
      <c r="E73" s="188" t="s">
        <v>23</v>
      </c>
      <c r="F73" s="191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5849092.288531078</v>
      </c>
      <c r="G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5586010.9951558355</v>
      </c>
      <c r="H73" s="188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2907.9932175110234</v>
      </c>
      <c r="K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1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5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0">
        <f t="shared" si="9"/>
        <v>-35759.742865351029</v>
      </c>
      <c r="O73" s="191">
        <f t="shared" si="20"/>
        <v>0</v>
      </c>
      <c r="P73" s="201">
        <f t="shared" si="10"/>
        <v>2907.9932175110234</v>
      </c>
      <c r="Q73" s="188">
        <f>IFERROR(VLOOKUP(A73,[1]Energiindhold!$A$2:$C$11,3,FALSE),IFERROR(VLOOKUP(A73,[1]Biogasudbytte!$A$2:$B$18,2,FALSE)*[1]Energiindhold!$C$10,0))*O73</f>
        <v>0</v>
      </c>
      <c r="R73" s="188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9.9594696509248057E-3</v>
      </c>
      <c r="S73" s="188">
        <f>IFERROR(VLOOKUP(A73,[1]Biogasudbytte!$A$2:$B$18,2,FALSE)*[1]Energiindhold!$C$10,0)*J73*IFERROR(VLOOKUP(A73,Biogasanlæg!$F$3:$G$8,2,FALSE),1)</f>
        <v>9.9594696509248057E-3</v>
      </c>
      <c r="T73" s="189">
        <f t="shared" si="11"/>
        <v>0</v>
      </c>
      <c r="U73" s="187">
        <f>O73*IFERROR(VLOOKUP(A73,[1]Tørstofindhold!A$2:B$24,2,FALSE),0)</f>
        <v>0</v>
      </c>
      <c r="V73" s="188">
        <f>IF(D73=År1,P73,SUM(O73,P73))*IFERROR(VLOOKUP(A73,[1]Tørstofindhold!A$2:B$24,2,FALSE),0)</f>
        <v>901.47789742841724</v>
      </c>
      <c r="W73" s="188">
        <f>J73*IFERROR(VLOOKUP(A73,[1]Tørstofindhold!A$2:B$24,2,FALSE),0)</f>
        <v>901.47789742841724</v>
      </c>
      <c r="X73" s="189">
        <f t="shared" si="12"/>
        <v>0</v>
      </c>
      <c r="Y73" s="169">
        <f t="shared" si="21"/>
        <v>0</v>
      </c>
      <c r="Z73" s="103">
        <f t="shared" si="22"/>
        <v>1</v>
      </c>
    </row>
    <row r="74" spans="1:26" x14ac:dyDescent="0.25">
      <c r="A74" s="190" t="str">
        <f t="shared" si="17"/>
        <v>Kunstgødning</v>
      </c>
      <c r="B74" s="190" t="str">
        <f t="shared" si="18"/>
        <v/>
      </c>
      <c r="C74" s="190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0">
        <f t="shared" si="19"/>
        <v>2030</v>
      </c>
      <c r="E74" s="188" t="s">
        <v>23</v>
      </c>
      <c r="F74" s="191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8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1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515977.71922257601</v>
      </c>
      <c r="L74" s="191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5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0">
        <f t="shared" ca="1" si="9"/>
        <v>-515977.71922257601</v>
      </c>
      <c r="O74" s="191">
        <f t="shared" si="20"/>
        <v>0</v>
      </c>
      <c r="P74" s="201">
        <f t="shared" si="10"/>
        <v>0</v>
      </c>
      <c r="Q74" s="188">
        <f>IFERROR(VLOOKUP(A74,[1]Energiindhold!$A$2:$C$11,3,FALSE),IFERROR(VLOOKUP(A74,[1]Biogasudbytte!$A$2:$B$18,2,FALSE)*[1]Energiindhold!$C$10,0))*O74</f>
        <v>0</v>
      </c>
      <c r="R74" s="188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8">
        <f>IFERROR(VLOOKUP(A74,[1]Biogasudbytte!$A$2:$B$18,2,FALSE)*[1]Energiindhold!$C$10,0)*J74*IFERROR(VLOOKUP(A74,Biogasanlæg!$F$3:$G$8,2,FALSE),1)</f>
        <v>0</v>
      </c>
      <c r="T74" s="189">
        <f t="shared" si="11"/>
        <v>0</v>
      </c>
      <c r="U74" s="187">
        <f>O74*IFERROR(VLOOKUP(A74,[1]Tørstofindhold!A$2:B$24,2,FALSE),0)</f>
        <v>0</v>
      </c>
      <c r="V74" s="188">
        <f>IF(D74=År1,P74,SUM(O74,P74))*IFERROR(VLOOKUP(A74,[1]Tørstofindhold!A$2:B$24,2,FALSE),0)</f>
        <v>0</v>
      </c>
      <c r="W74" s="188">
        <f>J74*IFERROR(VLOOKUP(A74,[1]Tørstofindhold!A$2:B$24,2,FALSE),0)</f>
        <v>0</v>
      </c>
      <c r="X74" s="189">
        <f t="shared" si="12"/>
        <v>0</v>
      </c>
      <c r="Y74" s="169">
        <f t="shared" ca="1" si="21"/>
        <v>1</v>
      </c>
      <c r="Z74" s="103">
        <f t="shared" ca="1" si="22"/>
        <v>0</v>
      </c>
    </row>
    <row r="75" spans="1:26" x14ac:dyDescent="0.25">
      <c r="A75" s="190" t="str">
        <f t="shared" si="17"/>
        <v>Kvæggylle</v>
      </c>
      <c r="B75" s="190" t="str">
        <f t="shared" si="18"/>
        <v>Husdyrgødning</v>
      </c>
      <c r="C75" s="190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0">
        <f t="shared" si="19"/>
        <v>2030</v>
      </c>
      <c r="E75" s="188" t="s">
        <v>23</v>
      </c>
      <c r="F75" s="191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12513619.485237187</v>
      </c>
      <c r="G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8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9510350.8087802622</v>
      </c>
      <c r="K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3003268.6764569245</v>
      </c>
      <c r="L75" s="191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5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0">
        <f t="shared" si="9"/>
        <v>0</v>
      </c>
      <c r="O75" s="191">
        <f t="shared" si="20"/>
        <v>0</v>
      </c>
      <c r="P75" s="201">
        <f t="shared" si="10"/>
        <v>9510350.8087802622</v>
      </c>
      <c r="Q75" s="188">
        <f>IFERROR(VLOOKUP(A75,[1]Energiindhold!$A$2:$C$11,3,FALSE),IFERROR(VLOOKUP(A75,[1]Biogasudbytte!$A$2:$B$18,2,FALSE)*[1]Energiindhold!$C$10,0))*O75</f>
        <v>0</v>
      </c>
      <c r="R75" s="188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4.8140444758964813</v>
      </c>
      <c r="S75" s="188">
        <f>IFERROR(VLOOKUP(A75,[1]Biogasudbytte!$A$2:$B$18,2,FALSE)*[1]Energiindhold!$C$10,0)*J75*IFERROR(VLOOKUP(A75,Biogasanlæg!$F$3:$G$8,2,FALSE),1)</f>
        <v>4.8140444758964813</v>
      </c>
      <c r="T75" s="189">
        <f t="shared" si="11"/>
        <v>0</v>
      </c>
      <c r="U75" s="187">
        <f>O75*IFERROR(VLOOKUP(A75,[1]Tørstofindhold!A$2:B$24,2,FALSE),0)</f>
        <v>0</v>
      </c>
      <c r="V75" s="188">
        <f>IF(D75=År1,P75,SUM(O75,P75))*IFERROR(VLOOKUP(A75,[1]Tørstofindhold!A$2:B$24,2,FALSE),0)</f>
        <v>722786.66146729991</v>
      </c>
      <c r="W75" s="188">
        <f>J75*IFERROR(VLOOKUP(A75,[1]Tørstofindhold!A$2:B$24,2,FALSE),0)</f>
        <v>722786.66146729991</v>
      </c>
      <c r="X75" s="189">
        <f t="shared" si="12"/>
        <v>0</v>
      </c>
      <c r="Y75" s="169">
        <f t="shared" si="21"/>
        <v>0</v>
      </c>
      <c r="Z75" s="103">
        <f t="shared" si="22"/>
        <v>0</v>
      </c>
    </row>
    <row r="76" spans="1:26" x14ac:dyDescent="0.25">
      <c r="A76" s="190" t="str">
        <f t="shared" si="17"/>
        <v>Mælk til foder</v>
      </c>
      <c r="B76" s="190" t="str">
        <f t="shared" si="18"/>
        <v/>
      </c>
      <c r="C76" s="190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0">
        <f t="shared" si="19"/>
        <v>2030</v>
      </c>
      <c r="E76" s="188" t="s">
        <v>23</v>
      </c>
      <c r="F76" s="191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1563965.4599161854</v>
      </c>
      <c r="G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1510478.9155088854</v>
      </c>
      <c r="H76" s="188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1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5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0">
        <f t="shared" si="9"/>
        <v>53486.544407299953</v>
      </c>
      <c r="O76" s="191">
        <f t="shared" si="20"/>
        <v>0</v>
      </c>
      <c r="P76" s="201">
        <f t="shared" si="10"/>
        <v>0</v>
      </c>
      <c r="Q76" s="188">
        <f>IFERROR(VLOOKUP(A76,[1]Energiindhold!$A$2:$C$11,3,FALSE),IFERROR(VLOOKUP(A76,[1]Biogasudbytte!$A$2:$B$18,2,FALSE)*[1]Energiindhold!$C$10,0))*O76</f>
        <v>0</v>
      </c>
      <c r="R76" s="188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8">
        <f>IFERROR(VLOOKUP(A76,[1]Biogasudbytte!$A$2:$B$18,2,FALSE)*[1]Energiindhold!$C$10,0)*J76*IFERROR(VLOOKUP(A76,Biogasanlæg!$F$3:$G$8,2,FALSE),1)</f>
        <v>0</v>
      </c>
      <c r="T76" s="189">
        <f t="shared" si="11"/>
        <v>0</v>
      </c>
      <c r="U76" s="187">
        <f>O76*IFERROR(VLOOKUP(A76,[1]Tørstofindhold!A$2:B$24,2,FALSE),0)</f>
        <v>0</v>
      </c>
      <c r="V76" s="188">
        <f>IF(D76=År1,P76,SUM(O76,P76))*IFERROR(VLOOKUP(A76,[1]Tørstofindhold!A$2:B$24,2,FALSE),0)</f>
        <v>0</v>
      </c>
      <c r="W76" s="188">
        <f>J76*IFERROR(VLOOKUP(A76,[1]Tørstofindhold!A$2:B$24,2,FALSE),0)</f>
        <v>0</v>
      </c>
      <c r="X76" s="189">
        <f t="shared" si="12"/>
        <v>0</v>
      </c>
      <c r="Y76" s="169">
        <f t="shared" si="21"/>
        <v>1</v>
      </c>
      <c r="Z76" s="103">
        <f t="shared" si="22"/>
        <v>0</v>
      </c>
    </row>
    <row r="77" spans="1:26" x14ac:dyDescent="0.25">
      <c r="A77" s="190" t="str">
        <f t="shared" si="17"/>
        <v>Majs</v>
      </c>
      <c r="B77" s="190" t="str">
        <f t="shared" si="18"/>
        <v>Græs og urter</v>
      </c>
      <c r="C77" s="190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0">
        <f t="shared" si="19"/>
        <v>2030</v>
      </c>
      <c r="E77" s="188" t="s">
        <v>23</v>
      </c>
      <c r="F77" s="191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3784586.3044886771</v>
      </c>
      <c r="G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3994630.6402774388</v>
      </c>
      <c r="H77" s="188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255311.1988813775</v>
      </c>
      <c r="K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1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5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0">
        <f t="shared" si="9"/>
        <v>-465355.5346701392</v>
      </c>
      <c r="O77" s="191">
        <f t="shared" si="20"/>
        <v>0</v>
      </c>
      <c r="P77" s="201">
        <f t="shared" si="10"/>
        <v>255311.1988813775</v>
      </c>
      <c r="Q77" s="188">
        <f>IFERROR(VLOOKUP(A77,[1]Energiindhold!$A$2:$C$11,3,FALSE),IFERROR(VLOOKUP(A77,[1]Biogasudbytte!$A$2:$B$18,2,FALSE)*[1]Energiindhold!$C$10,0))*O77</f>
        <v>0</v>
      </c>
      <c r="R77" s="188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0.91656720398414526</v>
      </c>
      <c r="S77" s="188">
        <f>IFERROR(VLOOKUP(A77,[1]Biogasudbytte!$A$2:$B$18,2,FALSE)*[1]Energiindhold!$C$10,0)*J77*IFERROR(VLOOKUP(A77,Biogasanlæg!$F$3:$G$8,2,FALSE),1)</f>
        <v>0.91656720398414526</v>
      </c>
      <c r="T77" s="189">
        <f t="shared" si="11"/>
        <v>0</v>
      </c>
      <c r="U77" s="187">
        <f>O77*IFERROR(VLOOKUP(A77,[1]Tørstofindhold!A$2:B$24,2,FALSE),0)</f>
        <v>0</v>
      </c>
      <c r="V77" s="188">
        <f>IF(D77=År1,P77,SUM(O77,P77))*IFERROR(VLOOKUP(A77,[1]Tørstofindhold!A$2:B$24,2,FALSE),0)</f>
        <v>76593.359664413249</v>
      </c>
      <c r="W77" s="188">
        <f>J77*IFERROR(VLOOKUP(A77,[1]Tørstofindhold!A$2:B$24,2,FALSE),0)</f>
        <v>76593.359664413249</v>
      </c>
      <c r="X77" s="189">
        <f t="shared" si="12"/>
        <v>0</v>
      </c>
      <c r="Y77" s="169">
        <f t="shared" si="21"/>
        <v>0</v>
      </c>
      <c r="Z77" s="103">
        <f t="shared" si="22"/>
        <v>1</v>
      </c>
    </row>
    <row r="78" spans="1:26" x14ac:dyDescent="0.25">
      <c r="A78" s="190" t="str">
        <f t="shared" si="17"/>
        <v>Mejeriprodukter</v>
      </c>
      <c r="B78" s="190" t="str">
        <f t="shared" si="18"/>
        <v/>
      </c>
      <c r="C78" s="190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0">
        <f t="shared" si="19"/>
        <v>2030</v>
      </c>
      <c r="E78" s="188" t="s">
        <v>23</v>
      </c>
      <c r="F78" s="191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3017641.6562322429</v>
      </c>
      <c r="G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8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1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5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0">
        <f t="shared" si="9"/>
        <v>2545234.7802137448</v>
      </c>
      <c r="O78" s="191">
        <f t="shared" si="20"/>
        <v>0</v>
      </c>
      <c r="P78" s="201">
        <f t="shared" si="10"/>
        <v>0</v>
      </c>
      <c r="Q78" s="188">
        <f>IFERROR(VLOOKUP(A78,[1]Energiindhold!$A$2:$C$11,3,FALSE),IFERROR(VLOOKUP(A78,[1]Biogasudbytte!$A$2:$B$18,2,FALSE)*[1]Energiindhold!$C$10,0))*O78</f>
        <v>0</v>
      </c>
      <c r="R78" s="188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8">
        <f>IFERROR(VLOOKUP(A78,[1]Biogasudbytte!$A$2:$B$18,2,FALSE)*[1]Energiindhold!$C$10,0)*J78*IFERROR(VLOOKUP(A78,Biogasanlæg!$F$3:$G$8,2,FALSE),1)</f>
        <v>0</v>
      </c>
      <c r="T78" s="189">
        <f t="shared" si="11"/>
        <v>0</v>
      </c>
      <c r="U78" s="187">
        <f>O78*IFERROR(VLOOKUP(A78,[1]Tørstofindhold!A$2:B$24,2,FALSE),0)</f>
        <v>0</v>
      </c>
      <c r="V78" s="188">
        <f>IF(D78=År1,P78,SUM(O78,P78))*IFERROR(VLOOKUP(A78,[1]Tørstofindhold!A$2:B$24,2,FALSE),0)</f>
        <v>0</v>
      </c>
      <c r="W78" s="188">
        <f>J78*IFERROR(VLOOKUP(A78,[1]Tørstofindhold!A$2:B$24,2,FALSE),0)</f>
        <v>0</v>
      </c>
      <c r="X78" s="189">
        <f t="shared" si="12"/>
        <v>0</v>
      </c>
      <c r="Y78" s="169">
        <f t="shared" si="21"/>
        <v>0</v>
      </c>
      <c r="Z78" s="103">
        <f t="shared" si="22"/>
        <v>1</v>
      </c>
    </row>
    <row r="79" spans="1:26" x14ac:dyDescent="0.25">
      <c r="A79" s="190" t="str">
        <f t="shared" si="17"/>
        <v>Muslinger</v>
      </c>
      <c r="B79" s="190" t="str">
        <f t="shared" si="18"/>
        <v>Havbiomasse</v>
      </c>
      <c r="C79" s="190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0">
        <f t="shared" si="19"/>
        <v>2030</v>
      </c>
      <c r="E79" s="188" t="s">
        <v>23</v>
      </c>
      <c r="F79" s="191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144989.33878430488</v>
      </c>
      <c r="G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8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1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5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0">
        <f t="shared" si="9"/>
        <v>144989.33878430488</v>
      </c>
      <c r="O79" s="191">
        <f t="shared" si="20"/>
        <v>144989.33878430488</v>
      </c>
      <c r="P79" s="201">
        <f t="shared" si="10"/>
        <v>0</v>
      </c>
      <c r="Q79" s="188">
        <f>IFERROR(VLOOKUP(A79,[1]Energiindhold!$A$2:$C$11,3,FALSE),IFERROR(VLOOKUP(A79,[1]Biogasudbytte!$A$2:$B$18,2,FALSE)*[1]Energiindhold!$C$10,0))*O79</f>
        <v>0.13012793155891364</v>
      </c>
      <c r="R79" s="188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88">
        <f>IFERROR(VLOOKUP(A79,[1]Biogasudbytte!$A$2:$B$18,2,FALSE)*[1]Energiindhold!$C$10,0)*J79*IFERROR(VLOOKUP(A79,Biogasanlæg!$F$3:$G$8,2,FALSE),1)</f>
        <v>0</v>
      </c>
      <c r="T79" s="189">
        <f t="shared" si="11"/>
        <v>0.13012793155891364</v>
      </c>
      <c r="U79" s="187">
        <f>O79*IFERROR(VLOOKUP(A79,[1]Tørstofindhold!A$2:B$24,2,FALSE),0)</f>
        <v>21748.400817645732</v>
      </c>
      <c r="V79" s="188">
        <f>IF(D79=År1,P79,SUM(O79,P79))*IFERROR(VLOOKUP(A79,[1]Tørstofindhold!A$2:B$24,2,FALSE),0)</f>
        <v>21748.400817645732</v>
      </c>
      <c r="W79" s="188">
        <f>J79*IFERROR(VLOOKUP(A79,[1]Tørstofindhold!A$2:B$24,2,FALSE),0)</f>
        <v>0</v>
      </c>
      <c r="X79" s="189">
        <f t="shared" si="12"/>
        <v>21748.400817645732</v>
      </c>
      <c r="Y79" s="169">
        <f t="shared" si="21"/>
        <v>0</v>
      </c>
      <c r="Z79" s="103">
        <f t="shared" si="22"/>
        <v>1</v>
      </c>
    </row>
    <row r="80" spans="1:26" x14ac:dyDescent="0.25">
      <c r="A80" s="190" t="str">
        <f t="shared" si="17"/>
        <v>Oksekød</v>
      </c>
      <c r="B80" s="190" t="str">
        <f t="shared" si="18"/>
        <v/>
      </c>
      <c r="C80" s="190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0">
        <f t="shared" si="19"/>
        <v>2030</v>
      </c>
      <c r="E80" s="188" t="s">
        <v>23</v>
      </c>
      <c r="F80" s="191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99766.452046185907</v>
      </c>
      <c r="G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8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1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5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0">
        <f t="shared" si="9"/>
        <v>39738.199007283642</v>
      </c>
      <c r="O80" s="191">
        <f t="shared" si="20"/>
        <v>0</v>
      </c>
      <c r="P80" s="201">
        <f t="shared" si="10"/>
        <v>0</v>
      </c>
      <c r="Q80" s="188">
        <f>IFERROR(VLOOKUP(A80,[1]Energiindhold!$A$2:$C$11,3,FALSE),IFERROR(VLOOKUP(A80,[1]Biogasudbytte!$A$2:$B$18,2,FALSE)*[1]Energiindhold!$C$10,0))*O80</f>
        <v>0</v>
      </c>
      <c r="R80" s="188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8">
        <f>IFERROR(VLOOKUP(A80,[1]Biogasudbytte!$A$2:$B$18,2,FALSE)*[1]Energiindhold!$C$10,0)*J80*IFERROR(VLOOKUP(A80,Biogasanlæg!$F$3:$G$8,2,FALSE),1)</f>
        <v>0</v>
      </c>
      <c r="T80" s="189">
        <f t="shared" si="11"/>
        <v>0</v>
      </c>
      <c r="U80" s="187">
        <f>O80*IFERROR(VLOOKUP(A80,[1]Tørstofindhold!A$2:B$24,2,FALSE),0)</f>
        <v>0</v>
      </c>
      <c r="V80" s="188">
        <f>IF(D80=År1,P80,SUM(O80,P80))*IFERROR(VLOOKUP(A80,[1]Tørstofindhold!A$2:B$24,2,FALSE),0)</f>
        <v>0</v>
      </c>
      <c r="W80" s="188">
        <f>J80*IFERROR(VLOOKUP(A80,[1]Tørstofindhold!A$2:B$24,2,FALSE),0)</f>
        <v>0</v>
      </c>
      <c r="X80" s="189">
        <f t="shared" si="12"/>
        <v>0</v>
      </c>
      <c r="Y80" s="169">
        <f t="shared" si="21"/>
        <v>1</v>
      </c>
      <c r="Z80" s="103">
        <f t="shared" si="22"/>
        <v>0</v>
      </c>
    </row>
    <row r="81" spans="1:26" x14ac:dyDescent="0.25">
      <c r="A81" s="190" t="str">
        <f t="shared" si="17"/>
        <v>Øvrige</v>
      </c>
      <c r="B81" s="190" t="str">
        <f t="shared" si="18"/>
        <v/>
      </c>
      <c r="C81" s="190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0">
        <f t="shared" si="19"/>
        <v>2030</v>
      </c>
      <c r="E81" s="188" t="s">
        <v>23</v>
      </c>
      <c r="F81" s="191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1486568.2848710858</v>
      </c>
      <c r="G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8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1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5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0">
        <f t="shared" si="9"/>
        <v>1486568.2848710858</v>
      </c>
      <c r="O81" s="191">
        <f t="shared" si="20"/>
        <v>0</v>
      </c>
      <c r="P81" s="201">
        <f t="shared" si="10"/>
        <v>0</v>
      </c>
      <c r="Q81" s="188">
        <f>IFERROR(VLOOKUP(A81,[1]Energiindhold!$A$2:$C$11,3,FALSE),IFERROR(VLOOKUP(A81,[1]Biogasudbytte!$A$2:$B$18,2,FALSE)*[1]Energiindhold!$C$10,0))*O81</f>
        <v>0</v>
      </c>
      <c r="R81" s="188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8">
        <f>IFERROR(VLOOKUP(A81,[1]Biogasudbytte!$A$2:$B$18,2,FALSE)*[1]Energiindhold!$C$10,0)*J81*IFERROR(VLOOKUP(A81,Biogasanlæg!$F$3:$G$8,2,FALSE),1)</f>
        <v>0</v>
      </c>
      <c r="T81" s="189">
        <f t="shared" si="11"/>
        <v>0</v>
      </c>
      <c r="U81" s="187">
        <f>O81*IFERROR(VLOOKUP(A81,[1]Tørstofindhold!A$2:B$24,2,FALSE),0)</f>
        <v>0</v>
      </c>
      <c r="V81" s="188">
        <f>IF(D81=År1,P81,SUM(O81,P81))*IFERROR(VLOOKUP(A81,[1]Tørstofindhold!A$2:B$24,2,FALSE),0)</f>
        <v>0</v>
      </c>
      <c r="W81" s="188">
        <f>J81*IFERROR(VLOOKUP(A81,[1]Tørstofindhold!A$2:B$24,2,FALSE),0)</f>
        <v>0</v>
      </c>
      <c r="X81" s="189">
        <f t="shared" si="12"/>
        <v>0</v>
      </c>
      <c r="Y81" s="169">
        <f t="shared" si="21"/>
        <v>0</v>
      </c>
      <c r="Z81" s="103">
        <f t="shared" si="22"/>
        <v>1</v>
      </c>
    </row>
    <row r="82" spans="1:26" x14ac:dyDescent="0.25">
      <c r="A82" s="190" t="str">
        <f t="shared" si="17"/>
        <v>Pil &amp; poppel</v>
      </c>
      <c r="B82" s="190" t="str">
        <f t="shared" si="18"/>
        <v>Vedmasse</v>
      </c>
      <c r="C82" s="190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0">
        <f t="shared" si="19"/>
        <v>2030</v>
      </c>
      <c r="E82" s="188" t="s">
        <v>23</v>
      </c>
      <c r="F82" s="191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139642.05031935725</v>
      </c>
      <c r="G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8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1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139642.05031935725</v>
      </c>
      <c r="M82" s="155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0">
        <f t="shared" ref="N82:N149" si="23">F82-SUM(G82:M82)</f>
        <v>0</v>
      </c>
      <c r="O82" s="191">
        <f t="shared" si="20"/>
        <v>0</v>
      </c>
      <c r="P82" s="201">
        <f t="shared" ref="P82:P149" si="24">SUM(J82,L82)</f>
        <v>139642.05031935725</v>
      </c>
      <c r="Q82" s="188">
        <f>IFERROR(VLOOKUP(A82,[1]Energiindhold!$A$2:$C$11,3,FALSE),IFERROR(VLOOKUP(A82,[1]Biogasudbytte!$A$2:$B$18,2,FALSE)*[1]Energiindhold!$C$10,0))*O82</f>
        <v>0</v>
      </c>
      <c r="R82" s="188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2.5694137258761729</v>
      </c>
      <c r="S82" s="188">
        <f>IFERROR(VLOOKUP(A82,[1]Biogasudbytte!$A$2:$B$18,2,FALSE)*[1]Energiindhold!$C$10,0)*J82*IFERROR(VLOOKUP(A82,Biogasanlæg!$F$3:$G$8,2,FALSE),1)</f>
        <v>0</v>
      </c>
      <c r="T82" s="189">
        <f t="shared" ref="T82:T149" si="25">R82-S82</f>
        <v>2.5694137258761729</v>
      </c>
      <c r="U82" s="187">
        <f>O82*IFERROR(VLOOKUP(A82,[1]Tørstofindhold!A$2:B$24,2,FALSE),0)</f>
        <v>0</v>
      </c>
      <c r="V82" s="188">
        <f>IF(D82=År1,P82,SUM(O82,P82))*IFERROR(VLOOKUP(A82,[1]Tørstofindhold!A$2:B$24,2,FALSE),0)</f>
        <v>57951.450882533267</v>
      </c>
      <c r="W82" s="188">
        <f>J82*IFERROR(VLOOKUP(A82,[1]Tørstofindhold!A$2:B$24,2,FALSE),0)</f>
        <v>0</v>
      </c>
      <c r="X82" s="189">
        <f t="shared" ref="X82:X149" si="26">V82-W82</f>
        <v>57951.450882533267</v>
      </c>
      <c r="Y82" s="169">
        <f t="shared" si="21"/>
        <v>0</v>
      </c>
      <c r="Z82" s="103">
        <f t="shared" si="22"/>
        <v>0</v>
      </c>
    </row>
    <row r="83" spans="1:26" x14ac:dyDescent="0.25">
      <c r="A83" s="190" t="str">
        <f t="shared" ref="A83:A84" si="27">A35</f>
        <v>Pyrolysegas</v>
      </c>
      <c r="B83" s="190" t="str">
        <f t="shared" ref="B83:B84" si="28">IF(B35&lt;&gt;"",B35,"")</f>
        <v>Pyrolyseprodukter</v>
      </c>
      <c r="C83" s="190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0">
        <f t="shared" si="19"/>
        <v>2030</v>
      </c>
      <c r="E83" s="188" t="s">
        <v>23</v>
      </c>
      <c r="F83" s="191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8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1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5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0">
        <f t="shared" ref="N83:N84" si="29">F83-SUM(G83:M83)</f>
        <v>0</v>
      </c>
      <c r="O83" s="191">
        <f t="shared" si="20"/>
        <v>0</v>
      </c>
      <c r="P83" s="201">
        <f t="shared" ref="P83:P84" si="30">SUM(J83,L83)</f>
        <v>0</v>
      </c>
      <c r="Q83" s="188">
        <f>IFERROR(VLOOKUP(A83,[1]Energiindhold!$A$2:$C$11,3,FALSE),IFERROR(VLOOKUP(A83,[1]Biogasudbytte!$A$2:$B$18,2,FALSE)*[1]Energiindhold!$C$10,0))*O83</f>
        <v>0</v>
      </c>
      <c r="R83" s="188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8">
        <f>IFERROR(VLOOKUP(A83,[1]Biogasudbytte!$A$2:$B$18,2,FALSE)*[1]Energiindhold!$C$10,0)*J83*IFERROR(VLOOKUP(A83,Biogasanlæg!$F$3:$G$8,2,FALSE),1)</f>
        <v>0</v>
      </c>
      <c r="T83" s="189">
        <f t="shared" ref="T83:T84" si="31">R83-S83</f>
        <v>0</v>
      </c>
      <c r="U83" s="187">
        <f>O83*IFERROR(VLOOKUP(A83,[1]Tørstofindhold!A$2:B$24,2,FALSE),0)</f>
        <v>0</v>
      </c>
      <c r="V83" s="188">
        <f>IF(D83=År1,P83,SUM(O83,P83))*IFERROR(VLOOKUP(A83,[1]Tørstofindhold!A$2:B$24,2,FALSE),0)</f>
        <v>0</v>
      </c>
      <c r="W83" s="188">
        <f>J83*IFERROR(VLOOKUP(A83,[1]Tørstofindhold!A$2:B$24,2,FALSE),0)</f>
        <v>0</v>
      </c>
      <c r="X83" s="189">
        <f t="shared" ref="X83:X84" si="32">V83-W83</f>
        <v>0</v>
      </c>
      <c r="Y83" s="169">
        <f t="shared" si="21"/>
        <v>0</v>
      </c>
      <c r="Z83" s="103">
        <f t="shared" si="22"/>
        <v>0</v>
      </c>
    </row>
    <row r="84" spans="1:26" x14ac:dyDescent="0.25">
      <c r="A84" s="190" t="str">
        <f t="shared" si="27"/>
        <v>Pyrolyseolie</v>
      </c>
      <c r="B84" s="190" t="str">
        <f t="shared" si="28"/>
        <v>Pyrolyseprodukter</v>
      </c>
      <c r="C84" s="190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0">
        <f t="shared" si="19"/>
        <v>2030</v>
      </c>
      <c r="E84" s="188" t="s">
        <v>23</v>
      </c>
      <c r="F84" s="191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8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1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5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0">
        <f t="shared" si="29"/>
        <v>0</v>
      </c>
      <c r="O84" s="191">
        <f t="shared" si="20"/>
        <v>0</v>
      </c>
      <c r="P84" s="201">
        <f t="shared" si="30"/>
        <v>0</v>
      </c>
      <c r="Q84" s="188">
        <f>IFERROR(VLOOKUP(A84,[1]Energiindhold!$A$2:$C$11,3,FALSE),IFERROR(VLOOKUP(A84,[1]Biogasudbytte!$A$2:$B$18,2,FALSE)*[1]Energiindhold!$C$10,0))*O84</f>
        <v>0</v>
      </c>
      <c r="R84" s="188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8">
        <f>IFERROR(VLOOKUP(A84,[1]Biogasudbytte!$A$2:$B$18,2,FALSE)*[1]Energiindhold!$C$10,0)*J84*IFERROR(VLOOKUP(A84,Biogasanlæg!$F$3:$G$8,2,FALSE),1)</f>
        <v>0</v>
      </c>
      <c r="T84" s="189">
        <f t="shared" si="31"/>
        <v>0</v>
      </c>
      <c r="U84" s="187">
        <f>O84*IFERROR(VLOOKUP(A84,[1]Tørstofindhold!A$2:B$24,2,FALSE),0)</f>
        <v>0</v>
      </c>
      <c r="V84" s="188">
        <f>IF(D84=År1,P84,SUM(O84,P84))*IFERROR(VLOOKUP(A84,[1]Tørstofindhold!A$2:B$24,2,FALSE),0)</f>
        <v>0</v>
      </c>
      <c r="W84" s="188">
        <f>J84*IFERROR(VLOOKUP(A84,[1]Tørstofindhold!A$2:B$24,2,FALSE),0)</f>
        <v>0</v>
      </c>
      <c r="X84" s="189">
        <f t="shared" si="32"/>
        <v>0</v>
      </c>
      <c r="Y84" s="169">
        <f t="shared" si="21"/>
        <v>0</v>
      </c>
      <c r="Z84" s="103">
        <f t="shared" si="22"/>
        <v>0</v>
      </c>
    </row>
    <row r="85" spans="1:26" x14ac:dyDescent="0.25">
      <c r="A85" s="190" t="str">
        <f t="shared" ref="A85:A130" si="33">A37</f>
        <v>Råmælk</v>
      </c>
      <c r="B85" s="190" t="str">
        <f t="shared" ref="B85:B130" si="34">IF(B37&lt;&gt;"",B37,"")</f>
        <v/>
      </c>
      <c r="C85" s="190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0">
        <f t="shared" si="19"/>
        <v>2030</v>
      </c>
      <c r="E85" s="188" t="s">
        <v>23</v>
      </c>
      <c r="F85" s="191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4699084.2216906957</v>
      </c>
      <c r="G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8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1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5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0">
        <f t="shared" si="23"/>
        <v>4699084.2216906957</v>
      </c>
      <c r="O85" s="191">
        <f t="shared" si="20"/>
        <v>0</v>
      </c>
      <c r="P85" s="201">
        <f t="shared" si="24"/>
        <v>0</v>
      </c>
      <c r="Q85" s="188">
        <f>IFERROR(VLOOKUP(A85,[1]Energiindhold!$A$2:$C$11,3,FALSE),IFERROR(VLOOKUP(A85,[1]Biogasudbytte!$A$2:$B$18,2,FALSE)*[1]Energiindhold!$C$10,0))*O85</f>
        <v>0</v>
      </c>
      <c r="R85" s="188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8">
        <f>IFERROR(VLOOKUP(A85,[1]Biogasudbytte!$A$2:$B$18,2,FALSE)*[1]Energiindhold!$C$10,0)*J85*IFERROR(VLOOKUP(A85,Biogasanlæg!$F$3:$G$8,2,FALSE),1)</f>
        <v>0</v>
      </c>
      <c r="T85" s="189">
        <f t="shared" si="25"/>
        <v>0</v>
      </c>
      <c r="U85" s="187">
        <f>O85*IFERROR(VLOOKUP(A85,[1]Tørstofindhold!A$2:B$24,2,FALSE),0)</f>
        <v>0</v>
      </c>
      <c r="V85" s="188">
        <f>IF(D85=År1,P85,SUM(O85,P85))*IFERROR(VLOOKUP(A85,[1]Tørstofindhold!A$2:B$24,2,FALSE),0)</f>
        <v>0</v>
      </c>
      <c r="W85" s="188">
        <f>J85*IFERROR(VLOOKUP(A85,[1]Tørstofindhold!A$2:B$24,2,FALSE),0)</f>
        <v>0</v>
      </c>
      <c r="X85" s="189">
        <f t="shared" si="26"/>
        <v>0</v>
      </c>
      <c r="Y85" s="169">
        <f t="shared" si="21"/>
        <v>0</v>
      </c>
      <c r="Z85" s="103">
        <f t="shared" si="22"/>
        <v>1</v>
      </c>
    </row>
    <row r="86" spans="1:26" x14ac:dyDescent="0.25">
      <c r="A86" s="190" t="str">
        <f t="shared" si="33"/>
        <v>Raps</v>
      </c>
      <c r="B86" s="190" t="str">
        <f t="shared" si="34"/>
        <v/>
      </c>
      <c r="C86" s="190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0">
        <f t="shared" si="19"/>
        <v>2030</v>
      </c>
      <c r="E86" s="188" t="s">
        <v>23</v>
      </c>
      <c r="F86" s="191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159579.37363726847</v>
      </c>
      <c r="G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8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1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5">
        <f>SUMIFS('Forbrug af biomasse'!E:E,'Forbrug af biomasse'!C:C,'Resultat-Produktion &amp; forbrug'!$A86,'Forbrug af biomasse'!D:D,'Resultat-Produktion &amp; forbrug'!$D86,'Forbrug af biomasse'!G:G,1,'Forbrug af biomasse'!B:B,$E86)</f>
        <v>159579.37363726847</v>
      </c>
      <c r="N86" s="200">
        <f t="shared" si="23"/>
        <v>0</v>
      </c>
      <c r="O86" s="191">
        <f t="shared" si="20"/>
        <v>0</v>
      </c>
      <c r="P86" s="201">
        <f t="shared" si="24"/>
        <v>0</v>
      </c>
      <c r="Q86" s="188">
        <f>IFERROR(VLOOKUP(A86,[1]Energiindhold!$A$2:$C$11,3,FALSE),IFERROR(VLOOKUP(A86,[1]Biogasudbytte!$A$2:$B$18,2,FALSE)*[1]Energiindhold!$C$10,0))*O86</f>
        <v>0</v>
      </c>
      <c r="R86" s="188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8">
        <f>IFERROR(VLOOKUP(A86,[1]Biogasudbytte!$A$2:$B$18,2,FALSE)*[1]Energiindhold!$C$10,0)*J86*IFERROR(VLOOKUP(A86,Biogasanlæg!$F$3:$G$8,2,FALSE),1)</f>
        <v>0</v>
      </c>
      <c r="T86" s="189">
        <f t="shared" si="25"/>
        <v>0</v>
      </c>
      <c r="U86" s="187">
        <f>O86*IFERROR(VLOOKUP(A86,[1]Tørstofindhold!A$2:B$24,2,FALSE),0)</f>
        <v>0</v>
      </c>
      <c r="V86" s="188">
        <f>IF(D86=År1,P86,SUM(O86,P86))*IFERROR(VLOOKUP(A86,[1]Tørstofindhold!A$2:B$24,2,FALSE),0)</f>
        <v>0</v>
      </c>
      <c r="W86" s="188">
        <f>J86*IFERROR(VLOOKUP(A86,[1]Tørstofindhold!A$2:B$24,2,FALSE),0)</f>
        <v>0</v>
      </c>
      <c r="X86" s="189">
        <f t="shared" si="26"/>
        <v>0</v>
      </c>
      <c r="Y86" s="169">
        <f t="shared" si="21"/>
        <v>0</v>
      </c>
      <c r="Z86" s="103">
        <f t="shared" si="22"/>
        <v>0</v>
      </c>
    </row>
    <row r="87" spans="1:26" x14ac:dyDescent="0.25">
      <c r="A87" s="190" t="str">
        <f t="shared" si="33"/>
        <v>Rapskage</v>
      </c>
      <c r="B87" s="190" t="str">
        <f t="shared" si="34"/>
        <v/>
      </c>
      <c r="C87" s="190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0">
        <f t="shared" si="19"/>
        <v>2030</v>
      </c>
      <c r="E87" s="188" t="s">
        <v>23</v>
      </c>
      <c r="F87" s="191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79789.686818634233</v>
      </c>
      <c r="G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91830.748952480033</v>
      </c>
      <c r="H87" s="188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1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5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0">
        <f t="shared" si="23"/>
        <v>-12041.0621338458</v>
      </c>
      <c r="O87" s="191">
        <f t="shared" si="20"/>
        <v>0</v>
      </c>
      <c r="P87" s="201">
        <f t="shared" si="24"/>
        <v>0</v>
      </c>
      <c r="Q87" s="188">
        <f>IFERROR(VLOOKUP(A87,[1]Energiindhold!$A$2:$C$11,3,FALSE),IFERROR(VLOOKUP(A87,[1]Biogasudbytte!$A$2:$B$18,2,FALSE)*[1]Energiindhold!$C$10,0))*O87</f>
        <v>0</v>
      </c>
      <c r="R87" s="188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8">
        <f>IFERROR(VLOOKUP(A87,[1]Biogasudbytte!$A$2:$B$18,2,FALSE)*[1]Energiindhold!$C$10,0)*J87*IFERROR(VLOOKUP(A87,Biogasanlæg!$F$3:$G$8,2,FALSE),1)</f>
        <v>0</v>
      </c>
      <c r="T87" s="189">
        <f t="shared" si="25"/>
        <v>0</v>
      </c>
      <c r="U87" s="187">
        <f>O87*IFERROR(VLOOKUP(A87,[1]Tørstofindhold!A$2:B$24,2,FALSE),0)</f>
        <v>0</v>
      </c>
      <c r="V87" s="188">
        <f>IF(D87=År1,P87,SUM(O87,P87))*IFERROR(VLOOKUP(A87,[1]Tørstofindhold!A$2:B$24,2,FALSE),0)</f>
        <v>0</v>
      </c>
      <c r="W87" s="188">
        <f>J87*IFERROR(VLOOKUP(A87,[1]Tørstofindhold!A$2:B$24,2,FALSE),0)</f>
        <v>0</v>
      </c>
      <c r="X87" s="189">
        <f t="shared" si="26"/>
        <v>0</v>
      </c>
      <c r="Y87" s="169">
        <f t="shared" si="21"/>
        <v>0</v>
      </c>
      <c r="Z87" s="103">
        <f t="shared" si="22"/>
        <v>1</v>
      </c>
    </row>
    <row r="88" spans="1:26" x14ac:dyDescent="0.25">
      <c r="A88" s="190" t="str">
        <f t="shared" si="33"/>
        <v>Rapsolie</v>
      </c>
      <c r="B88" s="190" t="str">
        <f t="shared" si="34"/>
        <v>Rapsolie</v>
      </c>
      <c r="C88" s="190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0">
        <f t="shared" si="19"/>
        <v>2030</v>
      </c>
      <c r="E88" s="188" t="s">
        <v>23</v>
      </c>
      <c r="F88" s="191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51065.399563925908</v>
      </c>
      <c r="G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8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1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51065.399563925908</v>
      </c>
      <c r="M88" s="155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0">
        <f t="shared" si="23"/>
        <v>0</v>
      </c>
      <c r="O88" s="191">
        <f t="shared" si="20"/>
        <v>0</v>
      </c>
      <c r="P88" s="201">
        <f t="shared" si="24"/>
        <v>51065.399563925908</v>
      </c>
      <c r="Q88" s="188">
        <f>IFERROR(VLOOKUP(A88,[1]Energiindhold!$A$2:$C$11,3,FALSE),IFERROR(VLOOKUP(A88,[1]Biogasudbytte!$A$2:$B$18,2,FALSE)*[1]Energiindhold!$C$10,0))*O88</f>
        <v>0</v>
      </c>
      <c r="R88" s="188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1.7872889847374067</v>
      </c>
      <c r="S88" s="188">
        <f>IFERROR(VLOOKUP(A88,[1]Biogasudbytte!$A$2:$B$18,2,FALSE)*[1]Energiindhold!$C$10,0)*J88*IFERROR(VLOOKUP(A88,Biogasanlæg!$F$3:$G$8,2,FALSE),1)</f>
        <v>0</v>
      </c>
      <c r="T88" s="189">
        <f t="shared" si="25"/>
        <v>1.7872889847374067</v>
      </c>
      <c r="U88" s="187">
        <f>O88*IFERROR(VLOOKUP(A88,[1]Tørstofindhold!A$2:B$24,2,FALSE),0)</f>
        <v>0</v>
      </c>
      <c r="V88" s="188">
        <f>IF(D88=År1,P88,SUM(O88,P88))*IFERROR(VLOOKUP(A88,[1]Tørstofindhold!A$2:B$24,2,FALSE),0)</f>
        <v>0</v>
      </c>
      <c r="W88" s="188">
        <f>J88*IFERROR(VLOOKUP(A88,[1]Tørstofindhold!A$2:B$24,2,FALSE),0)</f>
        <v>0</v>
      </c>
      <c r="X88" s="189">
        <f t="shared" si="26"/>
        <v>0</v>
      </c>
      <c r="Y88" s="169">
        <f t="shared" si="21"/>
        <v>0</v>
      </c>
      <c r="Z88" s="103">
        <f t="shared" si="22"/>
        <v>0</v>
      </c>
    </row>
    <row r="89" spans="1:26" x14ac:dyDescent="0.25">
      <c r="A89" s="190" t="str">
        <f t="shared" si="33"/>
        <v>Roer</v>
      </c>
      <c r="B89" s="190" t="str">
        <f t="shared" si="34"/>
        <v>Græs og urter</v>
      </c>
      <c r="C89" s="190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0">
        <f t="shared" si="19"/>
        <v>2030</v>
      </c>
      <c r="E89" s="188" t="s">
        <v>23</v>
      </c>
      <c r="F89" s="191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1905541.9010865423</v>
      </c>
      <c r="G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868637.91677766922</v>
      </c>
      <c r="H89" s="188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21893.59180227204</v>
      </c>
      <c r="K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1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5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0">
        <f t="shared" si="23"/>
        <v>1015010.3925066011</v>
      </c>
      <c r="O89" s="191">
        <f t="shared" si="20"/>
        <v>1015010.3925066011</v>
      </c>
      <c r="P89" s="201">
        <f t="shared" si="24"/>
        <v>21893.59180227204</v>
      </c>
      <c r="Q89" s="188">
        <f>IFERROR(VLOOKUP(A89,[1]Energiindhold!$A$2:$C$11,3,FALSE),IFERROR(VLOOKUP(A89,[1]Biogasudbytte!$A$2:$B$18,2,FALSE)*[1]Energiindhold!$C$10,0))*O89</f>
        <v>2.7547788056786158</v>
      </c>
      <c r="R89" s="188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2.814198889573654</v>
      </c>
      <c r="S89" s="188">
        <f>IFERROR(VLOOKUP(A89,[1]Biogasudbytte!$A$2:$B$18,2,FALSE)*[1]Energiindhold!$C$10,0)*J89*IFERROR(VLOOKUP(A89,Biogasanlæg!$F$3:$G$8,2,FALSE),1)</f>
        <v>5.942008389503841E-2</v>
      </c>
      <c r="T89" s="189">
        <f t="shared" si="25"/>
        <v>2.7547788056786158</v>
      </c>
      <c r="U89" s="187">
        <f>O89*IFERROR(VLOOKUP(A89,[1]Tørstofindhold!A$2:B$24,2,FALSE),0)</f>
        <v>203002.07850132021</v>
      </c>
      <c r="V89" s="188">
        <f>IF(D89=År1,P89,SUM(O89,P89))*IFERROR(VLOOKUP(A89,[1]Tørstofindhold!A$2:B$24,2,FALSE),0)</f>
        <v>207380.79686177464</v>
      </c>
      <c r="W89" s="188">
        <f>J89*IFERROR(VLOOKUP(A89,[1]Tørstofindhold!A$2:B$24,2,FALSE),0)</f>
        <v>4378.718360454408</v>
      </c>
      <c r="X89" s="189">
        <f t="shared" si="26"/>
        <v>203002.07850132024</v>
      </c>
      <c r="Y89" s="169">
        <f t="shared" si="21"/>
        <v>0</v>
      </c>
      <c r="Z89" s="103">
        <f t="shared" si="22"/>
        <v>1</v>
      </c>
    </row>
    <row r="90" spans="1:26" x14ac:dyDescent="0.25">
      <c r="A90" s="190" t="str">
        <f t="shared" si="33"/>
        <v>Slagteriaffald til andet</v>
      </c>
      <c r="B90" s="190" t="str">
        <f t="shared" si="34"/>
        <v/>
      </c>
      <c r="C90" s="190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0">
        <f t="shared" si="19"/>
        <v>2030</v>
      </c>
      <c r="E90" s="188" t="s">
        <v>23</v>
      </c>
      <c r="F90" s="191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180600.29938417859</v>
      </c>
      <c r="G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8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1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5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0">
        <f t="shared" si="23"/>
        <v>180600.29938417859</v>
      </c>
      <c r="O90" s="191">
        <f t="shared" si="20"/>
        <v>0</v>
      </c>
      <c r="P90" s="201">
        <f t="shared" si="24"/>
        <v>0</v>
      </c>
      <c r="Q90" s="188">
        <f>IFERROR(VLOOKUP(A90,[1]Energiindhold!$A$2:$C$11,3,FALSE),IFERROR(VLOOKUP(A90,[1]Biogasudbytte!$A$2:$B$18,2,FALSE)*[1]Energiindhold!$C$10,0))*O90</f>
        <v>0</v>
      </c>
      <c r="R90" s="188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8">
        <f>IFERROR(VLOOKUP(A90,[1]Biogasudbytte!$A$2:$B$18,2,FALSE)*[1]Energiindhold!$C$10,0)*J90*IFERROR(VLOOKUP(A90,Biogasanlæg!$F$3:$G$8,2,FALSE),1)</f>
        <v>0</v>
      </c>
      <c r="T90" s="189">
        <f t="shared" si="25"/>
        <v>0</v>
      </c>
      <c r="U90" s="187">
        <f>O90*IFERROR(VLOOKUP(A90,[1]Tørstofindhold!A$2:B$24,2,FALSE),0)</f>
        <v>0</v>
      </c>
      <c r="V90" s="188">
        <f>IF(D90=År1,P90,SUM(O90,P90))*IFERROR(VLOOKUP(A90,[1]Tørstofindhold!A$2:B$24,2,FALSE),0)</f>
        <v>0</v>
      </c>
      <c r="W90" s="188">
        <f>J90*IFERROR(VLOOKUP(A90,[1]Tørstofindhold!A$2:B$24,2,FALSE),0)</f>
        <v>0</v>
      </c>
      <c r="X90" s="189">
        <f t="shared" si="26"/>
        <v>0</v>
      </c>
      <c r="Y90" s="169">
        <f t="shared" si="21"/>
        <v>0</v>
      </c>
      <c r="Z90" s="103">
        <f t="shared" si="22"/>
        <v>1</v>
      </c>
    </row>
    <row r="91" spans="1:26" x14ac:dyDescent="0.25">
      <c r="A91" s="190" t="str">
        <f t="shared" si="33"/>
        <v>Slagteriaffald til foder</v>
      </c>
      <c r="B91" s="190" t="str">
        <f t="shared" si="34"/>
        <v/>
      </c>
      <c r="C91" s="190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0">
        <f t="shared" si="19"/>
        <v>2030</v>
      </c>
      <c r="E91" s="188" t="s">
        <v>23</v>
      </c>
      <c r="F91" s="191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122888.11677196804</v>
      </c>
      <c r="G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38482.787367359997</v>
      </c>
      <c r="H91" s="188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1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5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0">
        <f t="shared" si="23"/>
        <v>84405.329404608041</v>
      </c>
      <c r="O91" s="191">
        <f t="shared" si="20"/>
        <v>0</v>
      </c>
      <c r="P91" s="201">
        <f t="shared" si="24"/>
        <v>0</v>
      </c>
      <c r="Q91" s="188">
        <f>IFERROR(VLOOKUP(A91,[1]Energiindhold!$A$2:$C$11,3,FALSE),IFERROR(VLOOKUP(A91,[1]Biogasudbytte!$A$2:$B$18,2,FALSE)*[1]Energiindhold!$C$10,0))*O91</f>
        <v>0</v>
      </c>
      <c r="R91" s="188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8">
        <f>IFERROR(VLOOKUP(A91,[1]Biogasudbytte!$A$2:$B$18,2,FALSE)*[1]Energiindhold!$C$10,0)*J91*IFERROR(VLOOKUP(A91,Biogasanlæg!$F$3:$G$8,2,FALSE),1)</f>
        <v>0</v>
      </c>
      <c r="T91" s="189">
        <f t="shared" si="25"/>
        <v>0</v>
      </c>
      <c r="U91" s="187">
        <f>O91*IFERROR(VLOOKUP(A91,[1]Tørstofindhold!A$2:B$24,2,FALSE),0)</f>
        <v>0</v>
      </c>
      <c r="V91" s="188">
        <f>IF(D91=År1,P91,SUM(O91,P91))*IFERROR(VLOOKUP(A91,[1]Tørstofindhold!A$2:B$24,2,FALSE),0)</f>
        <v>0</v>
      </c>
      <c r="W91" s="188">
        <f>J91*IFERROR(VLOOKUP(A91,[1]Tørstofindhold!A$2:B$24,2,FALSE),0)</f>
        <v>0</v>
      </c>
      <c r="X91" s="189">
        <f t="shared" si="26"/>
        <v>0</v>
      </c>
      <c r="Y91" s="169">
        <f t="shared" si="21"/>
        <v>0</v>
      </c>
      <c r="Z91" s="103">
        <f t="shared" si="22"/>
        <v>1</v>
      </c>
    </row>
    <row r="92" spans="1:26" x14ac:dyDescent="0.25">
      <c r="A92" s="190" t="str">
        <f t="shared" si="33"/>
        <v>Spildevandsslam</v>
      </c>
      <c r="B92" s="190" t="str">
        <f t="shared" si="34"/>
        <v>Bionedbrydeligt affald</v>
      </c>
      <c r="C92" s="190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0">
        <f t="shared" si="19"/>
        <v>2030</v>
      </c>
      <c r="E92" s="188" t="s">
        <v>23</v>
      </c>
      <c r="F92" s="191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3969627.3146627704</v>
      </c>
      <c r="G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8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1505476.5706157479</v>
      </c>
      <c r="K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1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5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0">
        <f t="shared" si="23"/>
        <v>2464150.7440470224</v>
      </c>
      <c r="O92" s="191">
        <f t="shared" si="20"/>
        <v>2464150.7440470224</v>
      </c>
      <c r="P92" s="201">
        <f t="shared" si="24"/>
        <v>1505476.5706157479</v>
      </c>
      <c r="Q92" s="188">
        <f>IFERROR(VLOOKUP(A92,[1]Energiindhold!$A$2:$C$11,3,FALSE),IFERROR(VLOOKUP(A92,[1]Biogasudbytte!$A$2:$B$18,2,FALSE)*[1]Energiindhold!$C$10,0))*O92</f>
        <v>1.2296358627869048</v>
      </c>
      <c r="R92" s="188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1.9808837262898693</v>
      </c>
      <c r="S92" s="188">
        <f>IFERROR(VLOOKUP(A92,[1]Biogasudbytte!$A$2:$B$18,2,FALSE)*[1]Energiindhold!$C$10,0)*J92*IFERROR(VLOOKUP(A92,Biogasanlæg!$F$3:$G$8,2,FALSE),1)</f>
        <v>0.75124786350296446</v>
      </c>
      <c r="T92" s="189">
        <f t="shared" si="25"/>
        <v>1.2296358627869048</v>
      </c>
      <c r="U92" s="187">
        <f>O92*IFERROR(VLOOKUP(A92,[1]Tørstofindhold!A$2:B$24,2,FALSE),0)</f>
        <v>147849.04464282133</v>
      </c>
      <c r="V92" s="188">
        <f>IF(D92=År1,P92,SUM(O92,P92))*IFERROR(VLOOKUP(A92,[1]Tørstofindhold!A$2:B$24,2,FALSE),0)</f>
        <v>238177.63887976622</v>
      </c>
      <c r="W92" s="188">
        <f>J92*IFERROR(VLOOKUP(A92,[1]Tørstofindhold!A$2:B$24,2,FALSE),0)</f>
        <v>90328.594236944875</v>
      </c>
      <c r="X92" s="189">
        <f t="shared" si="26"/>
        <v>147849.04464282136</v>
      </c>
      <c r="Y92" s="169">
        <f t="shared" si="21"/>
        <v>0</v>
      </c>
      <c r="Z92" s="103">
        <f t="shared" si="22"/>
        <v>1</v>
      </c>
    </row>
    <row r="93" spans="1:26" x14ac:dyDescent="0.25">
      <c r="A93" s="190" t="str">
        <f t="shared" si="33"/>
        <v>Svinegylle</v>
      </c>
      <c r="B93" s="190" t="str">
        <f t="shared" si="34"/>
        <v>Husdyrgødning</v>
      </c>
      <c r="C93" s="190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0">
        <f t="shared" si="19"/>
        <v>2030</v>
      </c>
      <c r="E93" s="188" t="s">
        <v>23</v>
      </c>
      <c r="F93" s="191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13857874.328276252</v>
      </c>
      <c r="G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8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7344673.3939864142</v>
      </c>
      <c r="K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6513200.9342898391</v>
      </c>
      <c r="L93" s="191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5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0">
        <f t="shared" si="23"/>
        <v>0</v>
      </c>
      <c r="O93" s="191">
        <f t="shared" si="20"/>
        <v>0</v>
      </c>
      <c r="P93" s="201">
        <f t="shared" si="24"/>
        <v>7344673.3939864142</v>
      </c>
      <c r="Q93" s="188">
        <f>IFERROR(VLOOKUP(A93,[1]Energiindhold!$A$2:$C$11,3,FALSE),IFERROR(VLOOKUP(A93,[1]Biogasudbytte!$A$2:$B$18,2,FALSE)*[1]Energiindhold!$C$10,0))*O93</f>
        <v>0</v>
      </c>
      <c r="R93" s="188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3.1640852981293479</v>
      </c>
      <c r="S93" s="188">
        <f>IFERROR(VLOOKUP(A93,[1]Biogasudbytte!$A$2:$B$18,2,FALSE)*[1]Energiindhold!$C$10,0)*J93*IFERROR(VLOOKUP(A93,Biogasanlæg!$F$3:$G$8,2,FALSE),1)</f>
        <v>3.1640852981293479</v>
      </c>
      <c r="T93" s="189">
        <f t="shared" si="25"/>
        <v>0</v>
      </c>
      <c r="U93" s="187">
        <f>O93*IFERROR(VLOOKUP(A93,[1]Tørstofindhold!A$2:B$24,2,FALSE),0)</f>
        <v>0</v>
      </c>
      <c r="V93" s="188">
        <f>IF(D93=År1,P93,SUM(O93,P93))*IFERROR(VLOOKUP(A93,[1]Tørstofindhold!A$2:B$24,2,FALSE),0)</f>
        <v>367233.66969932074</v>
      </c>
      <c r="W93" s="188">
        <f>J93*IFERROR(VLOOKUP(A93,[1]Tørstofindhold!A$2:B$24,2,FALSE),0)</f>
        <v>367233.66969932074</v>
      </c>
      <c r="X93" s="189">
        <f t="shared" si="26"/>
        <v>0</v>
      </c>
      <c r="Y93" s="169">
        <f t="shared" si="21"/>
        <v>0</v>
      </c>
      <c r="Z93" s="103">
        <f t="shared" si="22"/>
        <v>0</v>
      </c>
    </row>
    <row r="94" spans="1:26" x14ac:dyDescent="0.25">
      <c r="A94" s="190" t="str">
        <f t="shared" si="33"/>
        <v>Svinekød</v>
      </c>
      <c r="B94" s="190" t="str">
        <f t="shared" si="34"/>
        <v/>
      </c>
      <c r="C94" s="190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0">
        <f t="shared" si="19"/>
        <v>2030</v>
      </c>
      <c r="E94" s="188" t="s">
        <v>23</v>
      </c>
      <c r="F94" s="191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1306302.9710994663</v>
      </c>
      <c r="G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8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1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5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0">
        <f t="shared" si="23"/>
        <v>1184427.4270507861</v>
      </c>
      <c r="O94" s="191">
        <f t="shared" si="20"/>
        <v>0</v>
      </c>
      <c r="P94" s="201">
        <f t="shared" si="24"/>
        <v>0</v>
      </c>
      <c r="Q94" s="188">
        <f>IFERROR(VLOOKUP(A94,[1]Energiindhold!$A$2:$C$11,3,FALSE),IFERROR(VLOOKUP(A94,[1]Biogasudbytte!$A$2:$B$18,2,FALSE)*[1]Energiindhold!$C$10,0))*O94</f>
        <v>0</v>
      </c>
      <c r="R94" s="188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8">
        <f>IFERROR(VLOOKUP(A94,[1]Biogasudbytte!$A$2:$B$18,2,FALSE)*[1]Energiindhold!$C$10,0)*J94*IFERROR(VLOOKUP(A94,Biogasanlæg!$F$3:$G$8,2,FALSE),1)</f>
        <v>0</v>
      </c>
      <c r="T94" s="189">
        <f t="shared" si="25"/>
        <v>0</v>
      </c>
      <c r="U94" s="187">
        <f>O94*IFERROR(VLOOKUP(A94,[1]Tørstofindhold!A$2:B$24,2,FALSE),0)</f>
        <v>0</v>
      </c>
      <c r="V94" s="188">
        <f>IF(D94=År1,P94,SUM(O94,P94))*IFERROR(VLOOKUP(A94,[1]Tørstofindhold!A$2:B$24,2,FALSE),0)</f>
        <v>0</v>
      </c>
      <c r="W94" s="188">
        <f>J94*IFERROR(VLOOKUP(A94,[1]Tørstofindhold!A$2:B$24,2,FALSE),0)</f>
        <v>0</v>
      </c>
      <c r="X94" s="189">
        <f t="shared" si="26"/>
        <v>0</v>
      </c>
      <c r="Y94" s="169">
        <f t="shared" si="21"/>
        <v>0</v>
      </c>
      <c r="Z94" s="103">
        <f t="shared" si="22"/>
        <v>1</v>
      </c>
    </row>
    <row r="95" spans="1:26" x14ac:dyDescent="0.25">
      <c r="A95" s="190" t="str">
        <f t="shared" si="33"/>
        <v>Tang</v>
      </c>
      <c r="B95" s="190" t="str">
        <f t="shared" si="34"/>
        <v>Havbiomasse</v>
      </c>
      <c r="C95" s="190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0">
        <f t="shared" si="19"/>
        <v>2030</v>
      </c>
      <c r="E95" s="188" t="s">
        <v>23</v>
      </c>
      <c r="F95" s="191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10800</v>
      </c>
      <c r="G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8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1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5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0">
        <f t="shared" si="23"/>
        <v>10800</v>
      </c>
      <c r="O95" s="191">
        <f t="shared" si="20"/>
        <v>10800</v>
      </c>
      <c r="P95" s="201">
        <f t="shared" si="24"/>
        <v>0</v>
      </c>
      <c r="Q95" s="188">
        <f>IFERROR(VLOOKUP(A95,[1]Energiindhold!$A$2:$C$11,3,FALSE),IFERROR(VLOOKUP(A95,[1]Biogasudbytte!$A$2:$B$18,2,FALSE)*[1]Energiindhold!$C$10,0))*O95</f>
        <v>9.6930000000000002E-3</v>
      </c>
      <c r="R95" s="188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88">
        <f>IFERROR(VLOOKUP(A95,[1]Biogasudbytte!$A$2:$B$18,2,FALSE)*[1]Energiindhold!$C$10,0)*J95*IFERROR(VLOOKUP(A95,Biogasanlæg!$F$3:$G$8,2,FALSE),1)</f>
        <v>0</v>
      </c>
      <c r="T95" s="189">
        <f t="shared" si="25"/>
        <v>9.6930000000000002E-3</v>
      </c>
      <c r="U95" s="187">
        <f>O95*IFERROR(VLOOKUP(A95,[1]Tørstofindhold!A$2:B$24,2,FALSE),0)</f>
        <v>1620</v>
      </c>
      <c r="V95" s="188">
        <f>IF(D95=År1,P95,SUM(O95,P95))*IFERROR(VLOOKUP(A95,[1]Tørstofindhold!A$2:B$24,2,FALSE),0)</f>
        <v>1620</v>
      </c>
      <c r="W95" s="188">
        <f>J95*IFERROR(VLOOKUP(A95,[1]Tørstofindhold!A$2:B$24,2,FALSE),0)</f>
        <v>0</v>
      </c>
      <c r="X95" s="189">
        <f t="shared" si="26"/>
        <v>1620</v>
      </c>
      <c r="Y95" s="169">
        <f t="shared" si="21"/>
        <v>0</v>
      </c>
      <c r="Z95" s="103">
        <f t="shared" si="22"/>
        <v>1</v>
      </c>
    </row>
    <row r="96" spans="1:26" x14ac:dyDescent="0.25">
      <c r="A96" s="190" t="str">
        <f t="shared" si="33"/>
        <v>Total til biogas</v>
      </c>
      <c r="B96" s="190" t="str">
        <f t="shared" si="34"/>
        <v/>
      </c>
      <c r="C96" s="190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0">
        <f t="shared" si="19"/>
        <v>2030</v>
      </c>
      <c r="E96" s="188" t="s">
        <v>23</v>
      </c>
      <c r="F96" s="191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8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1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5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0">
        <f t="shared" si="23"/>
        <v>0</v>
      </c>
      <c r="O96" s="191">
        <f t="shared" si="20"/>
        <v>0</v>
      </c>
      <c r="P96" s="201">
        <f t="shared" si="24"/>
        <v>0</v>
      </c>
      <c r="Q96" s="188">
        <f>IFERROR(VLOOKUP(A96,[1]Energiindhold!$A$2:$C$11,3,FALSE),IFERROR(VLOOKUP(A96,[1]Biogasudbytte!$A$2:$B$18,2,FALSE)*[1]Energiindhold!$C$10,0))*O96</f>
        <v>0</v>
      </c>
      <c r="R96" s="188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8">
        <f>IFERROR(VLOOKUP(A96,[1]Biogasudbytte!$A$2:$B$18,2,FALSE)*[1]Energiindhold!$C$10,0)*J96*IFERROR(VLOOKUP(A96,Biogasanlæg!$F$3:$G$8,2,FALSE),1)</f>
        <v>0</v>
      </c>
      <c r="T96" s="189">
        <f t="shared" si="25"/>
        <v>0</v>
      </c>
      <c r="U96" s="187">
        <f>O96*IFERROR(VLOOKUP(A96,[1]Tørstofindhold!A$2:B$24,2,FALSE),0)</f>
        <v>0</v>
      </c>
      <c r="V96" s="188">
        <f>IF(D96=År1,P96,SUM(O96,P96))*IFERROR(VLOOKUP(A96,[1]Tørstofindhold!A$2:B$24,2,FALSE),0)</f>
        <v>0</v>
      </c>
      <c r="W96" s="188">
        <f>J96*IFERROR(VLOOKUP(A96,[1]Tørstofindhold!A$2:B$24,2,FALSE),0)</f>
        <v>0</v>
      </c>
      <c r="X96" s="189">
        <f t="shared" si="26"/>
        <v>0</v>
      </c>
      <c r="Y96" s="169">
        <f t="shared" si="21"/>
        <v>0</v>
      </c>
      <c r="Z96" s="103">
        <f t="shared" si="22"/>
        <v>0</v>
      </c>
    </row>
    <row r="97" spans="1:26" x14ac:dyDescent="0.25">
      <c r="A97" s="190" t="str">
        <f t="shared" si="33"/>
        <v>Træ til energi</v>
      </c>
      <c r="B97" s="190" t="str">
        <f t="shared" si="34"/>
        <v>Vedmasse</v>
      </c>
      <c r="C97" s="190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0">
        <f t="shared" si="19"/>
        <v>2030</v>
      </c>
      <c r="E97" s="188" t="s">
        <v>23</v>
      </c>
      <c r="F97" s="191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2203715.0015238998</v>
      </c>
      <c r="G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8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1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5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0">
        <f t="shared" ca="1" si="23"/>
        <v>0</v>
      </c>
      <c r="O97" s="191">
        <f t="shared" ca="1" si="20"/>
        <v>0</v>
      </c>
      <c r="P97" s="201">
        <f t="shared" ca="1" si="24"/>
        <v>2203715.0015238998</v>
      </c>
      <c r="Q97" s="188">
        <f ca="1">IFERROR(VLOOKUP(A97,[1]Energiindhold!$A$2:$C$11,3,FALSE),IFERROR(VLOOKUP(A97,[1]Biogasudbytte!$A$2:$B$18,2,FALSE)*[1]Energiindhold!$C$10,0))*O97</f>
        <v>0</v>
      </c>
      <c r="R97" s="188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88">
        <f>IFERROR(VLOOKUP(A97,[1]Biogasudbytte!$A$2:$B$18,2,FALSE)*[1]Energiindhold!$C$10,0)*J97*IFERROR(VLOOKUP(A97,Biogasanlæg!$F$3:$G$8,2,FALSE),1)</f>
        <v>0</v>
      </c>
      <c r="T97" s="189">
        <f t="shared" ca="1" si="25"/>
        <v>31.93969521225883</v>
      </c>
      <c r="U97" s="187">
        <f ca="1">O97*IFERROR(VLOOKUP(A97,[1]Tørstofindhold!A$2:B$24,2,FALSE),0)</f>
        <v>0</v>
      </c>
      <c r="V97" s="188">
        <f ca="1">IF(D97=År1,P97,SUM(O97,P97))*IFERROR(VLOOKUP(A97,[1]Tørstofindhold!A$2:B$24,2,FALSE),0)</f>
        <v>1089920.7111703621</v>
      </c>
      <c r="W97" s="188">
        <f>J97*IFERROR(VLOOKUP(A97,[1]Tørstofindhold!A$2:B$24,2,FALSE),0)</f>
        <v>0</v>
      </c>
      <c r="X97" s="189">
        <f t="shared" ca="1" si="26"/>
        <v>1089920.7111703621</v>
      </c>
      <c r="Y97" s="169">
        <f t="shared" ca="1" si="21"/>
        <v>0</v>
      </c>
      <c r="Z97" s="103">
        <f t="shared" ca="1" si="22"/>
        <v>0</v>
      </c>
    </row>
    <row r="98" spans="1:26" x14ac:dyDescent="0.25">
      <c r="A98" s="190" t="str">
        <f t="shared" si="33"/>
        <v>Træmaterialer</v>
      </c>
      <c r="B98" s="190" t="str">
        <f t="shared" si="34"/>
        <v/>
      </c>
      <c r="C98" s="190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0">
        <f t="shared" si="19"/>
        <v>2030</v>
      </c>
      <c r="E98" s="188" t="s">
        <v>23</v>
      </c>
      <c r="F98" s="191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605932.0339558397</v>
      </c>
      <c r="G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8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1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5">
        <f ca="1">SUMIFS('Forbrug af biomasse'!E:E,'Forbrug af biomasse'!C:C,'Resultat-Produktion &amp; forbrug'!$A98,'Forbrug af biomasse'!D:D,'Resultat-Produktion &amp; forbrug'!$D98,'Forbrug af biomasse'!G:G,1,'Forbrug af biomasse'!B:B,$E98)</f>
        <v>605932.0339558397</v>
      </c>
      <c r="N98" s="200">
        <f t="shared" ca="1" si="23"/>
        <v>0</v>
      </c>
      <c r="O98" s="191">
        <f t="shared" si="20"/>
        <v>0</v>
      </c>
      <c r="P98" s="201">
        <f t="shared" si="24"/>
        <v>0</v>
      </c>
      <c r="Q98" s="188">
        <f>IFERROR(VLOOKUP(A98,[1]Energiindhold!$A$2:$C$11,3,FALSE),IFERROR(VLOOKUP(A98,[1]Biogasudbytte!$A$2:$B$18,2,FALSE)*[1]Energiindhold!$C$10,0))*O98</f>
        <v>0</v>
      </c>
      <c r="R98" s="188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8">
        <f>IFERROR(VLOOKUP(A98,[1]Biogasudbytte!$A$2:$B$18,2,FALSE)*[1]Energiindhold!$C$10,0)*J98*IFERROR(VLOOKUP(A98,Biogasanlæg!$F$3:$G$8,2,FALSE),1)</f>
        <v>0</v>
      </c>
      <c r="T98" s="189">
        <f t="shared" si="25"/>
        <v>0</v>
      </c>
      <c r="U98" s="187">
        <f>O98*IFERROR(VLOOKUP(A98,[1]Tørstofindhold!A$2:B$24,2,FALSE),0)</f>
        <v>0</v>
      </c>
      <c r="V98" s="188">
        <f>IF(D98=År1,P98,SUM(O98,P98))*IFERROR(VLOOKUP(A98,[1]Tørstofindhold!A$2:B$24,2,FALSE),0)</f>
        <v>0</v>
      </c>
      <c r="W98" s="188">
        <f>J98*IFERROR(VLOOKUP(A98,[1]Tørstofindhold!A$2:B$24,2,FALSE),0)</f>
        <v>0</v>
      </c>
      <c r="X98" s="189">
        <f t="shared" si="26"/>
        <v>0</v>
      </c>
      <c r="Y98" s="169">
        <f t="shared" ca="1" si="21"/>
        <v>0</v>
      </c>
      <c r="Z98" s="103">
        <f t="shared" ca="1" si="22"/>
        <v>0</v>
      </c>
    </row>
    <row r="99" spans="1:26" x14ac:dyDescent="0.25">
      <c r="A99" s="190" t="str">
        <f t="shared" si="33"/>
        <v>Æg</v>
      </c>
      <c r="B99" s="190" t="str">
        <f t="shared" si="34"/>
        <v/>
      </c>
      <c r="C99" s="190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0">
        <f t="shared" ref="D99:D146" si="35">År3</f>
        <v>2050</v>
      </c>
      <c r="E99" s="188" t="s">
        <v>23</v>
      </c>
      <c r="F99" s="191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178592.56671485456</v>
      </c>
      <c r="G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8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1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5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0">
        <f t="shared" si="23"/>
        <v>144742.59782840975</v>
      </c>
      <c r="O99" s="191">
        <f t="shared" si="20"/>
        <v>0</v>
      </c>
      <c r="P99" s="201">
        <f t="shared" si="24"/>
        <v>0</v>
      </c>
      <c r="Q99" s="188">
        <f>IFERROR(VLOOKUP(A99,[1]Energiindhold!$A$2:$C$11,3,FALSE),IFERROR(VLOOKUP(A99,[1]Biogasudbytte!$A$2:$B$18,2,FALSE)*[1]Energiindhold!$C$10,0))*O99</f>
        <v>0</v>
      </c>
      <c r="R99" s="188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8">
        <f>IFERROR(VLOOKUP(A99,[1]Biogasudbytte!$A$2:$B$18,2,FALSE)*[1]Energiindhold!$C$10,0)*J99*IFERROR(VLOOKUP(A99,Biogasanlæg!$F$3:$G$8,2,FALSE),1)</f>
        <v>0</v>
      </c>
      <c r="T99" s="189">
        <f t="shared" si="25"/>
        <v>0</v>
      </c>
      <c r="U99" s="187">
        <f>O99*IFERROR(VLOOKUP(A99,[1]Tørstofindhold!A$2:B$24,2,FALSE),0)</f>
        <v>0</v>
      </c>
      <c r="V99" s="188">
        <f>IF(D99=År1,P99,SUM(O99,P99))*IFERROR(VLOOKUP(A99,[1]Tørstofindhold!A$2:B$24,2,FALSE),0)</f>
        <v>0</v>
      </c>
      <c r="W99" s="188">
        <f>J99*IFERROR(VLOOKUP(A99,[1]Tørstofindhold!A$2:B$24,2,FALSE),0)</f>
        <v>0</v>
      </c>
      <c r="X99" s="189">
        <f t="shared" si="26"/>
        <v>0</v>
      </c>
      <c r="Y99" s="169">
        <f t="shared" si="21"/>
        <v>0</v>
      </c>
      <c r="Z99" s="103">
        <f t="shared" si="22"/>
        <v>1</v>
      </c>
    </row>
    <row r="100" spans="1:26" x14ac:dyDescent="0.25">
      <c r="A100" s="190" t="str">
        <f t="shared" si="33"/>
        <v>Bælgsæd</v>
      </c>
      <c r="B100" s="190" t="str">
        <f t="shared" si="34"/>
        <v/>
      </c>
      <c r="C100" s="190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0">
        <f t="shared" si="35"/>
        <v>2050</v>
      </c>
      <c r="E100" s="188" t="s">
        <v>23</v>
      </c>
      <c r="F100" s="191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192834.50614053759</v>
      </c>
      <c r="G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61054.422265523077</v>
      </c>
      <c r="H100" s="188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1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5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0">
        <f t="shared" si="23"/>
        <v>131780.0838750145</v>
      </c>
      <c r="O100" s="191">
        <f t="shared" si="20"/>
        <v>0</v>
      </c>
      <c r="P100" s="201">
        <f t="shared" si="24"/>
        <v>0</v>
      </c>
      <c r="Q100" s="188">
        <f>IFERROR(VLOOKUP(A100,[1]Energiindhold!$A$2:$C$11,3,FALSE),IFERROR(VLOOKUP(A100,[1]Biogasudbytte!$A$2:$B$18,2,FALSE)*[1]Energiindhold!$C$10,0))*O100</f>
        <v>0</v>
      </c>
      <c r="R100" s="188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8">
        <f>IFERROR(VLOOKUP(A100,[1]Biogasudbytte!$A$2:$B$18,2,FALSE)*[1]Energiindhold!$C$10,0)*J100*IFERROR(VLOOKUP(A100,Biogasanlæg!$F$3:$G$8,2,FALSE),1)</f>
        <v>0</v>
      </c>
      <c r="T100" s="189">
        <f t="shared" si="25"/>
        <v>0</v>
      </c>
      <c r="U100" s="187">
        <f>O100*IFERROR(VLOOKUP(A100,[1]Tørstofindhold!A$2:B$24,2,FALSE),0)</f>
        <v>0</v>
      </c>
      <c r="V100" s="188">
        <f>IF(D100=År1,P100,SUM(O100,P100))*IFERROR(VLOOKUP(A100,[1]Tørstofindhold!A$2:B$24,2,FALSE),0)</f>
        <v>0</v>
      </c>
      <c r="W100" s="188">
        <f>J100*IFERROR(VLOOKUP(A100,[1]Tørstofindhold!A$2:B$24,2,FALSE),0)</f>
        <v>0</v>
      </c>
      <c r="X100" s="189">
        <f t="shared" si="26"/>
        <v>0</v>
      </c>
      <c r="Y100" s="169">
        <f t="shared" si="21"/>
        <v>0</v>
      </c>
      <c r="Z100" s="103">
        <f t="shared" si="22"/>
        <v>1</v>
      </c>
    </row>
    <row r="101" spans="1:26" x14ac:dyDescent="0.25">
      <c r="A101" s="190" t="str">
        <f t="shared" si="33"/>
        <v>Bioaffald</v>
      </c>
      <c r="B101" s="190" t="str">
        <f t="shared" si="34"/>
        <v>Bionedbrydeligt affald</v>
      </c>
      <c r="C101" s="190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0">
        <f t="shared" si="35"/>
        <v>2050</v>
      </c>
      <c r="E101" s="188" t="s">
        <v>23</v>
      </c>
      <c r="F101" s="191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8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1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1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5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0">
        <f t="shared" ca="1" si="23"/>
        <v>-9.8743131762603298E-2</v>
      </c>
      <c r="O101" s="191">
        <f t="shared" ca="1" si="20"/>
        <v>0</v>
      </c>
      <c r="P101" s="201">
        <f t="shared" ca="1" si="24"/>
        <v>197484.23354298095</v>
      </c>
      <c r="Q101" s="188">
        <f ca="1">IFERROR(VLOOKUP(A101,[1]Energiindhold!$A$2:$C$11,3,FALSE),IFERROR(VLOOKUP(A101,[1]Biogasudbytte!$A$2:$B$18,2,FALSE)*[1]Energiindhold!$C$10,0))*O101</f>
        <v>0</v>
      </c>
      <c r="R101" s="188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8">
        <f ca="1">IFERROR(VLOOKUP(A101,[1]Biogasudbytte!$A$2:$B$18,2,FALSE)*[1]Energiindhold!$C$10,0)*J101*IFERROR(VLOOKUP(A101,Biogasanlæg!$F$3:$G$8,2,FALSE),1)</f>
        <v>0.67281101009991739</v>
      </c>
      <c r="T101" s="189">
        <f t="shared" ca="1" si="25"/>
        <v>0</v>
      </c>
      <c r="U101" s="187">
        <f ca="1">O101*IFERROR(VLOOKUP(A101,[1]Tørstofindhold!A$2:B$24,2,FALSE),0)</f>
        <v>0</v>
      </c>
      <c r="V101" s="188">
        <f ca="1">IF(D101=År1,P101,SUM(O101,P101))*IFERROR(VLOOKUP(A101,[1]Tørstofindhold!A$2:B$24,2,FALSE),0)</f>
        <v>55295.585392034671</v>
      </c>
      <c r="W101" s="188">
        <f ca="1">J101*IFERROR(VLOOKUP(A101,[1]Tørstofindhold!A$2:B$24,2,FALSE),0)</f>
        <v>55295.585392034671</v>
      </c>
      <c r="X101" s="189">
        <f t="shared" ca="1" si="26"/>
        <v>0</v>
      </c>
      <c r="Y101" s="169">
        <f t="shared" ca="1" si="21"/>
        <v>1</v>
      </c>
      <c r="Z101" s="103">
        <f t="shared" ca="1" si="22"/>
        <v>0</v>
      </c>
    </row>
    <row r="102" spans="1:26" x14ac:dyDescent="0.25">
      <c r="A102" s="190" t="str">
        <f t="shared" si="33"/>
        <v>Biogas</v>
      </c>
      <c r="B102" s="190" t="str">
        <f t="shared" si="34"/>
        <v/>
      </c>
      <c r="C102" s="190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0">
        <f t="shared" si="35"/>
        <v>2050</v>
      </c>
      <c r="E102" s="188" t="s">
        <v>23</v>
      </c>
      <c r="F102" s="191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483018393.58230299</v>
      </c>
      <c r="G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8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1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483018393.58230299</v>
      </c>
      <c r="M102" s="155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0">
        <f t="shared" ca="1" si="23"/>
        <v>0</v>
      </c>
      <c r="O102" s="191">
        <f t="shared" ca="1" si="20"/>
        <v>0</v>
      </c>
      <c r="P102" s="201">
        <f t="shared" ca="1" si="24"/>
        <v>483018393.58230299</v>
      </c>
      <c r="Q102" s="188">
        <f ca="1">IFERROR(VLOOKUP(A102,[1]Energiindhold!$A$2:$C$11,3,FALSE),IFERROR(VLOOKUP(A102,[1]Biogasudbytte!$A$2:$B$18,2,FALSE)*[1]Energiindhold!$C$10,0))*O102</f>
        <v>0</v>
      </c>
      <c r="R102" s="188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8">
        <f>IFERROR(VLOOKUP(A102,[1]Biogasudbytte!$A$2:$B$18,2,FALSE)*[1]Energiindhold!$C$10,0)*J102*IFERROR(VLOOKUP(A102,Biogasanlæg!$F$3:$G$8,2,FALSE),1)</f>
        <v>0</v>
      </c>
      <c r="T102" s="189">
        <f t="shared" si="25"/>
        <v>0</v>
      </c>
      <c r="U102" s="187">
        <f ca="1">O102*IFERROR(VLOOKUP(A102,[1]Tørstofindhold!A$2:B$24,2,FALSE),0)</f>
        <v>0</v>
      </c>
      <c r="V102" s="188">
        <f ca="1">IF(D102=År1,P102,SUM(O102,P102))*IFERROR(VLOOKUP(A102,[1]Tørstofindhold!A$2:B$24,2,FALSE),0)</f>
        <v>0</v>
      </c>
      <c r="W102" s="188">
        <f>J102*IFERROR(VLOOKUP(A102,[1]Tørstofindhold!A$2:B$24,2,FALSE),0)</f>
        <v>0</v>
      </c>
      <c r="X102" s="189">
        <f t="shared" ca="1" si="26"/>
        <v>0</v>
      </c>
      <c r="Y102" s="169">
        <f t="shared" ca="1" si="21"/>
        <v>0</v>
      </c>
      <c r="Z102" s="103">
        <f t="shared" ca="1" si="22"/>
        <v>0</v>
      </c>
    </row>
    <row r="103" spans="1:26" x14ac:dyDescent="0.25">
      <c r="A103" s="190" t="str">
        <f t="shared" si="33"/>
        <v>Biogasgylle</v>
      </c>
      <c r="B103" s="190" t="str">
        <f t="shared" si="34"/>
        <v/>
      </c>
      <c r="C103" s="190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0">
        <f t="shared" si="35"/>
        <v>2050</v>
      </c>
      <c r="E103" s="188" t="s">
        <v>23</v>
      </c>
      <c r="F103" s="191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17925018.580788191</v>
      </c>
      <c r="G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8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1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15183219.854366822</v>
      </c>
      <c r="L103" s="191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5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0">
        <f t="shared" ca="1" si="23"/>
        <v>2741798.7264213692</v>
      </c>
      <c r="O103" s="191">
        <f t="shared" si="20"/>
        <v>0</v>
      </c>
      <c r="P103" s="201">
        <f t="shared" si="24"/>
        <v>0</v>
      </c>
      <c r="Q103" s="188">
        <f>IFERROR(VLOOKUP(A103,[1]Energiindhold!$A$2:$C$11,3,FALSE),IFERROR(VLOOKUP(A103,[1]Biogasudbytte!$A$2:$B$18,2,FALSE)*[1]Energiindhold!$C$10,0))*O103</f>
        <v>0</v>
      </c>
      <c r="R103" s="188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8">
        <f>IFERROR(VLOOKUP(A103,[1]Biogasudbytte!$A$2:$B$18,2,FALSE)*[1]Energiindhold!$C$10,0)*J103*IFERROR(VLOOKUP(A103,Biogasanlæg!$F$3:$G$8,2,FALSE),1)</f>
        <v>0</v>
      </c>
      <c r="T103" s="189">
        <f t="shared" si="25"/>
        <v>0</v>
      </c>
      <c r="U103" s="187">
        <f>O103*IFERROR(VLOOKUP(A103,[1]Tørstofindhold!A$2:B$24,2,FALSE),0)</f>
        <v>0</v>
      </c>
      <c r="V103" s="188">
        <f>IF(D103=År1,P103,SUM(O103,P103))*IFERROR(VLOOKUP(A103,[1]Tørstofindhold!A$2:B$24,2,FALSE),0)</f>
        <v>0</v>
      </c>
      <c r="W103" s="188">
        <f>J103*IFERROR(VLOOKUP(A103,[1]Tørstofindhold!A$2:B$24,2,FALSE),0)</f>
        <v>0</v>
      </c>
      <c r="X103" s="189">
        <f t="shared" si="26"/>
        <v>0</v>
      </c>
      <c r="Y103" s="169">
        <f t="shared" ca="1" si="21"/>
        <v>0</v>
      </c>
      <c r="Z103" s="103">
        <f t="shared" ca="1" si="22"/>
        <v>1</v>
      </c>
    </row>
    <row r="104" spans="1:26" x14ac:dyDescent="0.25">
      <c r="A104" s="190" t="str">
        <f t="shared" si="33"/>
        <v>Brun saft</v>
      </c>
      <c r="B104" s="190" t="str">
        <f t="shared" si="34"/>
        <v>Bionedbrydeligt affald</v>
      </c>
      <c r="C104" s="190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0">
        <f t="shared" si="35"/>
        <v>2050</v>
      </c>
      <c r="E104" s="188" t="s">
        <v>23</v>
      </c>
      <c r="F104" s="191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2446604.0725129922</v>
      </c>
      <c r="G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8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489320.81450259848</v>
      </c>
      <c r="K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1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5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0">
        <f t="shared" si="23"/>
        <v>1957283.2580103937</v>
      </c>
      <c r="O104" s="191">
        <f t="shared" si="20"/>
        <v>1957283.2580103937</v>
      </c>
      <c r="P104" s="201">
        <f t="shared" si="24"/>
        <v>489320.81450259848</v>
      </c>
      <c r="Q104" s="188">
        <f>IFERROR(VLOOKUP(A104,[1]Energiindhold!$A$2:$C$11,3,FALSE),IFERROR(VLOOKUP(A104,[1]Biogasudbytte!$A$2:$B$18,2,FALSE)*[1]Energiindhold!$C$10,0))*O104</f>
        <v>1.111787930506398</v>
      </c>
      <c r="R104" s="188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1.3897349131329975</v>
      </c>
      <c r="S104" s="188">
        <f>IFERROR(VLOOKUP(A104,[1]Biogasudbytte!$A$2:$B$18,2,FALSE)*[1]Energiindhold!$C$10,0)*J104*IFERROR(VLOOKUP(A104,Biogasanlæg!$F$3:$G$8,2,FALSE),1)</f>
        <v>0.27794698262659956</v>
      </c>
      <c r="T104" s="189">
        <f t="shared" si="25"/>
        <v>1.1117879305063978</v>
      </c>
      <c r="U104" s="187">
        <f>O104*IFERROR(VLOOKUP(A104,[1]Tørstofindhold!A$2:B$24,2,FALSE),0)</f>
        <v>83700.062524007968</v>
      </c>
      <c r="V104" s="188">
        <f>IF(D104=År1,P104,SUM(O104,P104))*IFERROR(VLOOKUP(A104,[1]Tørstofindhold!A$2:B$24,2,FALSE),0)</f>
        <v>104625.07815500996</v>
      </c>
      <c r="W104" s="188">
        <f>J104*IFERROR(VLOOKUP(A104,[1]Tørstofindhold!A$2:B$24,2,FALSE),0)</f>
        <v>20925.015631001996</v>
      </c>
      <c r="X104" s="189">
        <f t="shared" si="26"/>
        <v>83700.062524007968</v>
      </c>
      <c r="Y104" s="169">
        <f t="shared" si="21"/>
        <v>0</v>
      </c>
      <c r="Z104" s="103">
        <f t="shared" si="22"/>
        <v>1</v>
      </c>
    </row>
    <row r="105" spans="1:26" x14ac:dyDescent="0.25">
      <c r="A105" s="190" t="str">
        <f t="shared" si="33"/>
        <v>Dybstrøelse</v>
      </c>
      <c r="B105" s="190" t="str">
        <f t="shared" si="34"/>
        <v>Husdyrgødning</v>
      </c>
      <c r="C105" s="190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0">
        <f t="shared" si="35"/>
        <v>2050</v>
      </c>
      <c r="E105" s="188" t="s">
        <v>23</v>
      </c>
      <c r="F105" s="191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3443369.0962312091</v>
      </c>
      <c r="G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8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1721684.5481156046</v>
      </c>
      <c r="K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651780.57892947888</v>
      </c>
      <c r="L105" s="191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5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0">
        <f t="shared" si="23"/>
        <v>1069903.9691861258</v>
      </c>
      <c r="O105" s="191">
        <f t="shared" si="20"/>
        <v>1069903.9691861258</v>
      </c>
      <c r="P105" s="201">
        <f t="shared" si="24"/>
        <v>1721684.5481156046</v>
      </c>
      <c r="Q105" s="188">
        <f>IFERROR(VLOOKUP(A105,[1]Energiindhold!$A$2:$C$11,3,FALSE),IFERROR(VLOOKUP(A105,[1]Biogasudbytte!$A$2:$B$18,2,FALSE)*[1]Energiindhold!$C$10,0))*O105</f>
        <v>2.3045731496269148</v>
      </c>
      <c r="R105" s="188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6.0130816662679276</v>
      </c>
      <c r="S105" s="188">
        <f>IFERROR(VLOOKUP(A105,[1]Biogasudbytte!$A$2:$B$18,2,FALSE)*[1]Energiindhold!$C$10,0)*J105*IFERROR(VLOOKUP(A105,Biogasanlæg!$F$3:$G$8,2,FALSE),1)</f>
        <v>3.7085085166410123</v>
      </c>
      <c r="T105" s="189">
        <f t="shared" si="25"/>
        <v>2.3045731496269153</v>
      </c>
      <c r="U105" s="187">
        <f>O105*IFERROR(VLOOKUP(A105,[1]Tørstofindhold!A$2:B$24,2,FALSE),0)</f>
        <v>320971.19075583771</v>
      </c>
      <c r="V105" s="188">
        <f>IF(D105=År1,P105,SUM(O105,P105))*IFERROR(VLOOKUP(A105,[1]Tørstofindhold!A$2:B$24,2,FALSE),0)</f>
        <v>837476.55519051908</v>
      </c>
      <c r="W105" s="188">
        <f>J105*IFERROR(VLOOKUP(A105,[1]Tørstofindhold!A$2:B$24,2,FALSE),0)</f>
        <v>516505.36443468137</v>
      </c>
      <c r="X105" s="189">
        <f t="shared" si="26"/>
        <v>320971.19075583771</v>
      </c>
      <c r="Y105" s="169">
        <f t="shared" si="21"/>
        <v>0</v>
      </c>
      <c r="Z105" s="103">
        <f t="shared" si="22"/>
        <v>1</v>
      </c>
    </row>
    <row r="106" spans="1:26" x14ac:dyDescent="0.25">
      <c r="A106" s="190" t="str">
        <f t="shared" si="33"/>
        <v>Fiberfraktion</v>
      </c>
      <c r="B106" s="190" t="str">
        <f t="shared" si="34"/>
        <v/>
      </c>
      <c r="C106" s="190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0">
        <f t="shared" si="35"/>
        <v>2050</v>
      </c>
      <c r="E106" s="188" t="s">
        <v>23</v>
      </c>
      <c r="F106" s="191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1723236.581376635</v>
      </c>
      <c r="G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1710207.9065972848</v>
      </c>
      <c r="H106" s="188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1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5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0">
        <f t="shared" si="23"/>
        <v>13028.674779350171</v>
      </c>
      <c r="O106" s="191">
        <f t="shared" si="20"/>
        <v>0</v>
      </c>
      <c r="P106" s="201">
        <f t="shared" si="24"/>
        <v>0</v>
      </c>
      <c r="Q106" s="188">
        <f>IFERROR(VLOOKUP(A106,[1]Energiindhold!$A$2:$C$11,3,FALSE),IFERROR(VLOOKUP(A106,[1]Biogasudbytte!$A$2:$B$18,2,FALSE)*[1]Energiindhold!$C$10,0))*O106</f>
        <v>0</v>
      </c>
      <c r="R106" s="188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8">
        <f>IFERROR(VLOOKUP(A106,[1]Biogasudbytte!$A$2:$B$18,2,FALSE)*[1]Energiindhold!$C$10,0)*J106*IFERROR(VLOOKUP(A106,Biogasanlæg!$F$3:$G$8,2,FALSE),1)</f>
        <v>0</v>
      </c>
      <c r="T106" s="189">
        <f t="shared" si="25"/>
        <v>0</v>
      </c>
      <c r="U106" s="187">
        <f>O106*IFERROR(VLOOKUP(A106,[1]Tørstofindhold!A$2:B$24,2,FALSE),0)</f>
        <v>0</v>
      </c>
      <c r="V106" s="188">
        <f>IF(D106=År1,P106,SUM(O106,P106))*IFERROR(VLOOKUP(A106,[1]Tørstofindhold!A$2:B$24,2,FALSE),0)</f>
        <v>0</v>
      </c>
      <c r="W106" s="188">
        <f>J106*IFERROR(VLOOKUP(A106,[1]Tørstofindhold!A$2:B$24,2,FALSE),0)</f>
        <v>0</v>
      </c>
      <c r="X106" s="189">
        <f t="shared" si="26"/>
        <v>0</v>
      </c>
      <c r="Y106" s="169">
        <f t="shared" si="21"/>
        <v>0</v>
      </c>
      <c r="Z106" s="103">
        <f t="shared" si="22"/>
        <v>1</v>
      </c>
    </row>
    <row r="107" spans="1:26" x14ac:dyDescent="0.25">
      <c r="A107" s="190" t="str">
        <f t="shared" si="33"/>
        <v>Fjerkrægylle</v>
      </c>
      <c r="B107" s="190" t="str">
        <f t="shared" si="34"/>
        <v>Husdyrgødning</v>
      </c>
      <c r="C107" s="190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0">
        <f t="shared" si="35"/>
        <v>2050</v>
      </c>
      <c r="E107" s="188" t="s">
        <v>23</v>
      </c>
      <c r="F107" s="191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10067.108783209876</v>
      </c>
      <c r="G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8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5033.5543916049382</v>
      </c>
      <c r="K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5033.5543916049382</v>
      </c>
      <c r="L107" s="191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5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0">
        <f t="shared" si="23"/>
        <v>0</v>
      </c>
      <c r="O107" s="191">
        <f t="shared" si="20"/>
        <v>0</v>
      </c>
      <c r="P107" s="201">
        <f t="shared" si="24"/>
        <v>5033.5543916049382</v>
      </c>
      <c r="Q107" s="188">
        <f>IFERROR(VLOOKUP(A107,[1]Energiindhold!$A$2:$C$11,3,FALSE),IFERROR(VLOOKUP(A107,[1]Biogasudbytte!$A$2:$B$18,2,FALSE)*[1]Energiindhold!$C$10,0))*O107</f>
        <v>0</v>
      </c>
      <c r="R107" s="188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2.3672302948278866E-3</v>
      </c>
      <c r="S107" s="188">
        <f>IFERROR(VLOOKUP(A107,[1]Biogasudbytte!$A$2:$B$18,2,FALSE)*[1]Energiindhold!$C$10,0)*J107*IFERROR(VLOOKUP(A107,Biogasanlæg!$F$3:$G$8,2,FALSE),1)</f>
        <v>2.3672302948278866E-3</v>
      </c>
      <c r="T107" s="189">
        <f t="shared" si="25"/>
        <v>0</v>
      </c>
      <c r="U107" s="187">
        <f>O107*IFERROR(VLOOKUP(A107,[1]Tørstofindhold!A$2:B$24,2,FALSE),0)</f>
        <v>0</v>
      </c>
      <c r="V107" s="188">
        <f>IF(D107=År1,P107,SUM(O107,P107))*IFERROR(VLOOKUP(A107,[1]Tørstofindhold!A$2:B$24,2,FALSE),0)</f>
        <v>317.11392667111113</v>
      </c>
      <c r="W107" s="188">
        <f>J107*IFERROR(VLOOKUP(A107,[1]Tørstofindhold!A$2:B$24,2,FALSE),0)</f>
        <v>317.11392667111113</v>
      </c>
      <c r="X107" s="189">
        <f t="shared" si="26"/>
        <v>0</v>
      </c>
      <c r="Y107" s="169">
        <f t="shared" si="21"/>
        <v>0</v>
      </c>
      <c r="Z107" s="103">
        <f t="shared" si="22"/>
        <v>0</v>
      </c>
    </row>
    <row r="108" spans="1:26" x14ac:dyDescent="0.25">
      <c r="A108" s="190" t="str">
        <f t="shared" si="33"/>
        <v>Fjerkrækød</v>
      </c>
      <c r="B108" s="190" t="str">
        <f t="shared" si="34"/>
        <v/>
      </c>
      <c r="C108" s="190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0">
        <f t="shared" si="35"/>
        <v>2050</v>
      </c>
      <c r="E108" s="188" t="s">
        <v>23</v>
      </c>
      <c r="F108" s="191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131250.27246207089</v>
      </c>
      <c r="G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8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1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5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0">
        <f t="shared" si="23"/>
        <v>94579.472835089007</v>
      </c>
      <c r="O108" s="191">
        <f t="shared" si="20"/>
        <v>0</v>
      </c>
      <c r="P108" s="201">
        <f t="shared" si="24"/>
        <v>0</v>
      </c>
      <c r="Q108" s="188">
        <f>IFERROR(VLOOKUP(A108,[1]Energiindhold!$A$2:$C$11,3,FALSE),IFERROR(VLOOKUP(A108,[1]Biogasudbytte!$A$2:$B$18,2,FALSE)*[1]Energiindhold!$C$10,0))*O108</f>
        <v>0</v>
      </c>
      <c r="R108" s="188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8">
        <f>IFERROR(VLOOKUP(A108,[1]Biogasudbytte!$A$2:$B$18,2,FALSE)*[1]Energiindhold!$C$10,0)*J108*IFERROR(VLOOKUP(A108,Biogasanlæg!$F$3:$G$8,2,FALSE),1)</f>
        <v>0</v>
      </c>
      <c r="T108" s="189">
        <f t="shared" si="25"/>
        <v>0</v>
      </c>
      <c r="U108" s="187">
        <f>O108*IFERROR(VLOOKUP(A108,[1]Tørstofindhold!A$2:B$24,2,FALSE),0)</f>
        <v>0</v>
      </c>
      <c r="V108" s="188">
        <f>IF(D108=År1,P108,SUM(O108,P108))*IFERROR(VLOOKUP(A108,[1]Tørstofindhold!A$2:B$24,2,FALSE),0)</f>
        <v>0</v>
      </c>
      <c r="W108" s="188">
        <f>J108*IFERROR(VLOOKUP(A108,[1]Tørstofindhold!A$2:B$24,2,FALSE),0)</f>
        <v>0</v>
      </c>
      <c r="X108" s="189">
        <f t="shared" si="26"/>
        <v>0</v>
      </c>
      <c r="Y108" s="169">
        <f t="shared" si="21"/>
        <v>0</v>
      </c>
      <c r="Z108" s="103">
        <f t="shared" si="22"/>
        <v>1</v>
      </c>
    </row>
    <row r="109" spans="1:26" x14ac:dyDescent="0.25">
      <c r="A109" s="190" t="str">
        <f t="shared" si="33"/>
        <v>Frø</v>
      </c>
      <c r="B109" s="190" t="str">
        <f t="shared" si="34"/>
        <v/>
      </c>
      <c r="C109" s="190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0">
        <f t="shared" si="35"/>
        <v>2050</v>
      </c>
      <c r="E109" s="188" t="s">
        <v>23</v>
      </c>
      <c r="F109" s="191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930886.6264122529</v>
      </c>
      <c r="G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8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1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5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0">
        <f t="shared" si="23"/>
        <v>930886.6264122529</v>
      </c>
      <c r="O109" s="191">
        <f t="shared" si="20"/>
        <v>0</v>
      </c>
      <c r="P109" s="201">
        <f t="shared" si="24"/>
        <v>0</v>
      </c>
      <c r="Q109" s="188">
        <f>IFERROR(VLOOKUP(A109,[1]Energiindhold!$A$2:$C$11,3,FALSE),IFERROR(VLOOKUP(A109,[1]Biogasudbytte!$A$2:$B$18,2,FALSE)*[1]Energiindhold!$C$10,0))*O109</f>
        <v>0</v>
      </c>
      <c r="R109" s="188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8">
        <f>IFERROR(VLOOKUP(A109,[1]Biogasudbytte!$A$2:$B$18,2,FALSE)*[1]Energiindhold!$C$10,0)*J109*IFERROR(VLOOKUP(A109,Biogasanlæg!$F$3:$G$8,2,FALSE),1)</f>
        <v>0</v>
      </c>
      <c r="T109" s="189">
        <f t="shared" si="25"/>
        <v>0</v>
      </c>
      <c r="U109" s="187">
        <f>O109*IFERROR(VLOOKUP(A109,[1]Tørstofindhold!A$2:B$24,2,FALSE),0)</f>
        <v>0</v>
      </c>
      <c r="V109" s="188">
        <f>IF(D109=År1,P109,SUM(O109,P109))*IFERROR(VLOOKUP(A109,[1]Tørstofindhold!A$2:B$24,2,FALSE),0)</f>
        <v>0</v>
      </c>
      <c r="W109" s="188">
        <f>J109*IFERROR(VLOOKUP(A109,[1]Tørstofindhold!A$2:B$24,2,FALSE),0)</f>
        <v>0</v>
      </c>
      <c r="X109" s="189">
        <f t="shared" si="26"/>
        <v>0</v>
      </c>
      <c r="Y109" s="169">
        <f t="shared" si="21"/>
        <v>0</v>
      </c>
      <c r="Z109" s="103">
        <f t="shared" si="22"/>
        <v>1</v>
      </c>
    </row>
    <row r="110" spans="1:26" x14ac:dyDescent="0.25">
      <c r="A110" s="190" t="str">
        <f t="shared" si="33"/>
        <v>Frugt</v>
      </c>
      <c r="B110" s="190" t="str">
        <f t="shared" si="34"/>
        <v/>
      </c>
      <c r="C110" s="190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0">
        <f t="shared" si="35"/>
        <v>2050</v>
      </c>
      <c r="E110" s="188" t="s">
        <v>23</v>
      </c>
      <c r="F110" s="191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27797.960870428567</v>
      </c>
      <c r="G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8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1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5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0">
        <f t="shared" si="23"/>
        <v>-240180.95948059289</v>
      </c>
      <c r="O110" s="191">
        <f t="shared" si="20"/>
        <v>0</v>
      </c>
      <c r="P110" s="201">
        <f t="shared" si="24"/>
        <v>0</v>
      </c>
      <c r="Q110" s="188">
        <f>IFERROR(VLOOKUP(A110,[1]Energiindhold!$A$2:$C$11,3,FALSE),IFERROR(VLOOKUP(A110,[1]Biogasudbytte!$A$2:$B$18,2,FALSE)*[1]Energiindhold!$C$10,0))*O110</f>
        <v>0</v>
      </c>
      <c r="R110" s="188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8">
        <f>IFERROR(VLOOKUP(A110,[1]Biogasudbytte!$A$2:$B$18,2,FALSE)*[1]Energiindhold!$C$10,0)*J110*IFERROR(VLOOKUP(A110,Biogasanlæg!$F$3:$G$8,2,FALSE),1)</f>
        <v>0</v>
      </c>
      <c r="T110" s="189">
        <f t="shared" si="25"/>
        <v>0</v>
      </c>
      <c r="U110" s="187">
        <f>O110*IFERROR(VLOOKUP(A110,[1]Tørstofindhold!A$2:B$24,2,FALSE),0)</f>
        <v>0</v>
      </c>
      <c r="V110" s="188">
        <f>IF(D110=År1,P110,SUM(O110,P110))*IFERROR(VLOOKUP(A110,[1]Tørstofindhold!A$2:B$24,2,FALSE),0)</f>
        <v>0</v>
      </c>
      <c r="W110" s="188">
        <f>J110*IFERROR(VLOOKUP(A110,[1]Tørstofindhold!A$2:B$24,2,FALSE),0)</f>
        <v>0</v>
      </c>
      <c r="X110" s="189">
        <f t="shared" si="26"/>
        <v>0</v>
      </c>
      <c r="Y110" s="169">
        <f t="shared" si="21"/>
        <v>1</v>
      </c>
      <c r="Z110" s="103">
        <f t="shared" si="22"/>
        <v>0</v>
      </c>
    </row>
    <row r="111" spans="1:26" x14ac:dyDescent="0.25">
      <c r="A111" s="190" t="str">
        <f t="shared" si="33"/>
        <v>Glycerin</v>
      </c>
      <c r="B111" s="190" t="str">
        <f t="shared" si="34"/>
        <v>Glycerin</v>
      </c>
      <c r="C111" s="190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0">
        <f t="shared" si="35"/>
        <v>2050</v>
      </c>
      <c r="E111" s="188" t="s">
        <v>23</v>
      </c>
      <c r="F111" s="191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8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1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5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0">
        <f t="shared" si="23"/>
        <v>-114193.60000000001</v>
      </c>
      <c r="O111" s="191">
        <f t="shared" si="20"/>
        <v>0</v>
      </c>
      <c r="P111" s="201">
        <f t="shared" si="24"/>
        <v>114193.60000000001</v>
      </c>
      <c r="Q111" s="188">
        <f>IFERROR(VLOOKUP(A111,[1]Energiindhold!$A$2:$C$11,3,FALSE),IFERROR(VLOOKUP(A111,[1]Biogasudbytte!$A$2:$B$18,2,FALSE)*[1]Energiindhold!$C$10,0))*O111</f>
        <v>0</v>
      </c>
      <c r="R111" s="188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8">
        <f>IFERROR(VLOOKUP(A111,[1]Biogasudbytte!$A$2:$B$18,2,FALSE)*[1]Energiindhold!$C$10,0)*J111*IFERROR(VLOOKUP(A111,Biogasanlæg!$F$3:$G$8,2,FALSE),1)</f>
        <v>1.7355855896064003</v>
      </c>
      <c r="T111" s="189">
        <f t="shared" si="25"/>
        <v>0</v>
      </c>
      <c r="U111" s="187">
        <f>O111*IFERROR(VLOOKUP(A111,[1]Tørstofindhold!A$2:B$24,2,FALSE),0)</f>
        <v>0</v>
      </c>
      <c r="V111" s="188">
        <f>IF(D111=År1,P111,SUM(O111,P111))*IFERROR(VLOOKUP(A111,[1]Tørstofindhold!A$2:B$24,2,FALSE),0)</f>
        <v>102774.24</v>
      </c>
      <c r="W111" s="188">
        <f>J111*IFERROR(VLOOKUP(A111,[1]Tørstofindhold!A$2:B$24,2,FALSE),0)</f>
        <v>102774.24</v>
      </c>
      <c r="X111" s="189">
        <f t="shared" si="26"/>
        <v>0</v>
      </c>
      <c r="Y111" s="169">
        <f t="shared" si="21"/>
        <v>1</v>
      </c>
      <c r="Z111" s="103">
        <f t="shared" si="22"/>
        <v>0</v>
      </c>
    </row>
    <row r="112" spans="1:26" x14ac:dyDescent="0.25">
      <c r="A112" s="190" t="str">
        <f t="shared" si="33"/>
        <v>Græs</v>
      </c>
      <c r="B112" s="190" t="str">
        <f t="shared" si="34"/>
        <v>Græs og urter</v>
      </c>
      <c r="C112" s="190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0">
        <f t="shared" si="35"/>
        <v>2050</v>
      </c>
      <c r="E112" s="188" t="s">
        <v>23</v>
      </c>
      <c r="F112" s="191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37013724.844488479</v>
      </c>
      <c r="G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12249098.107862087</v>
      </c>
      <c r="H112" s="188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65221.076812905056</v>
      </c>
      <c r="K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1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5">
        <f>SUMIFS('Forbrug af biomasse'!E:E,'Forbrug af biomasse'!C:C,'Resultat-Produktion &amp; forbrug'!$A112,'Forbrug af biomasse'!D:D,'Resultat-Produktion &amp; forbrug'!$D112,'Forbrug af biomasse'!G:G,1,'Forbrug af biomasse'!B:B,$E112)</f>
        <v>5006841.2791297073</v>
      </c>
      <c r="N112" s="200">
        <f t="shared" si="23"/>
        <v>19692564.38068378</v>
      </c>
      <c r="O112" s="191">
        <f t="shared" si="20"/>
        <v>19692564.38068378</v>
      </c>
      <c r="P112" s="201">
        <f t="shared" si="24"/>
        <v>65221.076812905056</v>
      </c>
      <c r="Q112" s="188">
        <f>IFERROR(VLOOKUP(A112,[1]Energiindhold!$A$2:$C$11,3,FALSE),IFERROR(VLOOKUP(A112,[1]Biogasudbytte!$A$2:$B$18,2,FALSE)*[1]Energiindhold!$C$10,0))*O112</f>
        <v>36.231856889910574</v>
      </c>
      <c r="R112" s="188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36.351855518611721</v>
      </c>
      <c r="S112" s="188">
        <f>IFERROR(VLOOKUP(A112,[1]Biogasudbytte!$A$2:$B$18,2,FALSE)*[1]Energiindhold!$C$10,0)*J112*IFERROR(VLOOKUP(A112,Biogasanlæg!$F$3:$G$8,2,FALSE),1)</f>
        <v>0.11999862870114369</v>
      </c>
      <c r="T112" s="189">
        <f t="shared" si="25"/>
        <v>36.231856889910574</v>
      </c>
      <c r="U112" s="187">
        <f>O112*IFERROR(VLOOKUP(A112,[1]Tørstofindhold!A$2:B$24,2,FALSE),0)</f>
        <v>5513918.0265914593</v>
      </c>
      <c r="V112" s="188">
        <f>IF(D112=År1,P112,SUM(O112,P112))*IFERROR(VLOOKUP(A112,[1]Tørstofindhold!A$2:B$24,2,FALSE),0)</f>
        <v>5532179.9280990716</v>
      </c>
      <c r="W112" s="188">
        <f>J112*IFERROR(VLOOKUP(A112,[1]Tørstofindhold!A$2:B$24,2,FALSE),0)</f>
        <v>18261.901507613416</v>
      </c>
      <c r="X112" s="189">
        <f t="shared" si="26"/>
        <v>5513918.0265914584</v>
      </c>
      <c r="Y112" s="169">
        <f t="shared" si="21"/>
        <v>0</v>
      </c>
      <c r="Z112" s="103">
        <f t="shared" si="22"/>
        <v>1</v>
      </c>
    </row>
    <row r="113" spans="1:26" x14ac:dyDescent="0.25">
      <c r="A113" s="190" t="str">
        <f t="shared" si="33"/>
        <v>Græsprotein</v>
      </c>
      <c r="B113" s="190" t="str">
        <f t="shared" si="34"/>
        <v/>
      </c>
      <c r="C113" s="190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0">
        <f t="shared" si="35"/>
        <v>2050</v>
      </c>
      <c r="E113" s="188" t="s">
        <v>23</v>
      </c>
      <c r="F113" s="191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837000.62524007971</v>
      </c>
      <c r="G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837000.62524007983</v>
      </c>
      <c r="H113" s="188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1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5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0">
        <f t="shared" si="23"/>
        <v>0</v>
      </c>
      <c r="O113" s="191">
        <f t="shared" si="20"/>
        <v>0</v>
      </c>
      <c r="P113" s="201">
        <f t="shared" si="24"/>
        <v>0</v>
      </c>
      <c r="Q113" s="188">
        <f>IFERROR(VLOOKUP(A113,[1]Energiindhold!$A$2:$C$11,3,FALSE),IFERROR(VLOOKUP(A113,[1]Biogasudbytte!$A$2:$B$18,2,FALSE)*[1]Energiindhold!$C$10,0))*O113</f>
        <v>0</v>
      </c>
      <c r="R113" s="188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8">
        <f>IFERROR(VLOOKUP(A113,[1]Biogasudbytte!$A$2:$B$18,2,FALSE)*[1]Energiindhold!$C$10,0)*J113*IFERROR(VLOOKUP(A113,Biogasanlæg!$F$3:$G$8,2,FALSE),1)</f>
        <v>0</v>
      </c>
      <c r="T113" s="189">
        <f t="shared" si="25"/>
        <v>0</v>
      </c>
      <c r="U113" s="187">
        <f>O113*IFERROR(VLOOKUP(A113,[1]Tørstofindhold!A$2:B$24,2,FALSE),0)</f>
        <v>0</v>
      </c>
      <c r="V113" s="188">
        <f>IF(D113=År1,P113,SUM(O113,P113))*IFERROR(VLOOKUP(A113,[1]Tørstofindhold!A$2:B$24,2,FALSE),0)</f>
        <v>0</v>
      </c>
      <c r="W113" s="188">
        <f>J113*IFERROR(VLOOKUP(A113,[1]Tørstofindhold!A$2:B$24,2,FALSE),0)</f>
        <v>0</v>
      </c>
      <c r="X113" s="189">
        <f t="shared" si="26"/>
        <v>0</v>
      </c>
      <c r="Y113" s="169">
        <f t="shared" si="21"/>
        <v>0</v>
      </c>
      <c r="Z113" s="103">
        <f t="shared" si="22"/>
        <v>0</v>
      </c>
    </row>
    <row r="114" spans="1:26" x14ac:dyDescent="0.25">
      <c r="A114" s="190" t="str">
        <f t="shared" si="33"/>
        <v>Grøntsager</v>
      </c>
      <c r="B114" s="190" t="str">
        <f t="shared" si="34"/>
        <v/>
      </c>
      <c r="C114" s="190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0">
        <f t="shared" si="35"/>
        <v>2050</v>
      </c>
      <c r="E114" s="188" t="s">
        <v>23</v>
      </c>
      <c r="F114" s="191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191010.78078958855</v>
      </c>
      <c r="G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8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1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5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0">
        <f t="shared" si="23"/>
        <v>-89661.877893849713</v>
      </c>
      <c r="O114" s="191">
        <f t="shared" si="20"/>
        <v>0</v>
      </c>
      <c r="P114" s="201">
        <f t="shared" si="24"/>
        <v>0</v>
      </c>
      <c r="Q114" s="188">
        <f>IFERROR(VLOOKUP(A114,[1]Energiindhold!$A$2:$C$11,3,FALSE),IFERROR(VLOOKUP(A114,[1]Biogasudbytte!$A$2:$B$18,2,FALSE)*[1]Energiindhold!$C$10,0))*O114</f>
        <v>0</v>
      </c>
      <c r="R114" s="188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8">
        <f>IFERROR(VLOOKUP(A114,[1]Biogasudbytte!$A$2:$B$18,2,FALSE)*[1]Energiindhold!$C$10,0)*J114*IFERROR(VLOOKUP(A114,Biogasanlæg!$F$3:$G$8,2,FALSE),1)</f>
        <v>0</v>
      </c>
      <c r="T114" s="189">
        <f t="shared" si="25"/>
        <v>0</v>
      </c>
      <c r="U114" s="187">
        <f>O114*IFERROR(VLOOKUP(A114,[1]Tørstofindhold!A$2:B$24,2,FALSE),0)</f>
        <v>0</v>
      </c>
      <c r="V114" s="188">
        <f>IF(D114=År1,P114,SUM(O114,P114))*IFERROR(VLOOKUP(A114,[1]Tørstofindhold!A$2:B$24,2,FALSE),0)</f>
        <v>0</v>
      </c>
      <c r="W114" s="188">
        <f>J114*IFERROR(VLOOKUP(A114,[1]Tørstofindhold!A$2:B$24,2,FALSE),0)</f>
        <v>0</v>
      </c>
      <c r="X114" s="189">
        <f t="shared" si="26"/>
        <v>0</v>
      </c>
      <c r="Y114" s="169">
        <f t="shared" si="21"/>
        <v>1</v>
      </c>
      <c r="Z114" s="103">
        <f t="shared" si="22"/>
        <v>0</v>
      </c>
    </row>
    <row r="115" spans="1:26" x14ac:dyDescent="0.25">
      <c r="A115" s="190" t="str">
        <f t="shared" si="33"/>
        <v>Halm</v>
      </c>
      <c r="B115" s="190" t="str">
        <f t="shared" si="34"/>
        <v>Halm og strå</v>
      </c>
      <c r="C115" s="190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0">
        <f t="shared" si="35"/>
        <v>2050</v>
      </c>
      <c r="E115" s="188" t="s">
        <v>23</v>
      </c>
      <c r="F115" s="191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1999940.2166101544</v>
      </c>
      <c r="G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765718.007862392</v>
      </c>
      <c r="H115" s="188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708255.87157726486</v>
      </c>
      <c r="I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53710.696431305973</v>
      </c>
      <c r="K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1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472255.64073919144</v>
      </c>
      <c r="M115" s="155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0">
        <f t="shared" si="23"/>
        <v>0</v>
      </c>
      <c r="O115" s="191">
        <f t="shared" si="20"/>
        <v>0</v>
      </c>
      <c r="P115" s="201">
        <f t="shared" si="24"/>
        <v>525966.3371704974</v>
      </c>
      <c r="Q115" s="188">
        <f>IFERROR(VLOOKUP(A115,[1]Energiindhold!$A$2:$C$11,3,FALSE),IFERROR(VLOOKUP(A115,[1]Biogasudbytte!$A$2:$B$18,2,FALSE)*[1]Energiindhold!$C$10,0))*O115</f>
        <v>0</v>
      </c>
      <c r="R115" s="188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5.1908140139466488</v>
      </c>
      <c r="S115" s="188">
        <f>IFERROR(VLOOKUP(A115,[1]Biogasudbytte!$A$2:$B$18,2,FALSE)*[1]Energiindhold!$C$10,0)*J115*IFERROR(VLOOKUP(A115,Biogasanlæg!$F$3:$G$8,2,FALSE),1)</f>
        <v>0.30967116870255185</v>
      </c>
      <c r="T115" s="189">
        <f t="shared" si="25"/>
        <v>4.8811428452440966</v>
      </c>
      <c r="U115" s="187">
        <f>O115*IFERROR(VLOOKUP(A115,[1]Tørstofindhold!A$2:B$24,2,FALSE),0)</f>
        <v>0</v>
      </c>
      <c r="V115" s="188">
        <f>IF(D115=År1,P115,SUM(O115,P115))*IFERROR(VLOOKUP(A115,[1]Tørstofindhold!A$2:B$24,2,FALSE),0)</f>
        <v>447071.38659492275</v>
      </c>
      <c r="W115" s="188">
        <f>J115*IFERROR(VLOOKUP(A115,[1]Tørstofindhold!A$2:B$24,2,FALSE),0)</f>
        <v>45654.091966610074</v>
      </c>
      <c r="X115" s="189">
        <f t="shared" si="26"/>
        <v>401417.29462831269</v>
      </c>
      <c r="Y115" s="169">
        <f t="shared" si="21"/>
        <v>0</v>
      </c>
      <c r="Z115" s="103">
        <f t="shared" si="22"/>
        <v>0</v>
      </c>
    </row>
    <row r="116" spans="1:26" x14ac:dyDescent="0.25">
      <c r="A116" s="190" t="str">
        <f t="shared" si="33"/>
        <v>Have/parkaffald</v>
      </c>
      <c r="B116" s="190" t="str">
        <f t="shared" si="34"/>
        <v>Bionedbrydeligt affald</v>
      </c>
      <c r="C116" s="190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0">
        <f t="shared" si="35"/>
        <v>2050</v>
      </c>
      <c r="E116" s="188" t="s">
        <v>23</v>
      </c>
      <c r="F116" s="191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8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1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5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0">
        <f t="shared" si="23"/>
        <v>0</v>
      </c>
      <c r="O116" s="191">
        <f t="shared" si="20"/>
        <v>0</v>
      </c>
      <c r="P116" s="201">
        <f t="shared" si="24"/>
        <v>524881.97503939818</v>
      </c>
      <c r="Q116" s="188">
        <f>IFERROR(VLOOKUP(A116,[1]Energiindhold!$A$2:$C$11,3,FALSE),IFERROR(VLOOKUP(A116,[1]Biogasudbytte!$A$2:$B$18,2,FALSE)*[1]Energiindhold!$C$10,0))*O116</f>
        <v>0</v>
      </c>
      <c r="R116" s="188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8">
        <f>IFERROR(VLOOKUP(A116,[1]Biogasudbytte!$A$2:$B$18,2,FALSE)*[1]Energiindhold!$C$10,0)*J116*IFERROR(VLOOKUP(A116,Biogasanlæg!$F$3:$G$8,2,FALSE),1)</f>
        <v>7.0736362973580603E-5</v>
      </c>
      <c r="T116" s="189">
        <f t="shared" si="25"/>
        <v>9.3695650972414288</v>
      </c>
      <c r="U116" s="187">
        <f>O116*IFERROR(VLOOKUP(A116,[1]Tørstofindhold!A$2:B$24,2,FALSE),0)</f>
        <v>0</v>
      </c>
      <c r="V116" s="188">
        <f>IF(D116=År1,P116,SUM(O116,P116))*IFERROR(VLOOKUP(A116,[1]Tørstofindhold!A$2:B$24,2,FALSE),0)</f>
        <v>157464.59251181944</v>
      </c>
      <c r="W116" s="188">
        <f>J116*IFERROR(VLOOKUP(A116,[1]Tørstofindhold!A$2:B$24,2,FALSE),0)</f>
        <v>12.49707543980765</v>
      </c>
      <c r="X116" s="189">
        <f t="shared" si="26"/>
        <v>157452.09543637963</v>
      </c>
      <c r="Y116" s="169">
        <f t="shared" si="21"/>
        <v>0</v>
      </c>
      <c r="Z116" s="103">
        <f t="shared" si="22"/>
        <v>0</v>
      </c>
    </row>
    <row r="117" spans="1:26" x14ac:dyDescent="0.25">
      <c r="A117" s="190" t="str">
        <f t="shared" si="33"/>
        <v>Import af foder</v>
      </c>
      <c r="B117" s="190" t="str">
        <f t="shared" si="34"/>
        <v/>
      </c>
      <c r="C117" s="190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0">
        <f t="shared" si="35"/>
        <v>2050</v>
      </c>
      <c r="E117" s="188" t="s">
        <v>23</v>
      </c>
      <c r="F117" s="191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4823433.985552296</v>
      </c>
      <c r="H117" s="188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1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5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0">
        <f t="shared" si="23"/>
        <v>-4823433.985552296</v>
      </c>
      <c r="O117" s="191">
        <f t="shared" si="20"/>
        <v>0</v>
      </c>
      <c r="P117" s="201">
        <f t="shared" si="24"/>
        <v>0</v>
      </c>
      <c r="Q117" s="188">
        <f>IFERROR(VLOOKUP(A117,[1]Energiindhold!$A$2:$C$11,3,FALSE),IFERROR(VLOOKUP(A117,[1]Biogasudbytte!$A$2:$B$18,2,FALSE)*[1]Energiindhold!$C$10,0))*O117</f>
        <v>0</v>
      </c>
      <c r="R117" s="188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8">
        <f>IFERROR(VLOOKUP(A117,[1]Biogasudbytte!$A$2:$B$18,2,FALSE)*[1]Energiindhold!$C$10,0)*J117*IFERROR(VLOOKUP(A117,Biogasanlæg!$F$3:$G$8,2,FALSE),1)</f>
        <v>0</v>
      </c>
      <c r="T117" s="189">
        <f t="shared" si="25"/>
        <v>0</v>
      </c>
      <c r="U117" s="187">
        <f>O117*IFERROR(VLOOKUP(A117,[1]Tørstofindhold!A$2:B$24,2,FALSE),0)</f>
        <v>0</v>
      </c>
      <c r="V117" s="188">
        <f>IF(D117=År1,P117,SUM(O117,P117))*IFERROR(VLOOKUP(A117,[1]Tørstofindhold!A$2:B$24,2,FALSE),0)</f>
        <v>0</v>
      </c>
      <c r="W117" s="188">
        <f>J117*IFERROR(VLOOKUP(A117,[1]Tørstofindhold!A$2:B$24,2,FALSE),0)</f>
        <v>0</v>
      </c>
      <c r="X117" s="189">
        <f t="shared" si="26"/>
        <v>0</v>
      </c>
      <c r="Y117" s="169">
        <f t="shared" si="21"/>
        <v>1</v>
      </c>
      <c r="Z117" s="103">
        <f t="shared" si="22"/>
        <v>0</v>
      </c>
    </row>
    <row r="118" spans="1:26" x14ac:dyDescent="0.25">
      <c r="A118" s="190" t="str">
        <f t="shared" si="33"/>
        <v>Industriaffald</v>
      </c>
      <c r="B118" s="190" t="str">
        <f t="shared" si="34"/>
        <v>Bionedbrydeligt affald</v>
      </c>
      <c r="C118" s="190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0">
        <f t="shared" si="35"/>
        <v>2050</v>
      </c>
      <c r="E118" s="188" t="s">
        <v>23</v>
      </c>
      <c r="F118" s="191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505376.83199167583</v>
      </c>
      <c r="G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8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505376.89995851181</v>
      </c>
      <c r="K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1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5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0">
        <f t="shared" si="23"/>
        <v>-6.7966835980769247E-2</v>
      </c>
      <c r="O118" s="191">
        <f t="shared" si="20"/>
        <v>0</v>
      </c>
      <c r="P118" s="201">
        <f t="shared" si="24"/>
        <v>505376.89995851181</v>
      </c>
      <c r="Q118" s="188">
        <f>IFERROR(VLOOKUP(A118,[1]Energiindhold!$A$2:$C$11,3,FALSE),IFERROR(VLOOKUP(A118,[1]Biogasudbytte!$A$2:$B$18,2,FALSE)*[1]Energiindhold!$C$10,0))*O118</f>
        <v>0</v>
      </c>
      <c r="R118" s="188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1.8613842355396426</v>
      </c>
      <c r="S118" s="188">
        <f>IFERROR(VLOOKUP(A118,[1]Biogasudbytte!$A$2:$B$18,2,FALSE)*[1]Energiindhold!$C$10,0)*J118*IFERROR(VLOOKUP(A118,Biogasanlæg!$F$3:$G$8,2,FALSE),1)</f>
        <v>1.8613842355396426</v>
      </c>
      <c r="T118" s="189">
        <f t="shared" si="25"/>
        <v>0</v>
      </c>
      <c r="U118" s="187">
        <f>O118*IFERROR(VLOOKUP(A118,[1]Tørstofindhold!A$2:B$24,2,FALSE),0)</f>
        <v>0</v>
      </c>
      <c r="V118" s="188">
        <f>IF(D118=År1,P118,SUM(O118,P118))*IFERROR(VLOOKUP(A118,[1]Tørstofindhold!A$2:B$24,2,FALSE),0)</f>
        <v>212258.29798257496</v>
      </c>
      <c r="W118" s="188">
        <f>J118*IFERROR(VLOOKUP(A118,[1]Tørstofindhold!A$2:B$24,2,FALSE),0)</f>
        <v>212258.29798257496</v>
      </c>
      <c r="X118" s="189">
        <f t="shared" si="26"/>
        <v>0</v>
      </c>
      <c r="Y118" s="169">
        <f t="shared" si="21"/>
        <v>1</v>
      </c>
      <c r="Z118" s="103">
        <f t="shared" si="22"/>
        <v>0</v>
      </c>
    </row>
    <row r="119" spans="1:26" x14ac:dyDescent="0.25">
      <c r="A119" s="190" t="str">
        <f t="shared" si="33"/>
        <v>Juletræer</v>
      </c>
      <c r="B119" s="190" t="str">
        <f t="shared" si="34"/>
        <v/>
      </c>
      <c r="C119" s="190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0">
        <f t="shared" si="35"/>
        <v>2050</v>
      </c>
      <c r="E119" s="188" t="s">
        <v>23</v>
      </c>
      <c r="F119" s="191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611793.18745479197</v>
      </c>
      <c r="G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8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1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5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0">
        <f t="shared" si="23"/>
        <v>611793.18745479197</v>
      </c>
      <c r="O119" s="191">
        <f t="shared" si="20"/>
        <v>0</v>
      </c>
      <c r="P119" s="201">
        <f t="shared" si="24"/>
        <v>0</v>
      </c>
      <c r="Q119" s="188">
        <f>IFERROR(VLOOKUP(A119,[1]Energiindhold!$A$2:$C$11,3,FALSE),IFERROR(VLOOKUP(A119,[1]Biogasudbytte!$A$2:$B$18,2,FALSE)*[1]Energiindhold!$C$10,0))*O119</f>
        <v>0</v>
      </c>
      <c r="R119" s="188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8">
        <f>IFERROR(VLOOKUP(A119,[1]Biogasudbytte!$A$2:$B$18,2,FALSE)*[1]Energiindhold!$C$10,0)*J119*IFERROR(VLOOKUP(A119,Biogasanlæg!$F$3:$G$8,2,FALSE),1)</f>
        <v>0</v>
      </c>
      <c r="T119" s="189">
        <f t="shared" si="25"/>
        <v>0</v>
      </c>
      <c r="U119" s="187">
        <f>O119*IFERROR(VLOOKUP(A119,[1]Tørstofindhold!A$2:B$24,2,FALSE),0)</f>
        <v>0</v>
      </c>
      <c r="V119" s="188">
        <f>IF(D119=År1,P119,SUM(O119,P119))*IFERROR(VLOOKUP(A119,[1]Tørstofindhold!A$2:B$24,2,FALSE),0)</f>
        <v>0</v>
      </c>
      <c r="W119" s="188">
        <f>J119*IFERROR(VLOOKUP(A119,[1]Tørstofindhold!A$2:B$24,2,FALSE),0)</f>
        <v>0</v>
      </c>
      <c r="X119" s="189">
        <f t="shared" si="26"/>
        <v>0</v>
      </c>
      <c r="Y119" s="169">
        <f t="shared" si="21"/>
        <v>0</v>
      </c>
      <c r="Z119" s="103">
        <f t="shared" si="22"/>
        <v>1</v>
      </c>
    </row>
    <row r="120" spans="1:26" x14ac:dyDescent="0.25">
      <c r="A120" s="190" t="str">
        <f t="shared" si="33"/>
        <v>Kartofler</v>
      </c>
      <c r="B120" s="190" t="str">
        <f t="shared" si="34"/>
        <v/>
      </c>
      <c r="C120" s="190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0">
        <f t="shared" si="35"/>
        <v>2050</v>
      </c>
      <c r="E120" s="188" t="s">
        <v>23</v>
      </c>
      <c r="F120" s="191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1499857.4180538384</v>
      </c>
      <c r="G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8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1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5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0">
        <f t="shared" si="23"/>
        <v>1371509.6193594018</v>
      </c>
      <c r="O120" s="191">
        <f t="shared" si="20"/>
        <v>0</v>
      </c>
      <c r="P120" s="201">
        <f t="shared" si="24"/>
        <v>0</v>
      </c>
      <c r="Q120" s="188">
        <f>IFERROR(VLOOKUP(A120,[1]Energiindhold!$A$2:$C$11,3,FALSE),IFERROR(VLOOKUP(A120,[1]Biogasudbytte!$A$2:$B$18,2,FALSE)*[1]Energiindhold!$C$10,0))*O120</f>
        <v>0</v>
      </c>
      <c r="R120" s="188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8">
        <f>IFERROR(VLOOKUP(A120,[1]Biogasudbytte!$A$2:$B$18,2,FALSE)*[1]Energiindhold!$C$10,0)*J120*IFERROR(VLOOKUP(A120,Biogasanlæg!$F$3:$G$8,2,FALSE),1)</f>
        <v>0</v>
      </c>
      <c r="T120" s="189">
        <f t="shared" si="25"/>
        <v>0</v>
      </c>
      <c r="U120" s="187">
        <f>O120*IFERROR(VLOOKUP(A120,[1]Tørstofindhold!A$2:B$24,2,FALSE),0)</f>
        <v>0</v>
      </c>
      <c r="V120" s="188">
        <f>IF(D120=År1,P120,SUM(O120,P120))*IFERROR(VLOOKUP(A120,[1]Tørstofindhold!A$2:B$24,2,FALSE),0)</f>
        <v>0</v>
      </c>
      <c r="W120" s="188">
        <f>J120*IFERROR(VLOOKUP(A120,[1]Tørstofindhold!A$2:B$24,2,FALSE),0)</f>
        <v>0</v>
      </c>
      <c r="X120" s="189">
        <f t="shared" si="26"/>
        <v>0</v>
      </c>
      <c r="Y120" s="169">
        <f t="shared" si="21"/>
        <v>0</v>
      </c>
      <c r="Z120" s="103">
        <f t="shared" si="22"/>
        <v>1</v>
      </c>
    </row>
    <row r="121" spans="1:26" x14ac:dyDescent="0.25">
      <c r="A121" s="190" t="str">
        <f t="shared" si="33"/>
        <v>Korn</v>
      </c>
      <c r="B121" s="190" t="str">
        <f t="shared" si="34"/>
        <v>Halm og strå</v>
      </c>
      <c r="C121" s="190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0">
        <f t="shared" si="35"/>
        <v>2050</v>
      </c>
      <c r="E121" s="188" t="s">
        <v>23</v>
      </c>
      <c r="F121" s="191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4034586.8295627958</v>
      </c>
      <c r="G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4116008.1016937736</v>
      </c>
      <c r="H121" s="188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2873.5276646840043</v>
      </c>
      <c r="K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1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5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0">
        <f t="shared" si="23"/>
        <v>-391765.35051420191</v>
      </c>
      <c r="O121" s="191">
        <f t="shared" si="20"/>
        <v>0</v>
      </c>
      <c r="P121" s="201">
        <f t="shared" si="24"/>
        <v>2873.5276646840043</v>
      </c>
      <c r="Q121" s="188">
        <f>IFERROR(VLOOKUP(A121,[1]Energiindhold!$A$2:$C$11,3,FALSE),IFERROR(VLOOKUP(A121,[1]Biogasudbytte!$A$2:$B$18,2,FALSE)*[1]Energiindhold!$C$10,0))*O121</f>
        <v>0</v>
      </c>
      <c r="R121" s="188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9.8414299576696611E-3</v>
      </c>
      <c r="S121" s="188">
        <f>IFERROR(VLOOKUP(A121,[1]Biogasudbytte!$A$2:$B$18,2,FALSE)*[1]Energiindhold!$C$10,0)*J121*IFERROR(VLOOKUP(A121,Biogasanlæg!$F$3:$G$8,2,FALSE),1)</f>
        <v>9.8414299576696611E-3</v>
      </c>
      <c r="T121" s="189">
        <f t="shared" si="25"/>
        <v>0</v>
      </c>
      <c r="U121" s="187">
        <f>O121*IFERROR(VLOOKUP(A121,[1]Tørstofindhold!A$2:B$24,2,FALSE),0)</f>
        <v>0</v>
      </c>
      <c r="V121" s="188">
        <f>IF(D121=År1,P121,SUM(O121,P121))*IFERROR(VLOOKUP(A121,[1]Tørstofindhold!A$2:B$24,2,FALSE),0)</f>
        <v>890.79357605204132</v>
      </c>
      <c r="W121" s="188">
        <f>J121*IFERROR(VLOOKUP(A121,[1]Tørstofindhold!A$2:B$24,2,FALSE),0)</f>
        <v>890.79357605204132</v>
      </c>
      <c r="X121" s="189">
        <f t="shared" si="26"/>
        <v>0</v>
      </c>
      <c r="Y121" s="169">
        <f t="shared" si="21"/>
        <v>0</v>
      </c>
      <c r="Z121" s="103">
        <f t="shared" si="22"/>
        <v>1</v>
      </c>
    </row>
    <row r="122" spans="1:26" x14ac:dyDescent="0.25">
      <c r="A122" s="190" t="str">
        <f t="shared" si="33"/>
        <v>Kunstgødning</v>
      </c>
      <c r="B122" s="190" t="str">
        <f t="shared" si="34"/>
        <v/>
      </c>
      <c r="C122" s="190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0">
        <f t="shared" si="35"/>
        <v>2050</v>
      </c>
      <c r="E122" s="188" t="s">
        <v>23</v>
      </c>
      <c r="F122" s="191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8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1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421885.5095768742</v>
      </c>
      <c r="L122" s="191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5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0">
        <f t="shared" ca="1" si="23"/>
        <v>-421885.5095768742</v>
      </c>
      <c r="O122" s="191">
        <f t="shared" si="20"/>
        <v>0</v>
      </c>
      <c r="P122" s="201">
        <f t="shared" si="24"/>
        <v>0</v>
      </c>
      <c r="Q122" s="188">
        <f>IFERROR(VLOOKUP(A122,[1]Energiindhold!$A$2:$C$11,3,FALSE),IFERROR(VLOOKUP(A122,[1]Biogasudbytte!$A$2:$B$18,2,FALSE)*[1]Energiindhold!$C$10,0))*O122</f>
        <v>0</v>
      </c>
      <c r="R122" s="188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8">
        <f>IFERROR(VLOOKUP(A122,[1]Biogasudbytte!$A$2:$B$18,2,FALSE)*[1]Energiindhold!$C$10,0)*J122*IFERROR(VLOOKUP(A122,Biogasanlæg!$F$3:$G$8,2,FALSE),1)</f>
        <v>0</v>
      </c>
      <c r="T122" s="189">
        <f t="shared" si="25"/>
        <v>0</v>
      </c>
      <c r="U122" s="187">
        <f>O122*IFERROR(VLOOKUP(A122,[1]Tørstofindhold!A$2:B$24,2,FALSE),0)</f>
        <v>0</v>
      </c>
      <c r="V122" s="188">
        <f>IF(D122=År1,P122,SUM(O122,P122))*IFERROR(VLOOKUP(A122,[1]Tørstofindhold!A$2:B$24,2,FALSE),0)</f>
        <v>0</v>
      </c>
      <c r="W122" s="188">
        <f>J122*IFERROR(VLOOKUP(A122,[1]Tørstofindhold!A$2:B$24,2,FALSE),0)</f>
        <v>0</v>
      </c>
      <c r="X122" s="189">
        <f t="shared" si="26"/>
        <v>0</v>
      </c>
      <c r="Y122" s="169">
        <f t="shared" ca="1" si="21"/>
        <v>1</v>
      </c>
      <c r="Z122" s="103">
        <f t="shared" ca="1" si="22"/>
        <v>0</v>
      </c>
    </row>
    <row r="123" spans="1:26" x14ac:dyDescent="0.25">
      <c r="A123" s="190" t="str">
        <f t="shared" si="33"/>
        <v>Kvæggylle</v>
      </c>
      <c r="B123" s="190" t="str">
        <f t="shared" si="34"/>
        <v>Husdyrgødning</v>
      </c>
      <c r="C123" s="190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0">
        <f t="shared" si="35"/>
        <v>2050</v>
      </c>
      <c r="E123" s="188" t="s">
        <v>23</v>
      </c>
      <c r="F123" s="191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11415338.024084132</v>
      </c>
      <c r="G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8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8675656.8983039409</v>
      </c>
      <c r="K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2739681.1257801917</v>
      </c>
      <c r="L123" s="191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5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0">
        <f t="shared" si="23"/>
        <v>0</v>
      </c>
      <c r="O123" s="191">
        <f t="shared" si="20"/>
        <v>0</v>
      </c>
      <c r="P123" s="201">
        <f t="shared" si="24"/>
        <v>8675656.8983039409</v>
      </c>
      <c r="Q123" s="188">
        <f>IFERROR(VLOOKUP(A123,[1]Energiindhold!$A$2:$C$11,3,FALSE),IFERROR(VLOOKUP(A123,[1]Biogasudbytte!$A$2:$B$18,2,FALSE)*[1]Energiindhold!$C$10,0))*O123</f>
        <v>0</v>
      </c>
      <c r="R123" s="188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4.3915307653524724</v>
      </c>
      <c r="S123" s="188">
        <f>IFERROR(VLOOKUP(A123,[1]Biogasudbytte!$A$2:$B$18,2,FALSE)*[1]Energiindhold!$C$10,0)*J123*IFERROR(VLOOKUP(A123,Biogasanlæg!$F$3:$G$8,2,FALSE),1)</f>
        <v>4.3915307653524724</v>
      </c>
      <c r="T123" s="189">
        <f t="shared" si="25"/>
        <v>0</v>
      </c>
      <c r="U123" s="187">
        <f>O123*IFERROR(VLOOKUP(A123,[1]Tørstofindhold!A$2:B$24,2,FALSE),0)</f>
        <v>0</v>
      </c>
      <c r="V123" s="188">
        <f>IF(D123=År1,P123,SUM(O123,P123))*IFERROR(VLOOKUP(A123,[1]Tørstofindhold!A$2:B$24,2,FALSE),0)</f>
        <v>659349.9242710995</v>
      </c>
      <c r="W123" s="188">
        <f>J123*IFERROR(VLOOKUP(A123,[1]Tørstofindhold!A$2:B$24,2,FALSE),0)</f>
        <v>659349.9242710995</v>
      </c>
      <c r="X123" s="189">
        <f t="shared" si="26"/>
        <v>0</v>
      </c>
      <c r="Y123" s="169">
        <f t="shared" si="21"/>
        <v>0</v>
      </c>
      <c r="Z123" s="103">
        <f t="shared" si="22"/>
        <v>0</v>
      </c>
    </row>
    <row r="124" spans="1:26" x14ac:dyDescent="0.25">
      <c r="A124" s="190" t="str">
        <f t="shared" si="33"/>
        <v>Mælk til foder</v>
      </c>
      <c r="B124" s="190" t="str">
        <f t="shared" si="34"/>
        <v/>
      </c>
      <c r="C124" s="190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0">
        <f t="shared" si="35"/>
        <v>2050</v>
      </c>
      <c r="E124" s="188" t="s">
        <v>23</v>
      </c>
      <c r="F124" s="191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1430668.4261667002</v>
      </c>
      <c r="G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1510478.9155088854</v>
      </c>
      <c r="H124" s="188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1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5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0">
        <f t="shared" si="23"/>
        <v>-79810.489342185203</v>
      </c>
      <c r="O124" s="191">
        <f t="shared" si="20"/>
        <v>0</v>
      </c>
      <c r="P124" s="201">
        <f t="shared" si="24"/>
        <v>0</v>
      </c>
      <c r="Q124" s="188">
        <f>IFERROR(VLOOKUP(A124,[1]Energiindhold!$A$2:$C$11,3,FALSE),IFERROR(VLOOKUP(A124,[1]Biogasudbytte!$A$2:$B$18,2,FALSE)*[1]Energiindhold!$C$10,0))*O124</f>
        <v>0</v>
      </c>
      <c r="R124" s="188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8">
        <f>IFERROR(VLOOKUP(A124,[1]Biogasudbytte!$A$2:$B$18,2,FALSE)*[1]Energiindhold!$C$10,0)*J124*IFERROR(VLOOKUP(A124,Biogasanlæg!$F$3:$G$8,2,FALSE),1)</f>
        <v>0</v>
      </c>
      <c r="T124" s="189">
        <f t="shared" si="25"/>
        <v>0</v>
      </c>
      <c r="U124" s="187">
        <f>O124*IFERROR(VLOOKUP(A124,[1]Tørstofindhold!A$2:B$24,2,FALSE),0)</f>
        <v>0</v>
      </c>
      <c r="V124" s="188">
        <f>IF(D124=År1,P124,SUM(O124,P124))*IFERROR(VLOOKUP(A124,[1]Tørstofindhold!A$2:B$24,2,FALSE),0)</f>
        <v>0</v>
      </c>
      <c r="W124" s="188">
        <f>J124*IFERROR(VLOOKUP(A124,[1]Tørstofindhold!A$2:B$24,2,FALSE),0)</f>
        <v>0</v>
      </c>
      <c r="X124" s="189">
        <f t="shared" si="26"/>
        <v>0</v>
      </c>
      <c r="Y124" s="169">
        <f t="shared" si="21"/>
        <v>1</v>
      </c>
      <c r="Z124" s="103">
        <f t="shared" si="22"/>
        <v>0</v>
      </c>
    </row>
    <row r="125" spans="1:26" x14ac:dyDescent="0.25">
      <c r="A125" s="190" t="str">
        <f t="shared" si="33"/>
        <v>Majs</v>
      </c>
      <c r="B125" s="190" t="str">
        <f t="shared" si="34"/>
        <v>Græs og urter</v>
      </c>
      <c r="C125" s="190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0">
        <f t="shared" si="35"/>
        <v>2050</v>
      </c>
      <c r="E125" s="188" t="s">
        <v>23</v>
      </c>
      <c r="F125" s="191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1931303.3736580268</v>
      </c>
      <c r="G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1547919.3731075076</v>
      </c>
      <c r="H125" s="188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250485.69494585399</v>
      </c>
      <c r="K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1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5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0">
        <f t="shared" si="23"/>
        <v>132898.30560466531</v>
      </c>
      <c r="O125" s="191">
        <f t="shared" si="20"/>
        <v>132898.30560466531</v>
      </c>
      <c r="P125" s="201">
        <f t="shared" si="24"/>
        <v>250485.69494585399</v>
      </c>
      <c r="Q125" s="188">
        <f>IFERROR(VLOOKUP(A125,[1]Energiindhold!$A$2:$C$11,3,FALSE),IFERROR(VLOOKUP(A125,[1]Biogasudbytte!$A$2:$B$18,2,FALSE)*[1]Energiindhold!$C$10,0))*O125</f>
        <v>0.47710491712074848</v>
      </c>
      <c r="R125" s="188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1.3763485619763645</v>
      </c>
      <c r="S125" s="188">
        <f>IFERROR(VLOOKUP(A125,[1]Biogasudbytte!$A$2:$B$18,2,FALSE)*[1]Energiindhold!$C$10,0)*J125*IFERROR(VLOOKUP(A125,Biogasanlæg!$F$3:$G$8,2,FALSE),1)</f>
        <v>0.89924364485561592</v>
      </c>
      <c r="T125" s="189">
        <f t="shared" si="25"/>
        <v>0.47710491712074854</v>
      </c>
      <c r="U125" s="187">
        <f>O125*IFERROR(VLOOKUP(A125,[1]Tørstofindhold!A$2:B$24,2,FALSE),0)</f>
        <v>39869.491681399588</v>
      </c>
      <c r="V125" s="188">
        <f>IF(D125=År1,P125,SUM(O125,P125))*IFERROR(VLOOKUP(A125,[1]Tørstofindhold!A$2:B$24,2,FALSE),0)</f>
        <v>115015.20016515579</v>
      </c>
      <c r="W125" s="188">
        <f>J125*IFERROR(VLOOKUP(A125,[1]Tørstofindhold!A$2:B$24,2,FALSE),0)</f>
        <v>75145.7084837562</v>
      </c>
      <c r="X125" s="189">
        <f t="shared" si="26"/>
        <v>39869.491681399595</v>
      </c>
      <c r="Y125" s="169">
        <f t="shared" si="21"/>
        <v>0</v>
      </c>
      <c r="Z125" s="103">
        <f t="shared" si="22"/>
        <v>1</v>
      </c>
    </row>
    <row r="126" spans="1:26" x14ac:dyDescent="0.25">
      <c r="A126" s="190" t="str">
        <f t="shared" si="33"/>
        <v>Mejeriprodukter</v>
      </c>
      <c r="B126" s="190" t="str">
        <f t="shared" si="34"/>
        <v/>
      </c>
      <c r="C126" s="190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0">
        <f t="shared" si="35"/>
        <v>2050</v>
      </c>
      <c r="E126" s="188" t="s">
        <v>23</v>
      </c>
      <c r="F126" s="191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2760447.5608356618</v>
      </c>
      <c r="G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8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1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5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0">
        <f t="shared" si="23"/>
        <v>2269623.0119822118</v>
      </c>
      <c r="O126" s="191">
        <f t="shared" si="20"/>
        <v>0</v>
      </c>
      <c r="P126" s="201">
        <f t="shared" si="24"/>
        <v>0</v>
      </c>
      <c r="Q126" s="188">
        <f>IFERROR(VLOOKUP(A126,[1]Energiindhold!$A$2:$C$11,3,FALSE),IFERROR(VLOOKUP(A126,[1]Biogasudbytte!$A$2:$B$18,2,FALSE)*[1]Energiindhold!$C$10,0))*O126</f>
        <v>0</v>
      </c>
      <c r="R126" s="188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8">
        <f>IFERROR(VLOOKUP(A126,[1]Biogasudbytte!$A$2:$B$18,2,FALSE)*[1]Energiindhold!$C$10,0)*J126*IFERROR(VLOOKUP(A126,Biogasanlæg!$F$3:$G$8,2,FALSE),1)</f>
        <v>0</v>
      </c>
      <c r="T126" s="189">
        <f t="shared" si="25"/>
        <v>0</v>
      </c>
      <c r="U126" s="187">
        <f>O126*IFERROR(VLOOKUP(A126,[1]Tørstofindhold!A$2:B$24,2,FALSE),0)</f>
        <v>0</v>
      </c>
      <c r="V126" s="188">
        <f>IF(D126=År1,P126,SUM(O126,P126))*IFERROR(VLOOKUP(A126,[1]Tørstofindhold!A$2:B$24,2,FALSE),0)</f>
        <v>0</v>
      </c>
      <c r="W126" s="188">
        <f>J126*IFERROR(VLOOKUP(A126,[1]Tørstofindhold!A$2:B$24,2,FALSE),0)</f>
        <v>0</v>
      </c>
      <c r="X126" s="189">
        <f t="shared" si="26"/>
        <v>0</v>
      </c>
      <c r="Y126" s="169">
        <f t="shared" si="21"/>
        <v>0</v>
      </c>
      <c r="Z126" s="103">
        <f t="shared" si="22"/>
        <v>1</v>
      </c>
    </row>
    <row r="127" spans="1:26" x14ac:dyDescent="0.25">
      <c r="A127" s="190" t="str">
        <f t="shared" si="33"/>
        <v>Muslinger</v>
      </c>
      <c r="B127" s="190" t="str">
        <f t="shared" si="34"/>
        <v>Havbiomasse</v>
      </c>
      <c r="C127" s="190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0">
        <f t="shared" si="35"/>
        <v>2050</v>
      </c>
      <c r="E127" s="188" t="s">
        <v>23</v>
      </c>
      <c r="F127" s="191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194761.7983669767</v>
      </c>
      <c r="G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8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1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5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0">
        <f t="shared" si="23"/>
        <v>194761.7983669767</v>
      </c>
      <c r="O127" s="191">
        <f t="shared" si="20"/>
        <v>194761.7983669767</v>
      </c>
      <c r="P127" s="201">
        <f t="shared" si="24"/>
        <v>0</v>
      </c>
      <c r="Q127" s="188">
        <f>IFERROR(VLOOKUP(A127,[1]Energiindhold!$A$2:$C$11,3,FALSE),IFERROR(VLOOKUP(A127,[1]Biogasudbytte!$A$2:$B$18,2,FALSE)*[1]Energiindhold!$C$10,0))*O127</f>
        <v>0.17479871403436159</v>
      </c>
      <c r="R127" s="188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88">
        <f>IFERROR(VLOOKUP(A127,[1]Biogasudbytte!$A$2:$B$18,2,FALSE)*[1]Energiindhold!$C$10,0)*J127*IFERROR(VLOOKUP(A127,Biogasanlæg!$F$3:$G$8,2,FALSE),1)</f>
        <v>0</v>
      </c>
      <c r="T127" s="189">
        <f t="shared" si="25"/>
        <v>0.17479871403436159</v>
      </c>
      <c r="U127" s="187">
        <f>O127*IFERROR(VLOOKUP(A127,[1]Tørstofindhold!A$2:B$24,2,FALSE),0)</f>
        <v>29214.269755046505</v>
      </c>
      <c r="V127" s="188">
        <f>IF(D127=År1,P127,SUM(O127,P127))*IFERROR(VLOOKUP(A127,[1]Tørstofindhold!A$2:B$24,2,FALSE),0)</f>
        <v>29214.269755046505</v>
      </c>
      <c r="W127" s="188">
        <f>J127*IFERROR(VLOOKUP(A127,[1]Tørstofindhold!A$2:B$24,2,FALSE),0)</f>
        <v>0</v>
      </c>
      <c r="X127" s="189">
        <f t="shared" si="26"/>
        <v>29214.269755046505</v>
      </c>
      <c r="Y127" s="169">
        <f t="shared" si="21"/>
        <v>0</v>
      </c>
      <c r="Z127" s="103">
        <f t="shared" si="22"/>
        <v>1</v>
      </c>
    </row>
    <row r="128" spans="1:26" x14ac:dyDescent="0.25">
      <c r="A128" s="190" t="str">
        <f t="shared" si="33"/>
        <v>Oksekød</v>
      </c>
      <c r="B128" s="190" t="str">
        <f t="shared" si="34"/>
        <v/>
      </c>
      <c r="C128" s="190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0">
        <f t="shared" si="35"/>
        <v>2050</v>
      </c>
      <c r="E128" s="188" t="s">
        <v>23</v>
      </c>
      <c r="F128" s="191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84803.280376262541</v>
      </c>
      <c r="G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8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1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5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0">
        <f t="shared" si="23"/>
        <v>22434.712702987963</v>
      </c>
      <c r="O128" s="191">
        <f t="shared" si="20"/>
        <v>0</v>
      </c>
      <c r="P128" s="201">
        <f t="shared" si="24"/>
        <v>0</v>
      </c>
      <c r="Q128" s="188">
        <f>IFERROR(VLOOKUP(A128,[1]Energiindhold!$A$2:$C$11,3,FALSE),IFERROR(VLOOKUP(A128,[1]Biogasudbytte!$A$2:$B$18,2,FALSE)*[1]Energiindhold!$C$10,0))*O128</f>
        <v>0</v>
      </c>
      <c r="R128" s="188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8">
        <f>IFERROR(VLOOKUP(A128,[1]Biogasudbytte!$A$2:$B$18,2,FALSE)*[1]Energiindhold!$C$10,0)*J128*IFERROR(VLOOKUP(A128,Biogasanlæg!$F$3:$G$8,2,FALSE),1)</f>
        <v>0</v>
      </c>
      <c r="T128" s="189">
        <f t="shared" si="25"/>
        <v>0</v>
      </c>
      <c r="U128" s="187">
        <f>O128*IFERROR(VLOOKUP(A128,[1]Tørstofindhold!A$2:B$24,2,FALSE),0)</f>
        <v>0</v>
      </c>
      <c r="V128" s="188">
        <f>IF(D128=År1,P128,SUM(O128,P128))*IFERROR(VLOOKUP(A128,[1]Tørstofindhold!A$2:B$24,2,FALSE),0)</f>
        <v>0</v>
      </c>
      <c r="W128" s="188">
        <f>J128*IFERROR(VLOOKUP(A128,[1]Tørstofindhold!A$2:B$24,2,FALSE),0)</f>
        <v>0</v>
      </c>
      <c r="X128" s="189">
        <f t="shared" si="26"/>
        <v>0</v>
      </c>
      <c r="Y128" s="169">
        <f t="shared" si="21"/>
        <v>1</v>
      </c>
      <c r="Z128" s="103">
        <f t="shared" si="22"/>
        <v>0</v>
      </c>
    </row>
    <row r="129" spans="1:26" x14ac:dyDescent="0.25">
      <c r="A129" s="190" t="str">
        <f t="shared" si="33"/>
        <v>Øvrige</v>
      </c>
      <c r="B129" s="190" t="str">
        <f t="shared" si="34"/>
        <v/>
      </c>
      <c r="C129" s="190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0">
        <f t="shared" si="35"/>
        <v>2050</v>
      </c>
      <c r="E129" s="188" t="s">
        <v>23</v>
      </c>
      <c r="F129" s="191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1343993.6933621466</v>
      </c>
      <c r="G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8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1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5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0">
        <f t="shared" si="23"/>
        <v>1343993.6933621466</v>
      </c>
      <c r="O129" s="191">
        <f t="shared" si="20"/>
        <v>0</v>
      </c>
      <c r="P129" s="201">
        <f t="shared" si="24"/>
        <v>0</v>
      </c>
      <c r="Q129" s="188">
        <f>IFERROR(VLOOKUP(A129,[1]Energiindhold!$A$2:$C$11,3,FALSE),IFERROR(VLOOKUP(A129,[1]Biogasudbytte!$A$2:$B$18,2,FALSE)*[1]Energiindhold!$C$10,0))*O129</f>
        <v>0</v>
      </c>
      <c r="R129" s="188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8">
        <f>IFERROR(VLOOKUP(A129,[1]Biogasudbytte!$A$2:$B$18,2,FALSE)*[1]Energiindhold!$C$10,0)*J129*IFERROR(VLOOKUP(A129,Biogasanlæg!$F$3:$G$8,2,FALSE),1)</f>
        <v>0</v>
      </c>
      <c r="T129" s="189">
        <f t="shared" si="25"/>
        <v>0</v>
      </c>
      <c r="U129" s="187">
        <f>O129*IFERROR(VLOOKUP(A129,[1]Tørstofindhold!A$2:B$24,2,FALSE),0)</f>
        <v>0</v>
      </c>
      <c r="V129" s="188">
        <f>IF(D129=År1,P129,SUM(O129,P129))*IFERROR(VLOOKUP(A129,[1]Tørstofindhold!A$2:B$24,2,FALSE),0)</f>
        <v>0</v>
      </c>
      <c r="W129" s="188">
        <f>J129*IFERROR(VLOOKUP(A129,[1]Tørstofindhold!A$2:B$24,2,FALSE),0)</f>
        <v>0</v>
      </c>
      <c r="X129" s="189">
        <f t="shared" si="26"/>
        <v>0</v>
      </c>
      <c r="Y129" s="169">
        <f t="shared" si="21"/>
        <v>0</v>
      </c>
      <c r="Z129" s="103">
        <f t="shared" si="22"/>
        <v>1</v>
      </c>
    </row>
    <row r="130" spans="1:26" x14ac:dyDescent="0.25">
      <c r="A130" s="190" t="str">
        <f t="shared" si="33"/>
        <v>Pil &amp; poppel</v>
      </c>
      <c r="B130" s="190" t="str">
        <f t="shared" si="34"/>
        <v>Vedmasse</v>
      </c>
      <c r="C130" s="190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0">
        <f t="shared" si="35"/>
        <v>2050</v>
      </c>
      <c r="E130" s="188" t="s">
        <v>23</v>
      </c>
      <c r="F130" s="191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114761.6251294364</v>
      </c>
      <c r="G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8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1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114761.6251294364</v>
      </c>
      <c r="M130" s="155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0">
        <f t="shared" si="23"/>
        <v>0</v>
      </c>
      <c r="O130" s="191">
        <f t="shared" si="20"/>
        <v>0</v>
      </c>
      <c r="P130" s="201">
        <f t="shared" si="24"/>
        <v>114761.6251294364</v>
      </c>
      <c r="Q130" s="188">
        <f>IFERROR(VLOOKUP(A130,[1]Energiindhold!$A$2:$C$11,3,FALSE),IFERROR(VLOOKUP(A130,[1]Biogasudbytte!$A$2:$B$18,2,FALSE)*[1]Energiindhold!$C$10,0))*O130</f>
        <v>0</v>
      </c>
      <c r="R130" s="188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2.1116139023816296</v>
      </c>
      <c r="S130" s="188">
        <f>IFERROR(VLOOKUP(A130,[1]Biogasudbytte!$A$2:$B$18,2,FALSE)*[1]Energiindhold!$C$10,0)*J130*IFERROR(VLOOKUP(A130,Biogasanlæg!$F$3:$G$8,2,FALSE),1)</f>
        <v>0</v>
      </c>
      <c r="T130" s="189">
        <f t="shared" si="25"/>
        <v>2.1116139023816296</v>
      </c>
      <c r="U130" s="187">
        <f>O130*IFERROR(VLOOKUP(A130,[1]Tørstofindhold!A$2:B$24,2,FALSE),0)</f>
        <v>0</v>
      </c>
      <c r="V130" s="188">
        <f>IF(D130=År1,P130,SUM(O130,P130))*IFERROR(VLOOKUP(A130,[1]Tørstofindhold!A$2:B$24,2,FALSE),0)</f>
        <v>47626.074428716114</v>
      </c>
      <c r="W130" s="188">
        <f>J130*IFERROR(VLOOKUP(A130,[1]Tørstofindhold!A$2:B$24,2,FALSE),0)</f>
        <v>0</v>
      </c>
      <c r="X130" s="189">
        <f t="shared" si="26"/>
        <v>47626.074428716114</v>
      </c>
      <c r="Y130" s="169">
        <f t="shared" si="21"/>
        <v>0</v>
      </c>
      <c r="Z130" s="103">
        <f t="shared" si="22"/>
        <v>0</v>
      </c>
    </row>
    <row r="131" spans="1:26" x14ac:dyDescent="0.25">
      <c r="A131" s="190" t="str">
        <f t="shared" ref="A131:A132" si="36">A83</f>
        <v>Pyrolysegas</v>
      </c>
      <c r="B131" s="190" t="str">
        <f t="shared" ref="B131:B132" si="37">IF(B83&lt;&gt;"",B83,"")</f>
        <v>Pyrolyseprodukter</v>
      </c>
      <c r="C131" s="190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0">
        <f t="shared" si="35"/>
        <v>2050</v>
      </c>
      <c r="E131" s="188" t="s">
        <v>23</v>
      </c>
      <c r="F131" s="191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8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1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5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0">
        <f t="shared" ref="N131:N132" si="38">F131-SUM(G131:M131)</f>
        <v>0</v>
      </c>
      <c r="O131" s="191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1">
        <f t="shared" ref="P131:P132" si="40">SUM(J131,L131)</f>
        <v>0</v>
      </c>
      <c r="Q131" s="188">
        <f>IFERROR(VLOOKUP(A131,[1]Energiindhold!$A$2:$C$11,3,FALSE),IFERROR(VLOOKUP(A131,[1]Biogasudbytte!$A$2:$B$18,2,FALSE)*[1]Energiindhold!$C$10,0))*O131</f>
        <v>0</v>
      </c>
      <c r="R131" s="188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8">
        <f>IFERROR(VLOOKUP(A131,[1]Biogasudbytte!$A$2:$B$18,2,FALSE)*[1]Energiindhold!$C$10,0)*J131*IFERROR(VLOOKUP(A131,Biogasanlæg!$F$3:$G$8,2,FALSE),1)</f>
        <v>0</v>
      </c>
      <c r="T131" s="189">
        <f t="shared" ref="T131:T132" si="41">R131-S131</f>
        <v>0</v>
      </c>
      <c r="U131" s="187">
        <f>O131*IFERROR(VLOOKUP(A131,[1]Tørstofindhold!A$2:B$24,2,FALSE),0)</f>
        <v>0</v>
      </c>
      <c r="V131" s="188">
        <f>IF(D131=År1,P131,SUM(O131,P131))*IFERROR(VLOOKUP(A131,[1]Tørstofindhold!A$2:B$24,2,FALSE),0)</f>
        <v>0</v>
      </c>
      <c r="W131" s="188">
        <f>J131*IFERROR(VLOOKUP(A131,[1]Tørstofindhold!A$2:B$24,2,FALSE),0)</f>
        <v>0</v>
      </c>
      <c r="X131" s="189">
        <f t="shared" ref="X131:X132" si="42">V131-W131</f>
        <v>0</v>
      </c>
      <c r="Y131" s="169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0" t="str">
        <f t="shared" si="36"/>
        <v>Pyrolyseolie</v>
      </c>
      <c r="B132" s="190" t="str">
        <f t="shared" si="37"/>
        <v>Pyrolyseprodukter</v>
      </c>
      <c r="C132" s="190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0">
        <f t="shared" si="35"/>
        <v>2050</v>
      </c>
      <c r="E132" s="188" t="s">
        <v>23</v>
      </c>
      <c r="F132" s="191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8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1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5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0">
        <f t="shared" si="38"/>
        <v>0</v>
      </c>
      <c r="O132" s="191">
        <f t="shared" si="39"/>
        <v>0</v>
      </c>
      <c r="P132" s="201">
        <f t="shared" si="40"/>
        <v>0</v>
      </c>
      <c r="Q132" s="188">
        <f>IFERROR(VLOOKUP(A132,[1]Energiindhold!$A$2:$C$11,3,FALSE),IFERROR(VLOOKUP(A132,[1]Biogasudbytte!$A$2:$B$18,2,FALSE)*[1]Energiindhold!$C$10,0))*O132</f>
        <v>0</v>
      </c>
      <c r="R132" s="188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8">
        <f>IFERROR(VLOOKUP(A132,[1]Biogasudbytte!$A$2:$B$18,2,FALSE)*[1]Energiindhold!$C$10,0)*J132*IFERROR(VLOOKUP(A132,Biogasanlæg!$F$3:$G$8,2,FALSE),1)</f>
        <v>0</v>
      </c>
      <c r="T132" s="189">
        <f t="shared" si="41"/>
        <v>0</v>
      </c>
      <c r="U132" s="187">
        <f>O132*IFERROR(VLOOKUP(A132,[1]Tørstofindhold!A$2:B$24,2,FALSE),0)</f>
        <v>0</v>
      </c>
      <c r="V132" s="188">
        <f>IF(D132=År1,P132,SUM(O132,P132))*IFERROR(VLOOKUP(A132,[1]Tørstofindhold!A$2:B$24,2,FALSE),0)</f>
        <v>0</v>
      </c>
      <c r="W132" s="188">
        <f>J132*IFERROR(VLOOKUP(A132,[1]Tørstofindhold!A$2:B$24,2,FALSE),0)</f>
        <v>0</v>
      </c>
      <c r="X132" s="189">
        <f t="shared" si="42"/>
        <v>0</v>
      </c>
      <c r="Y132" s="169">
        <f t="shared" si="43"/>
        <v>0</v>
      </c>
      <c r="Z132" s="103">
        <f t="shared" si="44"/>
        <v>0</v>
      </c>
    </row>
    <row r="133" spans="1:26" x14ac:dyDescent="0.25">
      <c r="A133" s="190" t="str">
        <f t="shared" ref="A133:A146" si="45">A85</f>
        <v>Råmælk</v>
      </c>
      <c r="B133" s="190" t="str">
        <f t="shared" ref="B133:B146" si="46">IF(B85&lt;&gt;"",B85,"")</f>
        <v/>
      </c>
      <c r="C133" s="190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0">
        <f t="shared" si="35"/>
        <v>2050</v>
      </c>
      <c r="E133" s="188" t="s">
        <v>23</v>
      </c>
      <c r="F133" s="191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4298580.4994896017</v>
      </c>
      <c r="G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8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1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5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0">
        <f t="shared" si="23"/>
        <v>4298580.4994896017</v>
      </c>
      <c r="O133" s="191">
        <f t="shared" si="39"/>
        <v>0</v>
      </c>
      <c r="P133" s="201">
        <f t="shared" si="24"/>
        <v>0</v>
      </c>
      <c r="Q133" s="188">
        <f>IFERROR(VLOOKUP(A133,[1]Energiindhold!$A$2:$C$11,3,FALSE),IFERROR(VLOOKUP(A133,[1]Biogasudbytte!$A$2:$B$18,2,FALSE)*[1]Energiindhold!$C$10,0))*O133</f>
        <v>0</v>
      </c>
      <c r="R133" s="188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8">
        <f>IFERROR(VLOOKUP(A133,[1]Biogasudbytte!$A$2:$B$18,2,FALSE)*[1]Energiindhold!$C$10,0)*J133*IFERROR(VLOOKUP(A133,Biogasanlæg!$F$3:$G$8,2,FALSE),1)</f>
        <v>0</v>
      </c>
      <c r="T133" s="189">
        <f t="shared" si="25"/>
        <v>0</v>
      </c>
      <c r="U133" s="187">
        <f>O133*IFERROR(VLOOKUP(A133,[1]Tørstofindhold!A$2:B$24,2,FALSE),0)</f>
        <v>0</v>
      </c>
      <c r="V133" s="188">
        <f>IF(D133=År1,P133,SUM(O133,P133))*IFERROR(VLOOKUP(A133,[1]Tørstofindhold!A$2:B$24,2,FALSE),0)</f>
        <v>0</v>
      </c>
      <c r="W133" s="188">
        <f>J133*IFERROR(VLOOKUP(A133,[1]Tørstofindhold!A$2:B$24,2,FALSE),0)</f>
        <v>0</v>
      </c>
      <c r="X133" s="189">
        <f t="shared" si="26"/>
        <v>0</v>
      </c>
      <c r="Y133" s="169">
        <f t="shared" si="43"/>
        <v>0</v>
      </c>
      <c r="Z133" s="103">
        <f t="shared" si="44"/>
        <v>1</v>
      </c>
    </row>
    <row r="134" spans="1:26" x14ac:dyDescent="0.25">
      <c r="A134" s="190" t="str">
        <f t="shared" si="45"/>
        <v>Raps</v>
      </c>
      <c r="B134" s="190" t="str">
        <f t="shared" si="46"/>
        <v/>
      </c>
      <c r="C134" s="190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0">
        <f t="shared" si="35"/>
        <v>2050</v>
      </c>
      <c r="E134" s="188" t="s">
        <v>23</v>
      </c>
      <c r="F134" s="191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140601.20938701159</v>
      </c>
      <c r="G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8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1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5">
        <f>SUMIFS('Forbrug af biomasse'!E:E,'Forbrug af biomasse'!C:C,'Resultat-Produktion &amp; forbrug'!$A134,'Forbrug af biomasse'!D:D,'Resultat-Produktion &amp; forbrug'!$D134,'Forbrug af biomasse'!G:G,1,'Forbrug af biomasse'!B:B,$E134)</f>
        <v>140601.20938701159</v>
      </c>
      <c r="N134" s="200">
        <f t="shared" si="23"/>
        <v>0</v>
      </c>
      <c r="O134" s="191">
        <f t="shared" si="39"/>
        <v>0</v>
      </c>
      <c r="P134" s="201">
        <f t="shared" si="24"/>
        <v>0</v>
      </c>
      <c r="Q134" s="188">
        <f>IFERROR(VLOOKUP(A134,[1]Energiindhold!$A$2:$C$11,3,FALSE),IFERROR(VLOOKUP(A134,[1]Biogasudbytte!$A$2:$B$18,2,FALSE)*[1]Energiindhold!$C$10,0))*O134</f>
        <v>0</v>
      </c>
      <c r="R134" s="188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8">
        <f>IFERROR(VLOOKUP(A134,[1]Biogasudbytte!$A$2:$B$18,2,FALSE)*[1]Energiindhold!$C$10,0)*J134*IFERROR(VLOOKUP(A134,Biogasanlæg!$F$3:$G$8,2,FALSE),1)</f>
        <v>0</v>
      </c>
      <c r="T134" s="189">
        <f t="shared" si="25"/>
        <v>0</v>
      </c>
      <c r="U134" s="187">
        <f>O134*IFERROR(VLOOKUP(A134,[1]Tørstofindhold!A$2:B$24,2,FALSE),0)</f>
        <v>0</v>
      </c>
      <c r="V134" s="188">
        <f>IF(D134=År1,P134,SUM(O134,P134))*IFERROR(VLOOKUP(A134,[1]Tørstofindhold!A$2:B$24,2,FALSE),0)</f>
        <v>0</v>
      </c>
      <c r="W134" s="188">
        <f>J134*IFERROR(VLOOKUP(A134,[1]Tørstofindhold!A$2:B$24,2,FALSE),0)</f>
        <v>0</v>
      </c>
      <c r="X134" s="189">
        <f t="shared" si="26"/>
        <v>0</v>
      </c>
      <c r="Y134" s="169">
        <f t="shared" si="43"/>
        <v>0</v>
      </c>
      <c r="Z134" s="103">
        <f t="shared" si="44"/>
        <v>0</v>
      </c>
    </row>
    <row r="135" spans="1:26" x14ac:dyDescent="0.25">
      <c r="A135" s="190" t="str">
        <f t="shared" si="45"/>
        <v>Rapskage</v>
      </c>
      <c r="B135" s="190" t="str">
        <f t="shared" si="46"/>
        <v/>
      </c>
      <c r="C135" s="190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0">
        <f t="shared" si="35"/>
        <v>2050</v>
      </c>
      <c r="E135" s="188" t="s">
        <v>23</v>
      </c>
      <c r="F135" s="191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70300.604693505797</v>
      </c>
      <c r="G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65593.392108914311</v>
      </c>
      <c r="H135" s="188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1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5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0">
        <f t="shared" si="23"/>
        <v>4707.2125845914852</v>
      </c>
      <c r="O135" s="191">
        <f t="shared" si="39"/>
        <v>0</v>
      </c>
      <c r="P135" s="201">
        <f t="shared" si="24"/>
        <v>0</v>
      </c>
      <c r="Q135" s="188">
        <f>IFERROR(VLOOKUP(A135,[1]Energiindhold!$A$2:$C$11,3,FALSE),IFERROR(VLOOKUP(A135,[1]Biogasudbytte!$A$2:$B$18,2,FALSE)*[1]Energiindhold!$C$10,0))*O135</f>
        <v>0</v>
      </c>
      <c r="R135" s="188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8">
        <f>IFERROR(VLOOKUP(A135,[1]Biogasudbytte!$A$2:$B$18,2,FALSE)*[1]Energiindhold!$C$10,0)*J135*IFERROR(VLOOKUP(A135,Biogasanlæg!$F$3:$G$8,2,FALSE),1)</f>
        <v>0</v>
      </c>
      <c r="T135" s="189">
        <f t="shared" si="25"/>
        <v>0</v>
      </c>
      <c r="U135" s="187">
        <f>O135*IFERROR(VLOOKUP(A135,[1]Tørstofindhold!A$2:B$24,2,FALSE),0)</f>
        <v>0</v>
      </c>
      <c r="V135" s="188">
        <f>IF(D135=År1,P135,SUM(O135,P135))*IFERROR(VLOOKUP(A135,[1]Tørstofindhold!A$2:B$24,2,FALSE),0)</f>
        <v>0</v>
      </c>
      <c r="W135" s="188">
        <f>J135*IFERROR(VLOOKUP(A135,[1]Tørstofindhold!A$2:B$24,2,FALSE),0)</f>
        <v>0</v>
      </c>
      <c r="X135" s="189">
        <f t="shared" si="26"/>
        <v>0</v>
      </c>
      <c r="Y135" s="169">
        <f t="shared" si="43"/>
        <v>0</v>
      </c>
      <c r="Z135" s="103">
        <f t="shared" si="44"/>
        <v>1</v>
      </c>
    </row>
    <row r="136" spans="1:26" x14ac:dyDescent="0.25">
      <c r="A136" s="190" t="str">
        <f t="shared" si="45"/>
        <v>Rapsolie</v>
      </c>
      <c r="B136" s="190" t="str">
        <f t="shared" si="46"/>
        <v>Rapsolie</v>
      </c>
      <c r="C136" s="190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0">
        <f t="shared" si="35"/>
        <v>2050</v>
      </c>
      <c r="E136" s="188" t="s">
        <v>23</v>
      </c>
      <c r="F136" s="191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44992.387003843709</v>
      </c>
      <c r="G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8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1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44992.387003843709</v>
      </c>
      <c r="M136" s="155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0">
        <f t="shared" si="23"/>
        <v>0</v>
      </c>
      <c r="O136" s="191">
        <f t="shared" si="39"/>
        <v>0</v>
      </c>
      <c r="P136" s="201">
        <f t="shared" si="24"/>
        <v>44992.387003843709</v>
      </c>
      <c r="Q136" s="188">
        <f>IFERROR(VLOOKUP(A136,[1]Energiindhold!$A$2:$C$11,3,FALSE),IFERROR(VLOOKUP(A136,[1]Biogasudbytte!$A$2:$B$18,2,FALSE)*[1]Energiindhold!$C$10,0))*O136</f>
        <v>0</v>
      </c>
      <c r="R136" s="188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1.5747335451345297</v>
      </c>
      <c r="S136" s="188">
        <f>IFERROR(VLOOKUP(A136,[1]Biogasudbytte!$A$2:$B$18,2,FALSE)*[1]Energiindhold!$C$10,0)*J136*IFERROR(VLOOKUP(A136,Biogasanlæg!$F$3:$G$8,2,FALSE),1)</f>
        <v>0</v>
      </c>
      <c r="T136" s="189">
        <f t="shared" si="25"/>
        <v>1.5747335451345297</v>
      </c>
      <c r="U136" s="187">
        <f>O136*IFERROR(VLOOKUP(A136,[1]Tørstofindhold!A$2:B$24,2,FALSE),0)</f>
        <v>0</v>
      </c>
      <c r="V136" s="188">
        <f>IF(D136=År1,P136,SUM(O136,P136))*IFERROR(VLOOKUP(A136,[1]Tørstofindhold!A$2:B$24,2,FALSE),0)</f>
        <v>0</v>
      </c>
      <c r="W136" s="188">
        <f>J136*IFERROR(VLOOKUP(A136,[1]Tørstofindhold!A$2:B$24,2,FALSE),0)</f>
        <v>0</v>
      </c>
      <c r="X136" s="189">
        <f t="shared" si="26"/>
        <v>0</v>
      </c>
      <c r="Y136" s="169">
        <f t="shared" si="43"/>
        <v>0</v>
      </c>
      <c r="Z136" s="103">
        <f t="shared" si="44"/>
        <v>0</v>
      </c>
    </row>
    <row r="137" spans="1:26" x14ac:dyDescent="0.25">
      <c r="A137" s="190" t="str">
        <f t="shared" si="45"/>
        <v>Roer</v>
      </c>
      <c r="B137" s="190" t="str">
        <f t="shared" si="46"/>
        <v>Græs og urter</v>
      </c>
      <c r="C137" s="190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0">
        <f t="shared" si="35"/>
        <v>2050</v>
      </c>
      <c r="E137" s="188" t="s">
        <v>23</v>
      </c>
      <c r="F137" s="191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1764735.4892043229</v>
      </c>
      <c r="G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868637.91677766922</v>
      </c>
      <c r="H137" s="188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21741.204425481588</v>
      </c>
      <c r="K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1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5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0">
        <f t="shared" si="23"/>
        <v>874356.36800117209</v>
      </c>
      <c r="O137" s="191">
        <f t="shared" si="39"/>
        <v>874356.36800117209</v>
      </c>
      <c r="P137" s="201">
        <f t="shared" si="24"/>
        <v>21741.204425481588</v>
      </c>
      <c r="Q137" s="188">
        <f>IFERROR(VLOOKUP(A137,[1]Energiindhold!$A$2:$C$11,3,FALSE),IFERROR(VLOOKUP(A137,[1]Biogasudbytte!$A$2:$B$18,2,FALSE)*[1]Energiindhold!$C$10,0))*O137</f>
        <v>2.3730381570099013</v>
      </c>
      <c r="R137" s="188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2.4320446554688355</v>
      </c>
      <c r="S137" s="188">
        <f>IFERROR(VLOOKUP(A137,[1]Biogasudbytte!$A$2:$B$18,2,FALSE)*[1]Energiindhold!$C$10,0)*J137*IFERROR(VLOOKUP(A137,Biogasanlæg!$F$3:$G$8,2,FALSE),1)</f>
        <v>5.9006498458934048E-2</v>
      </c>
      <c r="T137" s="189">
        <f t="shared" si="25"/>
        <v>2.3730381570099013</v>
      </c>
      <c r="U137" s="187">
        <f>O137*IFERROR(VLOOKUP(A137,[1]Tørstofindhold!A$2:B$24,2,FALSE),0)</f>
        <v>174871.27360023442</v>
      </c>
      <c r="V137" s="188">
        <f>IF(D137=År1,P137,SUM(O137,P137))*IFERROR(VLOOKUP(A137,[1]Tørstofindhold!A$2:B$24,2,FALSE),0)</f>
        <v>179219.51448533076</v>
      </c>
      <c r="W137" s="188">
        <f>J137*IFERROR(VLOOKUP(A137,[1]Tørstofindhold!A$2:B$24,2,FALSE),0)</f>
        <v>4348.2408850963175</v>
      </c>
      <c r="X137" s="189">
        <f t="shared" si="26"/>
        <v>174871.27360023445</v>
      </c>
      <c r="Y137" s="169">
        <f t="shared" si="43"/>
        <v>0</v>
      </c>
      <c r="Z137" s="103">
        <f t="shared" si="44"/>
        <v>1</v>
      </c>
    </row>
    <row r="138" spans="1:26" x14ac:dyDescent="0.25">
      <c r="A138" s="190" t="str">
        <f t="shared" si="45"/>
        <v>Slagteriaffald til andet</v>
      </c>
      <c r="B138" s="190" t="str">
        <f t="shared" si="46"/>
        <v/>
      </c>
      <c r="C138" s="190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0">
        <f t="shared" si="35"/>
        <v>2050</v>
      </c>
      <c r="E138" s="188" t="s">
        <v>23</v>
      </c>
      <c r="F138" s="191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156004.57287289423</v>
      </c>
      <c r="G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8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1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5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0">
        <f t="shared" si="23"/>
        <v>156004.57287289423</v>
      </c>
      <c r="O138" s="191">
        <f t="shared" si="39"/>
        <v>0</v>
      </c>
      <c r="P138" s="201">
        <f t="shared" si="24"/>
        <v>0</v>
      </c>
      <c r="Q138" s="188">
        <f>IFERROR(VLOOKUP(A138,[1]Energiindhold!$A$2:$C$11,3,FALSE),IFERROR(VLOOKUP(A138,[1]Biogasudbytte!$A$2:$B$18,2,FALSE)*[1]Energiindhold!$C$10,0))*O138</f>
        <v>0</v>
      </c>
      <c r="R138" s="188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8">
        <f>IFERROR(VLOOKUP(A138,[1]Biogasudbytte!$A$2:$B$18,2,FALSE)*[1]Energiindhold!$C$10,0)*J138*IFERROR(VLOOKUP(A138,Biogasanlæg!$F$3:$G$8,2,FALSE),1)</f>
        <v>0</v>
      </c>
      <c r="T138" s="189">
        <f t="shared" si="25"/>
        <v>0</v>
      </c>
      <c r="U138" s="187">
        <f>O138*IFERROR(VLOOKUP(A138,[1]Tørstofindhold!A$2:B$24,2,FALSE),0)</f>
        <v>0</v>
      </c>
      <c r="V138" s="188">
        <f>IF(D138=År1,P138,SUM(O138,P138))*IFERROR(VLOOKUP(A138,[1]Tørstofindhold!A$2:B$24,2,FALSE),0)</f>
        <v>0</v>
      </c>
      <c r="W138" s="188">
        <f>J138*IFERROR(VLOOKUP(A138,[1]Tørstofindhold!A$2:B$24,2,FALSE),0)</f>
        <v>0</v>
      </c>
      <c r="X138" s="189">
        <f t="shared" si="26"/>
        <v>0</v>
      </c>
      <c r="Y138" s="169">
        <f t="shared" si="43"/>
        <v>0</v>
      </c>
      <c r="Z138" s="103">
        <f t="shared" si="44"/>
        <v>1</v>
      </c>
    </row>
    <row r="139" spans="1:26" x14ac:dyDescent="0.25">
      <c r="A139" s="190" t="str">
        <f t="shared" si="45"/>
        <v>Slagteriaffald til foder</v>
      </c>
      <c r="B139" s="190" t="str">
        <f t="shared" si="46"/>
        <v/>
      </c>
      <c r="C139" s="190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0">
        <f t="shared" si="35"/>
        <v>2050</v>
      </c>
      <c r="E139" s="188" t="s">
        <v>23</v>
      </c>
      <c r="F139" s="191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106981.75527690048</v>
      </c>
      <c r="G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38482.787367359997</v>
      </c>
      <c r="H139" s="188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1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5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0">
        <f t="shared" si="23"/>
        <v>68498.967909540486</v>
      </c>
      <c r="O139" s="191">
        <f t="shared" si="39"/>
        <v>0</v>
      </c>
      <c r="P139" s="201">
        <f t="shared" si="24"/>
        <v>0</v>
      </c>
      <c r="Q139" s="188">
        <f>IFERROR(VLOOKUP(A139,[1]Energiindhold!$A$2:$C$11,3,FALSE),IFERROR(VLOOKUP(A139,[1]Biogasudbytte!$A$2:$B$18,2,FALSE)*[1]Energiindhold!$C$10,0))*O139</f>
        <v>0</v>
      </c>
      <c r="R139" s="188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8">
        <f>IFERROR(VLOOKUP(A139,[1]Biogasudbytte!$A$2:$B$18,2,FALSE)*[1]Energiindhold!$C$10,0)*J139*IFERROR(VLOOKUP(A139,Biogasanlæg!$F$3:$G$8,2,FALSE),1)</f>
        <v>0</v>
      </c>
      <c r="T139" s="189">
        <f t="shared" si="25"/>
        <v>0</v>
      </c>
      <c r="U139" s="187">
        <f>O139*IFERROR(VLOOKUP(A139,[1]Tørstofindhold!A$2:B$24,2,FALSE),0)</f>
        <v>0</v>
      </c>
      <c r="V139" s="188">
        <f>IF(D139=År1,P139,SUM(O139,P139))*IFERROR(VLOOKUP(A139,[1]Tørstofindhold!A$2:B$24,2,FALSE),0)</f>
        <v>0</v>
      </c>
      <c r="W139" s="188">
        <f>J139*IFERROR(VLOOKUP(A139,[1]Tørstofindhold!A$2:B$24,2,FALSE),0)</f>
        <v>0</v>
      </c>
      <c r="X139" s="189">
        <f t="shared" si="26"/>
        <v>0</v>
      </c>
      <c r="Y139" s="169">
        <f t="shared" si="43"/>
        <v>0</v>
      </c>
      <c r="Z139" s="103">
        <f t="shared" si="44"/>
        <v>1</v>
      </c>
    </row>
    <row r="140" spans="1:26" x14ac:dyDescent="0.25">
      <c r="A140" s="190" t="str">
        <f t="shared" si="45"/>
        <v>Spildevandsslam</v>
      </c>
      <c r="B140" s="190" t="str">
        <f t="shared" si="46"/>
        <v>Bionedbrydeligt affald</v>
      </c>
      <c r="C140" s="190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0">
        <f t="shared" si="35"/>
        <v>2050</v>
      </c>
      <c r="E140" s="188" t="s">
        <v>23</v>
      </c>
      <c r="F140" s="191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4109798.0611489196</v>
      </c>
      <c r="G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8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1558636.1641980347</v>
      </c>
      <c r="K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1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5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0">
        <f t="shared" si="23"/>
        <v>2551161.8969508847</v>
      </c>
      <c r="O140" s="191">
        <f t="shared" si="39"/>
        <v>2551161.8969508847</v>
      </c>
      <c r="P140" s="201">
        <f t="shared" si="24"/>
        <v>1558636.1641980347</v>
      </c>
      <c r="Q140" s="188">
        <f>IFERROR(VLOOKUP(A140,[1]Energiindhold!$A$2:$C$11,3,FALSE),IFERROR(VLOOKUP(A140,[1]Biogasudbytte!$A$2:$B$18,2,FALSE)*[1]Energiindhold!$C$10,0))*O140</f>
        <v>1.2730552981974612</v>
      </c>
      <c r="R140" s="188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2.0508303304939224</v>
      </c>
      <c r="S140" s="188">
        <f>IFERROR(VLOOKUP(A140,[1]Biogasudbytte!$A$2:$B$18,2,FALSE)*[1]Energiindhold!$C$10,0)*J140*IFERROR(VLOOKUP(A140,Biogasanlæg!$F$3:$G$8,2,FALSE),1)</f>
        <v>0.77777503229646139</v>
      </c>
      <c r="T140" s="189">
        <f t="shared" si="25"/>
        <v>1.273055298197461</v>
      </c>
      <c r="U140" s="187">
        <f>O140*IFERROR(VLOOKUP(A140,[1]Tørstofindhold!A$2:B$24,2,FALSE),0)</f>
        <v>153069.71381705307</v>
      </c>
      <c r="V140" s="188">
        <f>IF(D140=År1,P140,SUM(O140,P140))*IFERROR(VLOOKUP(A140,[1]Tørstofindhold!A$2:B$24,2,FALSE),0)</f>
        <v>246587.88366893513</v>
      </c>
      <c r="W140" s="188">
        <f>J140*IFERROR(VLOOKUP(A140,[1]Tørstofindhold!A$2:B$24,2,FALSE),0)</f>
        <v>93518.169851882078</v>
      </c>
      <c r="X140" s="189">
        <f t="shared" si="26"/>
        <v>153069.71381705307</v>
      </c>
      <c r="Y140" s="169">
        <f t="shared" si="43"/>
        <v>0</v>
      </c>
      <c r="Z140" s="103">
        <f t="shared" si="44"/>
        <v>1</v>
      </c>
    </row>
    <row r="141" spans="1:26" x14ac:dyDescent="0.25">
      <c r="A141" s="190" t="str">
        <f t="shared" si="45"/>
        <v>Svinegylle</v>
      </c>
      <c r="B141" s="190" t="str">
        <f t="shared" si="46"/>
        <v>Husdyrgødning</v>
      </c>
      <c r="C141" s="190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0">
        <f t="shared" si="35"/>
        <v>2050</v>
      </c>
      <c r="E141" s="188" t="s">
        <v>23</v>
      </c>
      <c r="F141" s="191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11013379.49627923</v>
      </c>
      <c r="G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8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5837091.1330279922</v>
      </c>
      <c r="K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5176288.3632512381</v>
      </c>
      <c r="L141" s="191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5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0">
        <f t="shared" si="23"/>
        <v>0</v>
      </c>
      <c r="O141" s="191">
        <f t="shared" si="39"/>
        <v>0</v>
      </c>
      <c r="P141" s="201">
        <f t="shared" si="24"/>
        <v>5837091.1330279922</v>
      </c>
      <c r="Q141" s="188">
        <f>IFERROR(VLOOKUP(A141,[1]Energiindhold!$A$2:$C$11,3,FALSE),IFERROR(VLOOKUP(A141,[1]Biogasudbytte!$A$2:$B$18,2,FALSE)*[1]Energiindhold!$C$10,0))*O141</f>
        <v>0</v>
      </c>
      <c r="R141" s="188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2.5146188601084596</v>
      </c>
      <c r="S141" s="188">
        <f>IFERROR(VLOOKUP(A141,[1]Biogasudbytte!$A$2:$B$18,2,FALSE)*[1]Energiindhold!$C$10,0)*J141*IFERROR(VLOOKUP(A141,Biogasanlæg!$F$3:$G$8,2,FALSE),1)</f>
        <v>2.5146188601084596</v>
      </c>
      <c r="T141" s="189">
        <f t="shared" si="25"/>
        <v>0</v>
      </c>
      <c r="U141" s="187">
        <f>O141*IFERROR(VLOOKUP(A141,[1]Tørstofindhold!A$2:B$24,2,FALSE),0)</f>
        <v>0</v>
      </c>
      <c r="V141" s="188">
        <f>IF(D141=År1,P141,SUM(O141,P141))*IFERROR(VLOOKUP(A141,[1]Tørstofindhold!A$2:B$24,2,FALSE),0)</f>
        <v>291854.55665139965</v>
      </c>
      <c r="W141" s="188">
        <f>J141*IFERROR(VLOOKUP(A141,[1]Tørstofindhold!A$2:B$24,2,FALSE),0)</f>
        <v>291854.55665139965</v>
      </c>
      <c r="X141" s="189">
        <f t="shared" si="26"/>
        <v>0</v>
      </c>
      <c r="Y141" s="169">
        <f t="shared" si="43"/>
        <v>0</v>
      </c>
      <c r="Z141" s="103">
        <f t="shared" si="44"/>
        <v>0</v>
      </c>
    </row>
    <row r="142" spans="1:26" x14ac:dyDescent="0.25">
      <c r="A142" s="190" t="str">
        <f t="shared" si="45"/>
        <v>Svinekød</v>
      </c>
      <c r="B142" s="190" t="str">
        <f t="shared" si="46"/>
        <v/>
      </c>
      <c r="C142" s="190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0">
        <f t="shared" si="35"/>
        <v>2050</v>
      </c>
      <c r="E142" s="188" t="s">
        <v>23</v>
      </c>
      <c r="F142" s="191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1138689.3493672458</v>
      </c>
      <c r="G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8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1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5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0">
        <f t="shared" si="23"/>
        <v>1012062.2574245369</v>
      </c>
      <c r="O142" s="191">
        <f t="shared" si="39"/>
        <v>0</v>
      </c>
      <c r="P142" s="201">
        <f t="shared" si="24"/>
        <v>0</v>
      </c>
      <c r="Q142" s="188">
        <f>IFERROR(VLOOKUP(A142,[1]Energiindhold!$A$2:$C$11,3,FALSE),IFERROR(VLOOKUP(A142,[1]Biogasudbytte!$A$2:$B$18,2,FALSE)*[1]Energiindhold!$C$10,0))*O142</f>
        <v>0</v>
      </c>
      <c r="R142" s="188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8">
        <f>IFERROR(VLOOKUP(A142,[1]Biogasudbytte!$A$2:$B$18,2,FALSE)*[1]Energiindhold!$C$10,0)*J142*IFERROR(VLOOKUP(A142,Biogasanlæg!$F$3:$G$8,2,FALSE),1)</f>
        <v>0</v>
      </c>
      <c r="T142" s="189">
        <f t="shared" si="25"/>
        <v>0</v>
      </c>
      <c r="U142" s="187">
        <f>O142*IFERROR(VLOOKUP(A142,[1]Tørstofindhold!A$2:B$24,2,FALSE),0)</f>
        <v>0</v>
      </c>
      <c r="V142" s="188">
        <f>IF(D142=År1,P142,SUM(O142,P142))*IFERROR(VLOOKUP(A142,[1]Tørstofindhold!A$2:B$24,2,FALSE),0)</f>
        <v>0</v>
      </c>
      <c r="W142" s="188">
        <f>J142*IFERROR(VLOOKUP(A142,[1]Tørstofindhold!A$2:B$24,2,FALSE),0)</f>
        <v>0</v>
      </c>
      <c r="X142" s="189">
        <f t="shared" si="26"/>
        <v>0</v>
      </c>
      <c r="Y142" s="169">
        <f t="shared" si="43"/>
        <v>0</v>
      </c>
      <c r="Z142" s="103">
        <f t="shared" si="44"/>
        <v>1</v>
      </c>
    </row>
    <row r="143" spans="1:26" x14ac:dyDescent="0.25">
      <c r="A143" s="190" t="str">
        <f t="shared" si="45"/>
        <v>Tang</v>
      </c>
      <c r="B143" s="190" t="str">
        <f t="shared" si="46"/>
        <v>Havbiomasse</v>
      </c>
      <c r="C143" s="190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0">
        <f t="shared" si="35"/>
        <v>2050</v>
      </c>
      <c r="E143" s="188" t="s">
        <v>23</v>
      </c>
      <c r="F143" s="191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13500</v>
      </c>
      <c r="G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8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1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5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0">
        <f t="shared" si="23"/>
        <v>13500</v>
      </c>
      <c r="O143" s="191">
        <f t="shared" si="39"/>
        <v>13500</v>
      </c>
      <c r="P143" s="201">
        <f t="shared" si="24"/>
        <v>0</v>
      </c>
      <c r="Q143" s="188">
        <f>IFERROR(VLOOKUP(A143,[1]Energiindhold!$A$2:$C$11,3,FALSE),IFERROR(VLOOKUP(A143,[1]Biogasudbytte!$A$2:$B$18,2,FALSE)*[1]Energiindhold!$C$10,0))*O143</f>
        <v>1.2116250000000002E-2</v>
      </c>
      <c r="R143" s="188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88">
        <f>IFERROR(VLOOKUP(A143,[1]Biogasudbytte!$A$2:$B$18,2,FALSE)*[1]Energiindhold!$C$10,0)*J143*IFERROR(VLOOKUP(A143,Biogasanlæg!$F$3:$G$8,2,FALSE),1)</f>
        <v>0</v>
      </c>
      <c r="T143" s="189">
        <f t="shared" si="25"/>
        <v>1.2116250000000002E-2</v>
      </c>
      <c r="U143" s="187">
        <f>O143*IFERROR(VLOOKUP(A143,[1]Tørstofindhold!A$2:B$24,2,FALSE),0)</f>
        <v>2025</v>
      </c>
      <c r="V143" s="188">
        <f>IF(D143=År1,P143,SUM(O143,P143))*IFERROR(VLOOKUP(A143,[1]Tørstofindhold!A$2:B$24,2,FALSE),0)</f>
        <v>2025</v>
      </c>
      <c r="W143" s="188">
        <f>J143*IFERROR(VLOOKUP(A143,[1]Tørstofindhold!A$2:B$24,2,FALSE),0)</f>
        <v>0</v>
      </c>
      <c r="X143" s="189">
        <f t="shared" si="26"/>
        <v>2025</v>
      </c>
      <c r="Y143" s="169">
        <f t="shared" si="43"/>
        <v>0</v>
      </c>
      <c r="Z143" s="103">
        <f t="shared" si="44"/>
        <v>1</v>
      </c>
    </row>
    <row r="144" spans="1:26" x14ac:dyDescent="0.25">
      <c r="A144" s="190" t="str">
        <f t="shared" si="45"/>
        <v>Total til biogas</v>
      </c>
      <c r="B144" s="190" t="str">
        <f t="shared" si="46"/>
        <v/>
      </c>
      <c r="C144" s="190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0">
        <f t="shared" si="35"/>
        <v>2050</v>
      </c>
      <c r="E144" s="188" t="s">
        <v>23</v>
      </c>
      <c r="F144" s="191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8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1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5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0">
        <f t="shared" si="23"/>
        <v>0</v>
      </c>
      <c r="O144" s="191">
        <f t="shared" si="39"/>
        <v>0</v>
      </c>
      <c r="P144" s="201">
        <f t="shared" si="24"/>
        <v>0</v>
      </c>
      <c r="Q144" s="188">
        <f>IFERROR(VLOOKUP(A144,[1]Energiindhold!$A$2:$C$11,3,FALSE),IFERROR(VLOOKUP(A144,[1]Biogasudbytte!$A$2:$B$18,2,FALSE)*[1]Energiindhold!$C$10,0))*O144</f>
        <v>0</v>
      </c>
      <c r="R144" s="188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8">
        <f>IFERROR(VLOOKUP(A144,[1]Biogasudbytte!$A$2:$B$18,2,FALSE)*[1]Energiindhold!$C$10,0)*J144*IFERROR(VLOOKUP(A144,Biogasanlæg!$F$3:$G$8,2,FALSE),1)</f>
        <v>0</v>
      </c>
      <c r="T144" s="189">
        <f t="shared" si="25"/>
        <v>0</v>
      </c>
      <c r="U144" s="187">
        <f>O144*IFERROR(VLOOKUP(A144,[1]Tørstofindhold!A$2:B$24,2,FALSE),0)</f>
        <v>0</v>
      </c>
      <c r="V144" s="188">
        <f>IF(D144=År1,P144,SUM(O144,P144))*IFERROR(VLOOKUP(A144,[1]Tørstofindhold!A$2:B$24,2,FALSE),0)</f>
        <v>0</v>
      </c>
      <c r="W144" s="188">
        <f>J144*IFERROR(VLOOKUP(A144,[1]Tørstofindhold!A$2:B$24,2,FALSE),0)</f>
        <v>0</v>
      </c>
      <c r="X144" s="189">
        <f t="shared" si="26"/>
        <v>0</v>
      </c>
      <c r="Y144" s="169">
        <f t="shared" si="43"/>
        <v>0</v>
      </c>
      <c r="Z144" s="103">
        <f t="shared" si="44"/>
        <v>0</v>
      </c>
    </row>
    <row r="145" spans="1:26" x14ac:dyDescent="0.25">
      <c r="A145" s="190" t="str">
        <f t="shared" si="45"/>
        <v>Træ til energi</v>
      </c>
      <c r="B145" s="190" t="str">
        <f t="shared" si="46"/>
        <v>Vedmasse</v>
      </c>
      <c r="C145" s="190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0">
        <f t="shared" si="35"/>
        <v>2050</v>
      </c>
      <c r="E145" s="188" t="s">
        <v>23</v>
      </c>
      <c r="F145" s="191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2021010.5366921518</v>
      </c>
      <c r="G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8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1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2021010.5366921518</v>
      </c>
      <c r="M145" s="155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0">
        <f t="shared" ca="1" si="23"/>
        <v>0</v>
      </c>
      <c r="O145" s="191">
        <f t="shared" ca="1" si="39"/>
        <v>0</v>
      </c>
      <c r="P145" s="201">
        <f t="shared" ca="1" si="24"/>
        <v>2021010.5366921518</v>
      </c>
      <c r="Q145" s="188">
        <f ca="1">IFERROR(VLOOKUP(A145,[1]Energiindhold!$A$2:$C$11,3,FALSE),IFERROR(VLOOKUP(A145,[1]Biogasudbytte!$A$2:$B$18,2,FALSE)*[1]Energiindhold!$C$10,0))*O145</f>
        <v>0</v>
      </c>
      <c r="R145" s="188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29.291655462740611</v>
      </c>
      <c r="S145" s="188">
        <f>IFERROR(VLOOKUP(A145,[1]Biogasudbytte!$A$2:$B$18,2,FALSE)*[1]Energiindhold!$C$10,0)*J145*IFERROR(VLOOKUP(A145,Biogasanlæg!$F$3:$G$8,2,FALSE),1)</f>
        <v>0</v>
      </c>
      <c r="T145" s="189">
        <f t="shared" ca="1" si="25"/>
        <v>29.291655462740611</v>
      </c>
      <c r="U145" s="187">
        <f ca="1">O145*IFERROR(VLOOKUP(A145,[1]Tørstofindhold!A$2:B$24,2,FALSE),0)</f>
        <v>0</v>
      </c>
      <c r="V145" s="188">
        <f ca="1">IF(D145=År1,P145,SUM(O145,P145))*IFERROR(VLOOKUP(A145,[1]Tørstofindhold!A$2:B$24,2,FALSE),0)</f>
        <v>999558.12793899339</v>
      </c>
      <c r="W145" s="188">
        <f>J145*IFERROR(VLOOKUP(A145,[1]Tørstofindhold!A$2:B$24,2,FALSE),0)</f>
        <v>0</v>
      </c>
      <c r="X145" s="189">
        <f t="shared" ca="1" si="26"/>
        <v>999558.12793899339</v>
      </c>
      <c r="Y145" s="169">
        <f t="shared" ca="1" si="43"/>
        <v>0</v>
      </c>
      <c r="Z145" s="103">
        <f t="shared" ca="1" si="44"/>
        <v>0</v>
      </c>
    </row>
    <row r="146" spans="1:26" x14ac:dyDescent="0.25">
      <c r="A146" s="190" t="str">
        <f t="shared" si="45"/>
        <v>Træmaterialer</v>
      </c>
      <c r="B146" s="190" t="str">
        <f t="shared" si="46"/>
        <v/>
      </c>
      <c r="C146" s="190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0">
        <f t="shared" si="35"/>
        <v>2050</v>
      </c>
      <c r="E146" s="188" t="s">
        <v>23</v>
      </c>
      <c r="F146" s="191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557813.57485660876</v>
      </c>
      <c r="G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8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1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5">
        <f ca="1">SUMIFS('Forbrug af biomasse'!E:E,'Forbrug af biomasse'!C:C,'Resultat-Produktion &amp; forbrug'!$A146,'Forbrug af biomasse'!D:D,'Resultat-Produktion &amp; forbrug'!$D146,'Forbrug af biomasse'!G:G,1,'Forbrug af biomasse'!B:B,$E146)</f>
        <v>557813.57485660876</v>
      </c>
      <c r="N146" s="200">
        <f t="shared" ca="1" si="23"/>
        <v>0</v>
      </c>
      <c r="O146" s="191">
        <f t="shared" si="39"/>
        <v>0</v>
      </c>
      <c r="P146" s="201">
        <f t="shared" si="24"/>
        <v>0</v>
      </c>
      <c r="Q146" s="188">
        <f>IFERROR(VLOOKUP(A146,[1]Energiindhold!$A$2:$C$11,3,FALSE),IFERROR(VLOOKUP(A146,[1]Biogasudbytte!$A$2:$B$18,2,FALSE)*[1]Energiindhold!$C$10,0))*O146</f>
        <v>0</v>
      </c>
      <c r="R146" s="188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8">
        <f>IFERROR(VLOOKUP(A146,[1]Biogasudbytte!$A$2:$B$18,2,FALSE)*[1]Energiindhold!$C$10,0)*J146*IFERROR(VLOOKUP(A146,Biogasanlæg!$F$3:$G$8,2,FALSE),1)</f>
        <v>0</v>
      </c>
      <c r="T146" s="189">
        <f t="shared" si="25"/>
        <v>0</v>
      </c>
      <c r="U146" s="187">
        <f>O146*IFERROR(VLOOKUP(A146,[1]Tørstofindhold!A$2:B$24,2,FALSE),0)</f>
        <v>0</v>
      </c>
      <c r="V146" s="188">
        <f>IF(D146=År1,P146,SUM(O146,P146))*IFERROR(VLOOKUP(A146,[1]Tørstofindhold!A$2:B$24,2,FALSE),0)</f>
        <v>0</v>
      </c>
      <c r="W146" s="188">
        <f>J146*IFERROR(VLOOKUP(A146,[1]Tørstofindhold!A$2:B$24,2,FALSE),0)</f>
        <v>0</v>
      </c>
      <c r="X146" s="189">
        <f t="shared" si="26"/>
        <v>0</v>
      </c>
      <c r="Y146" s="169">
        <f t="shared" ca="1" si="43"/>
        <v>0</v>
      </c>
      <c r="Z146" s="103">
        <f t="shared" ca="1" si="44"/>
        <v>0</v>
      </c>
    </row>
    <row r="147" spans="1:26" x14ac:dyDescent="0.25">
      <c r="A147" s="190" t="s">
        <v>15</v>
      </c>
      <c r="B147" s="190"/>
      <c r="C147" s="190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0">
        <f t="shared" ref="D147:D194" si="47">År1</f>
        <v>2019</v>
      </c>
      <c r="E147" s="188" t="s">
        <v>24</v>
      </c>
      <c r="F147" s="191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8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1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5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0">
        <f t="shared" si="23"/>
        <v>-8430.5352358472264</v>
      </c>
      <c r="O147" s="191">
        <f t="shared" si="39"/>
        <v>0</v>
      </c>
      <c r="P147" s="201">
        <f t="shared" si="24"/>
        <v>0</v>
      </c>
      <c r="Q147" s="188">
        <f>IFERROR(VLOOKUP(A147,[1]Energiindhold!$A$2:$C$11,3,FALSE),IFERROR(VLOOKUP(A147,[1]Biogasudbytte!$A$2:$B$18,2,FALSE)*[1]Energiindhold!$C$10,0))*O147</f>
        <v>0</v>
      </c>
      <c r="R147" s="188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8">
        <f>IFERROR(VLOOKUP(A147,[1]Biogasudbytte!$A$2:$B$18,2,FALSE)*[1]Energiindhold!$C$10,0)*J147*IFERROR(VLOOKUP(A147,Biogasanlæg!$F$3:$G$8,2,FALSE),1)</f>
        <v>0</v>
      </c>
      <c r="T147" s="189">
        <f t="shared" si="25"/>
        <v>0</v>
      </c>
      <c r="U147" s="187">
        <f>O147*IFERROR(VLOOKUP(A147,[1]Tørstofindhold!A$2:B$24,2,FALSE),0)</f>
        <v>0</v>
      </c>
      <c r="V147" s="188">
        <f>IF(D147=År1,P147,SUM(O147,P147))*IFERROR(VLOOKUP(A147,[1]Tørstofindhold!A$2:B$24,2,FALSE),0)</f>
        <v>0</v>
      </c>
      <c r="W147" s="188">
        <f>J147*IFERROR(VLOOKUP(A147,[1]Tørstofindhold!A$2:B$24,2,FALSE),0)</f>
        <v>0</v>
      </c>
      <c r="X147" s="189">
        <f t="shared" si="26"/>
        <v>0</v>
      </c>
      <c r="Y147" s="169">
        <f t="shared" si="43"/>
        <v>0</v>
      </c>
      <c r="Z147" s="103">
        <f t="shared" si="44"/>
        <v>1</v>
      </c>
    </row>
    <row r="148" spans="1:26" x14ac:dyDescent="0.25">
      <c r="A148" s="190" t="s">
        <v>49</v>
      </c>
      <c r="B148" s="190"/>
      <c r="C148" s="190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0">
        <f t="shared" si="47"/>
        <v>2019</v>
      </c>
      <c r="E148" s="188" t="s">
        <v>24</v>
      </c>
      <c r="F148" s="191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8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1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5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0">
        <f t="shared" si="23"/>
        <v>19123.155694952475</v>
      </c>
      <c r="O148" s="191">
        <f t="shared" si="39"/>
        <v>0</v>
      </c>
      <c r="P148" s="201">
        <f t="shared" si="24"/>
        <v>0</v>
      </c>
      <c r="Q148" s="188">
        <f>IFERROR(VLOOKUP(A148,[1]Energiindhold!$A$2:$C$11,3,FALSE),IFERROR(VLOOKUP(A148,[1]Biogasudbytte!$A$2:$B$18,2,FALSE)*[1]Energiindhold!$C$10,0))*O148</f>
        <v>0</v>
      </c>
      <c r="R148" s="188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8">
        <f>IFERROR(VLOOKUP(A148,[1]Biogasudbytte!$A$2:$B$18,2,FALSE)*[1]Energiindhold!$C$10,0)*J148*IFERROR(VLOOKUP(A148,Biogasanlæg!$F$3:$G$8,2,FALSE),1)</f>
        <v>0</v>
      </c>
      <c r="T148" s="189">
        <f t="shared" si="25"/>
        <v>0</v>
      </c>
      <c r="U148" s="187">
        <f>O148*IFERROR(VLOOKUP(A148,[1]Tørstofindhold!A$2:B$24,2,FALSE),0)</f>
        <v>0</v>
      </c>
      <c r="V148" s="188">
        <f>IF(D148=År1,P148,SUM(O148,P148))*IFERROR(VLOOKUP(A148,[1]Tørstofindhold!A$2:B$24,2,FALSE),0)</f>
        <v>0</v>
      </c>
      <c r="W148" s="188">
        <f>J148*IFERROR(VLOOKUP(A148,[1]Tørstofindhold!A$2:B$24,2,FALSE),0)</f>
        <v>0</v>
      </c>
      <c r="X148" s="189">
        <f t="shared" si="26"/>
        <v>0</v>
      </c>
      <c r="Y148" s="169">
        <f t="shared" si="43"/>
        <v>0</v>
      </c>
      <c r="Z148" s="103">
        <f t="shared" si="44"/>
        <v>1</v>
      </c>
    </row>
    <row r="149" spans="1:26" x14ac:dyDescent="0.25">
      <c r="A149" s="190" t="s">
        <v>102</v>
      </c>
      <c r="B149" s="190" t="s">
        <v>230</v>
      </c>
      <c r="C149" s="190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0">
        <f t="shared" si="47"/>
        <v>2019</v>
      </c>
      <c r="E149" s="188" t="s">
        <v>24</v>
      </c>
      <c r="F149" s="191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8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1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1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5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0">
        <f t="shared" ca="1" si="23"/>
        <v>-170507.33327986751</v>
      </c>
      <c r="O149" s="191">
        <f t="shared" ca="1" si="39"/>
        <v>0</v>
      </c>
      <c r="P149" s="201">
        <f t="shared" ca="1" si="24"/>
        <v>335590.35573220561</v>
      </c>
      <c r="Q149" s="188">
        <f ca="1">IFERROR(VLOOKUP(A149,[1]Energiindhold!$A$2:$C$11,3,FALSE),IFERROR(VLOOKUP(A149,[1]Biogasudbytte!$A$2:$B$18,2,FALSE)*[1]Energiindhold!$C$10,0))*O149</f>
        <v>0</v>
      </c>
      <c r="R149" s="188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8">
        <f ca="1">IFERROR(VLOOKUP(A149,[1]Biogasudbytte!$A$2:$B$18,2,FALSE)*[1]Energiindhold!$C$10,0)*J149*IFERROR(VLOOKUP(A149,Biogasanlæg!$F$3:$G$8,2,FALSE),1)</f>
        <v>1.1433261388476088</v>
      </c>
      <c r="T149" s="189">
        <f t="shared" ca="1" si="25"/>
        <v>0</v>
      </c>
      <c r="U149" s="187">
        <f ca="1">O149*IFERROR(VLOOKUP(A149,[1]Tørstofindhold!A$2:B$24,2,FALSE),0)</f>
        <v>0</v>
      </c>
      <c r="V149" s="188">
        <f ca="1">IF(D149=År1,P149,SUM(O149,P149))*IFERROR(VLOOKUP(A149,[1]Tørstofindhold!A$2:B$24,2,FALSE),0)</f>
        <v>93965.299605017586</v>
      </c>
      <c r="W149" s="188">
        <f ca="1">J149*IFERROR(VLOOKUP(A149,[1]Tørstofindhold!A$2:B$24,2,FALSE),0)</f>
        <v>93965.299605017586</v>
      </c>
      <c r="X149" s="189">
        <f t="shared" ca="1" si="26"/>
        <v>0</v>
      </c>
      <c r="Y149" s="169">
        <f t="shared" ca="1" si="43"/>
        <v>1</v>
      </c>
      <c r="Z149" s="103">
        <f t="shared" ca="1" si="44"/>
        <v>0</v>
      </c>
    </row>
    <row r="150" spans="1:26" x14ac:dyDescent="0.25">
      <c r="A150" s="190" t="s">
        <v>109</v>
      </c>
      <c r="B150" s="190"/>
      <c r="C150" s="190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0">
        <f t="shared" si="47"/>
        <v>2019</v>
      </c>
      <c r="E150" s="188" t="s">
        <v>24</v>
      </c>
      <c r="F150" s="191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8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1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5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0">
        <f t="shared" ref="N150:N215" ca="1" si="48">F150-SUM(G150:M150)</f>
        <v>0</v>
      </c>
      <c r="O150" s="191">
        <f t="shared" ca="1" si="39"/>
        <v>0</v>
      </c>
      <c r="P150" s="201">
        <f t="shared" ref="P150:P215" ca="1" si="49">SUM(J150,L150)</f>
        <v>110817031.25294524</v>
      </c>
      <c r="Q150" s="188">
        <f ca="1">IFERROR(VLOOKUP(A150,[1]Energiindhold!$A$2:$C$11,3,FALSE),IFERROR(VLOOKUP(A150,[1]Biogasudbytte!$A$2:$B$18,2,FALSE)*[1]Energiindhold!$C$10,0))*O150</f>
        <v>0</v>
      </c>
      <c r="R150" s="188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8">
        <f>IFERROR(VLOOKUP(A150,[1]Biogasudbytte!$A$2:$B$18,2,FALSE)*[1]Energiindhold!$C$10,0)*J150*IFERROR(VLOOKUP(A150,Biogasanlæg!$F$3:$G$8,2,FALSE),1)</f>
        <v>0</v>
      </c>
      <c r="T150" s="189">
        <f t="shared" ref="T150:T215" si="50">R150-S150</f>
        <v>0</v>
      </c>
      <c r="U150" s="187">
        <f ca="1">O150*IFERROR(VLOOKUP(A150,[1]Tørstofindhold!A$2:B$24,2,FALSE),0)</f>
        <v>0</v>
      </c>
      <c r="V150" s="188">
        <f ca="1">IF(D150=År1,P150,SUM(O150,P150))*IFERROR(VLOOKUP(A150,[1]Tørstofindhold!A$2:B$24,2,FALSE),0)</f>
        <v>0</v>
      </c>
      <c r="W150" s="188">
        <f>J150*IFERROR(VLOOKUP(A150,[1]Tørstofindhold!A$2:B$24,2,FALSE),0)</f>
        <v>0</v>
      </c>
      <c r="X150" s="189">
        <f t="shared" ref="X150:X215" ca="1" si="51">V150-W150</f>
        <v>0</v>
      </c>
      <c r="Y150" s="169">
        <f t="shared" ca="1" si="43"/>
        <v>0</v>
      </c>
      <c r="Z150" s="103">
        <f t="shared" ca="1" si="44"/>
        <v>0</v>
      </c>
    </row>
    <row r="151" spans="1:26" x14ac:dyDescent="0.25">
      <c r="A151" s="190" t="s">
        <v>110</v>
      </c>
      <c r="B151" s="190"/>
      <c r="C151" s="190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0">
        <f t="shared" si="47"/>
        <v>2019</v>
      </c>
      <c r="E151" s="188" t="s">
        <v>24</v>
      </c>
      <c r="F151" s="191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8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1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1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5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0">
        <f t="shared" ca="1" si="48"/>
        <v>661163.5565235524</v>
      </c>
      <c r="O151" s="191">
        <f t="shared" si="39"/>
        <v>0</v>
      </c>
      <c r="P151" s="201">
        <f t="shared" si="49"/>
        <v>0</v>
      </c>
      <c r="Q151" s="188">
        <f>IFERROR(VLOOKUP(A151,[1]Energiindhold!$A$2:$C$11,3,FALSE),IFERROR(VLOOKUP(A151,[1]Biogasudbytte!$A$2:$B$18,2,FALSE)*[1]Energiindhold!$C$10,0))*O151</f>
        <v>0</v>
      </c>
      <c r="R151" s="188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8">
        <f>IFERROR(VLOOKUP(A151,[1]Biogasudbytte!$A$2:$B$18,2,FALSE)*[1]Energiindhold!$C$10,0)*J151*IFERROR(VLOOKUP(A151,Biogasanlæg!$F$3:$G$8,2,FALSE),1)</f>
        <v>0</v>
      </c>
      <c r="T151" s="189">
        <f t="shared" si="50"/>
        <v>0</v>
      </c>
      <c r="U151" s="187">
        <f>O151*IFERROR(VLOOKUP(A151,[1]Tørstofindhold!A$2:B$24,2,FALSE),0)</f>
        <v>0</v>
      </c>
      <c r="V151" s="188">
        <f>IF(D151=År1,P151,SUM(O151,P151))*IFERROR(VLOOKUP(A151,[1]Tørstofindhold!A$2:B$24,2,FALSE),0)</f>
        <v>0</v>
      </c>
      <c r="W151" s="188">
        <f>J151*IFERROR(VLOOKUP(A151,[1]Tørstofindhold!A$2:B$24,2,FALSE),0)</f>
        <v>0</v>
      </c>
      <c r="X151" s="189">
        <f t="shared" si="51"/>
        <v>0</v>
      </c>
      <c r="Y151" s="169">
        <f t="shared" ca="1" si="43"/>
        <v>0</v>
      </c>
      <c r="Z151" s="103">
        <f t="shared" ca="1" si="44"/>
        <v>1</v>
      </c>
    </row>
    <row r="152" spans="1:26" x14ac:dyDescent="0.25">
      <c r="A152" s="190" t="s">
        <v>208</v>
      </c>
      <c r="B152" s="190" t="s">
        <v>230</v>
      </c>
      <c r="C152" s="190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0">
        <f t="shared" si="47"/>
        <v>2019</v>
      </c>
      <c r="E152" s="188" t="s">
        <v>24</v>
      </c>
      <c r="F152" s="191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8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1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5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0">
        <f t="shared" si="48"/>
        <v>0</v>
      </c>
      <c r="O152" s="191">
        <f t="shared" si="39"/>
        <v>0</v>
      </c>
      <c r="P152" s="201">
        <f t="shared" si="49"/>
        <v>0</v>
      </c>
      <c r="Q152" s="188">
        <f>IFERROR(VLOOKUP(A152,[1]Energiindhold!$A$2:$C$11,3,FALSE),IFERROR(VLOOKUP(A152,[1]Biogasudbytte!$A$2:$B$18,2,FALSE)*[1]Energiindhold!$C$10,0))*O152</f>
        <v>0</v>
      </c>
      <c r="R152" s="188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8">
        <f>IFERROR(VLOOKUP(A152,[1]Biogasudbytte!$A$2:$B$18,2,FALSE)*[1]Energiindhold!$C$10,0)*J152*IFERROR(VLOOKUP(A152,Biogasanlæg!$F$3:$G$8,2,FALSE),1)</f>
        <v>0</v>
      </c>
      <c r="T152" s="189">
        <f t="shared" si="50"/>
        <v>0</v>
      </c>
      <c r="U152" s="187">
        <f>O152*IFERROR(VLOOKUP(A152,[1]Tørstofindhold!A$2:B$24,2,FALSE),0)</f>
        <v>0</v>
      </c>
      <c r="V152" s="188">
        <f>IF(D152=År1,P152,SUM(O152,P152))*IFERROR(VLOOKUP(A152,[1]Tørstofindhold!A$2:B$24,2,FALSE),0)</f>
        <v>0</v>
      </c>
      <c r="W152" s="188">
        <f>J152*IFERROR(VLOOKUP(A152,[1]Tørstofindhold!A$2:B$24,2,FALSE),0)</f>
        <v>0</v>
      </c>
      <c r="X152" s="189">
        <f t="shared" si="51"/>
        <v>0</v>
      </c>
      <c r="Y152" s="169">
        <f t="shared" si="43"/>
        <v>0</v>
      </c>
      <c r="Z152" s="103">
        <f t="shared" si="44"/>
        <v>0</v>
      </c>
    </row>
    <row r="153" spans="1:26" x14ac:dyDescent="0.25">
      <c r="A153" s="188" t="s">
        <v>101</v>
      </c>
      <c r="B153" s="190" t="s">
        <v>222</v>
      </c>
      <c r="C153" s="190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0">
        <f t="shared" si="47"/>
        <v>2019</v>
      </c>
      <c r="E153" s="188" t="s">
        <v>24</v>
      </c>
      <c r="F153" s="191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8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1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5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0">
        <f t="shared" si="48"/>
        <v>153410.57659836096</v>
      </c>
      <c r="O153" s="191">
        <f t="shared" si="39"/>
        <v>153410.57659836096</v>
      </c>
      <c r="P153" s="201">
        <f t="shared" si="49"/>
        <v>85892.328449707566</v>
      </c>
      <c r="Q153" s="188">
        <f>IFERROR(VLOOKUP(A153,[1]Energiindhold!$A$2:$C$11,3,FALSE),IFERROR(VLOOKUP(A153,[1]Biogasudbytte!$A$2:$B$18,2,FALSE)*[1]Energiindhold!$C$10,0))*O153</f>
        <v>0.33044638199286952</v>
      </c>
      <c r="R153" s="188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8">
        <f>IFERROR(VLOOKUP(A153,[1]Biogasudbytte!$A$2:$B$18,2,FALSE)*[1]Energiindhold!$C$10,0)*J153*IFERROR(VLOOKUP(A153,Biogasanlæg!$F$3:$G$8,2,FALSE),1)</f>
        <v>0.18501207548067011</v>
      </c>
      <c r="T153" s="189">
        <f t="shared" si="50"/>
        <v>0</v>
      </c>
      <c r="U153" s="187">
        <f>O153*IFERROR(VLOOKUP(A153,[1]Tørstofindhold!A$2:B$24,2,FALSE),0)</f>
        <v>46023.172979508287</v>
      </c>
      <c r="V153" s="188">
        <f>IF(D153=År1,P153,SUM(O153,P153))*IFERROR(VLOOKUP(A153,[1]Tørstofindhold!A$2:B$24,2,FALSE),0)</f>
        <v>25767.69853491227</v>
      </c>
      <c r="W153" s="188">
        <f>J153*IFERROR(VLOOKUP(A153,[1]Tørstofindhold!A$2:B$24,2,FALSE),0)</f>
        <v>25767.69853491227</v>
      </c>
      <c r="X153" s="189">
        <f t="shared" si="51"/>
        <v>0</v>
      </c>
      <c r="Y153" s="169">
        <f t="shared" si="43"/>
        <v>0</v>
      </c>
      <c r="Z153" s="103">
        <f t="shared" si="44"/>
        <v>1</v>
      </c>
    </row>
    <row r="154" spans="1:26" x14ac:dyDescent="0.25">
      <c r="A154" s="188" t="s">
        <v>204</v>
      </c>
      <c r="B154" s="190"/>
      <c r="C154" s="190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0">
        <f t="shared" si="47"/>
        <v>2019</v>
      </c>
      <c r="E154" s="188" t="s">
        <v>24</v>
      </c>
      <c r="F154" s="191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8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1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5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0">
        <f t="shared" si="48"/>
        <v>0</v>
      </c>
      <c r="O154" s="191">
        <f t="shared" si="39"/>
        <v>0</v>
      </c>
      <c r="P154" s="201">
        <f t="shared" si="49"/>
        <v>0</v>
      </c>
      <c r="Q154" s="188">
        <f>IFERROR(VLOOKUP(A154,[1]Energiindhold!$A$2:$C$11,3,FALSE),IFERROR(VLOOKUP(A154,[1]Biogasudbytte!$A$2:$B$18,2,FALSE)*[1]Energiindhold!$C$10,0))*O154</f>
        <v>0</v>
      </c>
      <c r="R154" s="188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8">
        <f>IFERROR(VLOOKUP(A154,[1]Biogasudbytte!$A$2:$B$18,2,FALSE)*[1]Energiindhold!$C$10,0)*J154*IFERROR(VLOOKUP(A154,Biogasanlæg!$F$3:$G$8,2,FALSE),1)</f>
        <v>0</v>
      </c>
      <c r="T154" s="189">
        <f t="shared" si="50"/>
        <v>0</v>
      </c>
      <c r="U154" s="187">
        <f>O154*IFERROR(VLOOKUP(A154,[1]Tørstofindhold!A$2:B$24,2,FALSE),0)</f>
        <v>0</v>
      </c>
      <c r="V154" s="188">
        <f>IF(D154=År1,P154,SUM(O154,P154))*IFERROR(VLOOKUP(A154,[1]Tørstofindhold!A$2:B$24,2,FALSE),0)</f>
        <v>0</v>
      </c>
      <c r="W154" s="188">
        <f>J154*IFERROR(VLOOKUP(A154,[1]Tørstofindhold!A$2:B$24,2,FALSE),0)</f>
        <v>0</v>
      </c>
      <c r="X154" s="189">
        <f t="shared" si="51"/>
        <v>0</v>
      </c>
      <c r="Y154" s="169">
        <f t="shared" si="43"/>
        <v>0</v>
      </c>
      <c r="Z154" s="103">
        <f t="shared" si="44"/>
        <v>0</v>
      </c>
    </row>
    <row r="155" spans="1:26" x14ac:dyDescent="0.25">
      <c r="A155" s="188" t="s">
        <v>137</v>
      </c>
      <c r="B155" s="190" t="s">
        <v>222</v>
      </c>
      <c r="C155" s="190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0">
        <f t="shared" si="47"/>
        <v>2019</v>
      </c>
      <c r="E155" s="188" t="s">
        <v>24</v>
      </c>
      <c r="F155" s="191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8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1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5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0">
        <f t="shared" si="48"/>
        <v>0</v>
      </c>
      <c r="O155" s="191">
        <f t="shared" si="39"/>
        <v>0</v>
      </c>
      <c r="P155" s="201">
        <f t="shared" si="49"/>
        <v>337.693821952441</v>
      </c>
      <c r="Q155" s="188">
        <f>IFERROR(VLOOKUP(A155,[1]Energiindhold!$A$2:$C$11,3,FALSE),IFERROR(VLOOKUP(A155,[1]Biogasudbytte!$A$2:$B$18,2,FALSE)*[1]Energiindhold!$C$10,0))*O155</f>
        <v>0</v>
      </c>
      <c r="R155" s="188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8">
        <f>IFERROR(VLOOKUP(A155,[1]Biogasudbytte!$A$2:$B$18,2,FALSE)*[1]Energiindhold!$C$10,0)*J155*IFERROR(VLOOKUP(A155,Biogasanlæg!$F$3:$G$8,2,FALSE),1)</f>
        <v>1.5881402752601349E-4</v>
      </c>
      <c r="T155" s="189">
        <f t="shared" si="50"/>
        <v>0</v>
      </c>
      <c r="U155" s="187">
        <f>O155*IFERROR(VLOOKUP(A155,[1]Tørstofindhold!A$2:B$24,2,FALSE),0)</f>
        <v>0</v>
      </c>
      <c r="V155" s="188">
        <f>IF(D155=År1,P155,SUM(O155,P155))*IFERROR(VLOOKUP(A155,[1]Tørstofindhold!A$2:B$24,2,FALSE),0)</f>
        <v>21.274710783003783</v>
      </c>
      <c r="W155" s="188">
        <f>J155*IFERROR(VLOOKUP(A155,[1]Tørstofindhold!A$2:B$24,2,FALSE),0)</f>
        <v>21.274710783003783</v>
      </c>
      <c r="X155" s="189">
        <f t="shared" si="51"/>
        <v>0</v>
      </c>
      <c r="Y155" s="169">
        <f t="shared" si="43"/>
        <v>0</v>
      </c>
      <c r="Z155" s="103">
        <f t="shared" si="44"/>
        <v>0</v>
      </c>
    </row>
    <row r="156" spans="1:26" x14ac:dyDescent="0.25">
      <c r="A156" s="188" t="s">
        <v>96</v>
      </c>
      <c r="B156" s="190"/>
      <c r="C156" s="190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0">
        <f t="shared" si="47"/>
        <v>2019</v>
      </c>
      <c r="E156" s="188" t="s">
        <v>24</v>
      </c>
      <c r="F156" s="191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8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1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5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0">
        <f t="shared" si="48"/>
        <v>-13151.581373695415</v>
      </c>
      <c r="O156" s="191">
        <f t="shared" si="39"/>
        <v>0</v>
      </c>
      <c r="P156" s="201">
        <f t="shared" si="49"/>
        <v>0</v>
      </c>
      <c r="Q156" s="188">
        <f>IFERROR(VLOOKUP(A156,[1]Energiindhold!$A$2:$C$11,3,FALSE),IFERROR(VLOOKUP(A156,[1]Biogasudbytte!$A$2:$B$18,2,FALSE)*[1]Energiindhold!$C$10,0))*O156</f>
        <v>0</v>
      </c>
      <c r="R156" s="188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8">
        <f>IFERROR(VLOOKUP(A156,[1]Biogasudbytte!$A$2:$B$18,2,FALSE)*[1]Energiindhold!$C$10,0)*J156*IFERROR(VLOOKUP(A156,Biogasanlæg!$F$3:$G$8,2,FALSE),1)</f>
        <v>0</v>
      </c>
      <c r="T156" s="189">
        <f t="shared" si="50"/>
        <v>0</v>
      </c>
      <c r="U156" s="187">
        <f>O156*IFERROR(VLOOKUP(A156,[1]Tørstofindhold!A$2:B$24,2,FALSE),0)</f>
        <v>0</v>
      </c>
      <c r="V156" s="188">
        <f>IF(D156=År1,P156,SUM(O156,P156))*IFERROR(VLOOKUP(A156,[1]Tørstofindhold!A$2:B$24,2,FALSE),0)</f>
        <v>0</v>
      </c>
      <c r="W156" s="188">
        <f>J156*IFERROR(VLOOKUP(A156,[1]Tørstofindhold!A$2:B$24,2,FALSE),0)</f>
        <v>0</v>
      </c>
      <c r="X156" s="189">
        <f t="shared" si="51"/>
        <v>0</v>
      </c>
      <c r="Y156" s="169">
        <f t="shared" si="43"/>
        <v>0</v>
      </c>
      <c r="Z156" s="103">
        <f t="shared" si="44"/>
        <v>1</v>
      </c>
    </row>
    <row r="157" spans="1:26" x14ac:dyDescent="0.25">
      <c r="A157" s="188" t="s">
        <v>113</v>
      </c>
      <c r="B157" s="190"/>
      <c r="C157" s="190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0">
        <f t="shared" si="47"/>
        <v>2019</v>
      </c>
      <c r="E157" s="188" t="s">
        <v>24</v>
      </c>
      <c r="F157" s="191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8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1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5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0">
        <f t="shared" si="48"/>
        <v>612515.4514426298</v>
      </c>
      <c r="O157" s="191">
        <f t="shared" si="39"/>
        <v>0</v>
      </c>
      <c r="P157" s="201">
        <f t="shared" si="49"/>
        <v>0</v>
      </c>
      <c r="Q157" s="188">
        <f>IFERROR(VLOOKUP(A157,[1]Energiindhold!$A$2:$C$11,3,FALSE),IFERROR(VLOOKUP(A157,[1]Biogasudbytte!$A$2:$B$18,2,FALSE)*[1]Energiindhold!$C$10,0))*O157</f>
        <v>0</v>
      </c>
      <c r="R157" s="188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8">
        <f>IFERROR(VLOOKUP(A157,[1]Biogasudbytte!$A$2:$B$18,2,FALSE)*[1]Energiindhold!$C$10,0)*J157*IFERROR(VLOOKUP(A157,Biogasanlæg!$F$3:$G$8,2,FALSE),1)</f>
        <v>0</v>
      </c>
      <c r="T157" s="189">
        <f t="shared" si="50"/>
        <v>0</v>
      </c>
      <c r="U157" s="187">
        <f>O157*IFERROR(VLOOKUP(A157,[1]Tørstofindhold!A$2:B$24,2,FALSE),0)</f>
        <v>0</v>
      </c>
      <c r="V157" s="188">
        <f>IF(D157=År1,P157,SUM(O157,P157))*IFERROR(VLOOKUP(A157,[1]Tørstofindhold!A$2:B$24,2,FALSE),0)</f>
        <v>0</v>
      </c>
      <c r="W157" s="188">
        <f>J157*IFERROR(VLOOKUP(A157,[1]Tørstofindhold!A$2:B$24,2,FALSE),0)</f>
        <v>0</v>
      </c>
      <c r="X157" s="189">
        <f t="shared" si="51"/>
        <v>0</v>
      </c>
      <c r="Y157" s="169">
        <f t="shared" si="43"/>
        <v>0</v>
      </c>
      <c r="Z157" s="103">
        <f t="shared" si="44"/>
        <v>1</v>
      </c>
    </row>
    <row r="158" spans="1:26" x14ac:dyDescent="0.25">
      <c r="A158" s="188" t="s">
        <v>54</v>
      </c>
      <c r="B158" s="190"/>
      <c r="C158" s="190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0">
        <f t="shared" si="47"/>
        <v>2019</v>
      </c>
      <c r="E158" s="188" t="s">
        <v>24</v>
      </c>
      <c r="F158" s="191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8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1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5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0">
        <f t="shared" si="48"/>
        <v>-196999.76656780957</v>
      </c>
      <c r="O158" s="191">
        <f t="shared" si="39"/>
        <v>0</v>
      </c>
      <c r="P158" s="201">
        <f t="shared" si="49"/>
        <v>0</v>
      </c>
      <c r="Q158" s="188">
        <f>IFERROR(VLOOKUP(A158,[1]Energiindhold!$A$2:$C$11,3,FALSE),IFERROR(VLOOKUP(A158,[1]Biogasudbytte!$A$2:$B$18,2,FALSE)*[1]Energiindhold!$C$10,0))*O158</f>
        <v>0</v>
      </c>
      <c r="R158" s="188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8">
        <f>IFERROR(VLOOKUP(A158,[1]Biogasudbytte!$A$2:$B$18,2,FALSE)*[1]Energiindhold!$C$10,0)*J158*IFERROR(VLOOKUP(A158,Biogasanlæg!$F$3:$G$8,2,FALSE),1)</f>
        <v>0</v>
      </c>
      <c r="T158" s="189">
        <f t="shared" si="50"/>
        <v>0</v>
      </c>
      <c r="U158" s="187">
        <f>O158*IFERROR(VLOOKUP(A158,[1]Tørstofindhold!A$2:B$24,2,FALSE),0)</f>
        <v>0</v>
      </c>
      <c r="V158" s="188">
        <f>IF(D158=År1,P158,SUM(O158,P158))*IFERROR(VLOOKUP(A158,[1]Tørstofindhold!A$2:B$24,2,FALSE),0)</f>
        <v>0</v>
      </c>
      <c r="W158" s="188">
        <f>J158*IFERROR(VLOOKUP(A158,[1]Tørstofindhold!A$2:B$24,2,FALSE),0)</f>
        <v>0</v>
      </c>
      <c r="X158" s="189">
        <f t="shared" si="51"/>
        <v>0</v>
      </c>
      <c r="Y158" s="169">
        <f t="shared" si="43"/>
        <v>1</v>
      </c>
      <c r="Z158" s="103">
        <f t="shared" si="44"/>
        <v>0</v>
      </c>
    </row>
    <row r="159" spans="1:26" x14ac:dyDescent="0.25">
      <c r="A159" s="190" t="s">
        <v>158</v>
      </c>
      <c r="B159" s="190" t="s">
        <v>158</v>
      </c>
      <c r="C159" s="190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0">
        <f t="shared" si="47"/>
        <v>2019</v>
      </c>
      <c r="E159" s="188" t="s">
        <v>24</v>
      </c>
      <c r="F159" s="191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8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1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5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0">
        <f t="shared" si="48"/>
        <v>-28548.400000000001</v>
      </c>
      <c r="O159" s="191">
        <f t="shared" si="39"/>
        <v>0</v>
      </c>
      <c r="P159" s="201">
        <f t="shared" si="49"/>
        <v>28548.400000000001</v>
      </c>
      <c r="Q159" s="188">
        <f>IFERROR(VLOOKUP(A159,[1]Energiindhold!$A$2:$C$11,3,FALSE),IFERROR(VLOOKUP(A159,[1]Biogasudbytte!$A$2:$B$18,2,FALSE)*[1]Energiindhold!$C$10,0))*O159</f>
        <v>0</v>
      </c>
      <c r="R159" s="188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8">
        <f>IFERROR(VLOOKUP(A159,[1]Biogasudbytte!$A$2:$B$18,2,FALSE)*[1]Energiindhold!$C$10,0)*J159*IFERROR(VLOOKUP(A159,Biogasanlæg!$F$3:$G$8,2,FALSE),1)</f>
        <v>0.43389639740160008</v>
      </c>
      <c r="T159" s="189">
        <f t="shared" si="50"/>
        <v>0</v>
      </c>
      <c r="U159" s="187">
        <f>O159*IFERROR(VLOOKUP(A159,[1]Tørstofindhold!A$2:B$24,2,FALSE),0)</f>
        <v>0</v>
      </c>
      <c r="V159" s="188">
        <f>IF(D159=År1,P159,SUM(O159,P159))*IFERROR(VLOOKUP(A159,[1]Tørstofindhold!A$2:B$24,2,FALSE),0)</f>
        <v>25693.56</v>
      </c>
      <c r="W159" s="188">
        <f>J159*IFERROR(VLOOKUP(A159,[1]Tørstofindhold!A$2:B$24,2,FALSE),0)</f>
        <v>25693.56</v>
      </c>
      <c r="X159" s="189">
        <f t="shared" si="51"/>
        <v>0</v>
      </c>
      <c r="Y159" s="169">
        <f t="shared" si="43"/>
        <v>1</v>
      </c>
      <c r="Z159" s="103">
        <f t="shared" si="44"/>
        <v>0</v>
      </c>
    </row>
    <row r="160" spans="1:26" x14ac:dyDescent="0.25">
      <c r="A160" s="190" t="s">
        <v>51</v>
      </c>
      <c r="B160" s="190" t="s">
        <v>224</v>
      </c>
      <c r="C160" s="190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0">
        <f t="shared" si="47"/>
        <v>2019</v>
      </c>
      <c r="E160" s="188" t="s">
        <v>24</v>
      </c>
      <c r="F160" s="191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8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1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5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0">
        <f t="shared" si="48"/>
        <v>567828.21491337055</v>
      </c>
      <c r="O160" s="191">
        <f t="shared" si="39"/>
        <v>567828.21491337055</v>
      </c>
      <c r="P160" s="201">
        <f t="shared" si="49"/>
        <v>9930.836100337272</v>
      </c>
      <c r="Q160" s="188">
        <f>IFERROR(VLOOKUP(A160,[1]Energiindhold!$A$2:$C$11,3,FALSE),IFERROR(VLOOKUP(A160,[1]Biogasudbytte!$A$2:$B$18,2,FALSE)*[1]Energiindhold!$C$10,0))*O160</f>
        <v>1.0447329369137377</v>
      </c>
      <c r="R160" s="188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8">
        <f>IFERROR(VLOOKUP(A160,[1]Biogasudbytte!$A$2:$B$18,2,FALSE)*[1]Energiindhold!$C$10,0)*J160*IFERROR(VLOOKUP(A160,Biogasanlæg!$F$3:$G$8,2,FALSE),1)</f>
        <v>1.8271497070108039E-2</v>
      </c>
      <c r="T160" s="189">
        <f t="shared" si="50"/>
        <v>0</v>
      </c>
      <c r="U160" s="187">
        <f>O160*IFERROR(VLOOKUP(A160,[1]Tørstofindhold!A$2:B$24,2,FALSE),0)</f>
        <v>158991.90017574377</v>
      </c>
      <c r="V160" s="188">
        <f>IF(D160=År1,P160,SUM(O160,P160))*IFERROR(VLOOKUP(A160,[1]Tørstofindhold!A$2:B$24,2,FALSE),0)</f>
        <v>2780.6341080944362</v>
      </c>
      <c r="W160" s="188">
        <f>J160*IFERROR(VLOOKUP(A160,[1]Tørstofindhold!A$2:B$24,2,FALSE),0)</f>
        <v>2780.6341080944362</v>
      </c>
      <c r="X160" s="189">
        <f t="shared" si="51"/>
        <v>0</v>
      </c>
      <c r="Y160" s="169">
        <f t="shared" si="43"/>
        <v>0</v>
      </c>
      <c r="Z160" s="103">
        <f t="shared" si="44"/>
        <v>1</v>
      </c>
    </row>
    <row r="161" spans="1:26" x14ac:dyDescent="0.25">
      <c r="A161" s="190" t="s">
        <v>203</v>
      </c>
      <c r="B161" s="190"/>
      <c r="C161" s="190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0">
        <f t="shared" si="47"/>
        <v>2019</v>
      </c>
      <c r="E161" s="188" t="s">
        <v>24</v>
      </c>
      <c r="F161" s="191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8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1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5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0">
        <f t="shared" si="48"/>
        <v>0</v>
      </c>
      <c r="O161" s="191">
        <f t="shared" si="39"/>
        <v>0</v>
      </c>
      <c r="P161" s="201">
        <f t="shared" si="49"/>
        <v>0</v>
      </c>
      <c r="Q161" s="188">
        <f>IFERROR(VLOOKUP(A161,[1]Energiindhold!$A$2:$C$11,3,FALSE),IFERROR(VLOOKUP(A161,[1]Biogasudbytte!$A$2:$B$18,2,FALSE)*[1]Energiindhold!$C$10,0))*O161</f>
        <v>0</v>
      </c>
      <c r="R161" s="188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8">
        <f>IFERROR(VLOOKUP(A161,[1]Biogasudbytte!$A$2:$B$18,2,FALSE)*[1]Energiindhold!$C$10,0)*J161*IFERROR(VLOOKUP(A161,Biogasanlæg!$F$3:$G$8,2,FALSE),1)</f>
        <v>0</v>
      </c>
      <c r="T161" s="189">
        <f t="shared" si="50"/>
        <v>0</v>
      </c>
      <c r="U161" s="187">
        <f>O161*IFERROR(VLOOKUP(A161,[1]Tørstofindhold!A$2:B$24,2,FALSE),0)</f>
        <v>0</v>
      </c>
      <c r="V161" s="188">
        <f>IF(D161=År1,P161,SUM(O161,P161))*IFERROR(VLOOKUP(A161,[1]Tørstofindhold!A$2:B$24,2,FALSE),0)</f>
        <v>0</v>
      </c>
      <c r="W161" s="188">
        <f>J161*IFERROR(VLOOKUP(A161,[1]Tørstofindhold!A$2:B$24,2,FALSE),0)</f>
        <v>0</v>
      </c>
      <c r="X161" s="189">
        <f t="shared" si="51"/>
        <v>0</v>
      </c>
      <c r="Y161" s="169">
        <f t="shared" si="43"/>
        <v>0</v>
      </c>
      <c r="Z161" s="103">
        <f t="shared" si="44"/>
        <v>0</v>
      </c>
    </row>
    <row r="162" spans="1:26" x14ac:dyDescent="0.25">
      <c r="A162" s="190" t="s">
        <v>6</v>
      </c>
      <c r="B162" s="190"/>
      <c r="C162" s="190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0">
        <f t="shared" si="47"/>
        <v>2019</v>
      </c>
      <c r="E162" s="188" t="s">
        <v>24</v>
      </c>
      <c r="F162" s="191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8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1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5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0">
        <f t="shared" si="48"/>
        <v>-126804.69555271766</v>
      </c>
      <c r="O162" s="191">
        <f t="shared" si="39"/>
        <v>0</v>
      </c>
      <c r="P162" s="201">
        <f t="shared" si="49"/>
        <v>0</v>
      </c>
      <c r="Q162" s="188">
        <f>IFERROR(VLOOKUP(A162,[1]Energiindhold!$A$2:$C$11,3,FALSE),IFERROR(VLOOKUP(A162,[1]Biogasudbytte!$A$2:$B$18,2,FALSE)*[1]Energiindhold!$C$10,0))*O162</f>
        <v>0</v>
      </c>
      <c r="R162" s="188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8">
        <f>IFERROR(VLOOKUP(A162,[1]Biogasudbytte!$A$2:$B$18,2,FALSE)*[1]Energiindhold!$C$10,0)*J162*IFERROR(VLOOKUP(A162,Biogasanlæg!$F$3:$G$8,2,FALSE),1)</f>
        <v>0</v>
      </c>
      <c r="T162" s="189">
        <f t="shared" si="50"/>
        <v>0</v>
      </c>
      <c r="U162" s="187">
        <f>O162*IFERROR(VLOOKUP(A162,[1]Tørstofindhold!A$2:B$24,2,FALSE),0)</f>
        <v>0</v>
      </c>
      <c r="V162" s="188">
        <f>IF(D162=År1,P162,SUM(O162,P162))*IFERROR(VLOOKUP(A162,[1]Tørstofindhold!A$2:B$24,2,FALSE),0)</f>
        <v>0</v>
      </c>
      <c r="W162" s="188">
        <f>J162*IFERROR(VLOOKUP(A162,[1]Tørstofindhold!A$2:B$24,2,FALSE),0)</f>
        <v>0</v>
      </c>
      <c r="X162" s="189">
        <f t="shared" si="51"/>
        <v>0</v>
      </c>
      <c r="Y162" s="169">
        <f t="shared" si="43"/>
        <v>1</v>
      </c>
      <c r="Z162" s="103">
        <f t="shared" si="44"/>
        <v>0</v>
      </c>
    </row>
    <row r="163" spans="1:26" x14ac:dyDescent="0.25">
      <c r="A163" s="190" t="s">
        <v>67</v>
      </c>
      <c r="B163" s="190" t="s">
        <v>227</v>
      </c>
      <c r="C163" s="190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0">
        <f t="shared" si="47"/>
        <v>2019</v>
      </c>
      <c r="E163" s="188" t="s">
        <v>24</v>
      </c>
      <c r="F163" s="191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8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1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5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0">
        <f t="shared" si="48"/>
        <v>0</v>
      </c>
      <c r="O163" s="191">
        <f t="shared" si="39"/>
        <v>0</v>
      </c>
      <c r="P163" s="201">
        <f t="shared" si="49"/>
        <v>756970.00635565282</v>
      </c>
      <c r="Q163" s="188">
        <f>IFERROR(VLOOKUP(A163,[1]Energiindhold!$A$2:$C$11,3,FALSE),IFERROR(VLOOKUP(A163,[1]Biogasudbytte!$A$2:$B$18,2,FALSE)*[1]Energiindhold!$C$10,0))*O163</f>
        <v>0</v>
      </c>
      <c r="R163" s="188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8">
        <f>IFERROR(VLOOKUP(A163,[1]Biogasudbytte!$A$2:$B$18,2,FALSE)*[1]Energiindhold!$C$10,0)*J163*IFERROR(VLOOKUP(A163,Biogasanlæg!$F$3:$G$8,2,FALSE),1)</f>
        <v>0.13142610267053248</v>
      </c>
      <c r="T163" s="189">
        <f t="shared" si="50"/>
        <v>7.5882895761801983</v>
      </c>
      <c r="U163" s="187">
        <f>O163*IFERROR(VLOOKUP(A163,[1]Tørstofindhold!A$2:B$24,2,FALSE),0)</f>
        <v>0</v>
      </c>
      <c r="V163" s="188">
        <f>IF(D163=År1,P163,SUM(O163,P163))*IFERROR(VLOOKUP(A163,[1]Tørstofindhold!A$2:B$24,2,FALSE),0)</f>
        <v>643424.50540230493</v>
      </c>
      <c r="W163" s="188">
        <f>J163*IFERROR(VLOOKUP(A163,[1]Tørstofindhold!A$2:B$24,2,FALSE),0)</f>
        <v>19375.841164913018</v>
      </c>
      <c r="X163" s="189">
        <f t="shared" si="51"/>
        <v>624048.6642373919</v>
      </c>
      <c r="Y163" s="169">
        <f t="shared" si="43"/>
        <v>0</v>
      </c>
      <c r="Z163" s="103">
        <f t="shared" si="44"/>
        <v>0</v>
      </c>
    </row>
    <row r="164" spans="1:26" x14ac:dyDescent="0.25">
      <c r="A164" s="190" t="s">
        <v>162</v>
      </c>
      <c r="B164" s="190" t="s">
        <v>230</v>
      </c>
      <c r="C164" s="190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0">
        <f t="shared" si="47"/>
        <v>2019</v>
      </c>
      <c r="E164" s="188" t="s">
        <v>24</v>
      </c>
      <c r="F164" s="191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8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1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5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0">
        <f t="shared" si="48"/>
        <v>0</v>
      </c>
      <c r="O164" s="191">
        <f t="shared" si="39"/>
        <v>0</v>
      </c>
      <c r="P164" s="201">
        <f t="shared" si="49"/>
        <v>452346.51233766804</v>
      </c>
      <c r="Q164" s="188">
        <f>IFERROR(VLOOKUP(A164,[1]Energiindhold!$A$2:$C$11,3,FALSE),IFERROR(VLOOKUP(A164,[1]Biogasudbytte!$A$2:$B$18,2,FALSE)*[1]Energiindhold!$C$10,0))*O164</f>
        <v>0</v>
      </c>
      <c r="R164" s="188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8">
        <f>IFERROR(VLOOKUP(A164,[1]Biogasudbytte!$A$2:$B$18,2,FALSE)*[1]Energiindhold!$C$10,0)*J164*IFERROR(VLOOKUP(A164,Biogasanlæg!$F$3:$G$8,2,FALSE),1)</f>
        <v>6.0961032399995807E-5</v>
      </c>
      <c r="T164" s="189">
        <f t="shared" si="50"/>
        <v>8.0747487919351268</v>
      </c>
      <c r="U164" s="187">
        <f>O164*IFERROR(VLOOKUP(A164,[1]Tørstofindhold!A$2:B$24,2,FALSE),0)</f>
        <v>0</v>
      </c>
      <c r="V164" s="188">
        <f>IF(D164=År1,P164,SUM(O164,P164))*IFERROR(VLOOKUP(A164,[1]Tørstofindhold!A$2:B$24,2,FALSE),0)</f>
        <v>135703.9537013004</v>
      </c>
      <c r="W164" s="188">
        <f>J164*IFERROR(VLOOKUP(A164,[1]Tørstofindhold!A$2:B$24,2,FALSE),0)</f>
        <v>10.77005642876839</v>
      </c>
      <c r="X164" s="189">
        <f t="shared" si="51"/>
        <v>135693.18364487163</v>
      </c>
      <c r="Y164" s="169">
        <f t="shared" si="43"/>
        <v>0</v>
      </c>
      <c r="Z164" s="103">
        <f t="shared" si="44"/>
        <v>0</v>
      </c>
    </row>
    <row r="165" spans="1:26" x14ac:dyDescent="0.25">
      <c r="A165" s="188" t="s">
        <v>159</v>
      </c>
      <c r="B165" s="190"/>
      <c r="C165" s="190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0">
        <f t="shared" si="47"/>
        <v>2019</v>
      </c>
      <c r="E165" s="188" t="s">
        <v>24</v>
      </c>
      <c r="F165" s="191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8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1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5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0">
        <f t="shared" si="48"/>
        <v>-592646.72642582108</v>
      </c>
      <c r="O165" s="191">
        <f t="shared" si="39"/>
        <v>0</v>
      </c>
      <c r="P165" s="201">
        <f t="shared" si="49"/>
        <v>0</v>
      </c>
      <c r="Q165" s="188">
        <f>IFERROR(VLOOKUP(A165,[1]Energiindhold!$A$2:$C$11,3,FALSE),IFERROR(VLOOKUP(A165,[1]Biogasudbytte!$A$2:$B$18,2,FALSE)*[1]Energiindhold!$C$10,0))*O165</f>
        <v>0</v>
      </c>
      <c r="R165" s="188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8">
        <f>IFERROR(VLOOKUP(A165,[1]Biogasudbytte!$A$2:$B$18,2,FALSE)*[1]Energiindhold!$C$10,0)*J165*IFERROR(VLOOKUP(A165,Biogasanlæg!$F$3:$G$8,2,FALSE),1)</f>
        <v>0</v>
      </c>
      <c r="T165" s="189">
        <f t="shared" si="50"/>
        <v>0</v>
      </c>
      <c r="U165" s="187">
        <f>O165*IFERROR(VLOOKUP(A165,[1]Tørstofindhold!A$2:B$24,2,FALSE),0)</f>
        <v>0</v>
      </c>
      <c r="V165" s="188">
        <f>IF(D165=År1,P165,SUM(O165,P165))*IFERROR(VLOOKUP(A165,[1]Tørstofindhold!A$2:B$24,2,FALSE),0)</f>
        <v>0</v>
      </c>
      <c r="W165" s="188">
        <f>J165*IFERROR(VLOOKUP(A165,[1]Tørstofindhold!A$2:B$24,2,FALSE),0)</f>
        <v>0</v>
      </c>
      <c r="X165" s="189">
        <f t="shared" si="51"/>
        <v>0</v>
      </c>
      <c r="Y165" s="169">
        <f t="shared" si="43"/>
        <v>1</v>
      </c>
      <c r="Z165" s="103">
        <f t="shared" si="44"/>
        <v>0</v>
      </c>
    </row>
    <row r="166" spans="1:26" x14ac:dyDescent="0.25">
      <c r="A166" s="190" t="s">
        <v>103</v>
      </c>
      <c r="B166" s="190" t="s">
        <v>230</v>
      </c>
      <c r="C166" s="190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0">
        <f t="shared" si="47"/>
        <v>2019</v>
      </c>
      <c r="E166" s="188" t="s">
        <v>24</v>
      </c>
      <c r="F166" s="191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8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1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5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0">
        <f t="shared" si="48"/>
        <v>-79270.498677373223</v>
      </c>
      <c r="O166" s="191">
        <f t="shared" si="39"/>
        <v>0</v>
      </c>
      <c r="P166" s="201">
        <f t="shared" si="49"/>
        <v>279550.24796430691</v>
      </c>
      <c r="Q166" s="188">
        <f>IFERROR(VLOOKUP(A166,[1]Energiindhold!$A$2:$C$11,3,FALSE),IFERROR(VLOOKUP(A166,[1]Biogasudbytte!$A$2:$B$18,2,FALSE)*[1]Energiindhold!$C$10,0))*O166</f>
        <v>0</v>
      </c>
      <c r="R166" s="188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8">
        <f>IFERROR(VLOOKUP(A166,[1]Biogasudbytte!$A$2:$B$18,2,FALSE)*[1]Energiindhold!$C$10,0)*J166*IFERROR(VLOOKUP(A166,Biogasanlæg!$F$3:$G$8,2,FALSE),1)</f>
        <v>1.0296284310673407</v>
      </c>
      <c r="T166" s="189">
        <f t="shared" si="50"/>
        <v>0</v>
      </c>
      <c r="U166" s="187">
        <f>O166*IFERROR(VLOOKUP(A166,[1]Tørstofindhold!A$2:B$24,2,FALSE),0)</f>
        <v>0</v>
      </c>
      <c r="V166" s="188">
        <f>IF(D166=År1,P166,SUM(O166,P166))*IFERROR(VLOOKUP(A166,[1]Tørstofindhold!A$2:B$24,2,FALSE),0)</f>
        <v>117411.1041450089</v>
      </c>
      <c r="W166" s="188">
        <f>J166*IFERROR(VLOOKUP(A166,[1]Tørstofindhold!A$2:B$24,2,FALSE),0)</f>
        <v>117411.1041450089</v>
      </c>
      <c r="X166" s="189">
        <f t="shared" si="51"/>
        <v>0</v>
      </c>
      <c r="Y166" s="169">
        <f t="shared" si="43"/>
        <v>1</v>
      </c>
      <c r="Z166" s="103">
        <f t="shared" si="44"/>
        <v>0</v>
      </c>
    </row>
    <row r="167" spans="1:26" x14ac:dyDescent="0.25">
      <c r="A167" s="190" t="s">
        <v>56</v>
      </c>
      <c r="B167" s="190"/>
      <c r="C167" s="190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0">
        <f t="shared" si="47"/>
        <v>2019</v>
      </c>
      <c r="E167" s="188" t="s">
        <v>24</v>
      </c>
      <c r="F167" s="191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8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1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5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0">
        <f t="shared" si="48"/>
        <v>145851.60720031991</v>
      </c>
      <c r="O167" s="191">
        <f t="shared" si="39"/>
        <v>0</v>
      </c>
      <c r="P167" s="201">
        <f t="shared" si="49"/>
        <v>0</v>
      </c>
      <c r="Q167" s="188">
        <f>IFERROR(VLOOKUP(A167,[1]Energiindhold!$A$2:$C$11,3,FALSE),IFERROR(VLOOKUP(A167,[1]Biogasudbytte!$A$2:$B$18,2,FALSE)*[1]Energiindhold!$C$10,0))*O167</f>
        <v>0</v>
      </c>
      <c r="R167" s="188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8">
        <f>IFERROR(VLOOKUP(A167,[1]Biogasudbytte!$A$2:$B$18,2,FALSE)*[1]Energiindhold!$C$10,0)*J167*IFERROR(VLOOKUP(A167,Biogasanlæg!$F$3:$G$8,2,FALSE),1)</f>
        <v>0</v>
      </c>
      <c r="T167" s="189">
        <f t="shared" si="50"/>
        <v>0</v>
      </c>
      <c r="U167" s="187">
        <f>O167*IFERROR(VLOOKUP(A167,[1]Tørstofindhold!A$2:B$24,2,FALSE),0)</f>
        <v>0</v>
      </c>
      <c r="V167" s="188">
        <f>IF(D167=År1,P167,SUM(O167,P167))*IFERROR(VLOOKUP(A167,[1]Tørstofindhold!A$2:B$24,2,FALSE),0)</f>
        <v>0</v>
      </c>
      <c r="W167" s="188">
        <f>J167*IFERROR(VLOOKUP(A167,[1]Tørstofindhold!A$2:B$24,2,FALSE),0)</f>
        <v>0</v>
      </c>
      <c r="X167" s="189">
        <f t="shared" si="51"/>
        <v>0</v>
      </c>
      <c r="Y167" s="169">
        <f t="shared" si="43"/>
        <v>0</v>
      </c>
      <c r="Z167" s="103">
        <f t="shared" si="44"/>
        <v>1</v>
      </c>
    </row>
    <row r="168" spans="1:26" x14ac:dyDescent="0.25">
      <c r="A168" s="190" t="s">
        <v>12</v>
      </c>
      <c r="B168" s="190"/>
      <c r="C168" s="190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0">
        <f t="shared" si="47"/>
        <v>2019</v>
      </c>
      <c r="E168" s="188" t="s">
        <v>24</v>
      </c>
      <c r="F168" s="191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8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1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5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0">
        <f t="shared" si="48"/>
        <v>14492.735557536857</v>
      </c>
      <c r="O168" s="191">
        <f t="shared" si="39"/>
        <v>0</v>
      </c>
      <c r="P168" s="201">
        <f t="shared" si="49"/>
        <v>0</v>
      </c>
      <c r="Q168" s="188">
        <f>IFERROR(VLOOKUP(A168,[1]Energiindhold!$A$2:$C$11,3,FALSE),IFERROR(VLOOKUP(A168,[1]Biogasudbytte!$A$2:$B$18,2,FALSE)*[1]Energiindhold!$C$10,0))*O168</f>
        <v>0</v>
      </c>
      <c r="R168" s="188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8">
        <f>IFERROR(VLOOKUP(A168,[1]Biogasudbytte!$A$2:$B$18,2,FALSE)*[1]Energiindhold!$C$10,0)*J168*IFERROR(VLOOKUP(A168,Biogasanlæg!$F$3:$G$8,2,FALSE),1)</f>
        <v>0</v>
      </c>
      <c r="T168" s="189">
        <f t="shared" si="50"/>
        <v>0</v>
      </c>
      <c r="U168" s="187">
        <f>O168*IFERROR(VLOOKUP(A168,[1]Tørstofindhold!A$2:B$24,2,FALSE),0)</f>
        <v>0</v>
      </c>
      <c r="V168" s="188">
        <f>IF(D168=År1,P168,SUM(O168,P168))*IFERROR(VLOOKUP(A168,[1]Tørstofindhold!A$2:B$24,2,FALSE),0)</f>
        <v>0</v>
      </c>
      <c r="W168" s="188">
        <f>J168*IFERROR(VLOOKUP(A168,[1]Tørstofindhold!A$2:B$24,2,FALSE),0)</f>
        <v>0</v>
      </c>
      <c r="X168" s="189">
        <f t="shared" si="51"/>
        <v>0</v>
      </c>
      <c r="Y168" s="169">
        <f t="shared" si="43"/>
        <v>0</v>
      </c>
      <c r="Z168" s="103">
        <f t="shared" si="44"/>
        <v>1</v>
      </c>
    </row>
    <row r="169" spans="1:26" x14ac:dyDescent="0.25">
      <c r="A169" s="190" t="s">
        <v>48</v>
      </c>
      <c r="B169" s="190" t="s">
        <v>227</v>
      </c>
      <c r="C169" s="190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0">
        <f t="shared" si="47"/>
        <v>2019</v>
      </c>
      <c r="E169" s="188" t="s">
        <v>24</v>
      </c>
      <c r="F169" s="191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8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1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5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0">
        <f t="shared" si="48"/>
        <v>1309065.6209408126</v>
      </c>
      <c r="O169" s="191">
        <f t="shared" si="39"/>
        <v>1309065.6209408126</v>
      </c>
      <c r="P169" s="201">
        <f t="shared" si="49"/>
        <v>945.81467090137289</v>
      </c>
      <c r="Q169" s="188">
        <f>IFERROR(VLOOKUP(A169,[1]Energiindhold!$A$2:$C$11,3,FALSE),IFERROR(VLOOKUP(A169,[1]Biogasudbytte!$A$2:$B$18,2,FALSE)*[1]Energiindhold!$C$10,0))*O169</f>
        <v>4.4833664825353523</v>
      </c>
      <c r="R169" s="188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8">
        <f>IFERROR(VLOOKUP(A169,[1]Biogasudbytte!$A$2:$B$18,2,FALSE)*[1]Energiindhold!$C$10,0)*J169*IFERROR(VLOOKUP(A169,Biogasanlæg!$F$3:$G$8,2,FALSE),1)</f>
        <v>3.2392828337832764E-3</v>
      </c>
      <c r="T169" s="189">
        <f t="shared" si="50"/>
        <v>0</v>
      </c>
      <c r="U169" s="187">
        <f>O169*IFERROR(VLOOKUP(A169,[1]Tørstofindhold!A$2:B$24,2,FALSE),0)</f>
        <v>405810.34249165189</v>
      </c>
      <c r="V169" s="188">
        <f>IF(D169=År1,P169,SUM(O169,P169))*IFERROR(VLOOKUP(A169,[1]Tørstofindhold!A$2:B$24,2,FALSE),0)</f>
        <v>293.20254797942562</v>
      </c>
      <c r="W169" s="188">
        <f>J169*IFERROR(VLOOKUP(A169,[1]Tørstofindhold!A$2:B$24,2,FALSE),0)</f>
        <v>293.20254797942562</v>
      </c>
      <c r="X169" s="189">
        <f t="shared" si="51"/>
        <v>0</v>
      </c>
      <c r="Y169" s="169">
        <f t="shared" si="43"/>
        <v>0</v>
      </c>
      <c r="Z169" s="103">
        <f t="shared" si="44"/>
        <v>1</v>
      </c>
    </row>
    <row r="170" spans="1:26" x14ac:dyDescent="0.25">
      <c r="A170" s="190" t="s">
        <v>115</v>
      </c>
      <c r="B170" s="190"/>
      <c r="C170" s="190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0">
        <f t="shared" si="47"/>
        <v>2019</v>
      </c>
      <c r="E170" s="188" t="s">
        <v>24</v>
      </c>
      <c r="F170" s="191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8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1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1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5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0">
        <f t="shared" ca="1" si="48"/>
        <v>-377069.89971696056</v>
      </c>
      <c r="O170" s="191">
        <f t="shared" si="39"/>
        <v>0</v>
      </c>
      <c r="P170" s="201">
        <f t="shared" si="49"/>
        <v>0</v>
      </c>
      <c r="Q170" s="188">
        <f>IFERROR(VLOOKUP(A170,[1]Energiindhold!$A$2:$C$11,3,FALSE),IFERROR(VLOOKUP(A170,[1]Biogasudbytte!$A$2:$B$18,2,FALSE)*[1]Energiindhold!$C$10,0))*O170</f>
        <v>0</v>
      </c>
      <c r="R170" s="188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8">
        <f>IFERROR(VLOOKUP(A170,[1]Biogasudbytte!$A$2:$B$18,2,FALSE)*[1]Energiindhold!$C$10,0)*J170*IFERROR(VLOOKUP(A170,Biogasanlæg!$F$3:$G$8,2,FALSE),1)</f>
        <v>0</v>
      </c>
      <c r="T170" s="189">
        <f t="shared" si="50"/>
        <v>0</v>
      </c>
      <c r="U170" s="187">
        <f>O170*IFERROR(VLOOKUP(A170,[1]Tørstofindhold!A$2:B$24,2,FALSE),0)</f>
        <v>0</v>
      </c>
      <c r="V170" s="188">
        <f>IF(D170=År1,P170,SUM(O170,P170))*IFERROR(VLOOKUP(A170,[1]Tørstofindhold!A$2:B$24,2,FALSE),0)</f>
        <v>0</v>
      </c>
      <c r="W170" s="188">
        <f>J170*IFERROR(VLOOKUP(A170,[1]Tørstofindhold!A$2:B$24,2,FALSE),0)</f>
        <v>0</v>
      </c>
      <c r="X170" s="189">
        <f t="shared" si="51"/>
        <v>0</v>
      </c>
      <c r="Y170" s="169">
        <f t="shared" ca="1" si="43"/>
        <v>1</v>
      </c>
      <c r="Z170" s="103">
        <f t="shared" ca="1" si="44"/>
        <v>0</v>
      </c>
    </row>
    <row r="171" spans="1:26" x14ac:dyDescent="0.25">
      <c r="A171" s="190" t="s">
        <v>136</v>
      </c>
      <c r="B171" s="190" t="s">
        <v>222</v>
      </c>
      <c r="C171" s="190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0">
        <f t="shared" si="47"/>
        <v>2019</v>
      </c>
      <c r="E171" s="188" t="s">
        <v>24</v>
      </c>
      <c r="F171" s="191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8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1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5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0">
        <f t="shared" si="48"/>
        <v>0</v>
      </c>
      <c r="O171" s="191">
        <f t="shared" si="39"/>
        <v>0</v>
      </c>
      <c r="P171" s="201">
        <f t="shared" si="49"/>
        <v>286645.05985025823</v>
      </c>
      <c r="Q171" s="188">
        <f>IFERROR(VLOOKUP(A171,[1]Energiindhold!$A$2:$C$11,3,FALSE),IFERROR(VLOOKUP(A171,[1]Biogasudbytte!$A$2:$B$18,2,FALSE)*[1]Energiindhold!$C$10,0))*O171</f>
        <v>0</v>
      </c>
      <c r="R171" s="188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8">
        <f>IFERROR(VLOOKUP(A171,[1]Biogasudbytte!$A$2:$B$18,2,FALSE)*[1]Energiindhold!$C$10,0)*J171*IFERROR(VLOOKUP(A171,Biogasanlæg!$F$3:$G$8,2,FALSE),1)</f>
        <v>0.14509686284560222</v>
      </c>
      <c r="T171" s="189">
        <f t="shared" si="50"/>
        <v>0</v>
      </c>
      <c r="U171" s="187">
        <f>O171*IFERROR(VLOOKUP(A171,[1]Tørstofindhold!A$2:B$24,2,FALSE),0)</f>
        <v>0</v>
      </c>
      <c r="V171" s="188">
        <f>IF(D171=År1,P171,SUM(O171,P171))*IFERROR(VLOOKUP(A171,[1]Tørstofindhold!A$2:B$24,2,FALSE),0)</f>
        <v>21785.024548619625</v>
      </c>
      <c r="W171" s="188">
        <f>J171*IFERROR(VLOOKUP(A171,[1]Tørstofindhold!A$2:B$24,2,FALSE),0)</f>
        <v>21785.024548619625</v>
      </c>
      <c r="X171" s="189">
        <f t="shared" si="51"/>
        <v>0</v>
      </c>
      <c r="Y171" s="169">
        <f t="shared" si="43"/>
        <v>0</v>
      </c>
      <c r="Z171" s="103">
        <f t="shared" si="44"/>
        <v>0</v>
      </c>
    </row>
    <row r="172" spans="1:26" x14ac:dyDescent="0.25">
      <c r="A172" s="190" t="s">
        <v>108</v>
      </c>
      <c r="B172" s="190"/>
      <c r="C172" s="190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0">
        <f t="shared" si="47"/>
        <v>2019</v>
      </c>
      <c r="E172" s="188" t="s">
        <v>24</v>
      </c>
      <c r="F172" s="191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8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1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5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0">
        <f t="shared" si="48"/>
        <v>-70551.412916692323</v>
      </c>
      <c r="O172" s="191">
        <f t="shared" si="39"/>
        <v>0</v>
      </c>
      <c r="P172" s="201">
        <f t="shared" si="49"/>
        <v>0</v>
      </c>
      <c r="Q172" s="188">
        <f>IFERROR(VLOOKUP(A172,[1]Energiindhold!$A$2:$C$11,3,FALSE),IFERROR(VLOOKUP(A172,[1]Biogasudbytte!$A$2:$B$18,2,FALSE)*[1]Energiindhold!$C$10,0))*O172</f>
        <v>0</v>
      </c>
      <c r="R172" s="188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8">
        <f>IFERROR(VLOOKUP(A172,[1]Biogasudbytte!$A$2:$B$18,2,FALSE)*[1]Energiindhold!$C$10,0)*J172*IFERROR(VLOOKUP(A172,Biogasanlæg!$F$3:$G$8,2,FALSE),1)</f>
        <v>0</v>
      </c>
      <c r="T172" s="189">
        <f t="shared" si="50"/>
        <v>0</v>
      </c>
      <c r="U172" s="187">
        <f>O172*IFERROR(VLOOKUP(A172,[1]Tørstofindhold!A$2:B$24,2,FALSE),0)</f>
        <v>0</v>
      </c>
      <c r="V172" s="188">
        <f>IF(D172=År1,P172,SUM(O172,P172))*IFERROR(VLOOKUP(A172,[1]Tørstofindhold!A$2:B$24,2,FALSE),0)</f>
        <v>0</v>
      </c>
      <c r="W172" s="188">
        <f>J172*IFERROR(VLOOKUP(A172,[1]Tørstofindhold!A$2:B$24,2,FALSE),0)</f>
        <v>0</v>
      </c>
      <c r="X172" s="189">
        <f t="shared" si="51"/>
        <v>0</v>
      </c>
      <c r="Y172" s="169">
        <f t="shared" si="43"/>
        <v>0</v>
      </c>
      <c r="Z172" s="103">
        <f t="shared" si="44"/>
        <v>1</v>
      </c>
    </row>
    <row r="173" spans="1:26" x14ac:dyDescent="0.25">
      <c r="A173" s="188" t="s">
        <v>53</v>
      </c>
      <c r="B173" s="190" t="s">
        <v>224</v>
      </c>
      <c r="C173" s="190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0">
        <f t="shared" si="47"/>
        <v>2019</v>
      </c>
      <c r="E173" s="188" t="s">
        <v>24</v>
      </c>
      <c r="F173" s="191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8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1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5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0">
        <f t="shared" si="48"/>
        <v>-343401.0681058818</v>
      </c>
      <c r="O173" s="191">
        <f t="shared" si="39"/>
        <v>0</v>
      </c>
      <c r="P173" s="201">
        <f t="shared" si="49"/>
        <v>15204.565068438918</v>
      </c>
      <c r="Q173" s="188">
        <f>IFERROR(VLOOKUP(A173,[1]Energiindhold!$A$2:$C$11,3,FALSE),IFERROR(VLOOKUP(A173,[1]Biogasudbytte!$A$2:$B$18,2,FALSE)*[1]Energiindhold!$C$10,0))*O173</f>
        <v>0</v>
      </c>
      <c r="R173" s="188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8">
        <f>IFERROR(VLOOKUP(A173,[1]Biogasudbytte!$A$2:$B$18,2,FALSE)*[1]Energiindhold!$C$10,0)*J173*IFERROR(VLOOKUP(A173,Biogasanlæg!$F$3:$G$8,2,FALSE),1)</f>
        <v>5.4584388595695719E-2</v>
      </c>
      <c r="T173" s="189">
        <f t="shared" si="50"/>
        <v>0</v>
      </c>
      <c r="U173" s="187">
        <f>O173*IFERROR(VLOOKUP(A173,[1]Tørstofindhold!A$2:B$24,2,FALSE),0)</f>
        <v>0</v>
      </c>
      <c r="V173" s="188">
        <f>IF(D173=År1,P173,SUM(O173,P173))*IFERROR(VLOOKUP(A173,[1]Tørstofindhold!A$2:B$24,2,FALSE),0)</f>
        <v>4561.3695205316753</v>
      </c>
      <c r="W173" s="188">
        <f>J173*IFERROR(VLOOKUP(A173,[1]Tørstofindhold!A$2:B$24,2,FALSE),0)</f>
        <v>4561.3695205316753</v>
      </c>
      <c r="X173" s="189">
        <f t="shared" si="51"/>
        <v>0</v>
      </c>
      <c r="Y173" s="169">
        <f t="shared" si="43"/>
        <v>0</v>
      </c>
      <c r="Z173" s="103">
        <f t="shared" si="44"/>
        <v>1</v>
      </c>
    </row>
    <row r="174" spans="1:26" x14ac:dyDescent="0.25">
      <c r="A174" s="190" t="s">
        <v>116</v>
      </c>
      <c r="B174" s="190"/>
      <c r="C174" s="190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0">
        <f t="shared" si="47"/>
        <v>2019</v>
      </c>
      <c r="E174" s="188" t="s">
        <v>24</v>
      </c>
      <c r="F174" s="191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8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1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5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0">
        <f t="shared" si="48"/>
        <v>-166933.87454175885</v>
      </c>
      <c r="O174" s="191">
        <f t="shared" si="39"/>
        <v>0</v>
      </c>
      <c r="P174" s="201">
        <f t="shared" si="49"/>
        <v>0</v>
      </c>
      <c r="Q174" s="188">
        <f>IFERROR(VLOOKUP(A174,[1]Energiindhold!$A$2:$C$11,3,FALSE),IFERROR(VLOOKUP(A174,[1]Biogasudbytte!$A$2:$B$18,2,FALSE)*[1]Energiindhold!$C$10,0))*O174</f>
        <v>0</v>
      </c>
      <c r="R174" s="188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8">
        <f>IFERROR(VLOOKUP(A174,[1]Biogasudbytte!$A$2:$B$18,2,FALSE)*[1]Energiindhold!$C$10,0)*J174*IFERROR(VLOOKUP(A174,Biogasanlæg!$F$3:$G$8,2,FALSE),1)</f>
        <v>0</v>
      </c>
      <c r="T174" s="189">
        <f t="shared" si="50"/>
        <v>0</v>
      </c>
      <c r="U174" s="187">
        <f>O174*IFERROR(VLOOKUP(A174,[1]Tørstofindhold!A$2:B$24,2,FALSE),0)</f>
        <v>0</v>
      </c>
      <c r="V174" s="188">
        <f>IF(D174=År1,P174,SUM(O174,P174))*IFERROR(VLOOKUP(A174,[1]Tørstofindhold!A$2:B$24,2,FALSE),0)</f>
        <v>0</v>
      </c>
      <c r="W174" s="188">
        <f>J174*IFERROR(VLOOKUP(A174,[1]Tørstofindhold!A$2:B$24,2,FALSE),0)</f>
        <v>0</v>
      </c>
      <c r="X174" s="189">
        <f t="shared" si="51"/>
        <v>0</v>
      </c>
      <c r="Y174" s="169">
        <f t="shared" si="43"/>
        <v>0</v>
      </c>
      <c r="Z174" s="103">
        <f t="shared" si="44"/>
        <v>1</v>
      </c>
    </row>
    <row r="175" spans="1:26" x14ac:dyDescent="0.25">
      <c r="A175" s="190" t="s">
        <v>106</v>
      </c>
      <c r="B175" s="190" t="s">
        <v>226</v>
      </c>
      <c r="C175" s="190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0">
        <f t="shared" si="47"/>
        <v>2019</v>
      </c>
      <c r="E175" s="188" t="s">
        <v>24</v>
      </c>
      <c r="F175" s="191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8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1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5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0">
        <f t="shared" si="48"/>
        <v>1.1976865502381491</v>
      </c>
      <c r="O175" s="191">
        <f t="shared" si="39"/>
        <v>1.1976865502381491</v>
      </c>
      <c r="P175" s="201">
        <f t="shared" si="49"/>
        <v>0</v>
      </c>
      <c r="Q175" s="188">
        <f>IFERROR(VLOOKUP(A175,[1]Energiindhold!$A$2:$C$11,3,FALSE),IFERROR(VLOOKUP(A175,[1]Biogasudbytte!$A$2:$B$18,2,FALSE)*[1]Energiindhold!$C$10,0))*O175</f>
        <v>1.0749236788387388E-6</v>
      </c>
      <c r="R175" s="188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8">
        <f>IFERROR(VLOOKUP(A175,[1]Biogasudbytte!$A$2:$B$18,2,FALSE)*[1]Energiindhold!$C$10,0)*J175*IFERROR(VLOOKUP(A175,Biogasanlæg!$F$3:$G$8,2,FALSE),1)</f>
        <v>0</v>
      </c>
      <c r="T175" s="189">
        <f t="shared" si="50"/>
        <v>0</v>
      </c>
      <c r="U175" s="187">
        <f>O175*IFERROR(VLOOKUP(A175,[1]Tørstofindhold!A$2:B$24,2,FALSE),0)</f>
        <v>0.17965298253572234</v>
      </c>
      <c r="V175" s="188">
        <f>IF(D175=År1,P175,SUM(O175,P175))*IFERROR(VLOOKUP(A175,[1]Tørstofindhold!A$2:B$24,2,FALSE),0)</f>
        <v>0</v>
      </c>
      <c r="W175" s="188">
        <f>J175*IFERROR(VLOOKUP(A175,[1]Tørstofindhold!A$2:B$24,2,FALSE),0)</f>
        <v>0</v>
      </c>
      <c r="X175" s="189">
        <f t="shared" si="51"/>
        <v>0</v>
      </c>
      <c r="Y175" s="169">
        <f t="shared" si="43"/>
        <v>0</v>
      </c>
      <c r="Z175" s="103">
        <f t="shared" si="44"/>
        <v>1</v>
      </c>
    </row>
    <row r="176" spans="1:26" x14ac:dyDescent="0.25">
      <c r="A176" s="190" t="s">
        <v>14</v>
      </c>
      <c r="B176" s="190"/>
      <c r="C176" s="190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0">
        <f t="shared" si="47"/>
        <v>2019</v>
      </c>
      <c r="E176" s="188" t="s">
        <v>24</v>
      </c>
      <c r="F176" s="191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8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1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5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0">
        <f t="shared" si="48"/>
        <v>-41950.335705993944</v>
      </c>
      <c r="O176" s="191">
        <f t="shared" si="39"/>
        <v>0</v>
      </c>
      <c r="P176" s="201">
        <f t="shared" si="49"/>
        <v>0</v>
      </c>
      <c r="Q176" s="188">
        <f>IFERROR(VLOOKUP(A176,[1]Energiindhold!$A$2:$C$11,3,FALSE),IFERROR(VLOOKUP(A176,[1]Biogasudbytte!$A$2:$B$18,2,FALSE)*[1]Energiindhold!$C$10,0))*O176</f>
        <v>0</v>
      </c>
      <c r="R176" s="188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8">
        <f>IFERROR(VLOOKUP(A176,[1]Biogasudbytte!$A$2:$B$18,2,FALSE)*[1]Energiindhold!$C$10,0)*J176*IFERROR(VLOOKUP(A176,Biogasanlæg!$F$3:$G$8,2,FALSE),1)</f>
        <v>0</v>
      </c>
      <c r="T176" s="189">
        <f t="shared" si="50"/>
        <v>0</v>
      </c>
      <c r="U176" s="187">
        <f>O176*IFERROR(VLOOKUP(A176,[1]Tørstofindhold!A$2:B$24,2,FALSE),0)</f>
        <v>0</v>
      </c>
      <c r="V176" s="188">
        <f>IF(D176=År1,P176,SUM(O176,P176))*IFERROR(VLOOKUP(A176,[1]Tørstofindhold!A$2:B$24,2,FALSE),0)</f>
        <v>0</v>
      </c>
      <c r="W176" s="188">
        <f>J176*IFERROR(VLOOKUP(A176,[1]Tørstofindhold!A$2:B$24,2,FALSE),0)</f>
        <v>0</v>
      </c>
      <c r="X176" s="189">
        <f t="shared" si="51"/>
        <v>0</v>
      </c>
      <c r="Y176" s="169">
        <f t="shared" si="43"/>
        <v>0</v>
      </c>
      <c r="Z176" s="103">
        <f t="shared" si="44"/>
        <v>1</v>
      </c>
    </row>
    <row r="177" spans="1:26" x14ac:dyDescent="0.25">
      <c r="A177" s="190" t="s">
        <v>55</v>
      </c>
      <c r="B177" s="190"/>
      <c r="C177" s="190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0">
        <f t="shared" si="47"/>
        <v>2019</v>
      </c>
      <c r="E177" s="188" t="s">
        <v>24</v>
      </c>
      <c r="F177" s="191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8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1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5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0">
        <f t="shared" si="48"/>
        <v>396057.87190930446</v>
      </c>
      <c r="O177" s="191">
        <f t="shared" si="39"/>
        <v>0</v>
      </c>
      <c r="P177" s="201">
        <f t="shared" si="49"/>
        <v>0</v>
      </c>
      <c r="Q177" s="188">
        <f>IFERROR(VLOOKUP(A177,[1]Energiindhold!$A$2:$C$11,3,FALSE),IFERROR(VLOOKUP(A177,[1]Biogasudbytte!$A$2:$B$18,2,FALSE)*[1]Energiindhold!$C$10,0))*O177</f>
        <v>0</v>
      </c>
      <c r="R177" s="188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8">
        <f>IFERROR(VLOOKUP(A177,[1]Biogasudbytte!$A$2:$B$18,2,FALSE)*[1]Energiindhold!$C$10,0)*J177*IFERROR(VLOOKUP(A177,Biogasanlæg!$F$3:$G$8,2,FALSE),1)</f>
        <v>0</v>
      </c>
      <c r="T177" s="189">
        <f t="shared" si="50"/>
        <v>0</v>
      </c>
      <c r="U177" s="187">
        <f>O177*IFERROR(VLOOKUP(A177,[1]Tørstofindhold!A$2:B$24,2,FALSE),0)</f>
        <v>0</v>
      </c>
      <c r="V177" s="188">
        <f>IF(D177=År1,P177,SUM(O177,P177))*IFERROR(VLOOKUP(A177,[1]Tørstofindhold!A$2:B$24,2,FALSE),0)</f>
        <v>0</v>
      </c>
      <c r="W177" s="188">
        <f>J177*IFERROR(VLOOKUP(A177,[1]Tørstofindhold!A$2:B$24,2,FALSE),0)</f>
        <v>0</v>
      </c>
      <c r="X177" s="189">
        <f t="shared" si="51"/>
        <v>0</v>
      </c>
      <c r="Y177" s="169">
        <f t="shared" si="43"/>
        <v>0</v>
      </c>
      <c r="Z177" s="103">
        <f t="shared" si="44"/>
        <v>1</v>
      </c>
    </row>
    <row r="178" spans="1:26" x14ac:dyDescent="0.25">
      <c r="A178" s="190" t="s">
        <v>95</v>
      </c>
      <c r="B178" s="190" t="s">
        <v>225</v>
      </c>
      <c r="C178" s="190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0">
        <f t="shared" si="47"/>
        <v>2019</v>
      </c>
      <c r="E178" s="188" t="s">
        <v>24</v>
      </c>
      <c r="F178" s="191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8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1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5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0">
        <f t="shared" si="48"/>
        <v>0</v>
      </c>
      <c r="O178" s="191">
        <f t="shared" si="39"/>
        <v>0</v>
      </c>
      <c r="P178" s="201">
        <f t="shared" si="49"/>
        <v>37577.319945022478</v>
      </c>
      <c r="Q178" s="188">
        <f>IFERROR(VLOOKUP(A178,[1]Energiindhold!$A$2:$C$11,3,FALSE),IFERROR(VLOOKUP(A178,[1]Biogasudbytte!$A$2:$B$18,2,FALSE)*[1]Energiindhold!$C$10,0))*O178</f>
        <v>0</v>
      </c>
      <c r="R178" s="188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8">
        <f>IFERROR(VLOOKUP(A178,[1]Biogasudbytte!$A$2:$B$18,2,FALSE)*[1]Energiindhold!$C$10,0)*J178*IFERROR(VLOOKUP(A178,Biogasanlæg!$F$3:$G$8,2,FALSE),1)</f>
        <v>0</v>
      </c>
      <c r="T178" s="189">
        <f t="shared" si="50"/>
        <v>0.69142268698841347</v>
      </c>
      <c r="U178" s="187">
        <f>O178*IFERROR(VLOOKUP(A178,[1]Tørstofindhold!A$2:B$24,2,FALSE),0)</f>
        <v>0</v>
      </c>
      <c r="V178" s="188">
        <f>IF(D178=År1,P178,SUM(O178,P178))*IFERROR(VLOOKUP(A178,[1]Tørstofindhold!A$2:B$24,2,FALSE),0)</f>
        <v>15594.58777718433</v>
      </c>
      <c r="W178" s="188">
        <f>J178*IFERROR(VLOOKUP(A178,[1]Tørstofindhold!A$2:B$24,2,FALSE),0)</f>
        <v>0</v>
      </c>
      <c r="X178" s="189">
        <f t="shared" si="51"/>
        <v>15594.58777718433</v>
      </c>
      <c r="Y178" s="169">
        <f t="shared" si="43"/>
        <v>0</v>
      </c>
      <c r="Z178" s="103">
        <f t="shared" si="44"/>
        <v>0</v>
      </c>
    </row>
    <row r="179" spans="1:26" x14ac:dyDescent="0.25">
      <c r="A179" s="190" t="s">
        <v>309</v>
      </c>
      <c r="B179" s="190" t="s">
        <v>315</v>
      </c>
      <c r="C179" s="190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0">
        <f t="shared" si="47"/>
        <v>2019</v>
      </c>
      <c r="E179" s="188" t="s">
        <v>24</v>
      </c>
      <c r="F179" s="191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8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1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5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0">
        <f t="shared" ref="N179:N180" si="52">F179-SUM(G179:M179)</f>
        <v>0</v>
      </c>
      <c r="O179" s="191">
        <f t="shared" si="39"/>
        <v>0</v>
      </c>
      <c r="P179" s="201">
        <f t="shared" ref="P179:P180" si="53">SUM(J179,L179)</f>
        <v>0</v>
      </c>
      <c r="Q179" s="188">
        <f>IFERROR(VLOOKUP(A179,[1]Energiindhold!$A$2:$C$11,3,FALSE),IFERROR(VLOOKUP(A179,[1]Biogasudbytte!$A$2:$B$18,2,FALSE)*[1]Energiindhold!$C$10,0))*O179</f>
        <v>0</v>
      </c>
      <c r="R179" s="188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8">
        <f>IFERROR(VLOOKUP(A179,[1]Biogasudbytte!$A$2:$B$18,2,FALSE)*[1]Energiindhold!$C$10,0)*J179*IFERROR(VLOOKUP(A179,Biogasanlæg!$F$3:$G$8,2,FALSE),1)</f>
        <v>0</v>
      </c>
      <c r="T179" s="189">
        <f t="shared" ref="T179:T180" si="54">R179-S179</f>
        <v>0</v>
      </c>
      <c r="U179" s="187">
        <f>O179*IFERROR(VLOOKUP(A179,[1]Tørstofindhold!A$2:B$24,2,FALSE),0)</f>
        <v>0</v>
      </c>
      <c r="V179" s="188">
        <f>IF(D179=År1,P179,SUM(O179,P179))*IFERROR(VLOOKUP(A179,[1]Tørstofindhold!A$2:B$24,2,FALSE),0)</f>
        <v>0</v>
      </c>
      <c r="W179" s="188">
        <f>J179*IFERROR(VLOOKUP(A179,[1]Tørstofindhold!A$2:B$24,2,FALSE),0)</f>
        <v>0</v>
      </c>
      <c r="X179" s="189">
        <f t="shared" ref="X179:X180" si="55">V179-W179</f>
        <v>0</v>
      </c>
      <c r="Y179" s="169">
        <f t="shared" si="43"/>
        <v>0</v>
      </c>
      <c r="Z179" s="103">
        <f t="shared" si="44"/>
        <v>0</v>
      </c>
    </row>
    <row r="180" spans="1:26" x14ac:dyDescent="0.25">
      <c r="A180" s="190" t="s">
        <v>310</v>
      </c>
      <c r="B180" s="190" t="s">
        <v>315</v>
      </c>
      <c r="C180" s="190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0">
        <f t="shared" si="47"/>
        <v>2019</v>
      </c>
      <c r="E180" s="188" t="s">
        <v>24</v>
      </c>
      <c r="F180" s="191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8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1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5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0">
        <f t="shared" si="52"/>
        <v>0</v>
      </c>
      <c r="O180" s="191">
        <f t="shared" si="39"/>
        <v>0</v>
      </c>
      <c r="P180" s="201">
        <f t="shared" si="53"/>
        <v>0</v>
      </c>
      <c r="Q180" s="188">
        <f>IFERROR(VLOOKUP(A180,[1]Energiindhold!$A$2:$C$11,3,FALSE),IFERROR(VLOOKUP(A180,[1]Biogasudbytte!$A$2:$B$18,2,FALSE)*[1]Energiindhold!$C$10,0))*O180</f>
        <v>0</v>
      </c>
      <c r="R180" s="188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8">
        <f>IFERROR(VLOOKUP(A180,[1]Biogasudbytte!$A$2:$B$18,2,FALSE)*[1]Energiindhold!$C$10,0)*J180*IFERROR(VLOOKUP(A180,Biogasanlæg!$F$3:$G$8,2,FALSE),1)</f>
        <v>0</v>
      </c>
      <c r="T180" s="189">
        <f t="shared" si="54"/>
        <v>0</v>
      </c>
      <c r="U180" s="187">
        <f>O180*IFERROR(VLOOKUP(A180,[1]Tørstofindhold!A$2:B$24,2,FALSE),0)</f>
        <v>0</v>
      </c>
      <c r="V180" s="188">
        <f>IF(D180=År1,P180,SUM(O180,P180))*IFERROR(VLOOKUP(A180,[1]Tørstofindhold!A$2:B$24,2,FALSE),0)</f>
        <v>0</v>
      </c>
      <c r="W180" s="188">
        <f>J180*IFERROR(VLOOKUP(A180,[1]Tørstofindhold!A$2:B$24,2,FALSE),0)</f>
        <v>0</v>
      </c>
      <c r="X180" s="189">
        <f t="shared" si="55"/>
        <v>0</v>
      </c>
      <c r="Y180" s="169">
        <f t="shared" si="43"/>
        <v>0</v>
      </c>
      <c r="Z180" s="103">
        <f t="shared" si="44"/>
        <v>0</v>
      </c>
    </row>
    <row r="181" spans="1:26" x14ac:dyDescent="0.25">
      <c r="A181" s="190" t="s">
        <v>117</v>
      </c>
      <c r="B181" s="190"/>
      <c r="C181" s="190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0">
        <f t="shared" si="47"/>
        <v>2019</v>
      </c>
      <c r="E181" s="188" t="s">
        <v>24</v>
      </c>
      <c r="F181" s="191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8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1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5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0">
        <f t="shared" si="48"/>
        <v>346998.01962126989</v>
      </c>
      <c r="O181" s="191">
        <f t="shared" si="39"/>
        <v>0</v>
      </c>
      <c r="P181" s="201">
        <f t="shared" si="49"/>
        <v>0</v>
      </c>
      <c r="Q181" s="188">
        <f>IFERROR(VLOOKUP(A181,[1]Energiindhold!$A$2:$C$11,3,FALSE),IFERROR(VLOOKUP(A181,[1]Biogasudbytte!$A$2:$B$18,2,FALSE)*[1]Energiindhold!$C$10,0))*O181</f>
        <v>0</v>
      </c>
      <c r="R181" s="188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8">
        <f>IFERROR(VLOOKUP(A181,[1]Biogasudbytte!$A$2:$B$18,2,FALSE)*[1]Energiindhold!$C$10,0)*J181*IFERROR(VLOOKUP(A181,Biogasanlæg!$F$3:$G$8,2,FALSE),1)</f>
        <v>0</v>
      </c>
      <c r="T181" s="189">
        <f t="shared" si="50"/>
        <v>0</v>
      </c>
      <c r="U181" s="187">
        <f>O181*IFERROR(VLOOKUP(A181,[1]Tørstofindhold!A$2:B$24,2,FALSE),0)</f>
        <v>0</v>
      </c>
      <c r="V181" s="188">
        <f>IF(D181=År1,P181,SUM(O181,P181))*IFERROR(VLOOKUP(A181,[1]Tørstofindhold!A$2:B$24,2,FALSE),0)</f>
        <v>0</v>
      </c>
      <c r="W181" s="188">
        <f>J181*IFERROR(VLOOKUP(A181,[1]Tørstofindhold!A$2:B$24,2,FALSE),0)</f>
        <v>0</v>
      </c>
      <c r="X181" s="189">
        <f t="shared" si="51"/>
        <v>0</v>
      </c>
      <c r="Y181" s="169">
        <f t="shared" si="43"/>
        <v>0</v>
      </c>
      <c r="Z181" s="103">
        <f t="shared" si="44"/>
        <v>1</v>
      </c>
    </row>
    <row r="182" spans="1:26" x14ac:dyDescent="0.25">
      <c r="A182" s="188" t="s">
        <v>50</v>
      </c>
      <c r="B182" s="190"/>
      <c r="C182" s="190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0">
        <f t="shared" si="47"/>
        <v>2019</v>
      </c>
      <c r="E182" s="188" t="s">
        <v>24</v>
      </c>
      <c r="F182" s="191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8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1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5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0">
        <f t="shared" si="48"/>
        <v>0</v>
      </c>
      <c r="O182" s="191">
        <f t="shared" si="39"/>
        <v>0</v>
      </c>
      <c r="P182" s="201">
        <f t="shared" si="49"/>
        <v>0</v>
      </c>
      <c r="Q182" s="188">
        <f>IFERROR(VLOOKUP(A182,[1]Energiindhold!$A$2:$C$11,3,FALSE),IFERROR(VLOOKUP(A182,[1]Biogasudbytte!$A$2:$B$18,2,FALSE)*[1]Energiindhold!$C$10,0))*O182</f>
        <v>0</v>
      </c>
      <c r="R182" s="188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8">
        <f>IFERROR(VLOOKUP(A182,[1]Biogasudbytte!$A$2:$B$18,2,FALSE)*[1]Energiindhold!$C$10,0)*J182*IFERROR(VLOOKUP(A182,Biogasanlæg!$F$3:$G$8,2,FALSE),1)</f>
        <v>0</v>
      </c>
      <c r="T182" s="189">
        <f t="shared" si="50"/>
        <v>0</v>
      </c>
      <c r="U182" s="187">
        <f>O182*IFERROR(VLOOKUP(A182,[1]Tørstofindhold!A$2:B$24,2,FALSE),0)</f>
        <v>0</v>
      </c>
      <c r="V182" s="188">
        <f>IF(D182=År1,P182,SUM(O182,P182))*IFERROR(VLOOKUP(A182,[1]Tørstofindhold!A$2:B$24,2,FALSE),0)</f>
        <v>0</v>
      </c>
      <c r="W182" s="188">
        <f>J182*IFERROR(VLOOKUP(A182,[1]Tørstofindhold!A$2:B$24,2,FALSE),0)</f>
        <v>0</v>
      </c>
      <c r="X182" s="189">
        <f t="shared" si="51"/>
        <v>0</v>
      </c>
      <c r="Y182" s="169">
        <f t="shared" si="43"/>
        <v>0</v>
      </c>
      <c r="Z182" s="103">
        <f t="shared" si="44"/>
        <v>0</v>
      </c>
    </row>
    <row r="183" spans="1:26" x14ac:dyDescent="0.25">
      <c r="A183" s="188" t="s">
        <v>238</v>
      </c>
      <c r="B183" s="190"/>
      <c r="C183" s="190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0">
        <f t="shared" si="47"/>
        <v>2019</v>
      </c>
      <c r="E183" s="188" t="s">
        <v>24</v>
      </c>
      <c r="F183" s="191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8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1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5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0">
        <f t="shared" si="48"/>
        <v>70508.296689855866</v>
      </c>
      <c r="O183" s="191">
        <f t="shared" si="39"/>
        <v>0</v>
      </c>
      <c r="P183" s="201">
        <f t="shared" si="49"/>
        <v>0</v>
      </c>
      <c r="Q183" s="188">
        <f>IFERROR(VLOOKUP(A183,[1]Energiindhold!$A$2:$C$11,3,FALSE),IFERROR(VLOOKUP(A183,[1]Biogasudbytte!$A$2:$B$18,2,FALSE)*[1]Energiindhold!$C$10,0))*O183</f>
        <v>0</v>
      </c>
      <c r="R183" s="188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8">
        <f>IFERROR(VLOOKUP(A183,[1]Biogasudbytte!$A$2:$B$18,2,FALSE)*[1]Energiindhold!$C$10,0)*J183*IFERROR(VLOOKUP(A183,Biogasanlæg!$F$3:$G$8,2,FALSE),1)</f>
        <v>0</v>
      </c>
      <c r="T183" s="189">
        <f t="shared" si="50"/>
        <v>0</v>
      </c>
      <c r="U183" s="187">
        <f>O183*IFERROR(VLOOKUP(A183,[1]Tørstofindhold!A$2:B$24,2,FALSE),0)</f>
        <v>0</v>
      </c>
      <c r="V183" s="188">
        <f>IF(D183=År1,P183,SUM(O183,P183))*IFERROR(VLOOKUP(A183,[1]Tørstofindhold!A$2:B$24,2,FALSE),0)</f>
        <v>0</v>
      </c>
      <c r="W183" s="188">
        <f>J183*IFERROR(VLOOKUP(A183,[1]Tørstofindhold!A$2:B$24,2,FALSE),0)</f>
        <v>0</v>
      </c>
      <c r="X183" s="189">
        <f t="shared" si="51"/>
        <v>0</v>
      </c>
      <c r="Y183" s="169">
        <f t="shared" si="43"/>
        <v>0</v>
      </c>
      <c r="Z183" s="103">
        <f t="shared" si="44"/>
        <v>1</v>
      </c>
    </row>
    <row r="184" spans="1:26" x14ac:dyDescent="0.25">
      <c r="A184" s="188" t="s">
        <v>231</v>
      </c>
      <c r="B184" s="190" t="s">
        <v>231</v>
      </c>
      <c r="C184" s="190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0">
        <f t="shared" si="47"/>
        <v>2019</v>
      </c>
      <c r="E184" s="188" t="s">
        <v>24</v>
      </c>
      <c r="F184" s="191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8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1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5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0">
        <f t="shared" si="48"/>
        <v>0</v>
      </c>
      <c r="O184" s="191">
        <f t="shared" si="39"/>
        <v>0</v>
      </c>
      <c r="P184" s="201">
        <f t="shared" si="49"/>
        <v>32210.735628649098</v>
      </c>
      <c r="Q184" s="188">
        <f>IFERROR(VLOOKUP(A184,[1]Energiindhold!$A$2:$C$11,3,FALSE),IFERROR(VLOOKUP(A184,[1]Biogasudbytte!$A$2:$B$18,2,FALSE)*[1]Energiindhold!$C$10,0))*O184</f>
        <v>0</v>
      </c>
      <c r="R184" s="188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8">
        <f>IFERROR(VLOOKUP(A184,[1]Biogasudbytte!$A$2:$B$18,2,FALSE)*[1]Energiindhold!$C$10,0)*J184*IFERROR(VLOOKUP(A184,Biogasanlæg!$F$3:$G$8,2,FALSE),1)</f>
        <v>0</v>
      </c>
      <c r="T184" s="189">
        <f t="shared" si="50"/>
        <v>1.1273757470027184</v>
      </c>
      <c r="U184" s="187">
        <f>O184*IFERROR(VLOOKUP(A184,[1]Tørstofindhold!A$2:B$24,2,FALSE),0)</f>
        <v>0</v>
      </c>
      <c r="V184" s="188">
        <f>IF(D184=År1,P184,SUM(O184,P184))*IFERROR(VLOOKUP(A184,[1]Tørstofindhold!A$2:B$24,2,FALSE),0)</f>
        <v>0</v>
      </c>
      <c r="W184" s="188">
        <f>J184*IFERROR(VLOOKUP(A184,[1]Tørstofindhold!A$2:B$24,2,FALSE),0)</f>
        <v>0</v>
      </c>
      <c r="X184" s="189">
        <f t="shared" si="51"/>
        <v>0</v>
      </c>
      <c r="Y184" s="169">
        <f t="shared" si="43"/>
        <v>0</v>
      </c>
      <c r="Z184" s="103">
        <f t="shared" si="44"/>
        <v>0</v>
      </c>
    </row>
    <row r="185" spans="1:26" x14ac:dyDescent="0.25">
      <c r="A185" s="188" t="s">
        <v>52</v>
      </c>
      <c r="B185" s="190" t="s">
        <v>224</v>
      </c>
      <c r="C185" s="190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0">
        <f t="shared" si="47"/>
        <v>2019</v>
      </c>
      <c r="E185" s="188" t="s">
        <v>24</v>
      </c>
      <c r="F185" s="191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8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1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5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0">
        <f t="shared" si="48"/>
        <v>2125183.9129647682</v>
      </c>
      <c r="O185" s="191">
        <f t="shared" si="39"/>
        <v>1656364.6415009145</v>
      </c>
      <c r="P185" s="201">
        <f t="shared" si="49"/>
        <v>24543.951075802775</v>
      </c>
      <c r="Q185" s="188">
        <f>IFERROR(VLOOKUP(A185,[1]Energiindhold!$A$2:$C$11,3,FALSE),IFERROR(VLOOKUP(A185,[1]Biogasudbytte!$A$2:$B$18,2,FALSE)*[1]Energiindhold!$C$10,0))*O185</f>
        <v>4.4954398916191423</v>
      </c>
      <c r="R185" s="188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8">
        <f>IFERROR(VLOOKUP(A185,[1]Biogasudbytte!$A$2:$B$18,2,FALSE)*[1]Energiindhold!$C$10,0)*J185*IFERROR(VLOOKUP(A185,Biogasanlæg!$F$3:$G$8,2,FALSE),1)</f>
        <v>6.6613264977771772E-2</v>
      </c>
      <c r="T185" s="189">
        <f t="shared" si="50"/>
        <v>0</v>
      </c>
      <c r="U185" s="187">
        <f>O185*IFERROR(VLOOKUP(A185,[1]Tørstofindhold!A$2:B$24,2,FALSE),0)</f>
        <v>331272.92830018292</v>
      </c>
      <c r="V185" s="188">
        <f>IF(D185=År1,P185,SUM(O185,P185))*IFERROR(VLOOKUP(A185,[1]Tørstofindhold!A$2:B$24,2,FALSE),0)</f>
        <v>4908.7902151605549</v>
      </c>
      <c r="W185" s="188">
        <f>J185*IFERROR(VLOOKUP(A185,[1]Tørstofindhold!A$2:B$24,2,FALSE),0)</f>
        <v>4908.7902151605549</v>
      </c>
      <c r="X185" s="189">
        <f t="shared" si="51"/>
        <v>0</v>
      </c>
      <c r="Y185" s="169">
        <f t="shared" si="43"/>
        <v>0</v>
      </c>
      <c r="Z185" s="103">
        <f t="shared" si="44"/>
        <v>1</v>
      </c>
    </row>
    <row r="186" spans="1:26" x14ac:dyDescent="0.25">
      <c r="A186" s="188" t="s">
        <v>121</v>
      </c>
      <c r="B186" s="190"/>
      <c r="C186" s="190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0">
        <f t="shared" si="47"/>
        <v>2019</v>
      </c>
      <c r="E186" s="188" t="s">
        <v>24</v>
      </c>
      <c r="F186" s="191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8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1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5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0">
        <f t="shared" si="48"/>
        <v>23179.475218292017</v>
      </c>
      <c r="O186" s="191">
        <f t="shared" si="39"/>
        <v>0</v>
      </c>
      <c r="P186" s="201">
        <f t="shared" si="49"/>
        <v>0</v>
      </c>
      <c r="Q186" s="188">
        <f>IFERROR(VLOOKUP(A186,[1]Energiindhold!$A$2:$C$11,3,FALSE),IFERROR(VLOOKUP(A186,[1]Biogasudbytte!$A$2:$B$18,2,FALSE)*[1]Energiindhold!$C$10,0))*O186</f>
        <v>0</v>
      </c>
      <c r="R186" s="188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8">
        <f>IFERROR(VLOOKUP(A186,[1]Biogasudbytte!$A$2:$B$18,2,FALSE)*[1]Energiindhold!$C$10,0)*J186*IFERROR(VLOOKUP(A186,Biogasanlæg!$F$3:$G$8,2,FALSE),1)</f>
        <v>0</v>
      </c>
      <c r="T186" s="189">
        <f t="shared" si="50"/>
        <v>0</v>
      </c>
      <c r="U186" s="187">
        <f>O186*IFERROR(VLOOKUP(A186,[1]Tørstofindhold!A$2:B$24,2,FALSE),0)</f>
        <v>0</v>
      </c>
      <c r="V186" s="188">
        <f>IF(D186=År1,P186,SUM(O186,P186))*IFERROR(VLOOKUP(A186,[1]Tørstofindhold!A$2:B$24,2,FALSE),0)</f>
        <v>0</v>
      </c>
      <c r="W186" s="188">
        <f>J186*IFERROR(VLOOKUP(A186,[1]Tørstofindhold!A$2:B$24,2,FALSE),0)</f>
        <v>0</v>
      </c>
      <c r="X186" s="189">
        <f t="shared" si="51"/>
        <v>0</v>
      </c>
      <c r="Y186" s="169">
        <f t="shared" si="43"/>
        <v>0</v>
      </c>
      <c r="Z186" s="103">
        <f t="shared" si="44"/>
        <v>1</v>
      </c>
    </row>
    <row r="187" spans="1:26" x14ac:dyDescent="0.25">
      <c r="A187" s="188" t="s">
        <v>107</v>
      </c>
      <c r="B187" s="190"/>
      <c r="C187" s="190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0">
        <f t="shared" si="47"/>
        <v>2019</v>
      </c>
      <c r="E187" s="188" t="s">
        <v>24</v>
      </c>
      <c r="F187" s="191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8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1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5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0">
        <f t="shared" si="48"/>
        <v>14085.970705770382</v>
      </c>
      <c r="O187" s="191">
        <f t="shared" si="39"/>
        <v>0</v>
      </c>
      <c r="P187" s="201">
        <f t="shared" si="49"/>
        <v>0</v>
      </c>
      <c r="Q187" s="188">
        <f>IFERROR(VLOOKUP(A187,[1]Energiindhold!$A$2:$C$11,3,FALSE),IFERROR(VLOOKUP(A187,[1]Biogasudbytte!$A$2:$B$18,2,FALSE)*[1]Energiindhold!$C$10,0))*O187</f>
        <v>0</v>
      </c>
      <c r="R187" s="188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8">
        <f>IFERROR(VLOOKUP(A187,[1]Biogasudbytte!$A$2:$B$18,2,FALSE)*[1]Energiindhold!$C$10,0)*J187*IFERROR(VLOOKUP(A187,Biogasanlæg!$F$3:$G$8,2,FALSE),1)</f>
        <v>0</v>
      </c>
      <c r="T187" s="189">
        <f t="shared" si="50"/>
        <v>0</v>
      </c>
      <c r="U187" s="187">
        <f>O187*IFERROR(VLOOKUP(A187,[1]Tørstofindhold!A$2:B$24,2,FALSE),0)</f>
        <v>0</v>
      </c>
      <c r="V187" s="188">
        <f>IF(D187=År1,P187,SUM(O187,P187))*IFERROR(VLOOKUP(A187,[1]Tørstofindhold!A$2:B$24,2,FALSE),0)</f>
        <v>0</v>
      </c>
      <c r="W187" s="188">
        <f>J187*IFERROR(VLOOKUP(A187,[1]Tørstofindhold!A$2:B$24,2,FALSE),0)</f>
        <v>0</v>
      </c>
      <c r="X187" s="189">
        <f t="shared" si="51"/>
        <v>0</v>
      </c>
      <c r="Y187" s="169">
        <f t="shared" si="43"/>
        <v>0</v>
      </c>
      <c r="Z187" s="103">
        <f t="shared" si="44"/>
        <v>1</v>
      </c>
    </row>
    <row r="188" spans="1:26" x14ac:dyDescent="0.25">
      <c r="A188" s="190" t="s">
        <v>140</v>
      </c>
      <c r="B188" s="190" t="s">
        <v>230</v>
      </c>
      <c r="C188" s="190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0">
        <f t="shared" si="47"/>
        <v>2019</v>
      </c>
      <c r="E188" s="188" t="s">
        <v>24</v>
      </c>
      <c r="F188" s="191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8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1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5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0">
        <f t="shared" si="48"/>
        <v>1978309.9489030582</v>
      </c>
      <c r="O188" s="191">
        <f t="shared" si="39"/>
        <v>1978309.9489030582</v>
      </c>
      <c r="P188" s="201">
        <f t="shared" si="49"/>
        <v>1208651.4125341829</v>
      </c>
      <c r="Q188" s="188">
        <f>IFERROR(VLOOKUP(A188,[1]Energiindhold!$A$2:$C$11,3,FALSE),IFERROR(VLOOKUP(A188,[1]Biogasudbytte!$A$2:$B$18,2,FALSE)*[1]Energiindhold!$C$10,0))*O188</f>
        <v>0.98719644760211522</v>
      </c>
      <c r="R188" s="188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8">
        <f>IFERROR(VLOOKUP(A188,[1]Biogasudbytte!$A$2:$B$18,2,FALSE)*[1]Energiindhold!$C$10,0)*J188*IFERROR(VLOOKUP(A188,Biogasanlæg!$F$3:$G$8,2,FALSE),1)</f>
        <v>0.60312914136868268</v>
      </c>
      <c r="T188" s="189">
        <f t="shared" si="50"/>
        <v>0</v>
      </c>
      <c r="U188" s="187">
        <f>O188*IFERROR(VLOOKUP(A188,[1]Tørstofindhold!A$2:B$24,2,FALSE),0)</f>
        <v>118698.59693418349</v>
      </c>
      <c r="V188" s="188">
        <f>IF(D188=År1,P188,SUM(O188,P188))*IFERROR(VLOOKUP(A188,[1]Tørstofindhold!A$2:B$24,2,FALSE),0)</f>
        <v>72519.084752050971</v>
      </c>
      <c r="W188" s="188">
        <f>J188*IFERROR(VLOOKUP(A188,[1]Tørstofindhold!A$2:B$24,2,FALSE),0)</f>
        <v>72519.084752050971</v>
      </c>
      <c r="X188" s="189">
        <f t="shared" si="51"/>
        <v>0</v>
      </c>
      <c r="Y188" s="169">
        <f t="shared" si="43"/>
        <v>0</v>
      </c>
      <c r="Z188" s="103">
        <f t="shared" si="44"/>
        <v>1</v>
      </c>
    </row>
    <row r="189" spans="1:26" x14ac:dyDescent="0.25">
      <c r="A189" s="190" t="s">
        <v>135</v>
      </c>
      <c r="B189" s="190" t="s">
        <v>222</v>
      </c>
      <c r="C189" s="190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0">
        <f t="shared" si="47"/>
        <v>2019</v>
      </c>
      <c r="E189" s="188" t="s">
        <v>24</v>
      </c>
      <c r="F189" s="191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8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1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5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0">
        <f t="shared" si="48"/>
        <v>0</v>
      </c>
      <c r="O189" s="191">
        <f t="shared" si="39"/>
        <v>0</v>
      </c>
      <c r="P189" s="201">
        <f t="shared" si="49"/>
        <v>380427.26035611134</v>
      </c>
      <c r="Q189" s="188">
        <f>IFERROR(VLOOKUP(A189,[1]Energiindhold!$A$2:$C$11,3,FALSE),IFERROR(VLOOKUP(A189,[1]Biogasudbytte!$A$2:$B$18,2,FALSE)*[1]Energiindhold!$C$10,0))*O189</f>
        <v>0</v>
      </c>
      <c r="R189" s="188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8">
        <f>IFERROR(VLOOKUP(A189,[1]Biogasudbytte!$A$2:$B$18,2,FALSE)*[1]Energiindhold!$C$10,0)*J189*IFERROR(VLOOKUP(A189,Biogasanlæg!$F$3:$G$8,2,FALSE),1)</f>
        <v>0.16388806376141279</v>
      </c>
      <c r="T189" s="189">
        <f t="shared" si="50"/>
        <v>0</v>
      </c>
      <c r="U189" s="187">
        <f>O189*IFERROR(VLOOKUP(A189,[1]Tørstofindhold!A$2:B$24,2,FALSE),0)</f>
        <v>0</v>
      </c>
      <c r="V189" s="188">
        <f>IF(D189=År1,P189,SUM(O189,P189))*IFERROR(VLOOKUP(A189,[1]Tørstofindhold!A$2:B$24,2,FALSE),0)</f>
        <v>19021.363017805568</v>
      </c>
      <c r="W189" s="188">
        <f>J189*IFERROR(VLOOKUP(A189,[1]Tørstofindhold!A$2:B$24,2,FALSE),0)</f>
        <v>19021.363017805568</v>
      </c>
      <c r="X189" s="189">
        <f t="shared" si="51"/>
        <v>0</v>
      </c>
      <c r="Y189" s="169">
        <f t="shared" si="43"/>
        <v>0</v>
      </c>
      <c r="Z189" s="103">
        <f t="shared" si="44"/>
        <v>0</v>
      </c>
    </row>
    <row r="190" spans="1:26" x14ac:dyDescent="0.25">
      <c r="A190" s="190" t="s">
        <v>13</v>
      </c>
      <c r="B190" s="190"/>
      <c r="C190" s="190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0">
        <f t="shared" si="47"/>
        <v>2019</v>
      </c>
      <c r="E190" s="188" t="s">
        <v>24</v>
      </c>
      <c r="F190" s="191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8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1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5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0">
        <f t="shared" si="48"/>
        <v>106195.08352871139</v>
      </c>
      <c r="O190" s="191">
        <f t="shared" si="39"/>
        <v>0</v>
      </c>
      <c r="P190" s="201">
        <f t="shared" si="49"/>
        <v>0</v>
      </c>
      <c r="Q190" s="188">
        <f>IFERROR(VLOOKUP(A190,[1]Energiindhold!$A$2:$C$11,3,FALSE),IFERROR(VLOOKUP(A190,[1]Biogasudbytte!$A$2:$B$18,2,FALSE)*[1]Energiindhold!$C$10,0))*O190</f>
        <v>0</v>
      </c>
      <c r="R190" s="188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8">
        <f>IFERROR(VLOOKUP(A190,[1]Biogasudbytte!$A$2:$B$18,2,FALSE)*[1]Energiindhold!$C$10,0)*J190*IFERROR(VLOOKUP(A190,Biogasanlæg!$F$3:$G$8,2,FALSE),1)</f>
        <v>0</v>
      </c>
      <c r="T190" s="189">
        <f t="shared" si="50"/>
        <v>0</v>
      </c>
      <c r="U190" s="187">
        <f>O190*IFERROR(VLOOKUP(A190,[1]Tørstofindhold!A$2:B$24,2,FALSE),0)</f>
        <v>0</v>
      </c>
      <c r="V190" s="188">
        <f>IF(D190=År1,P190,SUM(O190,P190))*IFERROR(VLOOKUP(A190,[1]Tørstofindhold!A$2:B$24,2,FALSE),0)</f>
        <v>0</v>
      </c>
      <c r="W190" s="188">
        <f>J190*IFERROR(VLOOKUP(A190,[1]Tørstofindhold!A$2:B$24,2,FALSE),0)</f>
        <v>0</v>
      </c>
      <c r="X190" s="189">
        <f t="shared" si="51"/>
        <v>0</v>
      </c>
      <c r="Y190" s="169">
        <f t="shared" si="43"/>
        <v>0</v>
      </c>
      <c r="Z190" s="103">
        <f t="shared" si="44"/>
        <v>1</v>
      </c>
    </row>
    <row r="191" spans="1:26" x14ac:dyDescent="0.25">
      <c r="A191" s="190" t="s">
        <v>99</v>
      </c>
      <c r="B191" s="190" t="s">
        <v>226</v>
      </c>
      <c r="C191" s="190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0">
        <f t="shared" si="47"/>
        <v>2019</v>
      </c>
      <c r="E191" s="188" t="s">
        <v>24</v>
      </c>
      <c r="F191" s="191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8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1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5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0">
        <f t="shared" si="48"/>
        <v>0</v>
      </c>
      <c r="O191" s="191">
        <f t="shared" si="39"/>
        <v>0</v>
      </c>
      <c r="P191" s="201">
        <f t="shared" si="49"/>
        <v>0</v>
      </c>
      <c r="Q191" s="188">
        <f>IFERROR(VLOOKUP(A191,[1]Energiindhold!$A$2:$C$11,3,FALSE),IFERROR(VLOOKUP(A191,[1]Biogasudbytte!$A$2:$B$18,2,FALSE)*[1]Energiindhold!$C$10,0))*O191</f>
        <v>0</v>
      </c>
      <c r="R191" s="188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8">
        <f>IFERROR(VLOOKUP(A191,[1]Biogasudbytte!$A$2:$B$18,2,FALSE)*[1]Energiindhold!$C$10,0)*J191*IFERROR(VLOOKUP(A191,Biogasanlæg!$F$3:$G$8,2,FALSE),1)</f>
        <v>0</v>
      </c>
      <c r="T191" s="189">
        <f t="shared" si="50"/>
        <v>0</v>
      </c>
      <c r="U191" s="187">
        <f>O191*IFERROR(VLOOKUP(A191,[1]Tørstofindhold!A$2:B$24,2,FALSE),0)</f>
        <v>0</v>
      </c>
      <c r="V191" s="188">
        <f>IF(D191=År1,P191,SUM(O191,P191))*IFERROR(VLOOKUP(A191,[1]Tørstofindhold!A$2:B$24,2,FALSE),0)</f>
        <v>0</v>
      </c>
      <c r="W191" s="188">
        <f>J191*IFERROR(VLOOKUP(A191,[1]Tørstofindhold!A$2:B$24,2,FALSE),0)</f>
        <v>0</v>
      </c>
      <c r="X191" s="189">
        <f t="shared" si="51"/>
        <v>0</v>
      </c>
      <c r="Y191" s="169">
        <f t="shared" si="43"/>
        <v>0</v>
      </c>
      <c r="Z191" s="103">
        <f t="shared" si="44"/>
        <v>1</v>
      </c>
    </row>
    <row r="192" spans="1:26" x14ac:dyDescent="0.25">
      <c r="A192" s="190" t="s">
        <v>104</v>
      </c>
      <c r="B192" s="190"/>
      <c r="C192" s="190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0">
        <f t="shared" si="47"/>
        <v>2019</v>
      </c>
      <c r="E192" s="188" t="s">
        <v>24</v>
      </c>
      <c r="F192" s="191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8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1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5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0">
        <f t="shared" si="48"/>
        <v>0</v>
      </c>
      <c r="O192" s="191">
        <f t="shared" si="39"/>
        <v>0</v>
      </c>
      <c r="P192" s="201">
        <f t="shared" si="49"/>
        <v>0</v>
      </c>
      <c r="Q192" s="188">
        <f>IFERROR(VLOOKUP(A192,[1]Energiindhold!$A$2:$C$11,3,FALSE),IFERROR(VLOOKUP(A192,[1]Biogasudbytte!$A$2:$B$18,2,FALSE)*[1]Energiindhold!$C$10,0))*O192</f>
        <v>0</v>
      </c>
      <c r="R192" s="188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8">
        <f>IFERROR(VLOOKUP(A192,[1]Biogasudbytte!$A$2:$B$18,2,FALSE)*[1]Energiindhold!$C$10,0)*J192*IFERROR(VLOOKUP(A192,Biogasanlæg!$F$3:$G$8,2,FALSE),1)</f>
        <v>0</v>
      </c>
      <c r="T192" s="189">
        <f t="shared" si="50"/>
        <v>0</v>
      </c>
      <c r="U192" s="187">
        <f>O192*IFERROR(VLOOKUP(A192,[1]Tørstofindhold!A$2:B$24,2,FALSE),0)</f>
        <v>0</v>
      </c>
      <c r="V192" s="188">
        <f>IF(D192=År1,P192,SUM(O192,P192))*IFERROR(VLOOKUP(A192,[1]Tørstofindhold!A$2:B$24,2,FALSE),0)</f>
        <v>0</v>
      </c>
      <c r="W192" s="188">
        <f>J192*IFERROR(VLOOKUP(A192,[1]Tørstofindhold!A$2:B$24,2,FALSE),0)</f>
        <v>0</v>
      </c>
      <c r="X192" s="189">
        <f t="shared" si="51"/>
        <v>0</v>
      </c>
      <c r="Y192" s="169">
        <f t="shared" si="43"/>
        <v>0</v>
      </c>
      <c r="Z192" s="103">
        <f t="shared" si="44"/>
        <v>0</v>
      </c>
    </row>
    <row r="193" spans="1:26" x14ac:dyDescent="0.25">
      <c r="A193" s="190" t="s">
        <v>119</v>
      </c>
      <c r="B193" s="190" t="s">
        <v>225</v>
      </c>
      <c r="C193" s="190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0">
        <f t="shared" si="47"/>
        <v>2019</v>
      </c>
      <c r="E193" s="188" t="s">
        <v>24</v>
      </c>
      <c r="F193" s="191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8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1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5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0">
        <f t="shared" ca="1" si="48"/>
        <v>0</v>
      </c>
      <c r="O193" s="191">
        <f t="shared" ca="1" si="39"/>
        <v>0</v>
      </c>
      <c r="P193" s="201">
        <f t="shared" ca="1" si="49"/>
        <v>681602.85349434032</v>
      </c>
      <c r="Q193" s="188">
        <f ca="1">IFERROR(VLOOKUP(A193,[1]Energiindhold!$A$2:$C$11,3,FALSE),IFERROR(VLOOKUP(A193,[1]Biogasudbytte!$A$2:$B$18,2,FALSE)*[1]Energiindhold!$C$10,0))*O193</f>
        <v>0</v>
      </c>
      <c r="R193" s="188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8">
        <f>IFERROR(VLOOKUP(A193,[1]Biogasudbytte!$A$2:$B$18,2,FALSE)*[1]Energiindhold!$C$10,0)*J193*IFERROR(VLOOKUP(A193,Biogasanlæg!$F$3:$G$8,2,FALSE),1)</f>
        <v>0</v>
      </c>
      <c r="T193" s="189">
        <f t="shared" ca="1" si="50"/>
        <v>9.878857920085288</v>
      </c>
      <c r="U193" s="187">
        <f ca="1">O193*IFERROR(VLOOKUP(A193,[1]Tørstofindhold!A$2:B$24,2,FALSE),0)</f>
        <v>0</v>
      </c>
      <c r="V193" s="188">
        <f ca="1">IF(D193=År1,P193,SUM(O193,P193))*IFERROR(VLOOKUP(A193,[1]Tørstofindhold!A$2:B$24,2,FALSE),0)</f>
        <v>337109.41129074246</v>
      </c>
      <c r="W193" s="188">
        <f>J193*IFERROR(VLOOKUP(A193,[1]Tørstofindhold!A$2:B$24,2,FALSE),0)</f>
        <v>0</v>
      </c>
      <c r="X193" s="189">
        <f t="shared" ca="1" si="51"/>
        <v>337109.41129074246</v>
      </c>
      <c r="Y193" s="169">
        <f t="shared" ca="1" si="43"/>
        <v>0</v>
      </c>
      <c r="Z193" s="103">
        <f t="shared" ca="1" si="44"/>
        <v>0</v>
      </c>
    </row>
    <row r="194" spans="1:26" x14ac:dyDescent="0.25">
      <c r="A194" s="190" t="s">
        <v>118</v>
      </c>
      <c r="B194" s="190"/>
      <c r="C194" s="190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0">
        <f t="shared" si="47"/>
        <v>2019</v>
      </c>
      <c r="E194" s="188" t="s">
        <v>24</v>
      </c>
      <c r="F194" s="191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8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1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5">
        <f ca="1"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0">
        <f t="shared" ca="1" si="48"/>
        <v>0</v>
      </c>
      <c r="O194" s="191">
        <f t="shared" si="39"/>
        <v>0</v>
      </c>
      <c r="P194" s="201">
        <f t="shared" si="49"/>
        <v>0</v>
      </c>
      <c r="Q194" s="188">
        <f>IFERROR(VLOOKUP(A194,[1]Energiindhold!$A$2:$C$11,3,FALSE),IFERROR(VLOOKUP(A194,[1]Biogasudbytte!$A$2:$B$18,2,FALSE)*[1]Energiindhold!$C$10,0))*O194</f>
        <v>0</v>
      </c>
      <c r="R194" s="188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8">
        <f>IFERROR(VLOOKUP(A194,[1]Biogasudbytte!$A$2:$B$18,2,FALSE)*[1]Energiindhold!$C$10,0)*J194*IFERROR(VLOOKUP(A194,Biogasanlæg!$F$3:$G$8,2,FALSE),1)</f>
        <v>0</v>
      </c>
      <c r="T194" s="189">
        <f t="shared" si="50"/>
        <v>0</v>
      </c>
      <c r="U194" s="187">
        <f>O194*IFERROR(VLOOKUP(A194,[1]Tørstofindhold!A$2:B$24,2,FALSE),0)</f>
        <v>0</v>
      </c>
      <c r="V194" s="188">
        <f>IF(D194=År1,P194,SUM(O194,P194))*IFERROR(VLOOKUP(A194,[1]Tørstofindhold!A$2:B$24,2,FALSE),0)</f>
        <v>0</v>
      </c>
      <c r="W194" s="188">
        <f>J194*IFERROR(VLOOKUP(A194,[1]Tørstofindhold!A$2:B$24,2,FALSE),0)</f>
        <v>0</v>
      </c>
      <c r="X194" s="189">
        <f t="shared" si="51"/>
        <v>0</v>
      </c>
      <c r="Y194" s="169">
        <f t="shared" ca="1" si="43"/>
        <v>0</v>
      </c>
      <c r="Z194" s="103">
        <f t="shared" ca="1" si="44"/>
        <v>0</v>
      </c>
    </row>
    <row r="195" spans="1:26" x14ac:dyDescent="0.25">
      <c r="A195" s="190" t="str">
        <f t="shared" ref="A195:A226" si="56">A147</f>
        <v>Æg</v>
      </c>
      <c r="B195" s="190" t="str">
        <f t="shared" ref="B195:B226" si="57">IF(B147&lt;&gt;"",B147,"")</f>
        <v/>
      </c>
      <c r="C195" s="190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0">
        <f t="shared" ref="D195:D242" si="58">År2</f>
        <v>2030</v>
      </c>
      <c r="E195" s="188" t="s">
        <v>24</v>
      </c>
      <c r="F195" s="191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17058.272612864344</v>
      </c>
      <c r="G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8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1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5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0">
        <f t="shared" si="48"/>
        <v>-11151.067511764195</v>
      </c>
      <c r="O195" s="191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1">
        <f t="shared" si="49"/>
        <v>0</v>
      </c>
      <c r="Q195" s="188">
        <f>IFERROR(VLOOKUP(A195,[1]Energiindhold!$A$2:$C$11,3,FALSE),IFERROR(VLOOKUP(A195,[1]Biogasudbytte!$A$2:$B$18,2,FALSE)*[1]Energiindhold!$C$10,0))*O195</f>
        <v>0</v>
      </c>
      <c r="R195" s="188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8">
        <f>IFERROR(VLOOKUP(A195,[1]Biogasudbytte!$A$2:$B$18,2,FALSE)*[1]Energiindhold!$C$10,0)*J195*IFERROR(VLOOKUP(A195,Biogasanlæg!$F$3:$G$8,2,FALSE),1)</f>
        <v>0</v>
      </c>
      <c r="T195" s="189">
        <f t="shared" si="50"/>
        <v>0</v>
      </c>
      <c r="U195" s="187">
        <f>O195*IFERROR(VLOOKUP(A195,[1]Tørstofindhold!A$2:B$24,2,FALSE),0)</f>
        <v>0</v>
      </c>
      <c r="V195" s="188">
        <f>IF(D195=År1,P195,SUM(O195,P195))*IFERROR(VLOOKUP(A195,[1]Tørstofindhold!A$2:B$24,2,FALSE),0)</f>
        <v>0</v>
      </c>
      <c r="W195" s="188">
        <f>J195*IFERROR(VLOOKUP(A195,[1]Tørstofindhold!A$2:B$24,2,FALSE),0)</f>
        <v>0</v>
      </c>
      <c r="X195" s="189">
        <f t="shared" si="51"/>
        <v>0</v>
      </c>
      <c r="Y195" s="169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0" t="str">
        <f t="shared" si="56"/>
        <v>Bælgsæd</v>
      </c>
      <c r="B196" s="190" t="str">
        <f t="shared" si="57"/>
        <v/>
      </c>
      <c r="C196" s="190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0">
        <f t="shared" si="58"/>
        <v>2030</v>
      </c>
      <c r="E196" s="188" t="s">
        <v>24</v>
      </c>
      <c r="F196" s="191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63826.34089651754</v>
      </c>
      <c r="G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7493.8897181076927</v>
      </c>
      <c r="H196" s="188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1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5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0">
        <f t="shared" si="48"/>
        <v>56332.45117840985</v>
      </c>
      <c r="O196" s="191">
        <f t="shared" si="59"/>
        <v>0</v>
      </c>
      <c r="P196" s="201">
        <f t="shared" si="49"/>
        <v>0</v>
      </c>
      <c r="Q196" s="188">
        <f>IFERROR(VLOOKUP(A196,[1]Energiindhold!$A$2:$C$11,3,FALSE),IFERROR(VLOOKUP(A196,[1]Biogasudbytte!$A$2:$B$18,2,FALSE)*[1]Energiindhold!$C$10,0))*O196</f>
        <v>0</v>
      </c>
      <c r="R196" s="188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8">
        <f>IFERROR(VLOOKUP(A196,[1]Biogasudbytte!$A$2:$B$18,2,FALSE)*[1]Energiindhold!$C$10,0)*J196*IFERROR(VLOOKUP(A196,Biogasanlæg!$F$3:$G$8,2,FALSE),1)</f>
        <v>0</v>
      </c>
      <c r="T196" s="189">
        <f t="shared" si="50"/>
        <v>0</v>
      </c>
      <c r="U196" s="187">
        <f>O196*IFERROR(VLOOKUP(A196,[1]Tørstofindhold!A$2:B$24,2,FALSE),0)</f>
        <v>0</v>
      </c>
      <c r="V196" s="188">
        <f>IF(D196=År1,P196,SUM(O196,P196))*IFERROR(VLOOKUP(A196,[1]Tørstofindhold!A$2:B$24,2,FALSE),0)</f>
        <v>0</v>
      </c>
      <c r="W196" s="188">
        <f>J196*IFERROR(VLOOKUP(A196,[1]Tørstofindhold!A$2:B$24,2,FALSE),0)</f>
        <v>0</v>
      </c>
      <c r="X196" s="189">
        <f t="shared" si="51"/>
        <v>0</v>
      </c>
      <c r="Y196" s="169">
        <f t="shared" si="60"/>
        <v>0</v>
      </c>
      <c r="Z196" s="103">
        <f t="shared" si="61"/>
        <v>1</v>
      </c>
    </row>
    <row r="197" spans="1:26" x14ac:dyDescent="0.25">
      <c r="A197" s="190" t="str">
        <f t="shared" si="56"/>
        <v>Bioaffald</v>
      </c>
      <c r="B197" s="190" t="str">
        <f t="shared" si="57"/>
        <v>Bionedbrydeligt affald</v>
      </c>
      <c r="C197" s="190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0">
        <f t="shared" si="58"/>
        <v>2030</v>
      </c>
      <c r="E197" s="188" t="s">
        <v>24</v>
      </c>
      <c r="F197" s="191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8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1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1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5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0">
        <f t="shared" ca="1" si="48"/>
        <v>-1.3112847955198959E-2</v>
      </c>
      <c r="O197" s="191">
        <f t="shared" ca="1" si="59"/>
        <v>0</v>
      </c>
      <c r="P197" s="201">
        <f t="shared" ca="1" si="49"/>
        <v>168912.75887120995</v>
      </c>
      <c r="Q197" s="188">
        <f ca="1">IFERROR(VLOOKUP(A197,[1]Energiindhold!$A$2:$C$11,3,FALSE),IFERROR(VLOOKUP(A197,[1]Biogasudbytte!$A$2:$B$18,2,FALSE)*[1]Energiindhold!$C$10,0))*O197</f>
        <v>0</v>
      </c>
      <c r="R197" s="188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8">
        <f ca="1">IFERROR(VLOOKUP(A197,[1]Biogasudbytte!$A$2:$B$18,2,FALSE)*[1]Energiindhold!$C$10,0)*J197*IFERROR(VLOOKUP(A197,Biogasanlæg!$F$3:$G$8,2,FALSE),1)</f>
        <v>0.57547056732591406</v>
      </c>
      <c r="T197" s="189">
        <f t="shared" ca="1" si="50"/>
        <v>0</v>
      </c>
      <c r="U197" s="187">
        <f ca="1">O197*IFERROR(VLOOKUP(A197,[1]Tørstofindhold!A$2:B$24,2,FALSE),0)</f>
        <v>0</v>
      </c>
      <c r="V197" s="188">
        <f ca="1">IF(D197=År1,P197,SUM(O197,P197))*IFERROR(VLOOKUP(A197,[1]Tørstofindhold!A$2:B$24,2,FALSE),0)</f>
        <v>47295.572483938791</v>
      </c>
      <c r="W197" s="188">
        <f ca="1">J197*IFERROR(VLOOKUP(A197,[1]Tørstofindhold!A$2:B$24,2,FALSE),0)</f>
        <v>47295.572483938791</v>
      </c>
      <c r="X197" s="189">
        <f t="shared" ca="1" si="51"/>
        <v>0</v>
      </c>
      <c r="Y197" s="169">
        <f t="shared" ca="1" si="60"/>
        <v>1</v>
      </c>
      <c r="Z197" s="103">
        <f t="shared" ca="1" si="61"/>
        <v>0</v>
      </c>
    </row>
    <row r="198" spans="1:26" x14ac:dyDescent="0.25">
      <c r="A198" s="190" t="str">
        <f t="shared" si="56"/>
        <v>Biogas</v>
      </c>
      <c r="B198" s="190" t="str">
        <f t="shared" si="57"/>
        <v/>
      </c>
      <c r="C198" s="190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0">
        <f t="shared" si="58"/>
        <v>2030</v>
      </c>
      <c r="E198" s="188" t="s">
        <v>24</v>
      </c>
      <c r="F198" s="191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113011104.03164914</v>
      </c>
      <c r="G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8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1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113011104.03164914</v>
      </c>
      <c r="M198" s="155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0">
        <f t="shared" ca="1" si="48"/>
        <v>0</v>
      </c>
      <c r="O198" s="191">
        <f t="shared" ca="1" si="59"/>
        <v>0</v>
      </c>
      <c r="P198" s="201">
        <f t="shared" ca="1" si="49"/>
        <v>113011104.03164914</v>
      </c>
      <c r="Q198" s="188">
        <f ca="1">IFERROR(VLOOKUP(A198,[1]Energiindhold!$A$2:$C$11,3,FALSE),IFERROR(VLOOKUP(A198,[1]Biogasudbytte!$A$2:$B$18,2,FALSE)*[1]Energiindhold!$C$10,0))*O198</f>
        <v>0</v>
      </c>
      <c r="R198" s="188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8">
        <f>IFERROR(VLOOKUP(A198,[1]Biogasudbytte!$A$2:$B$18,2,FALSE)*[1]Energiindhold!$C$10,0)*J198*IFERROR(VLOOKUP(A198,Biogasanlæg!$F$3:$G$8,2,FALSE),1)</f>
        <v>0</v>
      </c>
      <c r="T198" s="189">
        <f t="shared" si="50"/>
        <v>0</v>
      </c>
      <c r="U198" s="187">
        <f ca="1">O198*IFERROR(VLOOKUP(A198,[1]Tørstofindhold!A$2:B$24,2,FALSE),0)</f>
        <v>0</v>
      </c>
      <c r="V198" s="188">
        <f ca="1">IF(D198=År1,P198,SUM(O198,P198))*IFERROR(VLOOKUP(A198,[1]Tørstofindhold!A$2:B$24,2,FALSE),0)</f>
        <v>0</v>
      </c>
      <c r="W198" s="188">
        <f>J198*IFERROR(VLOOKUP(A198,[1]Tørstofindhold!A$2:B$24,2,FALSE),0)</f>
        <v>0</v>
      </c>
      <c r="X198" s="189">
        <f t="shared" ca="1" si="51"/>
        <v>0</v>
      </c>
      <c r="Y198" s="169">
        <f t="shared" ca="1" si="60"/>
        <v>0</v>
      </c>
      <c r="Z198" s="103">
        <f t="shared" ca="1" si="61"/>
        <v>0</v>
      </c>
    </row>
    <row r="199" spans="1:26" x14ac:dyDescent="0.25">
      <c r="A199" s="190" t="str">
        <f t="shared" si="56"/>
        <v>Biogasgylle</v>
      </c>
      <c r="B199" s="190" t="str">
        <f t="shared" si="57"/>
        <v/>
      </c>
      <c r="C199" s="190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0">
        <f t="shared" si="58"/>
        <v>2030</v>
      </c>
      <c r="E199" s="188" t="s">
        <v>24</v>
      </c>
      <c r="F199" s="191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3434264.6468584086</v>
      </c>
      <c r="G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8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1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2988609.6405701884</v>
      </c>
      <c r="L199" s="191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5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0">
        <f t="shared" ca="1" si="48"/>
        <v>445655.00628822017</v>
      </c>
      <c r="O199" s="191">
        <f t="shared" si="59"/>
        <v>0</v>
      </c>
      <c r="P199" s="201">
        <f t="shared" si="49"/>
        <v>0</v>
      </c>
      <c r="Q199" s="188">
        <f>IFERROR(VLOOKUP(A199,[1]Energiindhold!$A$2:$C$11,3,FALSE),IFERROR(VLOOKUP(A199,[1]Biogasudbytte!$A$2:$B$18,2,FALSE)*[1]Energiindhold!$C$10,0))*O199</f>
        <v>0</v>
      </c>
      <c r="R199" s="188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8">
        <f>IFERROR(VLOOKUP(A199,[1]Biogasudbytte!$A$2:$B$18,2,FALSE)*[1]Energiindhold!$C$10,0)*J199*IFERROR(VLOOKUP(A199,Biogasanlæg!$F$3:$G$8,2,FALSE),1)</f>
        <v>0</v>
      </c>
      <c r="T199" s="189">
        <f t="shared" si="50"/>
        <v>0</v>
      </c>
      <c r="U199" s="187">
        <f>O199*IFERROR(VLOOKUP(A199,[1]Tørstofindhold!A$2:B$24,2,FALSE),0)</f>
        <v>0</v>
      </c>
      <c r="V199" s="188">
        <f>IF(D199=År1,P199,SUM(O199,P199))*IFERROR(VLOOKUP(A199,[1]Tørstofindhold!A$2:B$24,2,FALSE),0)</f>
        <v>0</v>
      </c>
      <c r="W199" s="188">
        <f>J199*IFERROR(VLOOKUP(A199,[1]Tørstofindhold!A$2:B$24,2,FALSE),0)</f>
        <v>0</v>
      </c>
      <c r="X199" s="189">
        <f t="shared" si="51"/>
        <v>0</v>
      </c>
      <c r="Y199" s="169">
        <f t="shared" ca="1" si="60"/>
        <v>0</v>
      </c>
      <c r="Z199" s="103">
        <f t="shared" ca="1" si="61"/>
        <v>1</v>
      </c>
    </row>
    <row r="200" spans="1:26" x14ac:dyDescent="0.25">
      <c r="A200" s="190" t="str">
        <f t="shared" si="56"/>
        <v>Brun saft</v>
      </c>
      <c r="B200" s="190" t="str">
        <f t="shared" si="57"/>
        <v>Bionedbrydeligt affald</v>
      </c>
      <c r="C200" s="190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0">
        <f t="shared" si="58"/>
        <v>2030</v>
      </c>
      <c r="E200" s="188" t="s">
        <v>24</v>
      </c>
      <c r="F200" s="191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88018.668339788041</v>
      </c>
      <c r="G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8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8801.8668339788037</v>
      </c>
      <c r="K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1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5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0">
        <f t="shared" si="48"/>
        <v>79216.801505809242</v>
      </c>
      <c r="O200" s="191">
        <f t="shared" si="59"/>
        <v>79216.801505809242</v>
      </c>
      <c r="P200" s="201">
        <f t="shared" si="49"/>
        <v>8801.8668339788037</v>
      </c>
      <c r="Q200" s="188">
        <f>IFERROR(VLOOKUP(A200,[1]Energiindhold!$A$2:$C$11,3,FALSE),IFERROR(VLOOKUP(A200,[1]Biogasudbytte!$A$2:$B$18,2,FALSE)*[1]Energiindhold!$C$10,0))*O200</f>
        <v>4.4997208987015251E-2</v>
      </c>
      <c r="R200" s="188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4.999689887446139E-2</v>
      </c>
      <c r="S200" s="188">
        <f>IFERROR(VLOOKUP(A200,[1]Biogasudbytte!$A$2:$B$18,2,FALSE)*[1]Energiindhold!$C$10,0)*J200*IFERROR(VLOOKUP(A200,Biogasanlæg!$F$3:$G$8,2,FALSE),1)</f>
        <v>4.9996898874461381E-3</v>
      </c>
      <c r="T200" s="189">
        <f t="shared" si="50"/>
        <v>4.4997208987015251E-2</v>
      </c>
      <c r="U200" s="187">
        <f>O200*IFERROR(VLOOKUP(A200,[1]Tørstofindhold!A$2:B$24,2,FALSE),0)</f>
        <v>3387.5787839354994</v>
      </c>
      <c r="V200" s="188">
        <f>IF(D200=År1,P200,SUM(O200,P200))*IFERROR(VLOOKUP(A200,[1]Tørstofindhold!A$2:B$24,2,FALSE),0)</f>
        <v>3763.9764265949993</v>
      </c>
      <c r="W200" s="188">
        <f>J200*IFERROR(VLOOKUP(A200,[1]Tørstofindhold!A$2:B$24,2,FALSE),0)</f>
        <v>376.39764265949992</v>
      </c>
      <c r="X200" s="189">
        <f t="shared" si="51"/>
        <v>3387.5787839354994</v>
      </c>
      <c r="Y200" s="169">
        <f t="shared" si="60"/>
        <v>0</v>
      </c>
      <c r="Z200" s="103">
        <f t="shared" si="61"/>
        <v>1</v>
      </c>
    </row>
    <row r="201" spans="1:26" x14ac:dyDescent="0.25">
      <c r="A201" s="190" t="str">
        <f t="shared" si="56"/>
        <v>Dybstrøelse</v>
      </c>
      <c r="B201" s="190" t="str">
        <f t="shared" si="57"/>
        <v>Husdyrgødning</v>
      </c>
      <c r="C201" s="190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0">
        <f t="shared" si="58"/>
        <v>2030</v>
      </c>
      <c r="E201" s="188" t="s">
        <v>24</v>
      </c>
      <c r="F201" s="191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394046.35552146425</v>
      </c>
      <c r="G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8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197023.17776073213</v>
      </c>
      <c r="K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74587.345866562871</v>
      </c>
      <c r="L201" s="191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5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0">
        <f t="shared" si="48"/>
        <v>122435.83189416927</v>
      </c>
      <c r="O201" s="191">
        <f t="shared" si="59"/>
        <v>122435.83189416927</v>
      </c>
      <c r="P201" s="201">
        <f t="shared" si="49"/>
        <v>197023.17776073213</v>
      </c>
      <c r="Q201" s="188">
        <f>IFERROR(VLOOKUP(A201,[1]Energiindhold!$A$2:$C$11,3,FALSE),IFERROR(VLOOKUP(A201,[1]Biogasudbytte!$A$2:$B$18,2,FALSE)*[1]Energiindhold!$C$10,0))*O201</f>
        <v>0.26372678190004062</v>
      </c>
      <c r="R201" s="188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0.68811470679665765</v>
      </c>
      <c r="S201" s="188">
        <f>IFERROR(VLOOKUP(A201,[1]Biogasudbytte!$A$2:$B$18,2,FALSE)*[1]Energiindhold!$C$10,0)*J201*IFERROR(VLOOKUP(A201,Biogasanlæg!$F$3:$G$8,2,FALSE),1)</f>
        <v>0.42438792489661703</v>
      </c>
      <c r="T201" s="189">
        <f t="shared" si="50"/>
        <v>0.26372678190004062</v>
      </c>
      <c r="U201" s="187">
        <f>O201*IFERROR(VLOOKUP(A201,[1]Tørstofindhold!A$2:B$24,2,FALSE),0)</f>
        <v>36730.74956825078</v>
      </c>
      <c r="V201" s="188">
        <f>IF(D201=År1,P201,SUM(O201,P201))*IFERROR(VLOOKUP(A201,[1]Tørstofindhold!A$2:B$24,2,FALSE),0)</f>
        <v>95837.702896470422</v>
      </c>
      <c r="W201" s="188">
        <f>J201*IFERROR(VLOOKUP(A201,[1]Tørstofindhold!A$2:B$24,2,FALSE),0)</f>
        <v>59106.953328219635</v>
      </c>
      <c r="X201" s="189">
        <f t="shared" si="51"/>
        <v>36730.749568250787</v>
      </c>
      <c r="Y201" s="169">
        <f t="shared" si="60"/>
        <v>0</v>
      </c>
      <c r="Z201" s="103">
        <f t="shared" si="61"/>
        <v>1</v>
      </c>
    </row>
    <row r="202" spans="1:26" x14ac:dyDescent="0.25">
      <c r="A202" s="190" t="str">
        <f t="shared" si="56"/>
        <v>Fiberfraktion</v>
      </c>
      <c r="B202" s="190" t="str">
        <f t="shared" si="57"/>
        <v/>
      </c>
      <c r="C202" s="190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0">
        <f t="shared" si="58"/>
        <v>2030</v>
      </c>
      <c r="E202" s="188" t="s">
        <v>24</v>
      </c>
      <c r="F202" s="191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61994.905849799994</v>
      </c>
      <c r="G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62973.863177375555</v>
      </c>
      <c r="H202" s="188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1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5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0">
        <f t="shared" si="48"/>
        <v>-978.95732757556107</v>
      </c>
      <c r="O202" s="191">
        <f t="shared" si="59"/>
        <v>0</v>
      </c>
      <c r="P202" s="201">
        <f t="shared" si="49"/>
        <v>0</v>
      </c>
      <c r="Q202" s="188">
        <f>IFERROR(VLOOKUP(A202,[1]Energiindhold!$A$2:$C$11,3,FALSE),IFERROR(VLOOKUP(A202,[1]Biogasudbytte!$A$2:$B$18,2,FALSE)*[1]Energiindhold!$C$10,0))*O202</f>
        <v>0</v>
      </c>
      <c r="R202" s="188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8">
        <f>IFERROR(VLOOKUP(A202,[1]Biogasudbytte!$A$2:$B$18,2,FALSE)*[1]Energiindhold!$C$10,0)*J202*IFERROR(VLOOKUP(A202,Biogasanlæg!$F$3:$G$8,2,FALSE),1)</f>
        <v>0</v>
      </c>
      <c r="T202" s="189">
        <f t="shared" si="50"/>
        <v>0</v>
      </c>
      <c r="U202" s="187">
        <f>O202*IFERROR(VLOOKUP(A202,[1]Tørstofindhold!A$2:B$24,2,FALSE),0)</f>
        <v>0</v>
      </c>
      <c r="V202" s="188">
        <f>IF(D202=År1,P202,SUM(O202,P202))*IFERROR(VLOOKUP(A202,[1]Tørstofindhold!A$2:B$24,2,FALSE),0)</f>
        <v>0</v>
      </c>
      <c r="W202" s="188">
        <f>J202*IFERROR(VLOOKUP(A202,[1]Tørstofindhold!A$2:B$24,2,FALSE),0)</f>
        <v>0</v>
      </c>
      <c r="X202" s="189">
        <f t="shared" si="51"/>
        <v>0</v>
      </c>
      <c r="Y202" s="169">
        <f t="shared" si="60"/>
        <v>1</v>
      </c>
      <c r="Z202" s="103">
        <f t="shared" si="61"/>
        <v>0</v>
      </c>
    </row>
    <row r="203" spans="1:26" x14ac:dyDescent="0.25">
      <c r="A203" s="190" t="str">
        <f t="shared" si="56"/>
        <v>Fjerkrægylle</v>
      </c>
      <c r="B203" s="190" t="str">
        <f t="shared" si="57"/>
        <v>Husdyrgødning</v>
      </c>
      <c r="C203" s="190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0">
        <f t="shared" si="58"/>
        <v>2030</v>
      </c>
      <c r="E203" s="188" t="s">
        <v>24</v>
      </c>
      <c r="F203" s="191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743.56732399226598</v>
      </c>
      <c r="G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8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371.78366199613299</v>
      </c>
      <c r="K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371.78366199613299</v>
      </c>
      <c r="L203" s="191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5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0">
        <f t="shared" si="48"/>
        <v>0</v>
      </c>
      <c r="O203" s="191">
        <f t="shared" si="59"/>
        <v>0</v>
      </c>
      <c r="P203" s="201">
        <f t="shared" si="49"/>
        <v>371.78366199613299</v>
      </c>
      <c r="Q203" s="188">
        <f>IFERROR(VLOOKUP(A203,[1]Energiindhold!$A$2:$C$11,3,FALSE),IFERROR(VLOOKUP(A203,[1]Biogasudbytte!$A$2:$B$18,2,FALSE)*[1]Energiindhold!$C$10,0))*O203</f>
        <v>0</v>
      </c>
      <c r="R203" s="188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1.7484613840016138E-4</v>
      </c>
      <c r="S203" s="188">
        <f>IFERROR(VLOOKUP(A203,[1]Biogasudbytte!$A$2:$B$18,2,FALSE)*[1]Energiindhold!$C$10,0)*J203*IFERROR(VLOOKUP(A203,Biogasanlæg!$F$3:$G$8,2,FALSE),1)</f>
        <v>1.7484613840016138E-4</v>
      </c>
      <c r="T203" s="189">
        <f t="shared" si="50"/>
        <v>0</v>
      </c>
      <c r="U203" s="187">
        <f>O203*IFERROR(VLOOKUP(A203,[1]Tørstofindhold!A$2:B$24,2,FALSE),0)</f>
        <v>0</v>
      </c>
      <c r="V203" s="188">
        <f>IF(D203=År1,P203,SUM(O203,P203))*IFERROR(VLOOKUP(A203,[1]Tørstofindhold!A$2:B$24,2,FALSE),0)</f>
        <v>23.422370705756379</v>
      </c>
      <c r="W203" s="188">
        <f>J203*IFERROR(VLOOKUP(A203,[1]Tørstofindhold!A$2:B$24,2,FALSE),0)</f>
        <v>23.422370705756379</v>
      </c>
      <c r="X203" s="189">
        <f t="shared" si="51"/>
        <v>0</v>
      </c>
      <c r="Y203" s="169">
        <f t="shared" si="60"/>
        <v>0</v>
      </c>
      <c r="Z203" s="103">
        <f t="shared" si="61"/>
        <v>0</v>
      </c>
    </row>
    <row r="204" spans="1:26" x14ac:dyDescent="0.25">
      <c r="A204" s="190" t="str">
        <f t="shared" si="56"/>
        <v>Fjerkrækød</v>
      </c>
      <c r="B204" s="190" t="str">
        <f t="shared" si="57"/>
        <v/>
      </c>
      <c r="C204" s="190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0">
        <f t="shared" si="58"/>
        <v>2030</v>
      </c>
      <c r="E204" s="188" t="s">
        <v>24</v>
      </c>
      <c r="F204" s="191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13977.105965819914</v>
      </c>
      <c r="G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8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1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5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0">
        <f t="shared" si="48"/>
        <v>-16583.012502527672</v>
      </c>
      <c r="O204" s="191">
        <f t="shared" si="59"/>
        <v>0</v>
      </c>
      <c r="P204" s="201">
        <f t="shared" si="49"/>
        <v>0</v>
      </c>
      <c r="Q204" s="188">
        <f>IFERROR(VLOOKUP(A204,[1]Energiindhold!$A$2:$C$11,3,FALSE),IFERROR(VLOOKUP(A204,[1]Biogasudbytte!$A$2:$B$18,2,FALSE)*[1]Energiindhold!$C$10,0))*O204</f>
        <v>0</v>
      </c>
      <c r="R204" s="188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8">
        <f>IFERROR(VLOOKUP(A204,[1]Biogasudbytte!$A$2:$B$18,2,FALSE)*[1]Energiindhold!$C$10,0)*J204*IFERROR(VLOOKUP(A204,Biogasanlæg!$F$3:$G$8,2,FALSE),1)</f>
        <v>0</v>
      </c>
      <c r="T204" s="189">
        <f t="shared" si="50"/>
        <v>0</v>
      </c>
      <c r="U204" s="187">
        <f>O204*IFERROR(VLOOKUP(A204,[1]Tørstofindhold!A$2:B$24,2,FALSE),0)</f>
        <v>0</v>
      </c>
      <c r="V204" s="188">
        <f>IF(D204=År1,P204,SUM(O204,P204))*IFERROR(VLOOKUP(A204,[1]Tørstofindhold!A$2:B$24,2,FALSE),0)</f>
        <v>0</v>
      </c>
      <c r="W204" s="188">
        <f>J204*IFERROR(VLOOKUP(A204,[1]Tørstofindhold!A$2:B$24,2,FALSE),0)</f>
        <v>0</v>
      </c>
      <c r="X204" s="189">
        <f t="shared" si="51"/>
        <v>0</v>
      </c>
      <c r="Y204" s="169">
        <f t="shared" si="60"/>
        <v>0</v>
      </c>
      <c r="Z204" s="103">
        <f t="shared" si="61"/>
        <v>1</v>
      </c>
    </row>
    <row r="205" spans="1:26" x14ac:dyDescent="0.25">
      <c r="A205" s="190" t="str">
        <f t="shared" si="56"/>
        <v>Frø</v>
      </c>
      <c r="B205" s="190" t="str">
        <f t="shared" si="57"/>
        <v/>
      </c>
      <c r="C205" s="190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0">
        <f t="shared" si="58"/>
        <v>2030</v>
      </c>
      <c r="E205" s="188" t="s">
        <v>24</v>
      </c>
      <c r="F205" s="191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321978.66045818618</v>
      </c>
      <c r="G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8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1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5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0">
        <f t="shared" si="48"/>
        <v>321978.66045818618</v>
      </c>
      <c r="O205" s="191">
        <f t="shared" si="59"/>
        <v>0</v>
      </c>
      <c r="P205" s="201">
        <f t="shared" si="49"/>
        <v>0</v>
      </c>
      <c r="Q205" s="188">
        <f>IFERROR(VLOOKUP(A205,[1]Energiindhold!$A$2:$C$11,3,FALSE),IFERROR(VLOOKUP(A205,[1]Biogasudbytte!$A$2:$B$18,2,FALSE)*[1]Energiindhold!$C$10,0))*O205</f>
        <v>0</v>
      </c>
      <c r="R205" s="188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8">
        <f>IFERROR(VLOOKUP(A205,[1]Biogasudbytte!$A$2:$B$18,2,FALSE)*[1]Energiindhold!$C$10,0)*J205*IFERROR(VLOOKUP(A205,Biogasanlæg!$F$3:$G$8,2,FALSE),1)</f>
        <v>0</v>
      </c>
      <c r="T205" s="189">
        <f t="shared" si="50"/>
        <v>0</v>
      </c>
      <c r="U205" s="187">
        <f>O205*IFERROR(VLOOKUP(A205,[1]Tørstofindhold!A$2:B$24,2,FALSE),0)</f>
        <v>0</v>
      </c>
      <c r="V205" s="188">
        <f>IF(D205=År1,P205,SUM(O205,P205))*IFERROR(VLOOKUP(A205,[1]Tørstofindhold!A$2:B$24,2,FALSE),0)</f>
        <v>0</v>
      </c>
      <c r="W205" s="188">
        <f>J205*IFERROR(VLOOKUP(A205,[1]Tørstofindhold!A$2:B$24,2,FALSE),0)</f>
        <v>0</v>
      </c>
      <c r="X205" s="189">
        <f t="shared" si="51"/>
        <v>0</v>
      </c>
      <c r="Y205" s="169">
        <f t="shared" si="60"/>
        <v>0</v>
      </c>
      <c r="Z205" s="103">
        <f t="shared" si="61"/>
        <v>1</v>
      </c>
    </row>
    <row r="206" spans="1:26" x14ac:dyDescent="0.25">
      <c r="A206" s="190" t="str">
        <f t="shared" si="56"/>
        <v>Frugt</v>
      </c>
      <c r="B206" s="190" t="str">
        <f t="shared" si="57"/>
        <v/>
      </c>
      <c r="C206" s="190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0">
        <f t="shared" si="58"/>
        <v>2030</v>
      </c>
      <c r="E206" s="188" t="s">
        <v>24</v>
      </c>
      <c r="F206" s="191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9322.9977462727657</v>
      </c>
      <c r="G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8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1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5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0">
        <f t="shared" si="48"/>
        <v>-214000.94490703652</v>
      </c>
      <c r="O206" s="191">
        <f t="shared" si="59"/>
        <v>0</v>
      </c>
      <c r="P206" s="201">
        <f t="shared" si="49"/>
        <v>0</v>
      </c>
      <c r="Q206" s="188">
        <f>IFERROR(VLOOKUP(A206,[1]Energiindhold!$A$2:$C$11,3,FALSE),IFERROR(VLOOKUP(A206,[1]Biogasudbytte!$A$2:$B$18,2,FALSE)*[1]Energiindhold!$C$10,0))*O206</f>
        <v>0</v>
      </c>
      <c r="R206" s="188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8">
        <f>IFERROR(VLOOKUP(A206,[1]Biogasudbytte!$A$2:$B$18,2,FALSE)*[1]Energiindhold!$C$10,0)*J206*IFERROR(VLOOKUP(A206,Biogasanlæg!$F$3:$G$8,2,FALSE),1)</f>
        <v>0</v>
      </c>
      <c r="T206" s="189">
        <f t="shared" si="50"/>
        <v>0</v>
      </c>
      <c r="U206" s="187">
        <f>O206*IFERROR(VLOOKUP(A206,[1]Tørstofindhold!A$2:B$24,2,FALSE),0)</f>
        <v>0</v>
      </c>
      <c r="V206" s="188">
        <f>IF(D206=År1,P206,SUM(O206,P206))*IFERROR(VLOOKUP(A206,[1]Tørstofindhold!A$2:B$24,2,FALSE),0)</f>
        <v>0</v>
      </c>
      <c r="W206" s="188">
        <f>J206*IFERROR(VLOOKUP(A206,[1]Tørstofindhold!A$2:B$24,2,FALSE),0)</f>
        <v>0</v>
      </c>
      <c r="X206" s="189">
        <f t="shared" si="51"/>
        <v>0</v>
      </c>
      <c r="Y206" s="169">
        <f t="shared" si="60"/>
        <v>1</v>
      </c>
      <c r="Z206" s="103">
        <f t="shared" si="61"/>
        <v>0</v>
      </c>
    </row>
    <row r="207" spans="1:26" x14ac:dyDescent="0.25">
      <c r="A207" s="190" t="str">
        <f t="shared" si="56"/>
        <v>Glycerin</v>
      </c>
      <c r="B207" s="190" t="str">
        <f t="shared" si="57"/>
        <v>Glycerin</v>
      </c>
      <c r="C207" s="190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0">
        <f t="shared" si="58"/>
        <v>2030</v>
      </c>
      <c r="E207" s="188" t="s">
        <v>24</v>
      </c>
      <c r="F207" s="191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8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1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5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0">
        <f t="shared" si="48"/>
        <v>-28548.400000000001</v>
      </c>
      <c r="O207" s="191">
        <f t="shared" si="59"/>
        <v>0</v>
      </c>
      <c r="P207" s="201">
        <f t="shared" si="49"/>
        <v>28548.400000000001</v>
      </c>
      <c r="Q207" s="188">
        <f>IFERROR(VLOOKUP(A207,[1]Energiindhold!$A$2:$C$11,3,FALSE),IFERROR(VLOOKUP(A207,[1]Biogasudbytte!$A$2:$B$18,2,FALSE)*[1]Energiindhold!$C$10,0))*O207</f>
        <v>0</v>
      </c>
      <c r="R207" s="188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8">
        <f>IFERROR(VLOOKUP(A207,[1]Biogasudbytte!$A$2:$B$18,2,FALSE)*[1]Energiindhold!$C$10,0)*J207*IFERROR(VLOOKUP(A207,Biogasanlæg!$F$3:$G$8,2,FALSE),1)</f>
        <v>0.43389639740160008</v>
      </c>
      <c r="T207" s="189">
        <f t="shared" si="50"/>
        <v>0</v>
      </c>
      <c r="U207" s="187">
        <f>O207*IFERROR(VLOOKUP(A207,[1]Tørstofindhold!A$2:B$24,2,FALSE),0)</f>
        <v>0</v>
      </c>
      <c r="V207" s="188">
        <f>IF(D207=År1,P207,SUM(O207,P207))*IFERROR(VLOOKUP(A207,[1]Tørstofindhold!A$2:B$24,2,FALSE),0)</f>
        <v>25693.56</v>
      </c>
      <c r="W207" s="188">
        <f>J207*IFERROR(VLOOKUP(A207,[1]Tørstofindhold!A$2:B$24,2,FALSE),0)</f>
        <v>25693.56</v>
      </c>
      <c r="X207" s="189">
        <f t="shared" si="51"/>
        <v>0</v>
      </c>
      <c r="Y207" s="169">
        <f t="shared" si="60"/>
        <v>1</v>
      </c>
      <c r="Z207" s="103">
        <f t="shared" si="61"/>
        <v>0</v>
      </c>
    </row>
    <row r="208" spans="1:26" x14ac:dyDescent="0.25">
      <c r="A208" s="190" t="str">
        <f t="shared" si="56"/>
        <v>Græs</v>
      </c>
      <c r="B208" s="190" t="str">
        <f t="shared" si="57"/>
        <v>Græs og urter</v>
      </c>
      <c r="C208" s="190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0">
        <f t="shared" si="58"/>
        <v>2030</v>
      </c>
      <c r="E208" s="188" t="s">
        <v>24</v>
      </c>
      <c r="F208" s="191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7794429.667260306</v>
      </c>
      <c r="G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1503468.3313748275</v>
      </c>
      <c r="H208" s="188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19169.610202413449</v>
      </c>
      <c r="K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1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5">
        <f>SUMIFS('Forbrug af biomasse'!E:E,'Forbrug af biomasse'!C:C,'Resultat-Produktion &amp; forbrug'!$A208,'Forbrug af biomasse'!D:D,'Resultat-Produktion &amp; forbrug'!$D208,'Forbrug af biomasse'!G:G,1,'Forbrug af biomasse'!B:B,$E208)</f>
        <v>180125.38560234805</v>
      </c>
      <c r="N208" s="200">
        <f t="shared" si="48"/>
        <v>6091666.3400807166</v>
      </c>
      <c r="O208" s="191">
        <f t="shared" si="59"/>
        <v>6091666.3400807166</v>
      </c>
      <c r="P208" s="201">
        <f t="shared" si="49"/>
        <v>19169.610202413449</v>
      </c>
      <c r="Q208" s="188">
        <f>IFERROR(VLOOKUP(A208,[1]Energiindhold!$A$2:$C$11,3,FALSE),IFERROR(VLOOKUP(A208,[1]Biogasudbytte!$A$2:$B$18,2,FALSE)*[1]Energiindhold!$C$10,0))*O208</f>
        <v>11.20790460745601</v>
      </c>
      <c r="R208" s="188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11.243174294027176</v>
      </c>
      <c r="S208" s="188">
        <f>IFERROR(VLOOKUP(A208,[1]Biogasudbytte!$A$2:$B$18,2,FALSE)*[1]Energiindhold!$C$10,0)*J208*IFERROR(VLOOKUP(A208,Biogasanlæg!$F$3:$G$8,2,FALSE),1)</f>
        <v>3.526968657116545E-2</v>
      </c>
      <c r="T208" s="189">
        <f t="shared" si="50"/>
        <v>11.20790460745601</v>
      </c>
      <c r="U208" s="187">
        <f>O208*IFERROR(VLOOKUP(A208,[1]Tørstofindhold!A$2:B$24,2,FALSE),0)</f>
        <v>1705666.5752226007</v>
      </c>
      <c r="V208" s="188">
        <f>IF(D208=År1,P208,SUM(O208,P208))*IFERROR(VLOOKUP(A208,[1]Tørstofindhold!A$2:B$24,2,FALSE),0)</f>
        <v>1711034.0660792764</v>
      </c>
      <c r="W208" s="188">
        <f>J208*IFERROR(VLOOKUP(A208,[1]Tørstofindhold!A$2:B$24,2,FALSE),0)</f>
        <v>5367.4908566757658</v>
      </c>
      <c r="X208" s="189">
        <f t="shared" si="51"/>
        <v>1705666.5752226007</v>
      </c>
      <c r="Y208" s="169">
        <f t="shared" si="60"/>
        <v>0</v>
      </c>
      <c r="Z208" s="103">
        <f t="shared" si="61"/>
        <v>1</v>
      </c>
    </row>
    <row r="209" spans="1:26" x14ac:dyDescent="0.25">
      <c r="A209" s="190" t="str">
        <f t="shared" si="56"/>
        <v>Græsprotein</v>
      </c>
      <c r="B209" s="190" t="str">
        <f t="shared" si="57"/>
        <v/>
      </c>
      <c r="C209" s="190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0">
        <f t="shared" si="58"/>
        <v>2030</v>
      </c>
      <c r="E209" s="188" t="s">
        <v>24</v>
      </c>
      <c r="F209" s="191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30111.811412759995</v>
      </c>
      <c r="G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30111.811412759998</v>
      </c>
      <c r="H209" s="188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1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5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0">
        <f t="shared" si="48"/>
        <v>0</v>
      </c>
      <c r="O209" s="191">
        <f t="shared" si="59"/>
        <v>0</v>
      </c>
      <c r="P209" s="201">
        <f t="shared" si="49"/>
        <v>0</v>
      </c>
      <c r="Q209" s="188">
        <f>IFERROR(VLOOKUP(A209,[1]Energiindhold!$A$2:$C$11,3,FALSE),IFERROR(VLOOKUP(A209,[1]Biogasudbytte!$A$2:$B$18,2,FALSE)*[1]Energiindhold!$C$10,0))*O209</f>
        <v>0</v>
      </c>
      <c r="R209" s="188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8">
        <f>IFERROR(VLOOKUP(A209,[1]Biogasudbytte!$A$2:$B$18,2,FALSE)*[1]Energiindhold!$C$10,0)*J209*IFERROR(VLOOKUP(A209,Biogasanlæg!$F$3:$G$8,2,FALSE),1)</f>
        <v>0</v>
      </c>
      <c r="T209" s="189">
        <f t="shared" si="50"/>
        <v>0</v>
      </c>
      <c r="U209" s="187">
        <f>O209*IFERROR(VLOOKUP(A209,[1]Tørstofindhold!A$2:B$24,2,FALSE),0)</f>
        <v>0</v>
      </c>
      <c r="V209" s="188">
        <f>IF(D209=År1,P209,SUM(O209,P209))*IFERROR(VLOOKUP(A209,[1]Tørstofindhold!A$2:B$24,2,FALSE),0)</f>
        <v>0</v>
      </c>
      <c r="W209" s="188">
        <f>J209*IFERROR(VLOOKUP(A209,[1]Tørstofindhold!A$2:B$24,2,FALSE),0)</f>
        <v>0</v>
      </c>
      <c r="X209" s="189">
        <f t="shared" si="51"/>
        <v>0</v>
      </c>
      <c r="Y209" s="169">
        <f t="shared" si="60"/>
        <v>0</v>
      </c>
      <c r="Z209" s="103">
        <f t="shared" si="61"/>
        <v>0</v>
      </c>
    </row>
    <row r="210" spans="1:26" x14ac:dyDescent="0.25">
      <c r="A210" s="190" t="str">
        <f t="shared" si="56"/>
        <v>Grøntsager</v>
      </c>
      <c r="B210" s="190" t="str">
        <f t="shared" si="57"/>
        <v/>
      </c>
      <c r="C210" s="190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0">
        <f t="shared" si="58"/>
        <v>2030</v>
      </c>
      <c r="E210" s="188" t="s">
        <v>24</v>
      </c>
      <c r="F210" s="191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63718.477656278912</v>
      </c>
      <c r="G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8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1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5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0">
        <f t="shared" si="48"/>
        <v>-170183.96754376608</v>
      </c>
      <c r="O210" s="191">
        <f t="shared" si="59"/>
        <v>0</v>
      </c>
      <c r="P210" s="201">
        <f t="shared" si="49"/>
        <v>0</v>
      </c>
      <c r="Q210" s="188">
        <f>IFERROR(VLOOKUP(A210,[1]Energiindhold!$A$2:$C$11,3,FALSE),IFERROR(VLOOKUP(A210,[1]Biogasudbytte!$A$2:$B$18,2,FALSE)*[1]Energiindhold!$C$10,0))*O210</f>
        <v>0</v>
      </c>
      <c r="R210" s="188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8">
        <f>IFERROR(VLOOKUP(A210,[1]Biogasudbytte!$A$2:$B$18,2,FALSE)*[1]Energiindhold!$C$10,0)*J210*IFERROR(VLOOKUP(A210,Biogasanlæg!$F$3:$G$8,2,FALSE),1)</f>
        <v>0</v>
      </c>
      <c r="T210" s="189">
        <f t="shared" si="50"/>
        <v>0</v>
      </c>
      <c r="U210" s="187">
        <f>O210*IFERROR(VLOOKUP(A210,[1]Tørstofindhold!A$2:B$24,2,FALSE),0)</f>
        <v>0</v>
      </c>
      <c r="V210" s="188">
        <f>IF(D210=År1,P210,SUM(O210,P210))*IFERROR(VLOOKUP(A210,[1]Tørstofindhold!A$2:B$24,2,FALSE),0)</f>
        <v>0</v>
      </c>
      <c r="W210" s="188">
        <f>J210*IFERROR(VLOOKUP(A210,[1]Tørstofindhold!A$2:B$24,2,FALSE),0)</f>
        <v>0</v>
      </c>
      <c r="X210" s="189">
        <f t="shared" si="51"/>
        <v>0</v>
      </c>
      <c r="Y210" s="169">
        <f t="shared" si="60"/>
        <v>1</v>
      </c>
      <c r="Z210" s="103">
        <f t="shared" si="61"/>
        <v>0</v>
      </c>
    </row>
    <row r="211" spans="1:26" x14ac:dyDescent="0.25">
      <c r="A211" s="190" t="str">
        <f t="shared" si="56"/>
        <v>Halm</v>
      </c>
      <c r="B211" s="190" t="str">
        <f t="shared" si="57"/>
        <v>Halm og strå</v>
      </c>
      <c r="C211" s="190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0">
        <f t="shared" si="58"/>
        <v>2030</v>
      </c>
      <c r="E211" s="188" t="s">
        <v>24</v>
      </c>
      <c r="F211" s="191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902119.88928598503</v>
      </c>
      <c r="G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93985.105307108941</v>
      </c>
      <c r="H211" s="188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102652.59374582161</v>
      </c>
      <c r="I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19810.176817202024</v>
      </c>
      <c r="K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1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685672.01341585245</v>
      </c>
      <c r="M211" s="155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0">
        <f t="shared" si="48"/>
        <v>0</v>
      </c>
      <c r="O211" s="191">
        <f t="shared" si="59"/>
        <v>0</v>
      </c>
      <c r="P211" s="201">
        <f t="shared" si="49"/>
        <v>705482.19023305445</v>
      </c>
      <c r="Q211" s="188">
        <f>IFERROR(VLOOKUP(A211,[1]Energiindhold!$A$2:$C$11,3,FALSE),IFERROR(VLOOKUP(A211,[1]Biogasudbytte!$A$2:$B$18,2,FALSE)*[1]Energiindhold!$C$10,0))*O211</f>
        <v>0</v>
      </c>
      <c r="R211" s="188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7.201189509677242</v>
      </c>
      <c r="S211" s="188">
        <f>IFERROR(VLOOKUP(A211,[1]Biogasudbytte!$A$2:$B$18,2,FALSE)*[1]Energiindhold!$C$10,0)*J211*IFERROR(VLOOKUP(A211,Biogasanlæg!$F$3:$G$8,2,FALSE),1)</f>
        <v>0.11421636684665096</v>
      </c>
      <c r="T211" s="189">
        <f t="shared" si="50"/>
        <v>7.0869731428305913</v>
      </c>
      <c r="U211" s="187">
        <f>O211*IFERROR(VLOOKUP(A211,[1]Tørstofindhold!A$2:B$24,2,FALSE),0)</f>
        <v>0</v>
      </c>
      <c r="V211" s="188">
        <f>IF(D211=År1,P211,SUM(O211,P211))*IFERROR(VLOOKUP(A211,[1]Tørstofindhold!A$2:B$24,2,FALSE),0)</f>
        <v>599659.86169809627</v>
      </c>
      <c r="W211" s="188">
        <f>J211*IFERROR(VLOOKUP(A211,[1]Tørstofindhold!A$2:B$24,2,FALSE),0)</f>
        <v>16838.650294621719</v>
      </c>
      <c r="X211" s="189">
        <f t="shared" si="51"/>
        <v>582821.21140347456</v>
      </c>
      <c r="Y211" s="169">
        <f t="shared" si="60"/>
        <v>0</v>
      </c>
      <c r="Z211" s="103">
        <f t="shared" si="61"/>
        <v>0</v>
      </c>
    </row>
    <row r="212" spans="1:26" x14ac:dyDescent="0.25">
      <c r="A212" s="190" t="str">
        <f t="shared" si="56"/>
        <v>Have/parkaffald</v>
      </c>
      <c r="B212" s="190" t="str">
        <f t="shared" si="57"/>
        <v>Bionedbrydeligt affald</v>
      </c>
      <c r="C212" s="190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0">
        <f t="shared" si="58"/>
        <v>2030</v>
      </c>
      <c r="E212" s="188" t="s">
        <v>24</v>
      </c>
      <c r="F212" s="191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8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1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5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0">
        <f t="shared" si="48"/>
        <v>0</v>
      </c>
      <c r="O212" s="191">
        <f t="shared" si="59"/>
        <v>0</v>
      </c>
      <c r="P212" s="201">
        <f t="shared" si="49"/>
        <v>456074.89013160887</v>
      </c>
      <c r="Q212" s="188">
        <f>IFERROR(VLOOKUP(A212,[1]Energiindhold!$A$2:$C$11,3,FALSE),IFERROR(VLOOKUP(A212,[1]Biogasudbytte!$A$2:$B$18,2,FALSE)*[1]Energiindhold!$C$10,0))*O212</f>
        <v>0</v>
      </c>
      <c r="R212" s="188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8">
        <f>IFERROR(VLOOKUP(A212,[1]Biogasudbytte!$A$2:$B$18,2,FALSE)*[1]Energiindhold!$C$10,0)*J212*IFERROR(VLOOKUP(A212,Biogasanlæg!$F$3:$G$8,2,FALSE),1)</f>
        <v>6.1463491805112617E-5</v>
      </c>
      <c r="T212" s="189">
        <f t="shared" si="50"/>
        <v>8.1413033320197155</v>
      </c>
      <c r="U212" s="187">
        <f>O212*IFERROR(VLOOKUP(A212,[1]Tørstofindhold!A$2:B$24,2,FALSE),0)</f>
        <v>0</v>
      </c>
      <c r="V212" s="188">
        <f>IF(D212=År1,P212,SUM(O212,P212))*IFERROR(VLOOKUP(A212,[1]Tørstofindhold!A$2:B$24,2,FALSE),0)</f>
        <v>136822.46703948267</v>
      </c>
      <c r="W212" s="188">
        <f>J212*IFERROR(VLOOKUP(A212,[1]Tørstofindhold!A$2:B$24,2,FALSE),0)</f>
        <v>10.858826515711238</v>
      </c>
      <c r="X212" s="189">
        <f t="shared" si="51"/>
        <v>136811.60821296697</v>
      </c>
      <c r="Y212" s="169">
        <f t="shared" si="60"/>
        <v>0</v>
      </c>
      <c r="Z212" s="103">
        <f t="shared" si="61"/>
        <v>0</v>
      </c>
    </row>
    <row r="213" spans="1:26" x14ac:dyDescent="0.25">
      <c r="A213" s="190" t="str">
        <f t="shared" si="56"/>
        <v>Import af foder</v>
      </c>
      <c r="B213" s="190" t="str">
        <f t="shared" si="57"/>
        <v/>
      </c>
      <c r="C213" s="190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0">
        <f t="shared" si="58"/>
        <v>2030</v>
      </c>
      <c r="E213" s="188" t="s">
        <v>24</v>
      </c>
      <c r="F213" s="191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592033.81195063831</v>
      </c>
      <c r="H213" s="188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1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5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0">
        <f t="shared" si="48"/>
        <v>-592033.81195063831</v>
      </c>
      <c r="O213" s="191">
        <f t="shared" si="59"/>
        <v>0</v>
      </c>
      <c r="P213" s="201">
        <f t="shared" si="49"/>
        <v>0</v>
      </c>
      <c r="Q213" s="188">
        <f>IFERROR(VLOOKUP(A213,[1]Energiindhold!$A$2:$C$11,3,FALSE),IFERROR(VLOOKUP(A213,[1]Biogasudbytte!$A$2:$B$18,2,FALSE)*[1]Energiindhold!$C$10,0))*O213</f>
        <v>0</v>
      </c>
      <c r="R213" s="188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8">
        <f>IFERROR(VLOOKUP(A213,[1]Biogasudbytte!$A$2:$B$18,2,FALSE)*[1]Energiindhold!$C$10,0)*J213*IFERROR(VLOOKUP(A213,Biogasanlæg!$F$3:$G$8,2,FALSE),1)</f>
        <v>0</v>
      </c>
      <c r="T213" s="189">
        <f t="shared" si="50"/>
        <v>0</v>
      </c>
      <c r="U213" s="187">
        <f>O213*IFERROR(VLOOKUP(A213,[1]Tørstofindhold!A$2:B$24,2,FALSE),0)</f>
        <v>0</v>
      </c>
      <c r="V213" s="188">
        <f>IF(D213=År1,P213,SUM(O213,P213))*IFERROR(VLOOKUP(A213,[1]Tørstofindhold!A$2:B$24,2,FALSE),0)</f>
        <v>0</v>
      </c>
      <c r="W213" s="188">
        <f>J213*IFERROR(VLOOKUP(A213,[1]Tørstofindhold!A$2:B$24,2,FALSE),0)</f>
        <v>0</v>
      </c>
      <c r="X213" s="189">
        <f t="shared" si="51"/>
        <v>0</v>
      </c>
      <c r="Y213" s="169">
        <f t="shared" si="60"/>
        <v>1</v>
      </c>
      <c r="Z213" s="103">
        <f t="shared" si="61"/>
        <v>0</v>
      </c>
    </row>
    <row r="214" spans="1:26" x14ac:dyDescent="0.25">
      <c r="A214" s="190" t="str">
        <f t="shared" si="56"/>
        <v>Industriaffald</v>
      </c>
      <c r="B214" s="190" t="str">
        <f t="shared" si="57"/>
        <v>Bionedbrydeligt affald</v>
      </c>
      <c r="C214" s="190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0">
        <f t="shared" si="58"/>
        <v>2030</v>
      </c>
      <c r="E214" s="188" t="s">
        <v>24</v>
      </c>
      <c r="F214" s="191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202446.55993953047</v>
      </c>
      <c r="G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8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202446.64290192959</v>
      </c>
      <c r="K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1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5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0">
        <f t="shared" si="48"/>
        <v>-8.2962399115785956E-2</v>
      </c>
      <c r="O214" s="191">
        <f t="shared" si="59"/>
        <v>0</v>
      </c>
      <c r="P214" s="201">
        <f t="shared" si="49"/>
        <v>202446.64290192959</v>
      </c>
      <c r="Q214" s="188">
        <f>IFERROR(VLOOKUP(A214,[1]Energiindhold!$A$2:$C$11,3,FALSE),IFERROR(VLOOKUP(A214,[1]Biogasudbytte!$A$2:$B$18,2,FALSE)*[1]Energiindhold!$C$10,0))*O214</f>
        <v>0</v>
      </c>
      <c r="R214" s="188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0.74564347849399248</v>
      </c>
      <c r="S214" s="188">
        <f>IFERROR(VLOOKUP(A214,[1]Biogasudbytte!$A$2:$B$18,2,FALSE)*[1]Energiindhold!$C$10,0)*J214*IFERROR(VLOOKUP(A214,Biogasanlæg!$F$3:$G$8,2,FALSE),1)</f>
        <v>0.74564347849399248</v>
      </c>
      <c r="T214" s="189">
        <f t="shared" si="50"/>
        <v>0</v>
      </c>
      <c r="U214" s="187">
        <f>O214*IFERROR(VLOOKUP(A214,[1]Tørstofindhold!A$2:B$24,2,FALSE),0)</f>
        <v>0</v>
      </c>
      <c r="V214" s="188">
        <f>IF(D214=År1,P214,SUM(O214,P214))*IFERROR(VLOOKUP(A214,[1]Tørstofindhold!A$2:B$24,2,FALSE),0)</f>
        <v>85027.590018810428</v>
      </c>
      <c r="W214" s="188">
        <f>J214*IFERROR(VLOOKUP(A214,[1]Tørstofindhold!A$2:B$24,2,FALSE),0)</f>
        <v>85027.590018810428</v>
      </c>
      <c r="X214" s="189">
        <f t="shared" si="51"/>
        <v>0</v>
      </c>
      <c r="Y214" s="169">
        <f t="shared" si="60"/>
        <v>1</v>
      </c>
      <c r="Z214" s="103">
        <f t="shared" si="61"/>
        <v>0</v>
      </c>
    </row>
    <row r="215" spans="1:26" x14ac:dyDescent="0.25">
      <c r="A215" s="190" t="str">
        <f t="shared" si="56"/>
        <v>Juletræer</v>
      </c>
      <c r="B215" s="190" t="str">
        <f t="shared" si="57"/>
        <v/>
      </c>
      <c r="C215" s="190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0">
        <f t="shared" si="58"/>
        <v>2030</v>
      </c>
      <c r="E215" s="188" t="s">
        <v>24</v>
      </c>
      <c r="F215" s="191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203146.27162041739</v>
      </c>
      <c r="G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8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1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5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0">
        <f t="shared" si="48"/>
        <v>203146.27162041739</v>
      </c>
      <c r="O215" s="191">
        <f t="shared" si="59"/>
        <v>0</v>
      </c>
      <c r="P215" s="201">
        <f t="shared" si="49"/>
        <v>0</v>
      </c>
      <c r="Q215" s="188">
        <f>IFERROR(VLOOKUP(A215,[1]Energiindhold!$A$2:$C$11,3,FALSE),IFERROR(VLOOKUP(A215,[1]Biogasudbytte!$A$2:$B$18,2,FALSE)*[1]Energiindhold!$C$10,0))*O215</f>
        <v>0</v>
      </c>
      <c r="R215" s="188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8">
        <f>IFERROR(VLOOKUP(A215,[1]Biogasudbytte!$A$2:$B$18,2,FALSE)*[1]Energiindhold!$C$10,0)*J215*IFERROR(VLOOKUP(A215,Biogasanlæg!$F$3:$G$8,2,FALSE),1)</f>
        <v>0</v>
      </c>
      <c r="T215" s="189">
        <f t="shared" si="50"/>
        <v>0</v>
      </c>
      <c r="U215" s="187">
        <f>O215*IFERROR(VLOOKUP(A215,[1]Tørstofindhold!A$2:B$24,2,FALSE),0)</f>
        <v>0</v>
      </c>
      <c r="V215" s="188">
        <f>IF(D215=År1,P215,SUM(O215,P215))*IFERROR(VLOOKUP(A215,[1]Tørstofindhold!A$2:B$24,2,FALSE),0)</f>
        <v>0</v>
      </c>
      <c r="W215" s="188">
        <f>J215*IFERROR(VLOOKUP(A215,[1]Tørstofindhold!A$2:B$24,2,FALSE),0)</f>
        <v>0</v>
      </c>
      <c r="X215" s="189">
        <f t="shared" si="51"/>
        <v>0</v>
      </c>
      <c r="Y215" s="169">
        <f t="shared" si="60"/>
        <v>0</v>
      </c>
      <c r="Z215" s="103">
        <f t="shared" si="61"/>
        <v>1</v>
      </c>
    </row>
    <row r="216" spans="1:26" x14ac:dyDescent="0.25">
      <c r="A216" s="190" t="str">
        <f t="shared" si="56"/>
        <v>Kartofler</v>
      </c>
      <c r="B216" s="190" t="str">
        <f t="shared" si="57"/>
        <v/>
      </c>
      <c r="C216" s="190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0">
        <f t="shared" si="58"/>
        <v>2030</v>
      </c>
      <c r="E216" s="188" t="s">
        <v>24</v>
      </c>
      <c r="F216" s="191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495843.75527766516</v>
      </c>
      <c r="G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8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1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5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0">
        <f t="shared" ref="N216:N281" si="62">F216-SUM(G216:M216)</f>
        <v>388883.3406384486</v>
      </c>
      <c r="O216" s="191">
        <f t="shared" si="59"/>
        <v>0</v>
      </c>
      <c r="P216" s="201">
        <f t="shared" ref="P216:P281" si="63">SUM(J216,L216)</f>
        <v>0</v>
      </c>
      <c r="Q216" s="188">
        <f>IFERROR(VLOOKUP(A216,[1]Energiindhold!$A$2:$C$11,3,FALSE),IFERROR(VLOOKUP(A216,[1]Biogasudbytte!$A$2:$B$18,2,FALSE)*[1]Energiindhold!$C$10,0))*O216</f>
        <v>0</v>
      </c>
      <c r="R216" s="188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8">
        <f>IFERROR(VLOOKUP(A216,[1]Biogasudbytte!$A$2:$B$18,2,FALSE)*[1]Energiindhold!$C$10,0)*J216*IFERROR(VLOOKUP(A216,Biogasanlæg!$F$3:$G$8,2,FALSE),1)</f>
        <v>0</v>
      </c>
      <c r="T216" s="189">
        <f t="shared" ref="T216:T281" si="64">R216-S216</f>
        <v>0</v>
      </c>
      <c r="U216" s="187">
        <f>O216*IFERROR(VLOOKUP(A216,[1]Tørstofindhold!A$2:B$24,2,FALSE),0)</f>
        <v>0</v>
      </c>
      <c r="V216" s="188">
        <f>IF(D216=År1,P216,SUM(O216,P216))*IFERROR(VLOOKUP(A216,[1]Tørstofindhold!A$2:B$24,2,FALSE),0)</f>
        <v>0</v>
      </c>
      <c r="W216" s="188">
        <f>J216*IFERROR(VLOOKUP(A216,[1]Tørstofindhold!A$2:B$24,2,FALSE),0)</f>
        <v>0</v>
      </c>
      <c r="X216" s="189">
        <f t="shared" ref="X216:X281" si="65">V216-W216</f>
        <v>0</v>
      </c>
      <c r="Y216" s="169">
        <f t="shared" si="60"/>
        <v>0</v>
      </c>
      <c r="Z216" s="103">
        <f t="shared" si="61"/>
        <v>1</v>
      </c>
    </row>
    <row r="217" spans="1:26" x14ac:dyDescent="0.25">
      <c r="A217" s="190" t="str">
        <f t="shared" si="56"/>
        <v>Korn</v>
      </c>
      <c r="B217" s="190" t="str">
        <f t="shared" si="57"/>
        <v>Halm og strå</v>
      </c>
      <c r="C217" s="190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0">
        <f t="shared" si="58"/>
        <v>2030</v>
      </c>
      <c r="E217" s="188" t="s">
        <v>24</v>
      </c>
      <c r="F217" s="191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1766009.1742338412</v>
      </c>
      <c r="G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685633.38753388484</v>
      </c>
      <c r="H217" s="188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878.00678248897611</v>
      </c>
      <c r="K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1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5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0">
        <f>F217-SUM(G217:M217)</f>
        <v>823262.94045209151</v>
      </c>
      <c r="O217" s="191">
        <f t="shared" si="59"/>
        <v>787503.19758674048</v>
      </c>
      <c r="P217" s="201">
        <f t="shared" si="63"/>
        <v>878.00678248897611</v>
      </c>
      <c r="Q217" s="188">
        <f>IFERROR(VLOOKUP(A217,[1]Energiindhold!$A$2:$C$11,3,FALSE),IFERROR(VLOOKUP(A217,[1]Biogasudbytte!$A$2:$B$18,2,FALSE)*[1]Energiindhold!$C$10,0))*O217</f>
        <v>2.6970882012869244</v>
      </c>
      <c r="R217" s="188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2.7000952515959997</v>
      </c>
      <c r="S217" s="188">
        <f>IFERROR(VLOOKUP(A217,[1]Biogasudbytte!$A$2:$B$18,2,FALSE)*[1]Energiindhold!$C$10,0)*J217*IFERROR(VLOOKUP(A217,Biogasanlæg!$F$3:$G$8,2,FALSE),1)</f>
        <v>3.0070503090751954E-3</v>
      </c>
      <c r="T217" s="189">
        <f t="shared" si="64"/>
        <v>2.6970882012869244</v>
      </c>
      <c r="U217" s="187">
        <f>O217*IFERROR(VLOOKUP(A217,[1]Tørstofindhold!A$2:B$24,2,FALSE),0)</f>
        <v>244125.99125188956</v>
      </c>
      <c r="V217" s="188">
        <f>IF(D217=År1,P217,SUM(O217,P217))*IFERROR(VLOOKUP(A217,[1]Tørstofindhold!A$2:B$24,2,FALSE),0)</f>
        <v>244398.17335446115</v>
      </c>
      <c r="W217" s="188">
        <f>J217*IFERROR(VLOOKUP(A217,[1]Tørstofindhold!A$2:B$24,2,FALSE),0)</f>
        <v>272.18210257158262</v>
      </c>
      <c r="X217" s="189">
        <f t="shared" si="65"/>
        <v>244125.99125188956</v>
      </c>
      <c r="Y217" s="169">
        <f t="shared" si="60"/>
        <v>0</v>
      </c>
      <c r="Z217" s="103">
        <f t="shared" si="61"/>
        <v>1</v>
      </c>
    </row>
    <row r="218" spans="1:26" x14ac:dyDescent="0.25">
      <c r="A218" s="190" t="str">
        <f t="shared" si="56"/>
        <v>Kunstgødning</v>
      </c>
      <c r="B218" s="190" t="str">
        <f t="shared" si="57"/>
        <v/>
      </c>
      <c r="C218" s="190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0">
        <f t="shared" si="58"/>
        <v>2030</v>
      </c>
      <c r="E218" s="188" t="s">
        <v>24</v>
      </c>
      <c r="F218" s="191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8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1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321487.6679216951</v>
      </c>
      <c r="L218" s="191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5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0">
        <f t="shared" ca="1" si="62"/>
        <v>-321487.6679216951</v>
      </c>
      <c r="O218" s="191">
        <f t="shared" si="59"/>
        <v>0</v>
      </c>
      <c r="P218" s="201">
        <f t="shared" si="63"/>
        <v>0</v>
      </c>
      <c r="Q218" s="188">
        <f>IFERROR(VLOOKUP(A218,[1]Energiindhold!$A$2:$C$11,3,FALSE),IFERROR(VLOOKUP(A218,[1]Biogasudbytte!$A$2:$B$18,2,FALSE)*[1]Energiindhold!$C$10,0))*O218</f>
        <v>0</v>
      </c>
      <c r="R218" s="188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8">
        <f>IFERROR(VLOOKUP(A218,[1]Biogasudbytte!$A$2:$B$18,2,FALSE)*[1]Energiindhold!$C$10,0)*J218*IFERROR(VLOOKUP(A218,Biogasanlæg!$F$3:$G$8,2,FALSE),1)</f>
        <v>0</v>
      </c>
      <c r="T218" s="189">
        <f t="shared" si="64"/>
        <v>0</v>
      </c>
      <c r="U218" s="187">
        <f>O218*IFERROR(VLOOKUP(A218,[1]Tørstofindhold!A$2:B$24,2,FALSE),0)</f>
        <v>0</v>
      </c>
      <c r="V218" s="188">
        <f>IF(D218=År1,P218,SUM(O218,P218))*IFERROR(VLOOKUP(A218,[1]Tørstofindhold!A$2:B$24,2,FALSE),0)</f>
        <v>0</v>
      </c>
      <c r="W218" s="188">
        <f>J218*IFERROR(VLOOKUP(A218,[1]Tørstofindhold!A$2:B$24,2,FALSE),0)</f>
        <v>0</v>
      </c>
      <c r="X218" s="189">
        <f t="shared" si="65"/>
        <v>0</v>
      </c>
      <c r="Y218" s="169">
        <f t="shared" ca="1" si="60"/>
        <v>1</v>
      </c>
      <c r="Z218" s="103">
        <f t="shared" ca="1" si="61"/>
        <v>0</v>
      </c>
    </row>
    <row r="219" spans="1:26" x14ac:dyDescent="0.25">
      <c r="A219" s="190" t="str">
        <f t="shared" si="56"/>
        <v>Kvæggylle</v>
      </c>
      <c r="B219" s="190" t="str">
        <f t="shared" si="57"/>
        <v>Husdyrgødning</v>
      </c>
      <c r="C219" s="190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0">
        <f t="shared" si="58"/>
        <v>2030</v>
      </c>
      <c r="E219" s="188" t="s">
        <v>24</v>
      </c>
      <c r="F219" s="191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889393.11408765602</v>
      </c>
      <c r="G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8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675938.7667066186</v>
      </c>
      <c r="K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213454.34738103743</v>
      </c>
      <c r="L219" s="191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5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0">
        <f t="shared" si="62"/>
        <v>0</v>
      </c>
      <c r="O219" s="191">
        <f t="shared" si="59"/>
        <v>0</v>
      </c>
      <c r="P219" s="201">
        <f t="shared" si="63"/>
        <v>675938.7667066186</v>
      </c>
      <c r="Q219" s="188">
        <f>IFERROR(VLOOKUP(A219,[1]Energiindhold!$A$2:$C$11,3,FALSE),IFERROR(VLOOKUP(A219,[1]Biogasudbytte!$A$2:$B$18,2,FALSE)*[1]Energiindhold!$C$10,0))*O219</f>
        <v>0</v>
      </c>
      <c r="R219" s="188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0.34215344431922329</v>
      </c>
      <c r="S219" s="188">
        <f>IFERROR(VLOOKUP(A219,[1]Biogasudbytte!$A$2:$B$18,2,FALSE)*[1]Energiindhold!$C$10,0)*J219*IFERROR(VLOOKUP(A219,Biogasanlæg!$F$3:$G$8,2,FALSE),1)</f>
        <v>0.34215344431922329</v>
      </c>
      <c r="T219" s="189">
        <f t="shared" si="64"/>
        <v>0</v>
      </c>
      <c r="U219" s="187">
        <f>O219*IFERROR(VLOOKUP(A219,[1]Tørstofindhold!A$2:B$24,2,FALSE),0)</f>
        <v>0</v>
      </c>
      <c r="V219" s="188">
        <f>IF(D219=År1,P219,SUM(O219,P219))*IFERROR(VLOOKUP(A219,[1]Tørstofindhold!A$2:B$24,2,FALSE),0)</f>
        <v>51371.346269703012</v>
      </c>
      <c r="W219" s="188">
        <f>J219*IFERROR(VLOOKUP(A219,[1]Tørstofindhold!A$2:B$24,2,FALSE),0)</f>
        <v>51371.346269703012</v>
      </c>
      <c r="X219" s="189">
        <f t="shared" si="65"/>
        <v>0</v>
      </c>
      <c r="Y219" s="169">
        <f t="shared" si="60"/>
        <v>0</v>
      </c>
      <c r="Z219" s="103">
        <f t="shared" si="61"/>
        <v>0</v>
      </c>
    </row>
    <row r="220" spans="1:26" x14ac:dyDescent="0.25">
      <c r="A220" s="190" t="str">
        <f t="shared" si="56"/>
        <v>Mælk til foder</v>
      </c>
      <c r="B220" s="190" t="str">
        <f t="shared" si="57"/>
        <v/>
      </c>
      <c r="C220" s="190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0">
        <f t="shared" si="58"/>
        <v>2030</v>
      </c>
      <c r="E220" s="188" t="s">
        <v>24</v>
      </c>
      <c r="F220" s="191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111157.2964449961</v>
      </c>
      <c r="G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185397.91213031334</v>
      </c>
      <c r="H220" s="188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1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5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0">
        <f t="shared" si="62"/>
        <v>-74240.615685317243</v>
      </c>
      <c r="O220" s="191">
        <f t="shared" si="59"/>
        <v>0</v>
      </c>
      <c r="P220" s="201">
        <f t="shared" si="63"/>
        <v>0</v>
      </c>
      <c r="Q220" s="188">
        <f>IFERROR(VLOOKUP(A220,[1]Energiindhold!$A$2:$C$11,3,FALSE),IFERROR(VLOOKUP(A220,[1]Biogasudbytte!$A$2:$B$18,2,FALSE)*[1]Energiindhold!$C$10,0))*O220</f>
        <v>0</v>
      </c>
      <c r="R220" s="188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8">
        <f>IFERROR(VLOOKUP(A220,[1]Biogasudbytte!$A$2:$B$18,2,FALSE)*[1]Energiindhold!$C$10,0)*J220*IFERROR(VLOOKUP(A220,Biogasanlæg!$F$3:$G$8,2,FALSE),1)</f>
        <v>0</v>
      </c>
      <c r="T220" s="189">
        <f t="shared" si="64"/>
        <v>0</v>
      </c>
      <c r="U220" s="187">
        <f>O220*IFERROR(VLOOKUP(A220,[1]Tørstofindhold!A$2:B$24,2,FALSE),0)</f>
        <v>0</v>
      </c>
      <c r="V220" s="188">
        <f>IF(D220=År1,P220,SUM(O220,P220))*IFERROR(VLOOKUP(A220,[1]Tørstofindhold!A$2:B$24,2,FALSE),0)</f>
        <v>0</v>
      </c>
      <c r="W220" s="188">
        <f>J220*IFERROR(VLOOKUP(A220,[1]Tørstofindhold!A$2:B$24,2,FALSE),0)</f>
        <v>0</v>
      </c>
      <c r="X220" s="189">
        <f t="shared" si="65"/>
        <v>0</v>
      </c>
      <c r="Y220" s="169">
        <f t="shared" si="60"/>
        <v>1</v>
      </c>
      <c r="Z220" s="103">
        <f t="shared" si="61"/>
        <v>0</v>
      </c>
    </row>
    <row r="221" spans="1:26" x14ac:dyDescent="0.25">
      <c r="A221" s="190" t="str">
        <f t="shared" si="56"/>
        <v>Majs</v>
      </c>
      <c r="B221" s="190" t="str">
        <f t="shared" si="57"/>
        <v>Græs og urter</v>
      </c>
      <c r="C221" s="190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0">
        <f t="shared" si="58"/>
        <v>2030</v>
      </c>
      <c r="E221" s="188" t="s">
        <v>24</v>
      </c>
      <c r="F221" s="191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1107529.2203986393</v>
      </c>
      <c r="G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490305.54007415898</v>
      </c>
      <c r="H221" s="188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74714.80111862249</v>
      </c>
      <c r="K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1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5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0">
        <f t="shared" si="62"/>
        <v>542508.87920585787</v>
      </c>
      <c r="O221" s="191">
        <f t="shared" si="59"/>
        <v>77153.344535718672</v>
      </c>
      <c r="P221" s="201">
        <f t="shared" si="63"/>
        <v>74714.80111862249</v>
      </c>
      <c r="Q221" s="188">
        <f>IFERROR(VLOOKUP(A221,[1]Energiindhold!$A$2:$C$11,3,FALSE),IFERROR(VLOOKUP(A221,[1]Biogasudbytte!$A$2:$B$18,2,FALSE)*[1]Energiindhold!$C$10,0))*O221</f>
        <v>0.27698050688323006</v>
      </c>
      <c r="R221" s="188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0.54520664289908483</v>
      </c>
      <c r="S221" s="188">
        <f>IFERROR(VLOOKUP(A221,[1]Biogasudbytte!$A$2:$B$18,2,FALSE)*[1]Energiindhold!$C$10,0)*J221*IFERROR(VLOOKUP(A221,Biogasanlæg!$F$3:$G$8,2,FALSE),1)</f>
        <v>0.26822613601585477</v>
      </c>
      <c r="T221" s="189">
        <f t="shared" si="64"/>
        <v>0.27698050688323006</v>
      </c>
      <c r="U221" s="187">
        <f>O221*IFERROR(VLOOKUP(A221,[1]Tørstofindhold!A$2:B$24,2,FALSE),0)</f>
        <v>23146.0033607156</v>
      </c>
      <c r="V221" s="188">
        <f>IF(D221=År1,P221,SUM(O221,P221))*IFERROR(VLOOKUP(A221,[1]Tørstofindhold!A$2:B$24,2,FALSE),0)</f>
        <v>45560.44369630234</v>
      </c>
      <c r="W221" s="188">
        <f>J221*IFERROR(VLOOKUP(A221,[1]Tørstofindhold!A$2:B$24,2,FALSE),0)</f>
        <v>22414.440335586747</v>
      </c>
      <c r="X221" s="189">
        <f t="shared" si="65"/>
        <v>23146.003360715593</v>
      </c>
      <c r="Y221" s="169">
        <f t="shared" si="60"/>
        <v>0</v>
      </c>
      <c r="Z221" s="103">
        <f t="shared" si="61"/>
        <v>1</v>
      </c>
    </row>
    <row r="222" spans="1:26" x14ac:dyDescent="0.25">
      <c r="A222" s="190" t="str">
        <f t="shared" si="56"/>
        <v>Mejeriprodukter</v>
      </c>
      <c r="B222" s="190" t="str">
        <f t="shared" si="57"/>
        <v/>
      </c>
      <c r="C222" s="190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0">
        <f t="shared" si="58"/>
        <v>2030</v>
      </c>
      <c r="E222" s="188" t="s">
        <v>24</v>
      </c>
      <c r="F222" s="191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214475.89268662789</v>
      </c>
      <c r="G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8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1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5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0">
        <f t="shared" si="62"/>
        <v>-194559.53912048598</v>
      </c>
      <c r="O222" s="191">
        <f t="shared" si="59"/>
        <v>0</v>
      </c>
      <c r="P222" s="201">
        <f t="shared" si="63"/>
        <v>0</v>
      </c>
      <c r="Q222" s="188">
        <f>IFERROR(VLOOKUP(A222,[1]Energiindhold!$A$2:$C$11,3,FALSE),IFERROR(VLOOKUP(A222,[1]Biogasudbytte!$A$2:$B$18,2,FALSE)*[1]Energiindhold!$C$10,0))*O222</f>
        <v>0</v>
      </c>
      <c r="R222" s="188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8">
        <f>IFERROR(VLOOKUP(A222,[1]Biogasudbytte!$A$2:$B$18,2,FALSE)*[1]Energiindhold!$C$10,0)*J222*IFERROR(VLOOKUP(A222,Biogasanlæg!$F$3:$G$8,2,FALSE),1)</f>
        <v>0</v>
      </c>
      <c r="T222" s="189">
        <f t="shared" si="64"/>
        <v>0</v>
      </c>
      <c r="U222" s="187">
        <f>O222*IFERROR(VLOOKUP(A222,[1]Tørstofindhold!A$2:B$24,2,FALSE),0)</f>
        <v>0</v>
      </c>
      <c r="V222" s="188">
        <f>IF(D222=År1,P222,SUM(O222,P222))*IFERROR(VLOOKUP(A222,[1]Tørstofindhold!A$2:B$24,2,FALSE),0)</f>
        <v>0</v>
      </c>
      <c r="W222" s="188">
        <f>J222*IFERROR(VLOOKUP(A222,[1]Tørstofindhold!A$2:B$24,2,FALSE),0)</f>
        <v>0</v>
      </c>
      <c r="X222" s="189">
        <f t="shared" si="65"/>
        <v>0</v>
      </c>
      <c r="Y222" s="169">
        <f t="shared" si="60"/>
        <v>0</v>
      </c>
      <c r="Z222" s="103">
        <f t="shared" si="61"/>
        <v>1</v>
      </c>
    </row>
    <row r="223" spans="1:26" x14ac:dyDescent="0.25">
      <c r="A223" s="190" t="str">
        <f t="shared" si="56"/>
        <v>Muslinger</v>
      </c>
      <c r="B223" s="190" t="str">
        <f t="shared" si="57"/>
        <v>Havbiomasse</v>
      </c>
      <c r="C223" s="190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0">
        <f t="shared" si="58"/>
        <v>2030</v>
      </c>
      <c r="E223" s="188" t="s">
        <v>24</v>
      </c>
      <c r="F223" s="191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3243.3351780449079</v>
      </c>
      <c r="G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8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1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5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0">
        <f t="shared" si="62"/>
        <v>3243.3351780449079</v>
      </c>
      <c r="O223" s="191">
        <f t="shared" si="59"/>
        <v>3243.3351780449079</v>
      </c>
      <c r="P223" s="201">
        <f t="shared" si="63"/>
        <v>0</v>
      </c>
      <c r="Q223" s="188">
        <f>IFERROR(VLOOKUP(A223,[1]Energiindhold!$A$2:$C$11,3,FALSE),IFERROR(VLOOKUP(A223,[1]Biogasudbytte!$A$2:$B$18,2,FALSE)*[1]Energiindhold!$C$10,0))*O223</f>
        <v>2.9108933222953054E-3</v>
      </c>
      <c r="R223" s="188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88">
        <f>IFERROR(VLOOKUP(A223,[1]Biogasudbytte!$A$2:$B$18,2,FALSE)*[1]Energiindhold!$C$10,0)*J223*IFERROR(VLOOKUP(A223,Biogasanlæg!$F$3:$G$8,2,FALSE),1)</f>
        <v>0</v>
      </c>
      <c r="T223" s="189">
        <f t="shared" si="64"/>
        <v>2.9108933222953054E-3</v>
      </c>
      <c r="U223" s="187">
        <f>O223*IFERROR(VLOOKUP(A223,[1]Tørstofindhold!A$2:B$24,2,FALSE),0)</f>
        <v>486.50027670673614</v>
      </c>
      <c r="V223" s="188">
        <f>IF(D223=År1,P223,SUM(O223,P223))*IFERROR(VLOOKUP(A223,[1]Tørstofindhold!A$2:B$24,2,FALSE),0)</f>
        <v>486.50027670673614</v>
      </c>
      <c r="W223" s="188">
        <f>J223*IFERROR(VLOOKUP(A223,[1]Tørstofindhold!A$2:B$24,2,FALSE),0)</f>
        <v>0</v>
      </c>
      <c r="X223" s="189">
        <f t="shared" si="65"/>
        <v>486.50027670673614</v>
      </c>
      <c r="Y223" s="169">
        <f t="shared" si="60"/>
        <v>0</v>
      </c>
      <c r="Z223" s="103">
        <f t="shared" si="61"/>
        <v>1</v>
      </c>
    </row>
    <row r="224" spans="1:26" x14ac:dyDescent="0.25">
      <c r="A224" s="190" t="str">
        <f t="shared" si="56"/>
        <v>Oksekød</v>
      </c>
      <c r="B224" s="190" t="str">
        <f t="shared" si="57"/>
        <v/>
      </c>
      <c r="C224" s="190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0">
        <f t="shared" si="58"/>
        <v>2030</v>
      </c>
      <c r="E224" s="188" t="s">
        <v>24</v>
      </c>
      <c r="F224" s="191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7090.8017917209545</v>
      </c>
      <c r="G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8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1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5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0">
        <f t="shared" si="62"/>
        <v>-44884.907387907122</v>
      </c>
      <c r="O224" s="191">
        <f t="shared" si="59"/>
        <v>0</v>
      </c>
      <c r="P224" s="201">
        <f t="shared" si="63"/>
        <v>0</v>
      </c>
      <c r="Q224" s="188">
        <f>IFERROR(VLOOKUP(A224,[1]Energiindhold!$A$2:$C$11,3,FALSE),IFERROR(VLOOKUP(A224,[1]Biogasudbytte!$A$2:$B$18,2,FALSE)*[1]Energiindhold!$C$10,0))*O224</f>
        <v>0</v>
      </c>
      <c r="R224" s="188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8">
        <f>IFERROR(VLOOKUP(A224,[1]Biogasudbytte!$A$2:$B$18,2,FALSE)*[1]Energiindhold!$C$10,0)*J224*IFERROR(VLOOKUP(A224,Biogasanlæg!$F$3:$G$8,2,FALSE),1)</f>
        <v>0</v>
      </c>
      <c r="T224" s="189">
        <f t="shared" si="64"/>
        <v>0</v>
      </c>
      <c r="U224" s="187">
        <f>O224*IFERROR(VLOOKUP(A224,[1]Tørstofindhold!A$2:B$24,2,FALSE),0)</f>
        <v>0</v>
      </c>
      <c r="V224" s="188">
        <f>IF(D224=År1,P224,SUM(O224,P224))*IFERROR(VLOOKUP(A224,[1]Tørstofindhold!A$2:B$24,2,FALSE),0)</f>
        <v>0</v>
      </c>
      <c r="W224" s="188">
        <f>J224*IFERROR(VLOOKUP(A224,[1]Tørstofindhold!A$2:B$24,2,FALSE),0)</f>
        <v>0</v>
      </c>
      <c r="X224" s="189">
        <f t="shared" si="65"/>
        <v>0</v>
      </c>
      <c r="Y224" s="169">
        <f t="shared" si="60"/>
        <v>1</v>
      </c>
      <c r="Z224" s="103">
        <f t="shared" si="61"/>
        <v>0</v>
      </c>
    </row>
    <row r="225" spans="1:26" x14ac:dyDescent="0.25">
      <c r="A225" s="190" t="str">
        <f t="shared" si="56"/>
        <v>Øvrige</v>
      </c>
      <c r="B225" s="190" t="str">
        <f t="shared" si="57"/>
        <v/>
      </c>
      <c r="C225" s="190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0">
        <f t="shared" si="58"/>
        <v>2030</v>
      </c>
      <c r="E225" s="188" t="s">
        <v>24</v>
      </c>
      <c r="F225" s="191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447037.72834356769</v>
      </c>
      <c r="G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8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1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5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0">
        <f t="shared" si="62"/>
        <v>447037.72834356769</v>
      </c>
      <c r="O225" s="191">
        <f t="shared" si="59"/>
        <v>0</v>
      </c>
      <c r="P225" s="201">
        <f t="shared" si="63"/>
        <v>0</v>
      </c>
      <c r="Q225" s="188">
        <f>IFERROR(VLOOKUP(A225,[1]Energiindhold!$A$2:$C$11,3,FALSE),IFERROR(VLOOKUP(A225,[1]Biogasudbytte!$A$2:$B$18,2,FALSE)*[1]Energiindhold!$C$10,0))*O225</f>
        <v>0</v>
      </c>
      <c r="R225" s="188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8">
        <f>IFERROR(VLOOKUP(A225,[1]Biogasudbytte!$A$2:$B$18,2,FALSE)*[1]Energiindhold!$C$10,0)*J225*IFERROR(VLOOKUP(A225,Biogasanlæg!$F$3:$G$8,2,FALSE),1)</f>
        <v>0</v>
      </c>
      <c r="T225" s="189">
        <f t="shared" si="64"/>
        <v>0</v>
      </c>
      <c r="U225" s="187">
        <f>O225*IFERROR(VLOOKUP(A225,[1]Tørstofindhold!A$2:B$24,2,FALSE),0)</f>
        <v>0</v>
      </c>
      <c r="V225" s="188">
        <f>IF(D225=År1,P225,SUM(O225,P225))*IFERROR(VLOOKUP(A225,[1]Tørstofindhold!A$2:B$24,2,FALSE),0)</f>
        <v>0</v>
      </c>
      <c r="W225" s="188">
        <f>J225*IFERROR(VLOOKUP(A225,[1]Tørstofindhold!A$2:B$24,2,FALSE),0)</f>
        <v>0</v>
      </c>
      <c r="X225" s="189">
        <f t="shared" si="65"/>
        <v>0</v>
      </c>
      <c r="Y225" s="169">
        <f t="shared" si="60"/>
        <v>0</v>
      </c>
      <c r="Z225" s="103">
        <f t="shared" si="61"/>
        <v>1</v>
      </c>
    </row>
    <row r="226" spans="1:26" x14ac:dyDescent="0.25">
      <c r="A226" s="190" t="str">
        <f t="shared" si="56"/>
        <v>Pil &amp; poppel</v>
      </c>
      <c r="B226" s="190" t="str">
        <f t="shared" si="57"/>
        <v>Vedmasse</v>
      </c>
      <c r="C226" s="190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0">
        <f t="shared" si="58"/>
        <v>2030</v>
      </c>
      <c r="E226" s="188" t="s">
        <v>24</v>
      </c>
      <c r="F226" s="191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39553.070036709789</v>
      </c>
      <c r="G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8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1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39553.070036709789</v>
      </c>
      <c r="M226" s="155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0">
        <f t="shared" si="62"/>
        <v>0</v>
      </c>
      <c r="O226" s="191">
        <f t="shared" si="59"/>
        <v>0</v>
      </c>
      <c r="P226" s="201">
        <f t="shared" si="63"/>
        <v>39553.070036709789</v>
      </c>
      <c r="Q226" s="188">
        <f>IFERROR(VLOOKUP(A226,[1]Energiindhold!$A$2:$C$11,3,FALSE),IFERROR(VLOOKUP(A226,[1]Biogasudbytte!$A$2:$B$18,2,FALSE)*[1]Energiindhold!$C$10,0))*O226</f>
        <v>0</v>
      </c>
      <c r="R226" s="188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0.72777648867545996</v>
      </c>
      <c r="S226" s="188">
        <f>IFERROR(VLOOKUP(A226,[1]Biogasudbytte!$A$2:$B$18,2,FALSE)*[1]Energiindhold!$C$10,0)*J226*IFERROR(VLOOKUP(A226,Biogasanlæg!$F$3:$G$8,2,FALSE),1)</f>
        <v>0</v>
      </c>
      <c r="T226" s="189">
        <f t="shared" si="64"/>
        <v>0.72777648867545996</v>
      </c>
      <c r="U226" s="187">
        <f>O226*IFERROR(VLOOKUP(A226,[1]Tørstofindhold!A$2:B$24,2,FALSE),0)</f>
        <v>0</v>
      </c>
      <c r="V226" s="188">
        <f>IF(D226=År1,P226,SUM(O226,P226))*IFERROR(VLOOKUP(A226,[1]Tørstofindhold!A$2:B$24,2,FALSE),0)</f>
        <v>16414.524065234564</v>
      </c>
      <c r="W226" s="188">
        <f>J226*IFERROR(VLOOKUP(A226,[1]Tørstofindhold!A$2:B$24,2,FALSE),0)</f>
        <v>0</v>
      </c>
      <c r="X226" s="189">
        <f t="shared" si="65"/>
        <v>16414.524065234564</v>
      </c>
      <c r="Y226" s="169">
        <f t="shared" si="60"/>
        <v>0</v>
      </c>
      <c r="Z226" s="103">
        <f t="shared" si="61"/>
        <v>0</v>
      </c>
    </row>
    <row r="227" spans="1:26" x14ac:dyDescent="0.25">
      <c r="A227" s="190" t="str">
        <f t="shared" ref="A227:A228" si="66">A179</f>
        <v>Pyrolysegas</v>
      </c>
      <c r="B227" s="190" t="str">
        <f t="shared" ref="B227:B228" si="67">IF(B179&lt;&gt;"",B179,"")</f>
        <v>Pyrolyseprodukter</v>
      </c>
      <c r="C227" s="190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0">
        <f t="shared" si="58"/>
        <v>2030</v>
      </c>
      <c r="E227" s="188" t="s">
        <v>24</v>
      </c>
      <c r="F227" s="191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8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1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5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0">
        <f t="shared" ref="N227:N228" si="68">F227-SUM(G227:M227)</f>
        <v>0</v>
      </c>
      <c r="O227" s="191">
        <f t="shared" si="59"/>
        <v>0</v>
      </c>
      <c r="P227" s="201">
        <f t="shared" ref="P227:P228" si="69">SUM(J227,L227)</f>
        <v>0</v>
      </c>
      <c r="Q227" s="188">
        <f>IFERROR(VLOOKUP(A227,[1]Energiindhold!$A$2:$C$11,3,FALSE),IFERROR(VLOOKUP(A227,[1]Biogasudbytte!$A$2:$B$18,2,FALSE)*[1]Energiindhold!$C$10,0))*O227</f>
        <v>0</v>
      </c>
      <c r="R227" s="188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8">
        <f>IFERROR(VLOOKUP(A227,[1]Biogasudbytte!$A$2:$B$18,2,FALSE)*[1]Energiindhold!$C$10,0)*J227*IFERROR(VLOOKUP(A227,Biogasanlæg!$F$3:$G$8,2,FALSE),1)</f>
        <v>0</v>
      </c>
      <c r="T227" s="189">
        <f t="shared" ref="T227:T228" si="70">R227-S227</f>
        <v>0</v>
      </c>
      <c r="U227" s="187">
        <f>O227*IFERROR(VLOOKUP(A227,[1]Tørstofindhold!A$2:B$24,2,FALSE),0)</f>
        <v>0</v>
      </c>
      <c r="V227" s="188">
        <f>IF(D227=År1,P227,SUM(O227,P227))*IFERROR(VLOOKUP(A227,[1]Tørstofindhold!A$2:B$24,2,FALSE),0)</f>
        <v>0</v>
      </c>
      <c r="W227" s="188">
        <f>J227*IFERROR(VLOOKUP(A227,[1]Tørstofindhold!A$2:B$24,2,FALSE),0)</f>
        <v>0</v>
      </c>
      <c r="X227" s="189">
        <f t="shared" ref="X227:X228" si="71">V227-W227</f>
        <v>0</v>
      </c>
      <c r="Y227" s="169">
        <f t="shared" si="60"/>
        <v>0</v>
      </c>
      <c r="Z227" s="103">
        <f t="shared" si="61"/>
        <v>0</v>
      </c>
    </row>
    <row r="228" spans="1:26" x14ac:dyDescent="0.25">
      <c r="A228" s="190" t="str">
        <f t="shared" si="66"/>
        <v>Pyrolyseolie</v>
      </c>
      <c r="B228" s="190" t="str">
        <f t="shared" si="67"/>
        <v>Pyrolyseprodukter</v>
      </c>
      <c r="C228" s="190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0">
        <f t="shared" si="58"/>
        <v>2030</v>
      </c>
      <c r="E228" s="188" t="s">
        <v>24</v>
      </c>
      <c r="F228" s="191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8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1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5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0">
        <f t="shared" si="68"/>
        <v>0</v>
      </c>
      <c r="O228" s="191">
        <f t="shared" si="59"/>
        <v>0</v>
      </c>
      <c r="P228" s="201">
        <f t="shared" si="69"/>
        <v>0</v>
      </c>
      <c r="Q228" s="188">
        <f>IFERROR(VLOOKUP(A228,[1]Energiindhold!$A$2:$C$11,3,FALSE),IFERROR(VLOOKUP(A228,[1]Biogasudbytte!$A$2:$B$18,2,FALSE)*[1]Energiindhold!$C$10,0))*O228</f>
        <v>0</v>
      </c>
      <c r="R228" s="188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8">
        <f>IFERROR(VLOOKUP(A228,[1]Biogasudbytte!$A$2:$B$18,2,FALSE)*[1]Energiindhold!$C$10,0)*J228*IFERROR(VLOOKUP(A228,Biogasanlæg!$F$3:$G$8,2,FALSE),1)</f>
        <v>0</v>
      </c>
      <c r="T228" s="189">
        <f t="shared" si="70"/>
        <v>0</v>
      </c>
      <c r="U228" s="187">
        <f>O228*IFERROR(VLOOKUP(A228,[1]Tørstofindhold!A$2:B$24,2,FALSE),0)</f>
        <v>0</v>
      </c>
      <c r="V228" s="188">
        <f>IF(D228=År1,P228,SUM(O228,P228))*IFERROR(VLOOKUP(A228,[1]Tørstofindhold!A$2:B$24,2,FALSE),0)</f>
        <v>0</v>
      </c>
      <c r="W228" s="188">
        <f>J228*IFERROR(VLOOKUP(A228,[1]Tørstofindhold!A$2:B$24,2,FALSE),0)</f>
        <v>0</v>
      </c>
      <c r="X228" s="189">
        <f t="shared" si="71"/>
        <v>0</v>
      </c>
      <c r="Y228" s="169">
        <f t="shared" si="60"/>
        <v>0</v>
      </c>
      <c r="Z228" s="103">
        <f t="shared" si="61"/>
        <v>0</v>
      </c>
    </row>
    <row r="229" spans="1:26" x14ac:dyDescent="0.25">
      <c r="A229" s="190" t="str">
        <f t="shared" ref="A229:A274" si="72">A181</f>
        <v>Råmælk</v>
      </c>
      <c r="B229" s="190" t="str">
        <f t="shared" ref="B229:B274" si="73">IF(B181&lt;&gt;"",B181,"")</f>
        <v/>
      </c>
      <c r="C229" s="190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0">
        <f t="shared" si="58"/>
        <v>2030</v>
      </c>
      <c r="E229" s="188" t="s">
        <v>24</v>
      </c>
      <c r="F229" s="191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333982.75808371691</v>
      </c>
      <c r="G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8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1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5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0">
        <f t="shared" si="62"/>
        <v>333982.75808371691</v>
      </c>
      <c r="O229" s="191">
        <f t="shared" si="59"/>
        <v>0</v>
      </c>
      <c r="P229" s="201">
        <f t="shared" si="63"/>
        <v>0</v>
      </c>
      <c r="Q229" s="188">
        <f>IFERROR(VLOOKUP(A229,[1]Energiindhold!$A$2:$C$11,3,FALSE),IFERROR(VLOOKUP(A229,[1]Biogasudbytte!$A$2:$B$18,2,FALSE)*[1]Energiindhold!$C$10,0))*O229</f>
        <v>0</v>
      </c>
      <c r="R229" s="188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8">
        <f>IFERROR(VLOOKUP(A229,[1]Biogasudbytte!$A$2:$B$18,2,FALSE)*[1]Energiindhold!$C$10,0)*J229*IFERROR(VLOOKUP(A229,Biogasanlæg!$F$3:$G$8,2,FALSE),1)</f>
        <v>0</v>
      </c>
      <c r="T229" s="189">
        <f t="shared" si="64"/>
        <v>0</v>
      </c>
      <c r="U229" s="187">
        <f>O229*IFERROR(VLOOKUP(A229,[1]Tørstofindhold!A$2:B$24,2,FALSE),0)</f>
        <v>0</v>
      </c>
      <c r="V229" s="188">
        <f>IF(D229=År1,P229,SUM(O229,P229))*IFERROR(VLOOKUP(A229,[1]Tørstofindhold!A$2:B$24,2,FALSE),0)</f>
        <v>0</v>
      </c>
      <c r="W229" s="188">
        <f>J229*IFERROR(VLOOKUP(A229,[1]Tørstofindhold!A$2:B$24,2,FALSE),0)</f>
        <v>0</v>
      </c>
      <c r="X229" s="189">
        <f t="shared" si="65"/>
        <v>0</v>
      </c>
      <c r="Y229" s="169">
        <f t="shared" si="60"/>
        <v>0</v>
      </c>
      <c r="Z229" s="103">
        <f t="shared" si="61"/>
        <v>1</v>
      </c>
    </row>
    <row r="230" spans="1:26" x14ac:dyDescent="0.25">
      <c r="A230" s="190" t="str">
        <f t="shared" si="72"/>
        <v>Raps</v>
      </c>
      <c r="B230" s="190" t="str">
        <f t="shared" si="73"/>
        <v/>
      </c>
      <c r="C230" s="190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0">
        <f t="shared" si="58"/>
        <v>2030</v>
      </c>
      <c r="E230" s="188" t="s">
        <v>24</v>
      </c>
      <c r="F230" s="191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47807.242236556565</v>
      </c>
      <c r="G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8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1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5">
        <f>SUMIFS('Forbrug af biomasse'!E:E,'Forbrug af biomasse'!C:C,'Resultat-Produktion &amp; forbrug'!$A230,'Forbrug af biomasse'!D:D,'Resultat-Produktion &amp; forbrug'!$D230,'Forbrug af biomasse'!G:G,1,'Forbrug af biomasse'!B:B,$E230)</f>
        <v>47807.242236556565</v>
      </c>
      <c r="N230" s="200">
        <f t="shared" si="62"/>
        <v>0</v>
      </c>
      <c r="O230" s="191">
        <f t="shared" si="59"/>
        <v>0</v>
      </c>
      <c r="P230" s="201">
        <f t="shared" si="63"/>
        <v>0</v>
      </c>
      <c r="Q230" s="188">
        <f>IFERROR(VLOOKUP(A230,[1]Energiindhold!$A$2:$C$11,3,FALSE),IFERROR(VLOOKUP(A230,[1]Biogasudbytte!$A$2:$B$18,2,FALSE)*[1]Energiindhold!$C$10,0))*O230</f>
        <v>0</v>
      </c>
      <c r="R230" s="188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8">
        <f>IFERROR(VLOOKUP(A230,[1]Biogasudbytte!$A$2:$B$18,2,FALSE)*[1]Energiindhold!$C$10,0)*J230*IFERROR(VLOOKUP(A230,Biogasanlæg!$F$3:$G$8,2,FALSE),1)</f>
        <v>0</v>
      </c>
      <c r="T230" s="189">
        <f t="shared" si="64"/>
        <v>0</v>
      </c>
      <c r="U230" s="187">
        <f>O230*IFERROR(VLOOKUP(A230,[1]Tørstofindhold!A$2:B$24,2,FALSE),0)</f>
        <v>0</v>
      </c>
      <c r="V230" s="188">
        <f>IF(D230=År1,P230,SUM(O230,P230))*IFERROR(VLOOKUP(A230,[1]Tørstofindhold!A$2:B$24,2,FALSE),0)</f>
        <v>0</v>
      </c>
      <c r="W230" s="188">
        <f>J230*IFERROR(VLOOKUP(A230,[1]Tørstofindhold!A$2:B$24,2,FALSE),0)</f>
        <v>0</v>
      </c>
      <c r="X230" s="189">
        <f t="shared" si="65"/>
        <v>0</v>
      </c>
      <c r="Y230" s="169">
        <f t="shared" si="60"/>
        <v>0</v>
      </c>
      <c r="Z230" s="103">
        <f t="shared" si="61"/>
        <v>0</v>
      </c>
    </row>
    <row r="231" spans="1:26" x14ac:dyDescent="0.25">
      <c r="A231" s="190" t="str">
        <f t="shared" si="72"/>
        <v>Rapskage</v>
      </c>
      <c r="B231" s="190" t="str">
        <f t="shared" si="73"/>
        <v/>
      </c>
      <c r="C231" s="190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0">
        <f t="shared" si="58"/>
        <v>2030</v>
      </c>
      <c r="E231" s="188" t="s">
        <v>24</v>
      </c>
      <c r="F231" s="191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23903.621118278283</v>
      </c>
      <c r="G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11271.411305610249</v>
      </c>
      <c r="H231" s="188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1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5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0">
        <f t="shared" si="62"/>
        <v>12632.209812668034</v>
      </c>
      <c r="O231" s="191">
        <f t="shared" si="59"/>
        <v>0</v>
      </c>
      <c r="P231" s="201">
        <f t="shared" si="63"/>
        <v>0</v>
      </c>
      <c r="Q231" s="188">
        <f>IFERROR(VLOOKUP(A231,[1]Energiindhold!$A$2:$C$11,3,FALSE),IFERROR(VLOOKUP(A231,[1]Biogasudbytte!$A$2:$B$18,2,FALSE)*[1]Energiindhold!$C$10,0))*O231</f>
        <v>0</v>
      </c>
      <c r="R231" s="188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8">
        <f>IFERROR(VLOOKUP(A231,[1]Biogasudbytte!$A$2:$B$18,2,FALSE)*[1]Energiindhold!$C$10,0)*J231*IFERROR(VLOOKUP(A231,Biogasanlæg!$F$3:$G$8,2,FALSE),1)</f>
        <v>0</v>
      </c>
      <c r="T231" s="189">
        <f t="shared" si="64"/>
        <v>0</v>
      </c>
      <c r="U231" s="187">
        <f>O231*IFERROR(VLOOKUP(A231,[1]Tørstofindhold!A$2:B$24,2,FALSE),0)</f>
        <v>0</v>
      </c>
      <c r="V231" s="188">
        <f>IF(D231=År1,P231,SUM(O231,P231))*IFERROR(VLOOKUP(A231,[1]Tørstofindhold!A$2:B$24,2,FALSE),0)</f>
        <v>0</v>
      </c>
      <c r="W231" s="188">
        <f>J231*IFERROR(VLOOKUP(A231,[1]Tørstofindhold!A$2:B$24,2,FALSE),0)</f>
        <v>0</v>
      </c>
      <c r="X231" s="189">
        <f t="shared" si="65"/>
        <v>0</v>
      </c>
      <c r="Y231" s="169">
        <f t="shared" si="60"/>
        <v>0</v>
      </c>
      <c r="Z231" s="103">
        <f t="shared" si="61"/>
        <v>1</v>
      </c>
    </row>
    <row r="232" spans="1:26" x14ac:dyDescent="0.25">
      <c r="A232" s="190" t="str">
        <f t="shared" si="72"/>
        <v>Rapsolie</v>
      </c>
      <c r="B232" s="190" t="str">
        <f t="shared" si="73"/>
        <v>Rapsolie</v>
      </c>
      <c r="C232" s="190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0">
        <f t="shared" si="58"/>
        <v>2030</v>
      </c>
      <c r="E232" s="188" t="s">
        <v>24</v>
      </c>
      <c r="F232" s="191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15298.317515698101</v>
      </c>
      <c r="G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8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1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15298.317515698101</v>
      </c>
      <c r="M232" s="155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0">
        <f t="shared" si="62"/>
        <v>0</v>
      </c>
      <c r="O232" s="191">
        <f t="shared" si="59"/>
        <v>0</v>
      </c>
      <c r="P232" s="201">
        <f t="shared" si="63"/>
        <v>15298.317515698101</v>
      </c>
      <c r="Q232" s="188">
        <f>IFERROR(VLOOKUP(A232,[1]Energiindhold!$A$2:$C$11,3,FALSE),IFERROR(VLOOKUP(A232,[1]Biogasudbytte!$A$2:$B$18,2,FALSE)*[1]Energiindhold!$C$10,0))*O232</f>
        <v>0</v>
      </c>
      <c r="R232" s="188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0.53544111304943354</v>
      </c>
      <c r="S232" s="188">
        <f>IFERROR(VLOOKUP(A232,[1]Biogasudbytte!$A$2:$B$18,2,FALSE)*[1]Energiindhold!$C$10,0)*J232*IFERROR(VLOOKUP(A232,Biogasanlæg!$F$3:$G$8,2,FALSE),1)</f>
        <v>0</v>
      </c>
      <c r="T232" s="189">
        <f t="shared" si="64"/>
        <v>0.53544111304943354</v>
      </c>
      <c r="U232" s="187">
        <f>O232*IFERROR(VLOOKUP(A232,[1]Tørstofindhold!A$2:B$24,2,FALSE),0)</f>
        <v>0</v>
      </c>
      <c r="V232" s="188">
        <f>IF(D232=År1,P232,SUM(O232,P232))*IFERROR(VLOOKUP(A232,[1]Tørstofindhold!A$2:B$24,2,FALSE),0)</f>
        <v>0</v>
      </c>
      <c r="W232" s="188">
        <f>J232*IFERROR(VLOOKUP(A232,[1]Tørstofindhold!A$2:B$24,2,FALSE),0)</f>
        <v>0</v>
      </c>
      <c r="X232" s="189">
        <f t="shared" si="65"/>
        <v>0</v>
      </c>
      <c r="Y232" s="169">
        <f t="shared" si="60"/>
        <v>0</v>
      </c>
      <c r="Z232" s="103">
        <f t="shared" si="61"/>
        <v>0</v>
      </c>
    </row>
    <row r="233" spans="1:26" x14ac:dyDescent="0.25">
      <c r="A233" s="190" t="str">
        <f t="shared" si="72"/>
        <v>Roer</v>
      </c>
      <c r="B233" s="190" t="str">
        <f t="shared" si="73"/>
        <v>Græs og urter</v>
      </c>
      <c r="C233" s="190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0">
        <f t="shared" si="58"/>
        <v>2030</v>
      </c>
      <c r="E233" s="188" t="s">
        <v>24</v>
      </c>
      <c r="F233" s="191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587619.03155491932</v>
      </c>
      <c r="G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106617.61280762308</v>
      </c>
      <c r="H233" s="188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6751.4081977279666</v>
      </c>
      <c r="K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1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5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0">
        <f t="shared" si="62"/>
        <v>474250.01054956828</v>
      </c>
      <c r="O233" s="191">
        <f t="shared" si="59"/>
        <v>474250.01054956828</v>
      </c>
      <c r="P233" s="201">
        <f t="shared" si="63"/>
        <v>6751.4081977279666</v>
      </c>
      <c r="Q233" s="188">
        <f>IFERROR(VLOOKUP(A233,[1]Energiindhold!$A$2:$C$11,3,FALSE),IFERROR(VLOOKUP(A233,[1]Biogasudbytte!$A$2:$B$18,2,FALSE)*[1]Energiindhold!$C$10,0))*O233</f>
        <v>1.2871334986319503</v>
      </c>
      <c r="R233" s="188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1.3054570905369118</v>
      </c>
      <c r="S233" s="188">
        <f>IFERROR(VLOOKUP(A233,[1]Biogasudbytte!$A$2:$B$18,2,FALSE)*[1]Energiindhold!$C$10,0)*J233*IFERROR(VLOOKUP(A233,Biogasanlæg!$F$3:$G$8,2,FALSE),1)</f>
        <v>1.8323591904961609E-2</v>
      </c>
      <c r="T233" s="189">
        <f t="shared" si="64"/>
        <v>1.2871334986319503</v>
      </c>
      <c r="U233" s="187">
        <f>O233*IFERROR(VLOOKUP(A233,[1]Tørstofindhold!A$2:B$24,2,FALSE),0)</f>
        <v>94850.002109913665</v>
      </c>
      <c r="V233" s="188">
        <f>IF(D233=År1,P233,SUM(O233,P233))*IFERROR(VLOOKUP(A233,[1]Tørstofindhold!A$2:B$24,2,FALSE),0)</f>
        <v>96200.283749459253</v>
      </c>
      <c r="W233" s="188">
        <f>J233*IFERROR(VLOOKUP(A233,[1]Tørstofindhold!A$2:B$24,2,FALSE),0)</f>
        <v>1350.2816395455934</v>
      </c>
      <c r="X233" s="189">
        <f t="shared" si="65"/>
        <v>94850.002109913665</v>
      </c>
      <c r="Y233" s="169">
        <f t="shared" si="60"/>
        <v>0</v>
      </c>
      <c r="Z233" s="103">
        <f t="shared" si="61"/>
        <v>1</v>
      </c>
    </row>
    <row r="234" spans="1:26" x14ac:dyDescent="0.25">
      <c r="A234" s="190" t="str">
        <f t="shared" si="72"/>
        <v>Slagteriaffald til andet</v>
      </c>
      <c r="B234" s="190" t="str">
        <f t="shared" si="73"/>
        <v/>
      </c>
      <c r="C234" s="190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0">
        <f t="shared" si="58"/>
        <v>2030</v>
      </c>
      <c r="E234" s="188" t="s">
        <v>24</v>
      </c>
      <c r="F234" s="191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21322.079657033162</v>
      </c>
      <c r="G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8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1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5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0">
        <f t="shared" si="62"/>
        <v>21322.079657033162</v>
      </c>
      <c r="O234" s="191">
        <f t="shared" si="59"/>
        <v>0</v>
      </c>
      <c r="P234" s="201">
        <f t="shared" si="63"/>
        <v>0</v>
      </c>
      <c r="Q234" s="188">
        <f>IFERROR(VLOOKUP(A234,[1]Energiindhold!$A$2:$C$11,3,FALSE),IFERROR(VLOOKUP(A234,[1]Biogasudbytte!$A$2:$B$18,2,FALSE)*[1]Energiindhold!$C$10,0))*O234</f>
        <v>0</v>
      </c>
      <c r="R234" s="188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8">
        <f>IFERROR(VLOOKUP(A234,[1]Biogasudbytte!$A$2:$B$18,2,FALSE)*[1]Energiindhold!$C$10,0)*J234*IFERROR(VLOOKUP(A234,Biogasanlæg!$F$3:$G$8,2,FALSE),1)</f>
        <v>0</v>
      </c>
      <c r="T234" s="189">
        <f t="shared" si="64"/>
        <v>0</v>
      </c>
      <c r="U234" s="187">
        <f>O234*IFERROR(VLOOKUP(A234,[1]Tørstofindhold!A$2:B$24,2,FALSE),0)</f>
        <v>0</v>
      </c>
      <c r="V234" s="188">
        <f>IF(D234=År1,P234,SUM(O234,P234))*IFERROR(VLOOKUP(A234,[1]Tørstofindhold!A$2:B$24,2,FALSE),0)</f>
        <v>0</v>
      </c>
      <c r="W234" s="188">
        <f>J234*IFERROR(VLOOKUP(A234,[1]Tørstofindhold!A$2:B$24,2,FALSE),0)</f>
        <v>0</v>
      </c>
      <c r="X234" s="189">
        <f t="shared" si="65"/>
        <v>0</v>
      </c>
      <c r="Y234" s="169">
        <f t="shared" si="60"/>
        <v>0</v>
      </c>
      <c r="Z234" s="103">
        <f t="shared" si="61"/>
        <v>1</v>
      </c>
    </row>
    <row r="235" spans="1:26" x14ac:dyDescent="0.25">
      <c r="A235" s="190" t="str">
        <f t="shared" si="72"/>
        <v>Slagteriaffald til foder</v>
      </c>
      <c r="B235" s="190" t="str">
        <f t="shared" si="73"/>
        <v/>
      </c>
      <c r="C235" s="190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0">
        <f t="shared" si="58"/>
        <v>2030</v>
      </c>
      <c r="E235" s="188" t="s">
        <v>24</v>
      </c>
      <c r="F235" s="191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17334.62592459012</v>
      </c>
      <c r="G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4723.4213980800005</v>
      </c>
      <c r="H235" s="188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1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5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0">
        <f t="shared" si="62"/>
        <v>12611.204526510119</v>
      </c>
      <c r="O235" s="191">
        <f t="shared" si="59"/>
        <v>0</v>
      </c>
      <c r="P235" s="201">
        <f t="shared" si="63"/>
        <v>0</v>
      </c>
      <c r="Q235" s="188">
        <f>IFERROR(VLOOKUP(A235,[1]Energiindhold!$A$2:$C$11,3,FALSE),IFERROR(VLOOKUP(A235,[1]Biogasudbytte!$A$2:$B$18,2,FALSE)*[1]Energiindhold!$C$10,0))*O235</f>
        <v>0</v>
      </c>
      <c r="R235" s="188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8">
        <f>IFERROR(VLOOKUP(A235,[1]Biogasudbytte!$A$2:$B$18,2,FALSE)*[1]Energiindhold!$C$10,0)*J235*IFERROR(VLOOKUP(A235,Biogasanlæg!$F$3:$G$8,2,FALSE),1)</f>
        <v>0</v>
      </c>
      <c r="T235" s="189">
        <f t="shared" si="64"/>
        <v>0</v>
      </c>
      <c r="U235" s="187">
        <f>O235*IFERROR(VLOOKUP(A235,[1]Tørstofindhold!A$2:B$24,2,FALSE),0)</f>
        <v>0</v>
      </c>
      <c r="V235" s="188">
        <f>IF(D235=År1,P235,SUM(O235,P235))*IFERROR(VLOOKUP(A235,[1]Tørstofindhold!A$2:B$24,2,FALSE),0)</f>
        <v>0</v>
      </c>
      <c r="W235" s="188">
        <f>J235*IFERROR(VLOOKUP(A235,[1]Tørstofindhold!A$2:B$24,2,FALSE),0)</f>
        <v>0</v>
      </c>
      <c r="X235" s="189">
        <f t="shared" si="65"/>
        <v>0</v>
      </c>
      <c r="Y235" s="169">
        <f t="shared" si="60"/>
        <v>0</v>
      </c>
      <c r="Z235" s="103">
        <f t="shared" si="61"/>
        <v>1</v>
      </c>
    </row>
    <row r="236" spans="1:26" x14ac:dyDescent="0.25">
      <c r="A236" s="190" t="str">
        <f t="shared" si="72"/>
        <v>Spildevandsslam</v>
      </c>
      <c r="B236" s="190" t="str">
        <f t="shared" si="73"/>
        <v>Bionedbrydeligt affald</v>
      </c>
      <c r="C236" s="190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0">
        <f t="shared" si="58"/>
        <v>2030</v>
      </c>
      <c r="E236" s="188" t="s">
        <v>24</v>
      </c>
      <c r="F236" s="191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3343749.6322478913</v>
      </c>
      <c r="G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8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1268113.1830084329</v>
      </c>
      <c r="K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1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5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0">
        <f t="shared" si="62"/>
        <v>2075636.4492394584</v>
      </c>
      <c r="O236" s="191">
        <f t="shared" si="59"/>
        <v>2075636.4492394584</v>
      </c>
      <c r="P236" s="201">
        <f t="shared" si="63"/>
        <v>1268113.1830084329</v>
      </c>
      <c r="Q236" s="188">
        <f>IFERROR(VLOOKUP(A236,[1]Energiindhold!$A$2:$C$11,3,FALSE),IFERROR(VLOOKUP(A236,[1]Biogasudbytte!$A$2:$B$18,2,FALSE)*[1]Energiindhold!$C$10,0))*O236</f>
        <v>1.0357633445349823</v>
      </c>
      <c r="R236" s="188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1.6685645039880206</v>
      </c>
      <c r="S236" s="188">
        <f>IFERROR(VLOOKUP(A236,[1]Biogasudbytte!$A$2:$B$18,2,FALSE)*[1]Energiindhold!$C$10,0)*J236*IFERROR(VLOOKUP(A236,Biogasanlæg!$F$3:$G$8,2,FALSE),1)</f>
        <v>0.63280115945303816</v>
      </c>
      <c r="T236" s="189">
        <f t="shared" si="64"/>
        <v>1.0357633445349825</v>
      </c>
      <c r="U236" s="187">
        <f>O236*IFERROR(VLOOKUP(A236,[1]Tørstofindhold!A$2:B$24,2,FALSE),0)</f>
        <v>124538.1869543675</v>
      </c>
      <c r="V236" s="188">
        <f>IF(D236=År1,P236,SUM(O236,P236))*IFERROR(VLOOKUP(A236,[1]Tørstofindhold!A$2:B$24,2,FALSE),0)</f>
        <v>200624.97793487346</v>
      </c>
      <c r="W236" s="188">
        <f>J236*IFERROR(VLOOKUP(A236,[1]Tørstofindhold!A$2:B$24,2,FALSE),0)</f>
        <v>76086.790980505975</v>
      </c>
      <c r="X236" s="189">
        <f t="shared" si="65"/>
        <v>124538.18695436748</v>
      </c>
      <c r="Y236" s="169">
        <f t="shared" si="60"/>
        <v>0</v>
      </c>
      <c r="Z236" s="103">
        <f t="shared" si="61"/>
        <v>1</v>
      </c>
    </row>
    <row r="237" spans="1:26" x14ac:dyDescent="0.25">
      <c r="A237" s="190" t="str">
        <f t="shared" si="72"/>
        <v>Svinegylle</v>
      </c>
      <c r="B237" s="190" t="str">
        <f t="shared" si="73"/>
        <v>Husdyrgødning</v>
      </c>
      <c r="C237" s="190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0">
        <f t="shared" si="58"/>
        <v>2030</v>
      </c>
      <c r="E237" s="188" t="s">
        <v>24</v>
      </c>
      <c r="F237" s="191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2007966.0118097975</v>
      </c>
      <c r="G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8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1064221.9862591927</v>
      </c>
      <c r="K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943744.02555060491</v>
      </c>
      <c r="L237" s="191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5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0">
        <f t="shared" si="62"/>
        <v>0</v>
      </c>
      <c r="O237" s="191">
        <f t="shared" si="59"/>
        <v>0</v>
      </c>
      <c r="P237" s="201">
        <f t="shared" si="63"/>
        <v>1064221.9862591927</v>
      </c>
      <c r="Q237" s="188">
        <f>IFERROR(VLOOKUP(A237,[1]Energiindhold!$A$2:$C$11,3,FALSE),IFERROR(VLOOKUP(A237,[1]Biogasudbytte!$A$2:$B$18,2,FALSE)*[1]Energiindhold!$C$10,0))*O237</f>
        <v>0</v>
      </c>
      <c r="R237" s="188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0.45846683168046026</v>
      </c>
      <c r="S237" s="188">
        <f>IFERROR(VLOOKUP(A237,[1]Biogasudbytte!$A$2:$B$18,2,FALSE)*[1]Energiindhold!$C$10,0)*J237*IFERROR(VLOOKUP(A237,Biogasanlæg!$F$3:$G$8,2,FALSE),1)</f>
        <v>0.45846683168046026</v>
      </c>
      <c r="T237" s="189">
        <f t="shared" si="64"/>
        <v>0</v>
      </c>
      <c r="U237" s="187">
        <f>O237*IFERROR(VLOOKUP(A237,[1]Tørstofindhold!A$2:B$24,2,FALSE),0)</f>
        <v>0</v>
      </c>
      <c r="V237" s="188">
        <f>IF(D237=År1,P237,SUM(O237,P237))*IFERROR(VLOOKUP(A237,[1]Tørstofindhold!A$2:B$24,2,FALSE),0)</f>
        <v>53211.099312959639</v>
      </c>
      <c r="W237" s="188">
        <f>J237*IFERROR(VLOOKUP(A237,[1]Tørstofindhold!A$2:B$24,2,FALSE),0)</f>
        <v>53211.099312959639</v>
      </c>
      <c r="X237" s="189">
        <f t="shared" si="65"/>
        <v>0</v>
      </c>
      <c r="Y237" s="169">
        <f t="shared" si="60"/>
        <v>0</v>
      </c>
      <c r="Z237" s="103">
        <f t="shared" si="61"/>
        <v>0</v>
      </c>
    </row>
    <row r="238" spans="1:26" x14ac:dyDescent="0.25">
      <c r="A238" s="190" t="str">
        <f t="shared" si="72"/>
        <v>Svinekød</v>
      </c>
      <c r="B238" s="190" t="str">
        <f t="shared" si="73"/>
        <v/>
      </c>
      <c r="C238" s="190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0">
        <f t="shared" si="58"/>
        <v>2030</v>
      </c>
      <c r="E238" s="188" t="s">
        <v>24</v>
      </c>
      <c r="F238" s="191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189279.53198000713</v>
      </c>
      <c r="G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8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1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5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0">
        <f t="shared" si="62"/>
        <v>83753.092130459205</v>
      </c>
      <c r="O238" s="191">
        <f t="shared" si="59"/>
        <v>0</v>
      </c>
      <c r="P238" s="201">
        <f t="shared" si="63"/>
        <v>0</v>
      </c>
      <c r="Q238" s="188">
        <f>IFERROR(VLOOKUP(A238,[1]Energiindhold!$A$2:$C$11,3,FALSE),IFERROR(VLOOKUP(A238,[1]Biogasudbytte!$A$2:$B$18,2,FALSE)*[1]Energiindhold!$C$10,0))*O238</f>
        <v>0</v>
      </c>
      <c r="R238" s="188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8">
        <f>IFERROR(VLOOKUP(A238,[1]Biogasudbytte!$A$2:$B$18,2,FALSE)*[1]Energiindhold!$C$10,0)*J238*IFERROR(VLOOKUP(A238,Biogasanlæg!$F$3:$G$8,2,FALSE),1)</f>
        <v>0</v>
      </c>
      <c r="T238" s="189">
        <f t="shared" si="64"/>
        <v>0</v>
      </c>
      <c r="U238" s="187">
        <f>O238*IFERROR(VLOOKUP(A238,[1]Tørstofindhold!A$2:B$24,2,FALSE),0)</f>
        <v>0</v>
      </c>
      <c r="V238" s="188">
        <f>IF(D238=År1,P238,SUM(O238,P238))*IFERROR(VLOOKUP(A238,[1]Tørstofindhold!A$2:B$24,2,FALSE),0)</f>
        <v>0</v>
      </c>
      <c r="W238" s="188">
        <f>J238*IFERROR(VLOOKUP(A238,[1]Tørstofindhold!A$2:B$24,2,FALSE),0)</f>
        <v>0</v>
      </c>
      <c r="X238" s="189">
        <f t="shared" si="65"/>
        <v>0</v>
      </c>
      <c r="Y238" s="169">
        <f t="shared" si="60"/>
        <v>0</v>
      </c>
      <c r="Z238" s="103">
        <f t="shared" si="61"/>
        <v>1</v>
      </c>
    </row>
    <row r="239" spans="1:26" x14ac:dyDescent="0.25">
      <c r="A239" s="190" t="str">
        <f t="shared" si="72"/>
        <v>Tang</v>
      </c>
      <c r="B239" s="190" t="str">
        <f t="shared" si="73"/>
        <v>Havbiomasse</v>
      </c>
      <c r="C239" s="190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0">
        <f t="shared" si="58"/>
        <v>2030</v>
      </c>
      <c r="E239" s="188" t="s">
        <v>24</v>
      </c>
      <c r="F239" s="191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</v>
      </c>
      <c r="G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8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1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5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0">
        <f t="shared" si="62"/>
        <v>3600</v>
      </c>
      <c r="O239" s="191">
        <f t="shared" si="59"/>
        <v>3600</v>
      </c>
      <c r="P239" s="201">
        <f t="shared" si="63"/>
        <v>0</v>
      </c>
      <c r="Q239" s="188">
        <f>IFERROR(VLOOKUP(A239,[1]Energiindhold!$A$2:$C$11,3,FALSE),IFERROR(VLOOKUP(A239,[1]Biogasudbytte!$A$2:$B$18,2,FALSE)*[1]Energiindhold!$C$10,0))*O239</f>
        <v>3.2310000000000004E-3</v>
      </c>
      <c r="R239" s="188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88">
        <f>IFERROR(VLOOKUP(A239,[1]Biogasudbytte!$A$2:$B$18,2,FALSE)*[1]Energiindhold!$C$10,0)*J239*IFERROR(VLOOKUP(A239,Biogasanlæg!$F$3:$G$8,2,FALSE),1)</f>
        <v>0</v>
      </c>
      <c r="T239" s="189">
        <f t="shared" si="64"/>
        <v>3.2310000000000004E-3</v>
      </c>
      <c r="U239" s="187">
        <f>O239*IFERROR(VLOOKUP(A239,[1]Tørstofindhold!A$2:B$24,2,FALSE),0)</f>
        <v>540</v>
      </c>
      <c r="V239" s="188">
        <f>IF(D239=År1,P239,SUM(O239,P239))*IFERROR(VLOOKUP(A239,[1]Tørstofindhold!A$2:B$24,2,FALSE),0)</f>
        <v>540</v>
      </c>
      <c r="W239" s="188">
        <f>J239*IFERROR(VLOOKUP(A239,[1]Tørstofindhold!A$2:B$24,2,FALSE),0)</f>
        <v>0</v>
      </c>
      <c r="X239" s="189">
        <f t="shared" si="65"/>
        <v>540</v>
      </c>
      <c r="Y239" s="169">
        <f t="shared" si="60"/>
        <v>0</v>
      </c>
      <c r="Z239" s="103">
        <f t="shared" si="61"/>
        <v>1</v>
      </c>
    </row>
    <row r="240" spans="1:26" x14ac:dyDescent="0.25">
      <c r="A240" s="190" t="str">
        <f t="shared" si="72"/>
        <v>Total til biogas</v>
      </c>
      <c r="B240" s="190" t="str">
        <f t="shared" si="73"/>
        <v/>
      </c>
      <c r="C240" s="190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0">
        <f t="shared" si="58"/>
        <v>2030</v>
      </c>
      <c r="E240" s="188" t="s">
        <v>24</v>
      </c>
      <c r="F240" s="191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8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1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5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0">
        <f t="shared" si="62"/>
        <v>0</v>
      </c>
      <c r="O240" s="191">
        <f t="shared" si="59"/>
        <v>0</v>
      </c>
      <c r="P240" s="201">
        <f t="shared" si="63"/>
        <v>0</v>
      </c>
      <c r="Q240" s="188">
        <f>IFERROR(VLOOKUP(A240,[1]Energiindhold!$A$2:$C$11,3,FALSE),IFERROR(VLOOKUP(A240,[1]Biogasudbytte!$A$2:$B$18,2,FALSE)*[1]Energiindhold!$C$10,0))*O240</f>
        <v>0</v>
      </c>
      <c r="R240" s="188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8">
        <f>IFERROR(VLOOKUP(A240,[1]Biogasudbytte!$A$2:$B$18,2,FALSE)*[1]Energiindhold!$C$10,0)*J240*IFERROR(VLOOKUP(A240,Biogasanlæg!$F$3:$G$8,2,FALSE),1)</f>
        <v>0</v>
      </c>
      <c r="T240" s="189">
        <f t="shared" si="64"/>
        <v>0</v>
      </c>
      <c r="U240" s="187">
        <f>O240*IFERROR(VLOOKUP(A240,[1]Tørstofindhold!A$2:B$24,2,FALSE),0)</f>
        <v>0</v>
      </c>
      <c r="V240" s="188">
        <f>IF(D240=År1,P240,SUM(O240,P240))*IFERROR(VLOOKUP(A240,[1]Tørstofindhold!A$2:B$24,2,FALSE),0)</f>
        <v>0</v>
      </c>
      <c r="W240" s="188">
        <f>J240*IFERROR(VLOOKUP(A240,[1]Tørstofindhold!A$2:B$24,2,FALSE),0)</f>
        <v>0</v>
      </c>
      <c r="X240" s="189">
        <f t="shared" si="65"/>
        <v>0</v>
      </c>
      <c r="Y240" s="169">
        <f t="shared" si="60"/>
        <v>0</v>
      </c>
      <c r="Z240" s="103">
        <f t="shared" si="61"/>
        <v>0</v>
      </c>
    </row>
    <row r="241" spans="1:26" x14ac:dyDescent="0.25">
      <c r="A241" s="190" t="str">
        <f t="shared" si="72"/>
        <v>Træ til energi</v>
      </c>
      <c r="B241" s="190" t="str">
        <f t="shared" si="73"/>
        <v>Vedmasse</v>
      </c>
      <c r="C241" s="190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0">
        <f t="shared" si="58"/>
        <v>2030</v>
      </c>
      <c r="E241" s="188" t="s">
        <v>24</v>
      </c>
      <c r="F241" s="191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645037.98201828008</v>
      </c>
      <c r="G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8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1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5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0">
        <f t="shared" ca="1" si="62"/>
        <v>0</v>
      </c>
      <c r="O241" s="191">
        <f t="shared" ca="1" si="59"/>
        <v>0</v>
      </c>
      <c r="P241" s="201">
        <f t="shared" ca="1" si="63"/>
        <v>645037.98201828008</v>
      </c>
      <c r="Q241" s="188">
        <f ca="1">IFERROR(VLOOKUP(A241,[1]Energiindhold!$A$2:$C$11,3,FALSE),IFERROR(VLOOKUP(A241,[1]Biogasudbytte!$A$2:$B$18,2,FALSE)*[1]Energiindhold!$C$10,0))*O241</f>
        <v>0</v>
      </c>
      <c r="R241" s="188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88">
        <f>IFERROR(VLOOKUP(A241,[1]Biogasudbytte!$A$2:$B$18,2,FALSE)*[1]Energiindhold!$C$10,0)*J241*IFERROR(VLOOKUP(A241,Biogasanlæg!$F$3:$G$8,2,FALSE),1)</f>
        <v>0</v>
      </c>
      <c r="T241" s="189">
        <f t="shared" ca="1" si="64"/>
        <v>9.3489024359990136</v>
      </c>
      <c r="U241" s="187">
        <f ca="1">O241*IFERROR(VLOOKUP(A241,[1]Tørstofindhold!A$2:B$24,2,FALSE),0)</f>
        <v>0</v>
      </c>
      <c r="V241" s="188">
        <f ca="1">IF(D241=År1,P241,SUM(O241,P241))*IFERROR(VLOOKUP(A241,[1]Tørstofindhold!A$2:B$24,2,FALSE),0)</f>
        <v>319025.0352732077</v>
      </c>
      <c r="W241" s="188">
        <f>J241*IFERROR(VLOOKUP(A241,[1]Tørstofindhold!A$2:B$24,2,FALSE),0)</f>
        <v>0</v>
      </c>
      <c r="X241" s="189">
        <f t="shared" ca="1" si="65"/>
        <v>319025.0352732077</v>
      </c>
      <c r="Y241" s="169">
        <f t="shared" ca="1" si="60"/>
        <v>0</v>
      </c>
      <c r="Z241" s="103">
        <f t="shared" ca="1" si="61"/>
        <v>0</v>
      </c>
    </row>
    <row r="242" spans="1:26" x14ac:dyDescent="0.25">
      <c r="A242" s="190" t="str">
        <f t="shared" si="72"/>
        <v>Træmaterialer</v>
      </c>
      <c r="B242" s="190" t="str">
        <f t="shared" si="73"/>
        <v/>
      </c>
      <c r="C242" s="190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0">
        <f t="shared" si="58"/>
        <v>2030</v>
      </c>
      <c r="E242" s="188" t="s">
        <v>24</v>
      </c>
      <c r="F242" s="191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177359.22120275494</v>
      </c>
      <c r="G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8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1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5">
        <f ca="1">SUMIFS('Forbrug af biomasse'!E:E,'Forbrug af biomasse'!C:C,'Resultat-Produktion &amp; forbrug'!$A242,'Forbrug af biomasse'!D:D,'Resultat-Produktion &amp; forbrug'!$D242,'Forbrug af biomasse'!G:G,1,'Forbrug af biomasse'!B:B,$E242)</f>
        <v>177359.22120275494</v>
      </c>
      <c r="N242" s="200">
        <f t="shared" ca="1" si="62"/>
        <v>0</v>
      </c>
      <c r="O242" s="191">
        <f t="shared" si="59"/>
        <v>0</v>
      </c>
      <c r="P242" s="201">
        <f t="shared" si="63"/>
        <v>0</v>
      </c>
      <c r="Q242" s="188">
        <f>IFERROR(VLOOKUP(A242,[1]Energiindhold!$A$2:$C$11,3,FALSE),IFERROR(VLOOKUP(A242,[1]Biogasudbytte!$A$2:$B$18,2,FALSE)*[1]Energiindhold!$C$10,0))*O242</f>
        <v>0</v>
      </c>
      <c r="R242" s="188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8">
        <f>IFERROR(VLOOKUP(A242,[1]Biogasudbytte!$A$2:$B$18,2,FALSE)*[1]Energiindhold!$C$10,0)*J242*IFERROR(VLOOKUP(A242,Biogasanlæg!$F$3:$G$8,2,FALSE),1)</f>
        <v>0</v>
      </c>
      <c r="T242" s="189">
        <f t="shared" si="64"/>
        <v>0</v>
      </c>
      <c r="U242" s="187">
        <f>O242*IFERROR(VLOOKUP(A242,[1]Tørstofindhold!A$2:B$24,2,FALSE),0)</f>
        <v>0</v>
      </c>
      <c r="V242" s="188">
        <f>IF(D242=År1,P242,SUM(O242,P242))*IFERROR(VLOOKUP(A242,[1]Tørstofindhold!A$2:B$24,2,FALSE),0)</f>
        <v>0</v>
      </c>
      <c r="W242" s="188">
        <f>J242*IFERROR(VLOOKUP(A242,[1]Tørstofindhold!A$2:B$24,2,FALSE),0)</f>
        <v>0</v>
      </c>
      <c r="X242" s="189">
        <f t="shared" si="65"/>
        <v>0</v>
      </c>
      <c r="Y242" s="169">
        <f t="shared" ca="1" si="60"/>
        <v>0</v>
      </c>
      <c r="Z242" s="103">
        <f t="shared" ca="1" si="61"/>
        <v>0</v>
      </c>
    </row>
    <row r="243" spans="1:26" x14ac:dyDescent="0.25">
      <c r="A243" s="190" t="str">
        <f t="shared" si="72"/>
        <v>Æg</v>
      </c>
      <c r="B243" s="190" t="str">
        <f t="shared" si="73"/>
        <v/>
      </c>
      <c r="C243" s="190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0">
        <f t="shared" ref="D243:D281" si="74">År3</f>
        <v>2050</v>
      </c>
      <c r="E243" s="188" t="s">
        <v>24</v>
      </c>
      <c r="F243" s="191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14989.208203650858</v>
      </c>
      <c r="G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8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1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5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0">
        <f t="shared" si="62"/>
        <v>-14542.793816451096</v>
      </c>
      <c r="O243" s="191">
        <f t="shared" si="59"/>
        <v>0</v>
      </c>
      <c r="P243" s="201">
        <f t="shared" si="63"/>
        <v>0</v>
      </c>
      <c r="Q243" s="188">
        <f>IFERROR(VLOOKUP(A243,[1]Energiindhold!$A$2:$C$11,3,FALSE),IFERROR(VLOOKUP(A243,[1]Biogasudbytte!$A$2:$B$18,2,FALSE)*[1]Energiindhold!$C$10,0))*O243</f>
        <v>0</v>
      </c>
      <c r="R243" s="188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8">
        <f>IFERROR(VLOOKUP(A243,[1]Biogasudbytte!$A$2:$B$18,2,FALSE)*[1]Energiindhold!$C$10,0)*J243*IFERROR(VLOOKUP(A243,Biogasanlæg!$F$3:$G$8,2,FALSE),1)</f>
        <v>0</v>
      </c>
      <c r="T243" s="189">
        <f t="shared" si="64"/>
        <v>0</v>
      </c>
      <c r="U243" s="187">
        <f>O243*IFERROR(VLOOKUP(A243,[1]Tørstofindhold!A$2:B$24,2,FALSE),0)</f>
        <v>0</v>
      </c>
      <c r="V243" s="188">
        <f>IF(D243=År1,P243,SUM(O243,P243))*IFERROR(VLOOKUP(A243,[1]Tørstofindhold!A$2:B$24,2,FALSE),0)</f>
        <v>0</v>
      </c>
      <c r="W243" s="188">
        <f>J243*IFERROR(VLOOKUP(A243,[1]Tørstofindhold!A$2:B$24,2,FALSE),0)</f>
        <v>0</v>
      </c>
      <c r="X243" s="189">
        <f t="shared" si="65"/>
        <v>0</v>
      </c>
      <c r="Y243" s="169">
        <f t="shared" si="60"/>
        <v>0</v>
      </c>
      <c r="Z243" s="103">
        <f t="shared" si="61"/>
        <v>1</v>
      </c>
    </row>
    <row r="244" spans="1:26" x14ac:dyDescent="0.25">
      <c r="A244" s="190" t="str">
        <f t="shared" si="72"/>
        <v>Bælgsæd</v>
      </c>
      <c r="B244" s="190" t="str">
        <f t="shared" si="73"/>
        <v/>
      </c>
      <c r="C244" s="190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0">
        <f t="shared" si="74"/>
        <v>2050</v>
      </c>
      <c r="E244" s="188" t="s">
        <v>24</v>
      </c>
      <c r="F244" s="191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61233.498570445321</v>
      </c>
      <c r="G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7493.8897181076945</v>
      </c>
      <c r="H244" s="188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1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5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0">
        <f t="shared" si="62"/>
        <v>53739.608852337624</v>
      </c>
      <c r="O244" s="191">
        <f t="shared" si="59"/>
        <v>0</v>
      </c>
      <c r="P244" s="201">
        <f t="shared" si="63"/>
        <v>0</v>
      </c>
      <c r="Q244" s="188">
        <f>IFERROR(VLOOKUP(A244,[1]Energiindhold!$A$2:$C$11,3,FALSE),IFERROR(VLOOKUP(A244,[1]Biogasudbytte!$A$2:$B$18,2,FALSE)*[1]Energiindhold!$C$10,0))*O244</f>
        <v>0</v>
      </c>
      <c r="R244" s="188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8">
        <f>IFERROR(VLOOKUP(A244,[1]Biogasudbytte!$A$2:$B$18,2,FALSE)*[1]Energiindhold!$C$10,0)*J244*IFERROR(VLOOKUP(A244,Biogasanlæg!$F$3:$G$8,2,FALSE),1)</f>
        <v>0</v>
      </c>
      <c r="T244" s="189">
        <f t="shared" si="64"/>
        <v>0</v>
      </c>
      <c r="U244" s="187">
        <f>O244*IFERROR(VLOOKUP(A244,[1]Tørstofindhold!A$2:B$24,2,FALSE),0)</f>
        <v>0</v>
      </c>
      <c r="V244" s="188">
        <f>IF(D244=År1,P244,SUM(O244,P244))*IFERROR(VLOOKUP(A244,[1]Tørstofindhold!A$2:B$24,2,FALSE),0)</f>
        <v>0</v>
      </c>
      <c r="W244" s="188">
        <f>J244*IFERROR(VLOOKUP(A244,[1]Tørstofindhold!A$2:B$24,2,FALSE),0)</f>
        <v>0</v>
      </c>
      <c r="X244" s="189">
        <f t="shared" si="65"/>
        <v>0</v>
      </c>
      <c r="Y244" s="169">
        <f t="shared" si="60"/>
        <v>0</v>
      </c>
      <c r="Z244" s="103">
        <f t="shared" si="61"/>
        <v>1</v>
      </c>
    </row>
    <row r="245" spans="1:26" x14ac:dyDescent="0.25">
      <c r="A245" s="190" t="str">
        <f t="shared" si="72"/>
        <v>Bioaffald</v>
      </c>
      <c r="B245" s="190" t="str">
        <f t="shared" si="73"/>
        <v>Bionedbrydeligt affald</v>
      </c>
      <c r="C245" s="190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0">
        <f t="shared" si="74"/>
        <v>2050</v>
      </c>
      <c r="E245" s="188" t="s">
        <v>24</v>
      </c>
      <c r="F245" s="191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8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1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1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5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0">
        <f t="shared" ca="1" si="62"/>
        <v>-8.6147268739296123E-2</v>
      </c>
      <c r="O245" s="191">
        <f t="shared" ca="1" si="59"/>
        <v>0</v>
      </c>
      <c r="P245" s="201">
        <f t="shared" ca="1" si="63"/>
        <v>172292.76645701908</v>
      </c>
      <c r="Q245" s="188">
        <f ca="1">IFERROR(VLOOKUP(A245,[1]Energiindhold!$A$2:$C$11,3,FALSE),IFERROR(VLOOKUP(A245,[1]Biogasudbytte!$A$2:$B$18,2,FALSE)*[1]Energiindhold!$C$10,0))*O245</f>
        <v>0</v>
      </c>
      <c r="R245" s="188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8">
        <f ca="1">IFERROR(VLOOKUP(A245,[1]Biogasudbytte!$A$2:$B$18,2,FALSE)*[1]Energiindhold!$C$10,0)*J245*IFERROR(VLOOKUP(A245,Biogasanlæg!$F$3:$G$8,2,FALSE),1)</f>
        <v>0.58698594897008305</v>
      </c>
      <c r="T245" s="189">
        <f t="shared" ca="1" si="64"/>
        <v>0</v>
      </c>
      <c r="U245" s="187">
        <f ca="1">O245*IFERROR(VLOOKUP(A245,[1]Tørstofindhold!A$2:B$24,2,FALSE),0)</f>
        <v>0</v>
      </c>
      <c r="V245" s="188">
        <f ca="1">IF(D245=År1,P245,SUM(O245,P245))*IFERROR(VLOOKUP(A245,[1]Tørstofindhold!A$2:B$24,2,FALSE),0)</f>
        <v>48241.974607965349</v>
      </c>
      <c r="W245" s="188">
        <f ca="1">J245*IFERROR(VLOOKUP(A245,[1]Tørstofindhold!A$2:B$24,2,FALSE),0)</f>
        <v>48241.974607965349</v>
      </c>
      <c r="X245" s="189">
        <f t="shared" ca="1" si="65"/>
        <v>0</v>
      </c>
      <c r="Y245" s="169">
        <f t="shared" ca="1" si="60"/>
        <v>1</v>
      </c>
      <c r="Z245" s="103">
        <f t="shared" ca="1" si="61"/>
        <v>0</v>
      </c>
    </row>
    <row r="246" spans="1:26" x14ac:dyDescent="0.25">
      <c r="A246" s="190" t="str">
        <f t="shared" si="72"/>
        <v>Biogas</v>
      </c>
      <c r="B246" s="190" t="str">
        <f t="shared" si="73"/>
        <v/>
      </c>
      <c r="C246" s="190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0">
        <f t="shared" si="74"/>
        <v>2050</v>
      </c>
      <c r="E246" s="188" t="s">
        <v>24</v>
      </c>
      <c r="F246" s="191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114938258.35286066</v>
      </c>
      <c r="G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8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1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114938258.35286066</v>
      </c>
      <c r="M246" s="155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0">
        <f t="shared" ca="1" si="62"/>
        <v>0</v>
      </c>
      <c r="O246" s="191">
        <f t="shared" ca="1" si="59"/>
        <v>0</v>
      </c>
      <c r="P246" s="201">
        <f t="shared" ca="1" si="63"/>
        <v>114938258.35286066</v>
      </c>
      <c r="Q246" s="188">
        <f ca="1">IFERROR(VLOOKUP(A246,[1]Energiindhold!$A$2:$C$11,3,FALSE),IFERROR(VLOOKUP(A246,[1]Biogasudbytte!$A$2:$B$18,2,FALSE)*[1]Energiindhold!$C$10,0))*O246</f>
        <v>0</v>
      </c>
      <c r="R246" s="188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8">
        <f>IFERROR(VLOOKUP(A246,[1]Biogasudbytte!$A$2:$B$18,2,FALSE)*[1]Energiindhold!$C$10,0)*J246*IFERROR(VLOOKUP(A246,Biogasanlæg!$F$3:$G$8,2,FALSE),1)</f>
        <v>0</v>
      </c>
      <c r="T246" s="189">
        <f t="shared" si="64"/>
        <v>0</v>
      </c>
      <c r="U246" s="187">
        <f ca="1">O246*IFERROR(VLOOKUP(A246,[1]Tørstofindhold!A$2:B$24,2,FALSE),0)</f>
        <v>0</v>
      </c>
      <c r="V246" s="188">
        <f ca="1">IF(D246=År1,P246,SUM(O246,P246))*IFERROR(VLOOKUP(A246,[1]Tørstofindhold!A$2:B$24,2,FALSE),0)</f>
        <v>0</v>
      </c>
      <c r="W246" s="188">
        <f>J246*IFERROR(VLOOKUP(A246,[1]Tørstofindhold!A$2:B$24,2,FALSE),0)</f>
        <v>0</v>
      </c>
      <c r="X246" s="189">
        <f t="shared" ca="1" si="65"/>
        <v>0</v>
      </c>
      <c r="Y246" s="169">
        <f t="shared" ca="1" si="60"/>
        <v>0</v>
      </c>
      <c r="Z246" s="103">
        <f t="shared" ca="1" si="61"/>
        <v>0</v>
      </c>
    </row>
    <row r="247" spans="1:26" x14ac:dyDescent="0.25">
      <c r="A247" s="190" t="str">
        <f t="shared" si="72"/>
        <v>Biogasgylle</v>
      </c>
      <c r="B247" s="190" t="str">
        <f t="shared" si="73"/>
        <v/>
      </c>
      <c r="C247" s="190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0">
        <f t="shared" si="74"/>
        <v>2050</v>
      </c>
      <c r="E247" s="188" t="s">
        <v>24</v>
      </c>
      <c r="F247" s="191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3329756.2304500802</v>
      </c>
      <c r="G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8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1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2820438.968055354</v>
      </c>
      <c r="L247" s="191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5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0">
        <f t="shared" ca="1" si="62"/>
        <v>509317.26239472628</v>
      </c>
      <c r="O247" s="191">
        <f t="shared" si="59"/>
        <v>0</v>
      </c>
      <c r="P247" s="201">
        <f t="shared" si="63"/>
        <v>0</v>
      </c>
      <c r="Q247" s="188">
        <f>IFERROR(VLOOKUP(A247,[1]Energiindhold!$A$2:$C$11,3,FALSE),IFERROR(VLOOKUP(A247,[1]Biogasudbytte!$A$2:$B$18,2,FALSE)*[1]Energiindhold!$C$10,0))*O247</f>
        <v>0</v>
      </c>
      <c r="R247" s="188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8">
        <f>IFERROR(VLOOKUP(A247,[1]Biogasudbytte!$A$2:$B$18,2,FALSE)*[1]Energiindhold!$C$10,0)*J247*IFERROR(VLOOKUP(A247,Biogasanlæg!$F$3:$G$8,2,FALSE),1)</f>
        <v>0</v>
      </c>
      <c r="T247" s="189">
        <f t="shared" si="64"/>
        <v>0</v>
      </c>
      <c r="U247" s="187">
        <f>O247*IFERROR(VLOOKUP(A247,[1]Tørstofindhold!A$2:B$24,2,FALSE),0)</f>
        <v>0</v>
      </c>
      <c r="V247" s="188">
        <f>IF(D247=År1,P247,SUM(O247,P247))*IFERROR(VLOOKUP(A247,[1]Tørstofindhold!A$2:B$24,2,FALSE),0)</f>
        <v>0</v>
      </c>
      <c r="W247" s="188">
        <f>J247*IFERROR(VLOOKUP(A247,[1]Tørstofindhold!A$2:B$24,2,FALSE),0)</f>
        <v>0</v>
      </c>
      <c r="X247" s="189">
        <f t="shared" si="65"/>
        <v>0</v>
      </c>
      <c r="Y247" s="169">
        <f t="shared" ca="1" si="60"/>
        <v>0</v>
      </c>
      <c r="Z247" s="103">
        <f t="shared" ca="1" si="61"/>
        <v>1</v>
      </c>
    </row>
    <row r="248" spans="1:26" x14ac:dyDescent="0.25">
      <c r="A248" s="190" t="str">
        <f t="shared" si="72"/>
        <v>Brun saft</v>
      </c>
      <c r="B248" s="190" t="str">
        <f t="shared" si="73"/>
        <v>Bionedbrydeligt affald</v>
      </c>
      <c r="C248" s="190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0">
        <f t="shared" si="74"/>
        <v>2050</v>
      </c>
      <c r="E248" s="188" t="s">
        <v>24</v>
      </c>
      <c r="F248" s="191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300298.98610045342</v>
      </c>
      <c r="G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8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60059.797220090688</v>
      </c>
      <c r="K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1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5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0">
        <f t="shared" si="62"/>
        <v>240239.18888036272</v>
      </c>
      <c r="O248" s="191">
        <f t="shared" si="59"/>
        <v>240239.18888036272</v>
      </c>
      <c r="P248" s="201">
        <f t="shared" si="63"/>
        <v>60059.797220090688</v>
      </c>
      <c r="Q248" s="188">
        <f>IFERROR(VLOOKUP(A248,[1]Energiindhold!$A$2:$C$11,3,FALSE),IFERROR(VLOOKUP(A248,[1]Biogasudbytte!$A$2:$B$18,2,FALSE)*[1]Energiindhold!$C$10,0))*O248</f>
        <v>0.13646212398676522</v>
      </c>
      <c r="R248" s="188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0.17057765498345653</v>
      </c>
      <c r="S248" s="188">
        <f>IFERROR(VLOOKUP(A248,[1]Biogasudbytte!$A$2:$B$18,2,FALSE)*[1]Energiindhold!$C$10,0)*J248*IFERROR(VLOOKUP(A248,Biogasanlæg!$F$3:$G$8,2,FALSE),1)</f>
        <v>3.4115530996691311E-2</v>
      </c>
      <c r="T248" s="189">
        <f t="shared" si="64"/>
        <v>0.13646212398676522</v>
      </c>
      <c r="U248" s="187">
        <f>O248*IFERROR(VLOOKUP(A248,[1]Tørstofindhold!A$2:B$24,2,FALSE),0)</f>
        <v>10273.441540824</v>
      </c>
      <c r="V248" s="188">
        <f>IF(D248=År1,P248,SUM(O248,P248))*IFERROR(VLOOKUP(A248,[1]Tørstofindhold!A$2:B$24,2,FALSE),0)</f>
        <v>12841.801926030003</v>
      </c>
      <c r="W248" s="188">
        <f>J248*IFERROR(VLOOKUP(A248,[1]Tørstofindhold!A$2:B$24,2,FALSE),0)</f>
        <v>2568.3603852060005</v>
      </c>
      <c r="X248" s="189">
        <f t="shared" si="65"/>
        <v>10273.441540824002</v>
      </c>
      <c r="Y248" s="169">
        <f t="shared" si="60"/>
        <v>0</v>
      </c>
      <c r="Z248" s="103">
        <f t="shared" si="61"/>
        <v>1</v>
      </c>
    </row>
    <row r="249" spans="1:26" x14ac:dyDescent="0.25">
      <c r="A249" s="190" t="str">
        <f t="shared" si="72"/>
        <v>Dybstrøelse</v>
      </c>
      <c r="B249" s="190" t="str">
        <f t="shared" si="73"/>
        <v>Husdyrgødning</v>
      </c>
      <c r="C249" s="190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0">
        <f t="shared" si="74"/>
        <v>2050</v>
      </c>
      <c r="E249" s="188" t="s">
        <v>24</v>
      </c>
      <c r="F249" s="191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478171.56094190531</v>
      </c>
      <c r="G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8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239085.78047095265</v>
      </c>
      <c r="K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90511.045464003502</v>
      </c>
      <c r="L249" s="191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5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0">
        <f t="shared" si="62"/>
        <v>148574.73500694917</v>
      </c>
      <c r="O249" s="191">
        <f t="shared" si="59"/>
        <v>148574.73500694917</v>
      </c>
      <c r="P249" s="201">
        <f t="shared" si="63"/>
        <v>239085.78047095265</v>
      </c>
      <c r="Q249" s="188">
        <f>IFERROR(VLOOKUP(A249,[1]Energiindhold!$A$2:$C$11,3,FALSE),IFERROR(VLOOKUP(A249,[1]Biogasudbytte!$A$2:$B$18,2,FALSE)*[1]Energiindhold!$C$10,0))*O249</f>
        <v>0.32002997920496851</v>
      </c>
      <c r="R249" s="188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0.83502075033940049</v>
      </c>
      <c r="S249" s="188">
        <f>IFERROR(VLOOKUP(A249,[1]Biogasudbytte!$A$2:$B$18,2,FALSE)*[1]Energiindhold!$C$10,0)*J249*IFERROR(VLOOKUP(A249,Biogasanlæg!$F$3:$G$8,2,FALSE),1)</f>
        <v>0.51499077113443203</v>
      </c>
      <c r="T249" s="189">
        <f t="shared" si="64"/>
        <v>0.32002997920496845</v>
      </c>
      <c r="U249" s="187">
        <f>O249*IFERROR(VLOOKUP(A249,[1]Tørstofindhold!A$2:B$24,2,FALSE),0)</f>
        <v>44572.420502084751</v>
      </c>
      <c r="V249" s="188">
        <f>IF(D249=År1,P249,SUM(O249,P249))*IFERROR(VLOOKUP(A249,[1]Tørstofindhold!A$2:B$24,2,FALSE),0)</f>
        <v>116298.15464337054</v>
      </c>
      <c r="W249" s="188">
        <f>J249*IFERROR(VLOOKUP(A249,[1]Tørstofindhold!A$2:B$24,2,FALSE),0)</f>
        <v>71725.734141285793</v>
      </c>
      <c r="X249" s="189">
        <f t="shared" si="65"/>
        <v>44572.420502084744</v>
      </c>
      <c r="Y249" s="169">
        <f t="shared" si="60"/>
        <v>0</v>
      </c>
      <c r="Z249" s="103">
        <f t="shared" si="61"/>
        <v>1</v>
      </c>
    </row>
    <row r="250" spans="1:26" x14ac:dyDescent="0.25">
      <c r="A250" s="190" t="str">
        <f t="shared" si="72"/>
        <v>Fiberfraktion</v>
      </c>
      <c r="B250" s="190" t="str">
        <f t="shared" si="73"/>
        <v/>
      </c>
      <c r="C250" s="190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0">
        <f t="shared" si="74"/>
        <v>2050</v>
      </c>
      <c r="E250" s="188" t="s">
        <v>24</v>
      </c>
      <c r="F250" s="191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211512.03172284711</v>
      </c>
      <c r="G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209912.87725791859</v>
      </c>
      <c r="H250" s="188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1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5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0">
        <f t="shared" si="62"/>
        <v>1599.1544649285206</v>
      </c>
      <c r="O250" s="191">
        <f t="shared" si="59"/>
        <v>0</v>
      </c>
      <c r="P250" s="201">
        <f t="shared" si="63"/>
        <v>0</v>
      </c>
      <c r="Q250" s="188">
        <f>IFERROR(VLOOKUP(A250,[1]Energiindhold!$A$2:$C$11,3,FALSE),IFERROR(VLOOKUP(A250,[1]Biogasudbytte!$A$2:$B$18,2,FALSE)*[1]Energiindhold!$C$10,0))*O250</f>
        <v>0</v>
      </c>
      <c r="R250" s="188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8">
        <f>IFERROR(VLOOKUP(A250,[1]Biogasudbytte!$A$2:$B$18,2,FALSE)*[1]Energiindhold!$C$10,0)*J250*IFERROR(VLOOKUP(A250,Biogasanlæg!$F$3:$G$8,2,FALSE),1)</f>
        <v>0</v>
      </c>
      <c r="T250" s="189">
        <f t="shared" si="64"/>
        <v>0</v>
      </c>
      <c r="U250" s="187">
        <f>O250*IFERROR(VLOOKUP(A250,[1]Tørstofindhold!A$2:B$24,2,FALSE),0)</f>
        <v>0</v>
      </c>
      <c r="V250" s="188">
        <f>IF(D250=År1,P250,SUM(O250,P250))*IFERROR(VLOOKUP(A250,[1]Tørstofindhold!A$2:B$24,2,FALSE),0)</f>
        <v>0</v>
      </c>
      <c r="W250" s="188">
        <f>J250*IFERROR(VLOOKUP(A250,[1]Tørstofindhold!A$2:B$24,2,FALSE),0)</f>
        <v>0</v>
      </c>
      <c r="X250" s="189">
        <f t="shared" si="65"/>
        <v>0</v>
      </c>
      <c r="Y250" s="169">
        <f t="shared" si="60"/>
        <v>0</v>
      </c>
      <c r="Z250" s="103">
        <f t="shared" si="61"/>
        <v>1</v>
      </c>
    </row>
    <row r="251" spans="1:26" x14ac:dyDescent="0.25">
      <c r="A251" s="190" t="str">
        <f t="shared" si="72"/>
        <v>Fjerkrægylle</v>
      </c>
      <c r="B251" s="190" t="str">
        <f t="shared" si="73"/>
        <v>Husdyrgødning</v>
      </c>
      <c r="C251" s="190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0">
        <f t="shared" si="74"/>
        <v>2050</v>
      </c>
      <c r="E251" s="188" t="s">
        <v>24</v>
      </c>
      <c r="F251" s="191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844.92872428034855</v>
      </c>
      <c r="G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8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422.46436214017427</v>
      </c>
      <c r="K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422.46436214017427</v>
      </c>
      <c r="L251" s="191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5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0">
        <f t="shared" si="62"/>
        <v>0</v>
      </c>
      <c r="O251" s="191">
        <f t="shared" si="59"/>
        <v>0</v>
      </c>
      <c r="P251" s="201">
        <f t="shared" si="63"/>
        <v>422.46436214017427</v>
      </c>
      <c r="Q251" s="188">
        <f>IFERROR(VLOOKUP(A251,[1]Energiindhold!$A$2:$C$11,3,FALSE),IFERROR(VLOOKUP(A251,[1]Biogasudbytte!$A$2:$B$18,2,FALSE)*[1]Energiindhold!$C$10,0))*O251</f>
        <v>0</v>
      </c>
      <c r="R251" s="188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1.9868076487090255E-4</v>
      </c>
      <c r="S251" s="188">
        <f>IFERROR(VLOOKUP(A251,[1]Biogasudbytte!$A$2:$B$18,2,FALSE)*[1]Energiindhold!$C$10,0)*J251*IFERROR(VLOOKUP(A251,Biogasanlæg!$F$3:$G$8,2,FALSE),1)</f>
        <v>1.9868076487090255E-4</v>
      </c>
      <c r="T251" s="189">
        <f t="shared" si="64"/>
        <v>0</v>
      </c>
      <c r="U251" s="187">
        <f>O251*IFERROR(VLOOKUP(A251,[1]Tørstofindhold!A$2:B$24,2,FALSE),0)</f>
        <v>0</v>
      </c>
      <c r="V251" s="188">
        <f>IF(D251=År1,P251,SUM(O251,P251))*IFERROR(VLOOKUP(A251,[1]Tørstofindhold!A$2:B$24,2,FALSE),0)</f>
        <v>26.61525481483098</v>
      </c>
      <c r="W251" s="188">
        <f>J251*IFERROR(VLOOKUP(A251,[1]Tørstofindhold!A$2:B$24,2,FALSE),0)</f>
        <v>26.61525481483098</v>
      </c>
      <c r="X251" s="189">
        <f t="shared" si="65"/>
        <v>0</v>
      </c>
      <c r="Y251" s="169">
        <f t="shared" si="60"/>
        <v>0</v>
      </c>
      <c r="Z251" s="103">
        <f t="shared" si="61"/>
        <v>0</v>
      </c>
    </row>
    <row r="252" spans="1:26" x14ac:dyDescent="0.25">
      <c r="A252" s="190" t="str">
        <f t="shared" si="72"/>
        <v>Fjerkrækød</v>
      </c>
      <c r="B252" s="190" t="str">
        <f t="shared" si="73"/>
        <v/>
      </c>
      <c r="C252" s="190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0">
        <f t="shared" si="74"/>
        <v>2050</v>
      </c>
      <c r="E252" s="188" t="s">
        <v>24</v>
      </c>
      <c r="F252" s="191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11015.786921641509</v>
      </c>
      <c r="G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8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1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5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0">
        <f t="shared" si="62"/>
        <v>-20977.215266802275</v>
      </c>
      <c r="O252" s="191">
        <f t="shared" si="59"/>
        <v>0</v>
      </c>
      <c r="P252" s="201">
        <f t="shared" si="63"/>
        <v>0</v>
      </c>
      <c r="Q252" s="188">
        <f>IFERROR(VLOOKUP(A252,[1]Energiindhold!$A$2:$C$11,3,FALSE),IFERROR(VLOOKUP(A252,[1]Biogasudbytte!$A$2:$B$18,2,FALSE)*[1]Energiindhold!$C$10,0))*O252</f>
        <v>0</v>
      </c>
      <c r="R252" s="188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8">
        <f>IFERROR(VLOOKUP(A252,[1]Biogasudbytte!$A$2:$B$18,2,FALSE)*[1]Energiindhold!$C$10,0)*J252*IFERROR(VLOOKUP(A252,Biogasanlæg!$F$3:$G$8,2,FALSE),1)</f>
        <v>0</v>
      </c>
      <c r="T252" s="189">
        <f t="shared" si="64"/>
        <v>0</v>
      </c>
      <c r="U252" s="187">
        <f>O252*IFERROR(VLOOKUP(A252,[1]Tørstofindhold!A$2:B$24,2,FALSE),0)</f>
        <v>0</v>
      </c>
      <c r="V252" s="188">
        <f>IF(D252=År1,P252,SUM(O252,P252))*IFERROR(VLOOKUP(A252,[1]Tørstofindhold!A$2:B$24,2,FALSE),0)</f>
        <v>0</v>
      </c>
      <c r="W252" s="188">
        <f>J252*IFERROR(VLOOKUP(A252,[1]Tørstofindhold!A$2:B$24,2,FALSE),0)</f>
        <v>0</v>
      </c>
      <c r="X252" s="189">
        <f t="shared" si="65"/>
        <v>0</v>
      </c>
      <c r="Y252" s="169">
        <f t="shared" si="60"/>
        <v>0</v>
      </c>
      <c r="Z252" s="103">
        <f t="shared" si="61"/>
        <v>1</v>
      </c>
    </row>
    <row r="253" spans="1:26" x14ac:dyDescent="0.25">
      <c r="A253" s="190" t="str">
        <f t="shared" si="72"/>
        <v>Frø</v>
      </c>
      <c r="B253" s="190" t="str">
        <f t="shared" si="73"/>
        <v/>
      </c>
      <c r="C253" s="190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0">
        <f t="shared" si="74"/>
        <v>2050</v>
      </c>
      <c r="E253" s="188" t="s">
        <v>24</v>
      </c>
      <c r="F253" s="191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295597.74362228904</v>
      </c>
      <c r="G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8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1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5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0">
        <f t="shared" si="62"/>
        <v>295597.74362228904</v>
      </c>
      <c r="O253" s="191">
        <f t="shared" si="59"/>
        <v>0</v>
      </c>
      <c r="P253" s="201">
        <f t="shared" si="63"/>
        <v>0</v>
      </c>
      <c r="Q253" s="188">
        <f>IFERROR(VLOOKUP(A253,[1]Energiindhold!$A$2:$C$11,3,FALSE),IFERROR(VLOOKUP(A253,[1]Biogasudbytte!$A$2:$B$18,2,FALSE)*[1]Energiindhold!$C$10,0))*O253</f>
        <v>0</v>
      </c>
      <c r="R253" s="188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8">
        <f>IFERROR(VLOOKUP(A253,[1]Biogasudbytte!$A$2:$B$18,2,FALSE)*[1]Energiindhold!$C$10,0)*J253*IFERROR(VLOOKUP(A253,Biogasanlæg!$F$3:$G$8,2,FALSE),1)</f>
        <v>0</v>
      </c>
      <c r="T253" s="189">
        <f t="shared" si="64"/>
        <v>0</v>
      </c>
      <c r="U253" s="187">
        <f>O253*IFERROR(VLOOKUP(A253,[1]Tørstofindhold!A$2:B$24,2,FALSE),0)</f>
        <v>0</v>
      </c>
      <c r="V253" s="188">
        <f>IF(D253=År1,P253,SUM(O253,P253))*IFERROR(VLOOKUP(A253,[1]Tørstofindhold!A$2:B$24,2,FALSE),0)</f>
        <v>0</v>
      </c>
      <c r="W253" s="188">
        <f>J253*IFERROR(VLOOKUP(A253,[1]Tørstofindhold!A$2:B$24,2,FALSE),0)</f>
        <v>0</v>
      </c>
      <c r="X253" s="189">
        <f t="shared" si="65"/>
        <v>0</v>
      </c>
      <c r="Y253" s="169">
        <f t="shared" si="60"/>
        <v>0</v>
      </c>
      <c r="Z253" s="103">
        <f t="shared" si="61"/>
        <v>1</v>
      </c>
    </row>
    <row r="254" spans="1:26" x14ac:dyDescent="0.25">
      <c r="A254" s="190" t="str">
        <f t="shared" si="72"/>
        <v>Frugt</v>
      </c>
      <c r="B254" s="190" t="str">
        <f t="shared" si="73"/>
        <v/>
      </c>
      <c r="C254" s="190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0">
        <f t="shared" si="74"/>
        <v>2050</v>
      </c>
      <c r="E254" s="188" t="s">
        <v>24</v>
      </c>
      <c r="F254" s="191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8827.084069591494</v>
      </c>
      <c r="G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8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1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5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0">
        <f t="shared" si="62"/>
        <v>-224967.93192288233</v>
      </c>
      <c r="O254" s="191">
        <f t="shared" si="59"/>
        <v>0</v>
      </c>
      <c r="P254" s="201">
        <f t="shared" si="63"/>
        <v>0</v>
      </c>
      <c r="Q254" s="188">
        <f>IFERROR(VLOOKUP(A254,[1]Energiindhold!$A$2:$C$11,3,FALSE),IFERROR(VLOOKUP(A254,[1]Biogasudbytte!$A$2:$B$18,2,FALSE)*[1]Energiindhold!$C$10,0))*O254</f>
        <v>0</v>
      </c>
      <c r="R254" s="188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8">
        <f>IFERROR(VLOOKUP(A254,[1]Biogasudbytte!$A$2:$B$18,2,FALSE)*[1]Energiindhold!$C$10,0)*J254*IFERROR(VLOOKUP(A254,Biogasanlæg!$F$3:$G$8,2,FALSE),1)</f>
        <v>0</v>
      </c>
      <c r="T254" s="189">
        <f t="shared" si="64"/>
        <v>0</v>
      </c>
      <c r="U254" s="187">
        <f>O254*IFERROR(VLOOKUP(A254,[1]Tørstofindhold!A$2:B$24,2,FALSE),0)</f>
        <v>0</v>
      </c>
      <c r="V254" s="188">
        <f>IF(D254=År1,P254,SUM(O254,P254))*IFERROR(VLOOKUP(A254,[1]Tørstofindhold!A$2:B$24,2,FALSE),0)</f>
        <v>0</v>
      </c>
      <c r="W254" s="188">
        <f>J254*IFERROR(VLOOKUP(A254,[1]Tørstofindhold!A$2:B$24,2,FALSE),0)</f>
        <v>0</v>
      </c>
      <c r="X254" s="189">
        <f t="shared" si="65"/>
        <v>0</v>
      </c>
      <c r="Y254" s="169">
        <f t="shared" si="60"/>
        <v>1</v>
      </c>
      <c r="Z254" s="103">
        <f t="shared" si="61"/>
        <v>0</v>
      </c>
    </row>
    <row r="255" spans="1:26" x14ac:dyDescent="0.25">
      <c r="A255" s="190" t="str">
        <f t="shared" si="72"/>
        <v>Glycerin</v>
      </c>
      <c r="B255" s="190" t="str">
        <f t="shared" si="73"/>
        <v>Glycerin</v>
      </c>
      <c r="C255" s="190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0">
        <f t="shared" si="74"/>
        <v>2050</v>
      </c>
      <c r="E255" s="188" t="s">
        <v>24</v>
      </c>
      <c r="F255" s="191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8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1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5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0">
        <f t="shared" si="62"/>
        <v>-28548.400000000001</v>
      </c>
      <c r="O255" s="191">
        <f t="shared" si="59"/>
        <v>0</v>
      </c>
      <c r="P255" s="201">
        <f t="shared" si="63"/>
        <v>28548.400000000001</v>
      </c>
      <c r="Q255" s="188">
        <f>IFERROR(VLOOKUP(A255,[1]Energiindhold!$A$2:$C$11,3,FALSE),IFERROR(VLOOKUP(A255,[1]Biogasudbytte!$A$2:$B$18,2,FALSE)*[1]Energiindhold!$C$10,0))*O255</f>
        <v>0</v>
      </c>
      <c r="R255" s="188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8">
        <f>IFERROR(VLOOKUP(A255,[1]Biogasudbytte!$A$2:$B$18,2,FALSE)*[1]Energiindhold!$C$10,0)*J255*IFERROR(VLOOKUP(A255,Biogasanlæg!$F$3:$G$8,2,FALSE),1)</f>
        <v>0.43389639740160008</v>
      </c>
      <c r="T255" s="189">
        <f t="shared" si="64"/>
        <v>0</v>
      </c>
      <c r="U255" s="187">
        <f>O255*IFERROR(VLOOKUP(A255,[1]Tørstofindhold!A$2:B$24,2,FALSE),0)</f>
        <v>0</v>
      </c>
      <c r="V255" s="188">
        <f>IF(D255=År1,P255,SUM(O255,P255))*IFERROR(VLOOKUP(A255,[1]Tørstofindhold!A$2:B$24,2,FALSE),0)</f>
        <v>25693.56</v>
      </c>
      <c r="W255" s="188">
        <f>J255*IFERROR(VLOOKUP(A255,[1]Tørstofindhold!A$2:B$24,2,FALSE),0)</f>
        <v>25693.56</v>
      </c>
      <c r="X255" s="189">
        <f t="shared" si="65"/>
        <v>0</v>
      </c>
      <c r="Y255" s="169">
        <f t="shared" si="60"/>
        <v>1</v>
      </c>
      <c r="Z255" s="103">
        <f t="shared" si="61"/>
        <v>0</v>
      </c>
    </row>
    <row r="256" spans="1:26" x14ac:dyDescent="0.25">
      <c r="A256" s="190" t="str">
        <f t="shared" si="72"/>
        <v>Græs</v>
      </c>
      <c r="B256" s="190" t="str">
        <f t="shared" si="73"/>
        <v>Græs og urter</v>
      </c>
      <c r="C256" s="190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0">
        <f t="shared" si="74"/>
        <v>2050</v>
      </c>
      <c r="E256" s="188" t="s">
        <v>24</v>
      </c>
      <c r="F256" s="191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11608975.952039318</v>
      </c>
      <c r="G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1503468.3313748278</v>
      </c>
      <c r="H256" s="188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20455.923187094944</v>
      </c>
      <c r="K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1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5">
        <f>SUMIFS('Forbrug af biomasse'!E:E,'Forbrug af biomasse'!C:C,'Resultat-Produktion &amp; forbrug'!$A256,'Forbrug af biomasse'!D:D,'Resultat-Produktion &amp; forbrug'!$D256,'Forbrug af biomasse'!G:G,1,'Forbrug af biomasse'!B:B,$E256)</f>
        <v>614545.43323154061</v>
      </c>
      <c r="N256" s="200">
        <f t="shared" si="62"/>
        <v>9470506.2642458547</v>
      </c>
      <c r="O256" s="191">
        <f t="shared" si="59"/>
        <v>9470506.2642458547</v>
      </c>
      <c r="P256" s="201">
        <f t="shared" si="63"/>
        <v>20455.923187094944</v>
      </c>
      <c r="Q256" s="188">
        <f>IFERROR(VLOOKUP(A256,[1]Energiindhold!$A$2:$C$11,3,FALSE),IFERROR(VLOOKUP(A256,[1]Biogasudbytte!$A$2:$B$18,2,FALSE)*[1]Energiindhold!$C$10,0))*O256</f>
        <v>17.424547712929343</v>
      </c>
      <c r="R256" s="188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17.462184054603199</v>
      </c>
      <c r="S256" s="188">
        <f>IFERROR(VLOOKUP(A256,[1]Biogasudbytte!$A$2:$B$18,2,FALSE)*[1]Energiindhold!$C$10,0)*J256*IFERROR(VLOOKUP(A256,Biogasanlæg!$F$3:$G$8,2,FALSE),1)</f>
        <v>3.7636341673856315E-2</v>
      </c>
      <c r="T256" s="189">
        <f t="shared" si="64"/>
        <v>17.424547712929343</v>
      </c>
      <c r="U256" s="187">
        <f>O256*IFERROR(VLOOKUP(A256,[1]Tørstofindhold!A$2:B$24,2,FALSE),0)</f>
        <v>2651741.7539888397</v>
      </c>
      <c r="V256" s="188">
        <f>IF(D256=År1,P256,SUM(O256,P256))*IFERROR(VLOOKUP(A256,[1]Tørstofindhold!A$2:B$24,2,FALSE),0)</f>
        <v>2657469.4124812265</v>
      </c>
      <c r="W256" s="188">
        <f>J256*IFERROR(VLOOKUP(A256,[1]Tørstofindhold!A$2:B$24,2,FALSE),0)</f>
        <v>5727.6584923865848</v>
      </c>
      <c r="X256" s="189">
        <f t="shared" si="65"/>
        <v>2651741.7539888397</v>
      </c>
      <c r="Y256" s="169">
        <f t="shared" si="60"/>
        <v>0</v>
      </c>
      <c r="Z256" s="103">
        <f t="shared" si="61"/>
        <v>1</v>
      </c>
    </row>
    <row r="257" spans="1:26" x14ac:dyDescent="0.25">
      <c r="A257" s="190" t="str">
        <f t="shared" si="72"/>
        <v>Græsprotein</v>
      </c>
      <c r="B257" s="190" t="str">
        <f t="shared" si="73"/>
        <v/>
      </c>
      <c r="C257" s="190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0">
        <f t="shared" si="74"/>
        <v>2050</v>
      </c>
      <c r="E257" s="188" t="s">
        <v>24</v>
      </c>
      <c r="F257" s="191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102734.41540824002</v>
      </c>
      <c r="G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102734.41540824002</v>
      </c>
      <c r="H257" s="188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1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5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0">
        <f t="shared" si="62"/>
        <v>0</v>
      </c>
      <c r="O257" s="191">
        <f t="shared" si="59"/>
        <v>0</v>
      </c>
      <c r="P257" s="201">
        <f t="shared" si="63"/>
        <v>0</v>
      </c>
      <c r="Q257" s="188">
        <f>IFERROR(VLOOKUP(A257,[1]Energiindhold!$A$2:$C$11,3,FALSE),IFERROR(VLOOKUP(A257,[1]Biogasudbytte!$A$2:$B$18,2,FALSE)*[1]Energiindhold!$C$10,0))*O257</f>
        <v>0</v>
      </c>
      <c r="R257" s="188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8">
        <f>IFERROR(VLOOKUP(A257,[1]Biogasudbytte!$A$2:$B$18,2,FALSE)*[1]Energiindhold!$C$10,0)*J257*IFERROR(VLOOKUP(A257,Biogasanlæg!$F$3:$G$8,2,FALSE),1)</f>
        <v>0</v>
      </c>
      <c r="T257" s="189">
        <f t="shared" si="64"/>
        <v>0</v>
      </c>
      <c r="U257" s="187">
        <f>O257*IFERROR(VLOOKUP(A257,[1]Tørstofindhold!A$2:B$24,2,FALSE),0)</f>
        <v>0</v>
      </c>
      <c r="V257" s="188">
        <f>IF(D257=År1,P257,SUM(O257,P257))*IFERROR(VLOOKUP(A257,[1]Tørstofindhold!A$2:B$24,2,FALSE),0)</f>
        <v>0</v>
      </c>
      <c r="W257" s="188">
        <f>J257*IFERROR(VLOOKUP(A257,[1]Tørstofindhold!A$2:B$24,2,FALSE),0)</f>
        <v>0</v>
      </c>
      <c r="X257" s="189">
        <f t="shared" si="65"/>
        <v>0</v>
      </c>
      <c r="Y257" s="169">
        <f t="shared" si="60"/>
        <v>0</v>
      </c>
      <c r="Z257" s="103">
        <f t="shared" si="61"/>
        <v>0</v>
      </c>
    </row>
    <row r="258" spans="1:26" x14ac:dyDescent="0.25">
      <c r="A258" s="190" t="str">
        <f t="shared" si="72"/>
        <v>Grøntsager</v>
      </c>
      <c r="B258" s="190" t="str">
        <f t="shared" si="73"/>
        <v/>
      </c>
      <c r="C258" s="190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0">
        <f t="shared" si="74"/>
        <v>2050</v>
      </c>
      <c r="E258" s="188" t="s">
        <v>24</v>
      </c>
      <c r="F258" s="191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60654.384977627895</v>
      </c>
      <c r="G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8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1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5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0">
        <f t="shared" si="62"/>
        <v>-184215.13177238413</v>
      </c>
      <c r="O258" s="191">
        <f t="shared" si="59"/>
        <v>0</v>
      </c>
      <c r="P258" s="201">
        <f t="shared" si="63"/>
        <v>0</v>
      </c>
      <c r="Q258" s="188">
        <f>IFERROR(VLOOKUP(A258,[1]Energiindhold!$A$2:$C$11,3,FALSE),IFERROR(VLOOKUP(A258,[1]Biogasudbytte!$A$2:$B$18,2,FALSE)*[1]Energiindhold!$C$10,0))*O258</f>
        <v>0</v>
      </c>
      <c r="R258" s="188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8">
        <f>IFERROR(VLOOKUP(A258,[1]Biogasudbytte!$A$2:$B$18,2,FALSE)*[1]Energiindhold!$C$10,0)*J258*IFERROR(VLOOKUP(A258,Biogasanlæg!$F$3:$G$8,2,FALSE),1)</f>
        <v>0</v>
      </c>
      <c r="T258" s="189">
        <f t="shared" si="64"/>
        <v>0</v>
      </c>
      <c r="U258" s="187">
        <f>O258*IFERROR(VLOOKUP(A258,[1]Tørstofindhold!A$2:B$24,2,FALSE),0)</f>
        <v>0</v>
      </c>
      <c r="V258" s="188">
        <f>IF(D258=År1,P258,SUM(O258,P258))*IFERROR(VLOOKUP(A258,[1]Tørstofindhold!A$2:B$24,2,FALSE),0)</f>
        <v>0</v>
      </c>
      <c r="W258" s="188">
        <f>J258*IFERROR(VLOOKUP(A258,[1]Tørstofindhold!A$2:B$24,2,FALSE),0)</f>
        <v>0</v>
      </c>
      <c r="X258" s="189">
        <f t="shared" si="65"/>
        <v>0</v>
      </c>
      <c r="Y258" s="169">
        <f t="shared" si="60"/>
        <v>1</v>
      </c>
      <c r="Z258" s="103">
        <f t="shared" si="61"/>
        <v>0</v>
      </c>
    </row>
    <row r="259" spans="1:26" x14ac:dyDescent="0.25">
      <c r="A259" s="190" t="str">
        <f t="shared" si="72"/>
        <v>Halm</v>
      </c>
      <c r="B259" s="190" t="str">
        <f t="shared" si="73"/>
        <v>Halm og strå</v>
      </c>
      <c r="C259" s="190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0">
        <f t="shared" si="74"/>
        <v>2050</v>
      </c>
      <c r="E259" s="188" t="s">
        <v>24</v>
      </c>
      <c r="F259" s="191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635069.61925954686</v>
      </c>
      <c r="G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93985.105307108985</v>
      </c>
      <c r="H259" s="188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100623.12681257421</v>
      </c>
      <c r="I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22223.303568694027</v>
      </c>
      <c r="K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1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418238.08357116987</v>
      </c>
      <c r="M259" s="155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0">
        <f t="shared" si="62"/>
        <v>0</v>
      </c>
      <c r="O259" s="191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1">
        <f t="shared" si="63"/>
        <v>440461.38713986392</v>
      </c>
      <c r="Q259" s="188">
        <f>IFERROR(VLOOKUP(A259,[1]Energiindhold!$A$2:$C$11,3,FALSE),IFERROR(VLOOKUP(A259,[1]Biogasudbytte!$A$2:$B$18,2,FALSE)*[1]Energiindhold!$C$10,0))*O259</f>
        <v>0</v>
      </c>
      <c r="R259" s="188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4.4509571810997537</v>
      </c>
      <c r="S259" s="188">
        <f>IFERROR(VLOOKUP(A259,[1]Biogasudbytte!$A$2:$B$18,2,FALSE)*[1]Energiindhold!$C$10,0)*J259*IFERROR(VLOOKUP(A259,Biogasanlæg!$F$3:$G$8,2,FALSE),1)</f>
        <v>0.12812934565744818</v>
      </c>
      <c r="T259" s="189">
        <f t="shared" si="64"/>
        <v>4.3228278354423058</v>
      </c>
      <c r="U259" s="187">
        <f>O259*IFERROR(VLOOKUP(A259,[1]Tørstofindhold!A$2:B$24,2,FALSE),0)</f>
        <v>0</v>
      </c>
      <c r="V259" s="188">
        <f>IF(D259=År1,P259,SUM(O259,P259))*IFERROR(VLOOKUP(A259,[1]Tørstofindhold!A$2:B$24,2,FALSE),0)</f>
        <v>374392.17906888435</v>
      </c>
      <c r="W259" s="188">
        <f>J259*IFERROR(VLOOKUP(A259,[1]Tørstofindhold!A$2:B$24,2,FALSE),0)</f>
        <v>18889.808033389923</v>
      </c>
      <c r="X259" s="189">
        <f t="shared" si="65"/>
        <v>355502.37103549443</v>
      </c>
      <c r="Y259" s="169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0" t="str">
        <f t="shared" si="72"/>
        <v>Have/parkaffald</v>
      </c>
      <c r="B260" s="190" t="str">
        <f t="shared" si="73"/>
        <v>Bionedbrydeligt affald</v>
      </c>
      <c r="C260" s="190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0">
        <f t="shared" si="74"/>
        <v>2050</v>
      </c>
      <c r="E260" s="188" t="s">
        <v>24</v>
      </c>
      <c r="F260" s="191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8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1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5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0">
        <f t="shared" si="62"/>
        <v>0</v>
      </c>
      <c r="O260" s="191">
        <f t="shared" si="75"/>
        <v>0</v>
      </c>
      <c r="P260" s="201">
        <f t="shared" si="63"/>
        <v>457927.02496060182</v>
      </c>
      <c r="Q260" s="188">
        <f>IFERROR(VLOOKUP(A260,[1]Energiindhold!$A$2:$C$11,3,FALSE),IFERROR(VLOOKUP(A260,[1]Biogasudbytte!$A$2:$B$18,2,FALSE)*[1]Energiindhold!$C$10,0))*O260</f>
        <v>0</v>
      </c>
      <c r="R260" s="188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8">
        <f>IFERROR(VLOOKUP(A260,[1]Biogasudbytte!$A$2:$B$18,2,FALSE)*[1]Energiindhold!$C$10,0)*J260*IFERROR(VLOOKUP(A260,Biogasanlæg!$F$3:$G$8,2,FALSE),1)</f>
        <v>6.1713097026419407E-5</v>
      </c>
      <c r="T260" s="189">
        <f t="shared" si="64"/>
        <v>8.1743654272608701</v>
      </c>
      <c r="U260" s="187">
        <f>O260*IFERROR(VLOOKUP(A260,[1]Tørstofindhold!A$2:B$24,2,FALSE),0)</f>
        <v>0</v>
      </c>
      <c r="V260" s="188">
        <f>IF(D260=År1,P260,SUM(O260,P260))*IFERROR(VLOOKUP(A260,[1]Tørstofindhold!A$2:B$24,2,FALSE),0)</f>
        <v>137378.10748818054</v>
      </c>
      <c r="W260" s="188">
        <f>J260*IFERROR(VLOOKUP(A260,[1]Tørstofindhold!A$2:B$24,2,FALSE),0)</f>
        <v>10.902924560192348</v>
      </c>
      <c r="X260" s="189">
        <f t="shared" si="65"/>
        <v>137367.20456362035</v>
      </c>
      <c r="Y260" s="169">
        <f t="shared" si="76"/>
        <v>0</v>
      </c>
      <c r="Z260" s="103">
        <f t="shared" si="77"/>
        <v>0</v>
      </c>
    </row>
    <row r="261" spans="1:26" x14ac:dyDescent="0.25">
      <c r="A261" s="190" t="str">
        <f t="shared" si="72"/>
        <v>Import af foder</v>
      </c>
      <c r="B261" s="190" t="str">
        <f t="shared" si="73"/>
        <v/>
      </c>
      <c r="C261" s="190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0">
        <f t="shared" si="74"/>
        <v>2050</v>
      </c>
      <c r="E261" s="188" t="s">
        <v>24</v>
      </c>
      <c r="F261" s="191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592033.81195063854</v>
      </c>
      <c r="H261" s="188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1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5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0">
        <f t="shared" si="62"/>
        <v>-592033.81195063854</v>
      </c>
      <c r="O261" s="191">
        <f t="shared" si="75"/>
        <v>0</v>
      </c>
      <c r="P261" s="201">
        <f t="shared" si="63"/>
        <v>0</v>
      </c>
      <c r="Q261" s="188">
        <f>IFERROR(VLOOKUP(A261,[1]Energiindhold!$A$2:$C$11,3,FALSE),IFERROR(VLOOKUP(A261,[1]Biogasudbytte!$A$2:$B$18,2,FALSE)*[1]Energiindhold!$C$10,0))*O261</f>
        <v>0</v>
      </c>
      <c r="R261" s="188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8">
        <f>IFERROR(VLOOKUP(A261,[1]Biogasudbytte!$A$2:$B$18,2,FALSE)*[1]Energiindhold!$C$10,0)*J261*IFERROR(VLOOKUP(A261,Biogasanlæg!$F$3:$G$8,2,FALSE),1)</f>
        <v>0</v>
      </c>
      <c r="T261" s="189">
        <f t="shared" si="64"/>
        <v>0</v>
      </c>
      <c r="U261" s="187">
        <f>O261*IFERROR(VLOOKUP(A261,[1]Tørstofindhold!A$2:B$24,2,FALSE),0)</f>
        <v>0</v>
      </c>
      <c r="V261" s="188">
        <f>IF(D261=År1,P261,SUM(O261,P261))*IFERROR(VLOOKUP(A261,[1]Tørstofindhold!A$2:B$24,2,FALSE),0)</f>
        <v>0</v>
      </c>
      <c r="W261" s="188">
        <f>J261*IFERROR(VLOOKUP(A261,[1]Tørstofindhold!A$2:B$24,2,FALSE),0)</f>
        <v>0</v>
      </c>
      <c r="X261" s="189">
        <f t="shared" si="65"/>
        <v>0</v>
      </c>
      <c r="Y261" s="169">
        <f t="shared" si="76"/>
        <v>1</v>
      </c>
      <c r="Z261" s="103">
        <f t="shared" si="77"/>
        <v>0</v>
      </c>
    </row>
    <row r="262" spans="1:26" x14ac:dyDescent="0.25">
      <c r="A262" s="190" t="str">
        <f t="shared" si="72"/>
        <v>Industriaffald</v>
      </c>
      <c r="B262" s="190" t="str">
        <f t="shared" si="73"/>
        <v>Bionedbrydeligt affald</v>
      </c>
      <c r="C262" s="190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0">
        <f t="shared" si="74"/>
        <v>2050</v>
      </c>
      <c r="E262" s="188" t="s">
        <v>24</v>
      </c>
      <c r="F262" s="191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202030.07287098104</v>
      </c>
      <c r="G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8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202030.10004148821</v>
      </c>
      <c r="K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1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5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0">
        <f t="shared" si="62"/>
        <v>-2.7170507179107517E-2</v>
      </c>
      <c r="O262" s="191">
        <f t="shared" si="75"/>
        <v>0</v>
      </c>
      <c r="P262" s="201">
        <f t="shared" si="63"/>
        <v>202030.10004148821</v>
      </c>
      <c r="Q262" s="188">
        <f>IFERROR(VLOOKUP(A262,[1]Energiindhold!$A$2:$C$11,3,FALSE),IFERROR(VLOOKUP(A262,[1]Biogasudbytte!$A$2:$B$18,2,FALSE)*[1]Energiindhold!$C$10,0))*O262</f>
        <v>0</v>
      </c>
      <c r="R262" s="188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0.74410928428385781</v>
      </c>
      <c r="S262" s="188">
        <f>IFERROR(VLOOKUP(A262,[1]Biogasudbytte!$A$2:$B$18,2,FALSE)*[1]Energiindhold!$C$10,0)*J262*IFERROR(VLOOKUP(A262,Biogasanlæg!$F$3:$G$8,2,FALSE),1)</f>
        <v>0.74410928428385781</v>
      </c>
      <c r="T262" s="189">
        <f t="shared" si="64"/>
        <v>0</v>
      </c>
      <c r="U262" s="187">
        <f>O262*IFERROR(VLOOKUP(A262,[1]Tørstofindhold!A$2:B$24,2,FALSE),0)</f>
        <v>0</v>
      </c>
      <c r="V262" s="188">
        <f>IF(D262=År1,P262,SUM(O262,P262))*IFERROR(VLOOKUP(A262,[1]Tørstofindhold!A$2:B$24,2,FALSE),0)</f>
        <v>84852.642017425052</v>
      </c>
      <c r="W262" s="188">
        <f>J262*IFERROR(VLOOKUP(A262,[1]Tørstofindhold!A$2:B$24,2,FALSE),0)</f>
        <v>84852.642017425052</v>
      </c>
      <c r="X262" s="189">
        <f t="shared" si="65"/>
        <v>0</v>
      </c>
      <c r="Y262" s="169">
        <f t="shared" si="76"/>
        <v>1</v>
      </c>
      <c r="Z262" s="103">
        <f t="shared" si="77"/>
        <v>0</v>
      </c>
    </row>
    <row r="263" spans="1:26" x14ac:dyDescent="0.25">
      <c r="A263" s="190" t="str">
        <f t="shared" si="72"/>
        <v>Juletræer</v>
      </c>
      <c r="B263" s="190" t="str">
        <f t="shared" si="73"/>
        <v/>
      </c>
      <c r="C263" s="190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0">
        <f t="shared" si="74"/>
        <v>2050</v>
      </c>
      <c r="E263" s="188" t="s">
        <v>24</v>
      </c>
      <c r="F263" s="191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194271.44041387876</v>
      </c>
      <c r="G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8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1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5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0">
        <f t="shared" si="62"/>
        <v>194271.44041387876</v>
      </c>
      <c r="O263" s="191">
        <f t="shared" si="75"/>
        <v>0</v>
      </c>
      <c r="P263" s="201">
        <f t="shared" si="63"/>
        <v>0</v>
      </c>
      <c r="Q263" s="188">
        <f>IFERROR(VLOOKUP(A263,[1]Energiindhold!$A$2:$C$11,3,FALSE),IFERROR(VLOOKUP(A263,[1]Biogasudbytte!$A$2:$B$18,2,FALSE)*[1]Energiindhold!$C$10,0))*O263</f>
        <v>0</v>
      </c>
      <c r="R263" s="188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8">
        <f>IFERROR(VLOOKUP(A263,[1]Biogasudbytte!$A$2:$B$18,2,FALSE)*[1]Energiindhold!$C$10,0)*J263*IFERROR(VLOOKUP(A263,Biogasanlæg!$F$3:$G$8,2,FALSE),1)</f>
        <v>0</v>
      </c>
      <c r="T263" s="189">
        <f t="shared" si="64"/>
        <v>0</v>
      </c>
      <c r="U263" s="187">
        <f>O263*IFERROR(VLOOKUP(A263,[1]Tørstofindhold!A$2:B$24,2,FALSE),0)</f>
        <v>0</v>
      </c>
      <c r="V263" s="188">
        <f>IF(D263=År1,P263,SUM(O263,P263))*IFERROR(VLOOKUP(A263,[1]Tørstofindhold!A$2:B$24,2,FALSE),0)</f>
        <v>0</v>
      </c>
      <c r="W263" s="188">
        <f>J263*IFERROR(VLOOKUP(A263,[1]Tørstofindhold!A$2:B$24,2,FALSE),0)</f>
        <v>0</v>
      </c>
      <c r="X263" s="189">
        <f t="shared" si="65"/>
        <v>0</v>
      </c>
      <c r="Y263" s="169">
        <f t="shared" si="76"/>
        <v>0</v>
      </c>
      <c r="Z263" s="103">
        <f t="shared" si="77"/>
        <v>1</v>
      </c>
    </row>
    <row r="264" spans="1:26" x14ac:dyDescent="0.25">
      <c r="A264" s="190" t="str">
        <f t="shared" si="72"/>
        <v>Kartofler</v>
      </c>
      <c r="B264" s="190" t="str">
        <f t="shared" si="73"/>
        <v/>
      </c>
      <c r="C264" s="190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0">
        <f t="shared" si="74"/>
        <v>2050</v>
      </c>
      <c r="E264" s="188" t="s">
        <v>24</v>
      </c>
      <c r="F264" s="191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476271.17626623076</v>
      </c>
      <c r="G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8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1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5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0">
        <f t="shared" si="62"/>
        <v>364295.6686066775</v>
      </c>
      <c r="O264" s="191">
        <f t="shared" si="75"/>
        <v>0</v>
      </c>
      <c r="P264" s="201">
        <f t="shared" si="63"/>
        <v>0</v>
      </c>
      <c r="Q264" s="188">
        <f>IFERROR(VLOOKUP(A264,[1]Energiindhold!$A$2:$C$11,3,FALSE),IFERROR(VLOOKUP(A264,[1]Biogasudbytte!$A$2:$B$18,2,FALSE)*[1]Energiindhold!$C$10,0))*O264</f>
        <v>0</v>
      </c>
      <c r="R264" s="188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8">
        <f>IFERROR(VLOOKUP(A264,[1]Biogasudbytte!$A$2:$B$18,2,FALSE)*[1]Energiindhold!$C$10,0)*J264*IFERROR(VLOOKUP(A264,Biogasanlæg!$F$3:$G$8,2,FALSE),1)</f>
        <v>0</v>
      </c>
      <c r="T264" s="189">
        <f t="shared" si="64"/>
        <v>0</v>
      </c>
      <c r="U264" s="187">
        <f>O264*IFERROR(VLOOKUP(A264,[1]Tørstofindhold!A$2:B$24,2,FALSE),0)</f>
        <v>0</v>
      </c>
      <c r="V264" s="188">
        <f>IF(D264=År1,P264,SUM(O264,P264))*IFERROR(VLOOKUP(A264,[1]Tørstofindhold!A$2:B$24,2,FALSE),0)</f>
        <v>0</v>
      </c>
      <c r="W264" s="188">
        <f>J264*IFERROR(VLOOKUP(A264,[1]Tørstofindhold!A$2:B$24,2,FALSE),0)</f>
        <v>0</v>
      </c>
      <c r="X264" s="189">
        <f t="shared" si="65"/>
        <v>0</v>
      </c>
      <c r="Y264" s="169">
        <f t="shared" si="76"/>
        <v>0</v>
      </c>
      <c r="Z264" s="103">
        <f t="shared" si="77"/>
        <v>1</v>
      </c>
    </row>
    <row r="265" spans="1:26" x14ac:dyDescent="0.25">
      <c r="A265" s="190" t="str">
        <f t="shared" si="72"/>
        <v>Korn</v>
      </c>
      <c r="B265" s="190" t="str">
        <f t="shared" si="73"/>
        <v>Halm og strå</v>
      </c>
      <c r="C265" s="190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0">
        <f t="shared" si="74"/>
        <v>2050</v>
      </c>
      <c r="E265" s="188" t="s">
        <v>24</v>
      </c>
      <c r="F265" s="191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1281160.0569055823</v>
      </c>
      <c r="G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505203.54870917852</v>
      </c>
      <c r="H265" s="188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912.47233531599591</v>
      </c>
      <c r="K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1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5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0">
        <f t="shared" si="62"/>
        <v>506795.01751182834</v>
      </c>
      <c r="O265" s="191">
        <f t="shared" si="75"/>
        <v>115029.66699762642</v>
      </c>
      <c r="P265" s="201">
        <f t="shared" si="63"/>
        <v>912.47233531599591</v>
      </c>
      <c r="Q265" s="188">
        <f>IFERROR(VLOOKUP(A265,[1]Energiindhold!$A$2:$C$11,3,FALSE),IFERROR(VLOOKUP(A265,[1]Biogasudbytte!$A$2:$B$18,2,FALSE)*[1]Energiindhold!$C$10,0))*O265</f>
        <v>0.39396050531349092</v>
      </c>
      <c r="R265" s="188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0.39708559531582127</v>
      </c>
      <c r="S265" s="188">
        <f>IFERROR(VLOOKUP(A265,[1]Biogasudbytte!$A$2:$B$18,2,FALSE)*[1]Energiindhold!$C$10,0)*J265*IFERROR(VLOOKUP(A265,Biogasanlæg!$F$3:$G$8,2,FALSE),1)</f>
        <v>3.1250900023303422E-3</v>
      </c>
      <c r="T265" s="189">
        <f t="shared" si="64"/>
        <v>0.39396050531349092</v>
      </c>
      <c r="U265" s="187">
        <f>O265*IFERROR(VLOOKUP(A265,[1]Tørstofindhold!A$2:B$24,2,FALSE),0)</f>
        <v>35659.196769264192</v>
      </c>
      <c r="V265" s="188">
        <f>IF(D265=År1,P265,SUM(O265,P265))*IFERROR(VLOOKUP(A265,[1]Tørstofindhold!A$2:B$24,2,FALSE),0)</f>
        <v>35942.063193212147</v>
      </c>
      <c r="W265" s="188">
        <f>J265*IFERROR(VLOOKUP(A265,[1]Tørstofindhold!A$2:B$24,2,FALSE),0)</f>
        <v>282.86642394795871</v>
      </c>
      <c r="X265" s="189">
        <f t="shared" si="65"/>
        <v>35659.196769264185</v>
      </c>
      <c r="Y265" s="169">
        <f t="shared" si="76"/>
        <v>0</v>
      </c>
      <c r="Z265" s="103">
        <f t="shared" si="77"/>
        <v>1</v>
      </c>
    </row>
    <row r="266" spans="1:26" x14ac:dyDescent="0.25">
      <c r="A266" s="190" t="str">
        <f t="shared" si="72"/>
        <v>Kunstgødning</v>
      </c>
      <c r="B266" s="190" t="str">
        <f t="shared" si="73"/>
        <v/>
      </c>
      <c r="C266" s="190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0">
        <f t="shared" si="74"/>
        <v>2050</v>
      </c>
      <c r="E266" s="188" t="s">
        <v>24</v>
      </c>
      <c r="F266" s="191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8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1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292821.84527900093</v>
      </c>
      <c r="L266" s="191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5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0">
        <f t="shared" ca="1" si="62"/>
        <v>-292821.84527900093</v>
      </c>
      <c r="O266" s="191">
        <f t="shared" si="75"/>
        <v>0</v>
      </c>
      <c r="P266" s="201">
        <f t="shared" si="63"/>
        <v>0</v>
      </c>
      <c r="Q266" s="188">
        <f>IFERROR(VLOOKUP(A266,[1]Energiindhold!$A$2:$C$11,3,FALSE),IFERROR(VLOOKUP(A266,[1]Biogasudbytte!$A$2:$B$18,2,FALSE)*[1]Energiindhold!$C$10,0))*O266</f>
        <v>0</v>
      </c>
      <c r="R266" s="188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8">
        <f>IFERROR(VLOOKUP(A266,[1]Biogasudbytte!$A$2:$B$18,2,FALSE)*[1]Energiindhold!$C$10,0)*J266*IFERROR(VLOOKUP(A266,Biogasanlæg!$F$3:$G$8,2,FALSE),1)</f>
        <v>0</v>
      </c>
      <c r="T266" s="189">
        <f t="shared" si="64"/>
        <v>0</v>
      </c>
      <c r="U266" s="187">
        <f>O266*IFERROR(VLOOKUP(A266,[1]Tørstofindhold!A$2:B$24,2,FALSE),0)</f>
        <v>0</v>
      </c>
      <c r="V266" s="188">
        <f>IF(D266=År1,P266,SUM(O266,P266))*IFERROR(VLOOKUP(A266,[1]Tørstofindhold!A$2:B$24,2,FALSE),0)</f>
        <v>0</v>
      </c>
      <c r="W266" s="188">
        <f>J266*IFERROR(VLOOKUP(A266,[1]Tørstofindhold!A$2:B$24,2,FALSE),0)</f>
        <v>0</v>
      </c>
      <c r="X266" s="189">
        <f t="shared" si="65"/>
        <v>0</v>
      </c>
      <c r="Y266" s="169">
        <f t="shared" ca="1" si="76"/>
        <v>1</v>
      </c>
      <c r="Z266" s="103">
        <f t="shared" ca="1" si="77"/>
        <v>0</v>
      </c>
    </row>
    <row r="267" spans="1:26" x14ac:dyDescent="0.25">
      <c r="A267" s="190" t="str">
        <f t="shared" si="72"/>
        <v>Kvæggylle</v>
      </c>
      <c r="B267" s="190" t="str">
        <f t="shared" si="73"/>
        <v>Husdyrgødning</v>
      </c>
      <c r="C267" s="190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0">
        <f t="shared" si="74"/>
        <v>2050</v>
      </c>
      <c r="E267" s="188" t="s">
        <v>24</v>
      </c>
      <c r="F267" s="191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811333.8467404244</v>
      </c>
      <c r="G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8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616613.7235227226</v>
      </c>
      <c r="K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194720.12321770185</v>
      </c>
      <c r="L267" s="191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5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0">
        <f t="shared" si="62"/>
        <v>0</v>
      </c>
      <c r="O267" s="191">
        <f t="shared" si="75"/>
        <v>0</v>
      </c>
      <c r="P267" s="201">
        <f t="shared" si="63"/>
        <v>616613.7235227226</v>
      </c>
      <c r="Q267" s="188">
        <f>IFERROR(VLOOKUP(A267,[1]Energiindhold!$A$2:$C$11,3,FALSE),IFERROR(VLOOKUP(A267,[1]Biogasudbytte!$A$2:$B$18,2,FALSE)*[1]Energiindhold!$C$10,0))*O267</f>
        <v>0</v>
      </c>
      <c r="R267" s="188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0.31212370070996698</v>
      </c>
      <c r="S267" s="188">
        <f>IFERROR(VLOOKUP(A267,[1]Biogasudbytte!$A$2:$B$18,2,FALSE)*[1]Energiindhold!$C$10,0)*J267*IFERROR(VLOOKUP(A267,Biogasanlæg!$F$3:$G$8,2,FALSE),1)</f>
        <v>0.31212370070996698</v>
      </c>
      <c r="T267" s="189">
        <f t="shared" si="64"/>
        <v>0</v>
      </c>
      <c r="U267" s="187">
        <f>O267*IFERROR(VLOOKUP(A267,[1]Tørstofindhold!A$2:B$24,2,FALSE),0)</f>
        <v>0</v>
      </c>
      <c r="V267" s="188">
        <f>IF(D267=År1,P267,SUM(O267,P267))*IFERROR(VLOOKUP(A267,[1]Tørstofindhold!A$2:B$24,2,FALSE),0)</f>
        <v>46862.642987726918</v>
      </c>
      <c r="W267" s="188">
        <f>J267*IFERROR(VLOOKUP(A267,[1]Tørstofindhold!A$2:B$24,2,FALSE),0)</f>
        <v>46862.642987726918</v>
      </c>
      <c r="X267" s="189">
        <f t="shared" si="65"/>
        <v>0</v>
      </c>
      <c r="Y267" s="169">
        <f t="shared" si="76"/>
        <v>0</v>
      </c>
      <c r="Z267" s="103">
        <f t="shared" si="77"/>
        <v>0</v>
      </c>
    </row>
    <row r="268" spans="1:26" x14ac:dyDescent="0.25">
      <c r="A268" s="190" t="str">
        <f t="shared" si="72"/>
        <v>Mælk til foder</v>
      </c>
      <c r="B268" s="190" t="str">
        <f t="shared" si="73"/>
        <v/>
      </c>
      <c r="C268" s="190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0">
        <f t="shared" si="74"/>
        <v>2050</v>
      </c>
      <c r="E268" s="188" t="s">
        <v>24</v>
      </c>
      <c r="F268" s="191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101683.34176026525</v>
      </c>
      <c r="G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185397.9121303134</v>
      </c>
      <c r="H268" s="188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1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5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0">
        <f t="shared" si="62"/>
        <v>-83714.570370048154</v>
      </c>
      <c r="O268" s="191">
        <f t="shared" si="75"/>
        <v>0</v>
      </c>
      <c r="P268" s="201">
        <f t="shared" si="63"/>
        <v>0</v>
      </c>
      <c r="Q268" s="188">
        <f>IFERROR(VLOOKUP(A268,[1]Energiindhold!$A$2:$C$11,3,FALSE),IFERROR(VLOOKUP(A268,[1]Biogasudbytte!$A$2:$B$18,2,FALSE)*[1]Energiindhold!$C$10,0))*O268</f>
        <v>0</v>
      </c>
      <c r="R268" s="188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8">
        <f>IFERROR(VLOOKUP(A268,[1]Biogasudbytte!$A$2:$B$18,2,FALSE)*[1]Energiindhold!$C$10,0)*J268*IFERROR(VLOOKUP(A268,Biogasanlæg!$F$3:$G$8,2,FALSE),1)</f>
        <v>0</v>
      </c>
      <c r="T268" s="189">
        <f t="shared" si="64"/>
        <v>0</v>
      </c>
      <c r="U268" s="187">
        <f>O268*IFERROR(VLOOKUP(A268,[1]Tørstofindhold!A$2:B$24,2,FALSE),0)</f>
        <v>0</v>
      </c>
      <c r="V268" s="188">
        <f>IF(D268=År1,P268,SUM(O268,P268))*IFERROR(VLOOKUP(A268,[1]Tørstofindhold!A$2:B$24,2,FALSE),0)</f>
        <v>0</v>
      </c>
      <c r="W268" s="188">
        <f>J268*IFERROR(VLOOKUP(A268,[1]Tørstofindhold!A$2:B$24,2,FALSE),0)</f>
        <v>0</v>
      </c>
      <c r="X268" s="189">
        <f t="shared" si="65"/>
        <v>0</v>
      </c>
      <c r="Y268" s="169">
        <f t="shared" si="76"/>
        <v>1</v>
      </c>
      <c r="Z268" s="103">
        <f t="shared" si="77"/>
        <v>0</v>
      </c>
    </row>
    <row r="269" spans="1:26" x14ac:dyDescent="0.25">
      <c r="A269" s="190" t="str">
        <f t="shared" si="72"/>
        <v>Majs</v>
      </c>
      <c r="B269" s="190" t="str">
        <f t="shared" si="73"/>
        <v>Græs og urter</v>
      </c>
      <c r="C269" s="190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0">
        <f t="shared" si="74"/>
        <v>2050</v>
      </c>
      <c r="E269" s="188" t="s">
        <v>24</v>
      </c>
      <c r="F269" s="191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613274.38090253877</v>
      </c>
      <c r="G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189993.39677873664</v>
      </c>
      <c r="H269" s="188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79540.305054146011</v>
      </c>
      <c r="K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1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5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0">
        <f t="shared" si="62"/>
        <v>343740.67906965612</v>
      </c>
      <c r="O269" s="191">
        <f t="shared" si="75"/>
        <v>343740.67906965612</v>
      </c>
      <c r="P269" s="201">
        <f t="shared" si="63"/>
        <v>79540.305054146011</v>
      </c>
      <c r="Q269" s="188">
        <f>IFERROR(VLOOKUP(A269,[1]Energiindhold!$A$2:$C$11,3,FALSE),IFERROR(VLOOKUP(A269,[1]Biogasudbytte!$A$2:$B$18,2,FALSE)*[1]Energiindhold!$C$10,0))*O269</f>
        <v>1.2340290378600656</v>
      </c>
      <c r="R269" s="188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1.5195787330044497</v>
      </c>
      <c r="S269" s="188">
        <f>IFERROR(VLOOKUP(A269,[1]Biogasudbytte!$A$2:$B$18,2,FALSE)*[1]Energiindhold!$C$10,0)*J269*IFERROR(VLOOKUP(A269,Biogasanlæg!$F$3:$G$8,2,FALSE),1)</f>
        <v>0.28554969514438422</v>
      </c>
      <c r="T269" s="189">
        <f t="shared" si="64"/>
        <v>1.2340290378600653</v>
      </c>
      <c r="U269" s="187">
        <f>O269*IFERROR(VLOOKUP(A269,[1]Tørstofindhold!A$2:B$24,2,FALSE),0)</f>
        <v>103122.20372089684</v>
      </c>
      <c r="V269" s="188">
        <f>IF(D269=År1,P269,SUM(O269,P269))*IFERROR(VLOOKUP(A269,[1]Tørstofindhold!A$2:B$24,2,FALSE),0)</f>
        <v>126984.29523714064</v>
      </c>
      <c r="W269" s="188">
        <f>J269*IFERROR(VLOOKUP(A269,[1]Tørstofindhold!A$2:B$24,2,FALSE),0)</f>
        <v>23862.091516243803</v>
      </c>
      <c r="X269" s="189">
        <f t="shared" si="65"/>
        <v>103122.20372089684</v>
      </c>
      <c r="Y269" s="169">
        <f t="shared" si="76"/>
        <v>0</v>
      </c>
      <c r="Z269" s="103">
        <f t="shared" si="77"/>
        <v>1</v>
      </c>
    </row>
    <row r="270" spans="1:26" x14ac:dyDescent="0.25">
      <c r="A270" s="190" t="str">
        <f t="shared" si="72"/>
        <v>Mejeriprodukter</v>
      </c>
      <c r="B270" s="190" t="str">
        <f t="shared" si="73"/>
        <v/>
      </c>
      <c r="C270" s="190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0">
        <f t="shared" si="74"/>
        <v>2050</v>
      </c>
      <c r="E270" s="188" t="s">
        <v>24</v>
      </c>
      <c r="F270" s="191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196196.07702661166</v>
      </c>
      <c r="G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8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1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5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0">
        <f t="shared" si="62"/>
        <v>-232017.95226486668</v>
      </c>
      <c r="O270" s="191">
        <f t="shared" si="75"/>
        <v>0</v>
      </c>
      <c r="P270" s="201">
        <f t="shared" si="63"/>
        <v>0</v>
      </c>
      <c r="Q270" s="188">
        <f>IFERROR(VLOOKUP(A270,[1]Energiindhold!$A$2:$C$11,3,FALSE),IFERROR(VLOOKUP(A270,[1]Biogasudbytte!$A$2:$B$18,2,FALSE)*[1]Energiindhold!$C$10,0))*O270</f>
        <v>0</v>
      </c>
      <c r="R270" s="188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8">
        <f>IFERROR(VLOOKUP(A270,[1]Biogasudbytte!$A$2:$B$18,2,FALSE)*[1]Energiindhold!$C$10,0)*J270*IFERROR(VLOOKUP(A270,Biogasanlæg!$F$3:$G$8,2,FALSE),1)</f>
        <v>0</v>
      </c>
      <c r="T270" s="189">
        <f t="shared" si="64"/>
        <v>0</v>
      </c>
      <c r="U270" s="187">
        <f>O270*IFERROR(VLOOKUP(A270,[1]Tørstofindhold!A$2:B$24,2,FALSE),0)</f>
        <v>0</v>
      </c>
      <c r="V270" s="188">
        <f>IF(D270=År1,P270,SUM(O270,P270))*IFERROR(VLOOKUP(A270,[1]Tørstofindhold!A$2:B$24,2,FALSE),0)</f>
        <v>0</v>
      </c>
      <c r="W270" s="188">
        <f>J270*IFERROR(VLOOKUP(A270,[1]Tørstofindhold!A$2:B$24,2,FALSE),0)</f>
        <v>0</v>
      </c>
      <c r="X270" s="189">
        <f t="shared" si="65"/>
        <v>0</v>
      </c>
      <c r="Y270" s="169">
        <f t="shared" si="76"/>
        <v>0</v>
      </c>
      <c r="Z270" s="103">
        <f t="shared" si="77"/>
        <v>1</v>
      </c>
    </row>
    <row r="271" spans="1:26" x14ac:dyDescent="0.25">
      <c r="A271" s="190" t="str">
        <f t="shared" si="72"/>
        <v>Muslinger</v>
      </c>
      <c r="B271" s="190" t="str">
        <f t="shared" si="73"/>
        <v>Havbiomasse</v>
      </c>
      <c r="C271" s="190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0">
        <f t="shared" si="74"/>
        <v>2050</v>
      </c>
      <c r="E271" s="188" t="s">
        <v>24</v>
      </c>
      <c r="F271" s="191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48650.027670673619</v>
      </c>
      <c r="G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8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1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5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0">
        <f t="shared" si="62"/>
        <v>48650.027670673619</v>
      </c>
      <c r="O271" s="191">
        <f t="shared" si="75"/>
        <v>48650.027670673619</v>
      </c>
      <c r="P271" s="201">
        <f t="shared" si="63"/>
        <v>0</v>
      </c>
      <c r="Q271" s="188">
        <f>IFERROR(VLOOKUP(A271,[1]Energiindhold!$A$2:$C$11,3,FALSE),IFERROR(VLOOKUP(A271,[1]Biogasudbytte!$A$2:$B$18,2,FALSE)*[1]Energiindhold!$C$10,0))*O271</f>
        <v>4.366339983442958E-2</v>
      </c>
      <c r="R271" s="188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88">
        <f>IFERROR(VLOOKUP(A271,[1]Biogasudbytte!$A$2:$B$18,2,FALSE)*[1]Energiindhold!$C$10,0)*J271*IFERROR(VLOOKUP(A271,Biogasanlæg!$F$3:$G$8,2,FALSE),1)</f>
        <v>0</v>
      </c>
      <c r="T271" s="189">
        <f t="shared" si="64"/>
        <v>4.366339983442958E-2</v>
      </c>
      <c r="U271" s="187">
        <f>O271*IFERROR(VLOOKUP(A271,[1]Tørstofindhold!A$2:B$24,2,FALSE),0)</f>
        <v>7297.504150601043</v>
      </c>
      <c r="V271" s="188">
        <f>IF(D271=År1,P271,SUM(O271,P271))*IFERROR(VLOOKUP(A271,[1]Tørstofindhold!A$2:B$24,2,FALSE),0)</f>
        <v>7297.504150601043</v>
      </c>
      <c r="W271" s="188">
        <f>J271*IFERROR(VLOOKUP(A271,[1]Tørstofindhold!A$2:B$24,2,FALSE),0)</f>
        <v>0</v>
      </c>
      <c r="X271" s="189">
        <f t="shared" si="65"/>
        <v>7297.504150601043</v>
      </c>
      <c r="Y271" s="169">
        <f t="shared" si="76"/>
        <v>0</v>
      </c>
      <c r="Z271" s="103">
        <f t="shared" si="77"/>
        <v>1</v>
      </c>
    </row>
    <row r="272" spans="1:26" x14ac:dyDescent="0.25">
      <c r="A272" s="190" t="str">
        <f t="shared" si="72"/>
        <v>Oksekød</v>
      </c>
      <c r="B272" s="190" t="str">
        <f t="shared" si="73"/>
        <v/>
      </c>
      <c r="C272" s="190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0">
        <f t="shared" si="74"/>
        <v>2050</v>
      </c>
      <c r="E272" s="188" t="s">
        <v>24</v>
      </c>
      <c r="F272" s="191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6027.3091816218966</v>
      </c>
      <c r="G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8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1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5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0">
        <f t="shared" si="62"/>
        <v>-48385.404540415955</v>
      </c>
      <c r="O272" s="191">
        <f t="shared" si="75"/>
        <v>0</v>
      </c>
      <c r="P272" s="201">
        <f t="shared" si="63"/>
        <v>0</v>
      </c>
      <c r="Q272" s="188">
        <f>IFERROR(VLOOKUP(A272,[1]Energiindhold!$A$2:$C$11,3,FALSE),IFERROR(VLOOKUP(A272,[1]Biogasudbytte!$A$2:$B$18,2,FALSE)*[1]Energiindhold!$C$10,0))*O272</f>
        <v>0</v>
      </c>
      <c r="R272" s="188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8">
        <f>IFERROR(VLOOKUP(A272,[1]Biogasudbytte!$A$2:$B$18,2,FALSE)*[1]Energiindhold!$C$10,0)*J272*IFERROR(VLOOKUP(A272,Biogasanlæg!$F$3:$G$8,2,FALSE),1)</f>
        <v>0</v>
      </c>
      <c r="T272" s="189">
        <f t="shared" si="64"/>
        <v>0</v>
      </c>
      <c r="U272" s="187">
        <f>O272*IFERROR(VLOOKUP(A272,[1]Tørstofindhold!A$2:B$24,2,FALSE),0)</f>
        <v>0</v>
      </c>
      <c r="V272" s="188">
        <f>IF(D272=År1,P272,SUM(O272,P272))*IFERROR(VLOOKUP(A272,[1]Tørstofindhold!A$2:B$24,2,FALSE),0)</f>
        <v>0</v>
      </c>
      <c r="W272" s="188">
        <f>J272*IFERROR(VLOOKUP(A272,[1]Tørstofindhold!A$2:B$24,2,FALSE),0)</f>
        <v>0</v>
      </c>
      <c r="X272" s="189">
        <f t="shared" si="65"/>
        <v>0</v>
      </c>
      <c r="Y272" s="169">
        <f t="shared" si="76"/>
        <v>1</v>
      </c>
      <c r="Z272" s="103">
        <f t="shared" si="77"/>
        <v>0</v>
      </c>
    </row>
    <row r="273" spans="1:26" x14ac:dyDescent="0.25">
      <c r="A273" s="190" t="str">
        <f t="shared" si="72"/>
        <v>Øvrige</v>
      </c>
      <c r="B273" s="190" t="str">
        <f t="shared" si="73"/>
        <v/>
      </c>
      <c r="C273" s="190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0">
        <f t="shared" si="74"/>
        <v>2050</v>
      </c>
      <c r="E273" s="188" t="s">
        <v>24</v>
      </c>
      <c r="F273" s="191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426777.53866935126</v>
      </c>
      <c r="G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8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1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5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0">
        <f t="shared" si="62"/>
        <v>426777.53866935126</v>
      </c>
      <c r="O273" s="191">
        <f t="shared" si="75"/>
        <v>0</v>
      </c>
      <c r="P273" s="201">
        <f t="shared" si="63"/>
        <v>0</v>
      </c>
      <c r="Q273" s="188">
        <f>IFERROR(VLOOKUP(A273,[1]Energiindhold!$A$2:$C$11,3,FALSE),IFERROR(VLOOKUP(A273,[1]Biogasudbytte!$A$2:$B$18,2,FALSE)*[1]Energiindhold!$C$10,0))*O273</f>
        <v>0</v>
      </c>
      <c r="R273" s="188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8">
        <f>IFERROR(VLOOKUP(A273,[1]Biogasudbytte!$A$2:$B$18,2,FALSE)*[1]Energiindhold!$C$10,0)*J273*IFERROR(VLOOKUP(A273,Biogasanlæg!$F$3:$G$8,2,FALSE),1)</f>
        <v>0</v>
      </c>
      <c r="T273" s="189">
        <f t="shared" si="64"/>
        <v>0</v>
      </c>
      <c r="U273" s="187">
        <f>O273*IFERROR(VLOOKUP(A273,[1]Tørstofindhold!A$2:B$24,2,FALSE),0)</f>
        <v>0</v>
      </c>
      <c r="V273" s="188">
        <f>IF(D273=År1,P273,SUM(O273,P273))*IFERROR(VLOOKUP(A273,[1]Tørstofindhold!A$2:B$24,2,FALSE),0)</f>
        <v>0</v>
      </c>
      <c r="W273" s="188">
        <f>J273*IFERROR(VLOOKUP(A273,[1]Tørstofindhold!A$2:B$24,2,FALSE),0)</f>
        <v>0</v>
      </c>
      <c r="X273" s="189">
        <f t="shared" si="65"/>
        <v>0</v>
      </c>
      <c r="Y273" s="169">
        <f t="shared" si="76"/>
        <v>0</v>
      </c>
      <c r="Z273" s="103">
        <f t="shared" si="77"/>
        <v>1</v>
      </c>
    </row>
    <row r="274" spans="1:26" x14ac:dyDescent="0.25">
      <c r="A274" s="190" t="str">
        <f t="shared" si="72"/>
        <v>Pil &amp; poppel</v>
      </c>
      <c r="B274" s="190" t="str">
        <f t="shared" si="73"/>
        <v>Vedmasse</v>
      </c>
      <c r="C274" s="190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0">
        <f t="shared" si="74"/>
        <v>2050</v>
      </c>
      <c r="E274" s="188" t="s">
        <v>24</v>
      </c>
      <c r="F274" s="191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36441.900098439175</v>
      </c>
      <c r="G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8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1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36441.900098439175</v>
      </c>
      <c r="M274" s="155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0">
        <f t="shared" si="62"/>
        <v>0</v>
      </c>
      <c r="O274" s="191">
        <f t="shared" si="75"/>
        <v>0</v>
      </c>
      <c r="P274" s="201">
        <f t="shared" si="63"/>
        <v>36441.900098439175</v>
      </c>
      <c r="Q274" s="188">
        <f>IFERROR(VLOOKUP(A274,[1]Energiindhold!$A$2:$C$11,3,FALSE),IFERROR(VLOOKUP(A274,[1]Biogasudbytte!$A$2:$B$18,2,FALSE)*[1]Energiindhold!$C$10,0))*O274</f>
        <v>0</v>
      </c>
      <c r="R274" s="188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0.67053096181128069</v>
      </c>
      <c r="S274" s="188">
        <f>IFERROR(VLOOKUP(A274,[1]Biogasudbytte!$A$2:$B$18,2,FALSE)*[1]Energiindhold!$C$10,0)*J274*IFERROR(VLOOKUP(A274,Biogasanlæg!$F$3:$G$8,2,FALSE),1)</f>
        <v>0</v>
      </c>
      <c r="T274" s="189">
        <f t="shared" si="64"/>
        <v>0.67053096181128069</v>
      </c>
      <c r="U274" s="187">
        <f>O274*IFERROR(VLOOKUP(A274,[1]Tørstofindhold!A$2:B$24,2,FALSE),0)</f>
        <v>0</v>
      </c>
      <c r="V274" s="188">
        <f>IF(D274=År1,P274,SUM(O274,P274))*IFERROR(VLOOKUP(A274,[1]Tørstofindhold!A$2:B$24,2,FALSE),0)</f>
        <v>15123.388540852258</v>
      </c>
      <c r="W274" s="188">
        <f>J274*IFERROR(VLOOKUP(A274,[1]Tørstofindhold!A$2:B$24,2,FALSE),0)</f>
        <v>0</v>
      </c>
      <c r="X274" s="189">
        <f t="shared" si="65"/>
        <v>15123.388540852258</v>
      </c>
      <c r="Y274" s="169">
        <f t="shared" si="76"/>
        <v>0</v>
      </c>
      <c r="Z274" s="103">
        <f t="shared" si="77"/>
        <v>0</v>
      </c>
    </row>
    <row r="275" spans="1:26" x14ac:dyDescent="0.25">
      <c r="A275" s="190" t="str">
        <f t="shared" ref="A275:A276" si="78">A227</f>
        <v>Pyrolysegas</v>
      </c>
      <c r="B275" s="190" t="str">
        <f t="shared" ref="B275:B276" si="79">IF(B227&lt;&gt;"",B227,"")</f>
        <v>Pyrolyseprodukter</v>
      </c>
      <c r="C275" s="190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0">
        <f t="shared" si="74"/>
        <v>2050</v>
      </c>
      <c r="E275" s="188" t="s">
        <v>24</v>
      </c>
      <c r="F275" s="191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8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1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5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0">
        <f t="shared" ref="N275:N276" si="80">F275-SUM(G275:M275)</f>
        <v>0</v>
      </c>
      <c r="O275" s="191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1">
        <f t="shared" ref="P275:P276" si="82">SUM(J275,L275)</f>
        <v>0</v>
      </c>
      <c r="Q275" s="188">
        <f>IFERROR(VLOOKUP(A275,[1]Energiindhold!$A$2:$C$11,3,FALSE),IFERROR(VLOOKUP(A275,[1]Biogasudbytte!$A$2:$B$18,2,FALSE)*[1]Energiindhold!$C$10,0))*O275</f>
        <v>0</v>
      </c>
      <c r="R275" s="188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8">
        <f>IFERROR(VLOOKUP(A275,[1]Biogasudbytte!$A$2:$B$18,2,FALSE)*[1]Energiindhold!$C$10,0)*J275*IFERROR(VLOOKUP(A275,Biogasanlæg!$F$3:$G$8,2,FALSE),1)</f>
        <v>0</v>
      </c>
      <c r="T275" s="189">
        <f t="shared" ref="T275:T276" si="83">R275-S275</f>
        <v>0</v>
      </c>
      <c r="U275" s="187">
        <f>O275*IFERROR(VLOOKUP(A275,[1]Tørstofindhold!A$2:B$24,2,FALSE),0)</f>
        <v>0</v>
      </c>
      <c r="V275" s="188">
        <f>IF(D275=År1,P275,SUM(O275,P275))*IFERROR(VLOOKUP(A275,[1]Tørstofindhold!A$2:B$24,2,FALSE),0)</f>
        <v>0</v>
      </c>
      <c r="W275" s="188">
        <f>J275*IFERROR(VLOOKUP(A275,[1]Tørstofindhold!A$2:B$24,2,FALSE),0)</f>
        <v>0</v>
      </c>
      <c r="X275" s="189">
        <f t="shared" ref="X275:X276" si="84">V275-W275</f>
        <v>0</v>
      </c>
      <c r="Y275" s="169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0" t="str">
        <f t="shared" si="78"/>
        <v>Pyrolyseolie</v>
      </c>
      <c r="B276" s="190" t="str">
        <f t="shared" si="79"/>
        <v>Pyrolyseprodukter</v>
      </c>
      <c r="C276" s="190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0">
        <f t="shared" si="74"/>
        <v>2050</v>
      </c>
      <c r="E276" s="188" t="s">
        <v>24</v>
      </c>
      <c r="F276" s="191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8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1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5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0">
        <f t="shared" si="80"/>
        <v>0</v>
      </c>
      <c r="O276" s="191">
        <f t="shared" si="81"/>
        <v>0</v>
      </c>
      <c r="P276" s="201">
        <f t="shared" si="82"/>
        <v>0</v>
      </c>
      <c r="Q276" s="188">
        <f>IFERROR(VLOOKUP(A276,[1]Energiindhold!$A$2:$C$11,3,FALSE),IFERROR(VLOOKUP(A276,[1]Biogasudbytte!$A$2:$B$18,2,FALSE)*[1]Energiindhold!$C$10,0))*O276</f>
        <v>0</v>
      </c>
      <c r="R276" s="188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8">
        <f>IFERROR(VLOOKUP(A276,[1]Biogasudbytte!$A$2:$B$18,2,FALSE)*[1]Energiindhold!$C$10,0)*J276*IFERROR(VLOOKUP(A276,Biogasanlæg!$F$3:$G$8,2,FALSE),1)</f>
        <v>0</v>
      </c>
      <c r="T276" s="189">
        <f t="shared" si="83"/>
        <v>0</v>
      </c>
      <c r="U276" s="187">
        <f>O276*IFERROR(VLOOKUP(A276,[1]Tørstofindhold!A$2:B$24,2,FALSE),0)</f>
        <v>0</v>
      </c>
      <c r="V276" s="188">
        <f>IF(D276=År1,P276,SUM(O276,P276))*IFERROR(VLOOKUP(A276,[1]Tørstofindhold!A$2:B$24,2,FALSE),0)</f>
        <v>0</v>
      </c>
      <c r="W276" s="188">
        <f>J276*IFERROR(VLOOKUP(A276,[1]Tørstofindhold!A$2:B$24,2,FALSE),0)</f>
        <v>0</v>
      </c>
      <c r="X276" s="189">
        <f t="shared" si="84"/>
        <v>0</v>
      </c>
      <c r="Y276" s="169">
        <f t="shared" si="85"/>
        <v>0</v>
      </c>
      <c r="Z276" s="103">
        <f t="shared" si="86"/>
        <v>0</v>
      </c>
    </row>
    <row r="277" spans="1:26" x14ac:dyDescent="0.25">
      <c r="A277" s="190" t="str">
        <f t="shared" ref="A277:A290" si="87">A229</f>
        <v>Råmælk</v>
      </c>
      <c r="B277" s="190" t="str">
        <f t="shared" ref="B277:B290" si="88">IF(B229&lt;&gt;"",B229,"")</f>
        <v/>
      </c>
      <c r="C277" s="190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0">
        <f t="shared" si="74"/>
        <v>2050</v>
      </c>
      <c r="E277" s="188" t="s">
        <v>24</v>
      </c>
      <c r="F277" s="191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305517.35260192503</v>
      </c>
      <c r="G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8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1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5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0">
        <f t="shared" si="62"/>
        <v>305517.35260192503</v>
      </c>
      <c r="O277" s="191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1">
        <f t="shared" si="63"/>
        <v>0</v>
      </c>
      <c r="Q277" s="188">
        <f>IFERROR(VLOOKUP(A277,[1]Energiindhold!$A$2:$C$11,3,FALSE),IFERROR(VLOOKUP(A277,[1]Biogasudbytte!$A$2:$B$18,2,FALSE)*[1]Energiindhold!$C$10,0))*O277</f>
        <v>0</v>
      </c>
      <c r="R277" s="188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8">
        <f>IFERROR(VLOOKUP(A277,[1]Biogasudbytte!$A$2:$B$18,2,FALSE)*[1]Energiindhold!$C$10,0)*J277*IFERROR(VLOOKUP(A277,Biogasanlæg!$F$3:$G$8,2,FALSE),1)</f>
        <v>0</v>
      </c>
      <c r="T277" s="189">
        <f t="shared" si="64"/>
        <v>0</v>
      </c>
      <c r="U277" s="187">
        <f>O277*IFERROR(VLOOKUP(A277,[1]Tørstofindhold!A$2:B$24,2,FALSE),0)</f>
        <v>0</v>
      </c>
      <c r="V277" s="188">
        <f>IF(D277=År1,P277,SUM(O277,P277))*IFERROR(VLOOKUP(A277,[1]Tørstofindhold!A$2:B$24,2,FALSE),0)</f>
        <v>0</v>
      </c>
      <c r="W277" s="188">
        <f>J277*IFERROR(VLOOKUP(A277,[1]Tørstofindhold!A$2:B$24,2,FALSE),0)</f>
        <v>0</v>
      </c>
      <c r="X277" s="189">
        <f t="shared" si="65"/>
        <v>0</v>
      </c>
      <c r="Y277" s="169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0" t="str">
        <f t="shared" si="87"/>
        <v>Raps</v>
      </c>
      <c r="B278" s="190" t="str">
        <f t="shared" si="88"/>
        <v/>
      </c>
      <c r="C278" s="190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0">
        <f t="shared" si="74"/>
        <v>2050</v>
      </c>
      <c r="E278" s="188" t="s">
        <v>24</v>
      </c>
      <c r="F278" s="191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44647.112834296677</v>
      </c>
      <c r="G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8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1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5">
        <f>SUMIFS('Forbrug af biomasse'!E:E,'Forbrug af biomasse'!C:C,'Resultat-Produktion &amp; forbrug'!$A278,'Forbrug af biomasse'!D:D,'Resultat-Produktion &amp; forbrug'!$D278,'Forbrug af biomasse'!G:G,1,'Forbrug af biomasse'!B:B,$E278)</f>
        <v>44647.112834296677</v>
      </c>
      <c r="N278" s="200">
        <f t="shared" si="62"/>
        <v>0</v>
      </c>
      <c r="O278" s="191">
        <f t="shared" si="89"/>
        <v>0</v>
      </c>
      <c r="P278" s="201">
        <f t="shared" si="63"/>
        <v>0</v>
      </c>
      <c r="Q278" s="188">
        <f>IFERROR(VLOOKUP(A278,[1]Energiindhold!$A$2:$C$11,3,FALSE),IFERROR(VLOOKUP(A278,[1]Biogasudbytte!$A$2:$B$18,2,FALSE)*[1]Energiindhold!$C$10,0))*O278</f>
        <v>0</v>
      </c>
      <c r="R278" s="188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8">
        <f>IFERROR(VLOOKUP(A278,[1]Biogasudbytte!$A$2:$B$18,2,FALSE)*[1]Energiindhold!$C$10,0)*J278*IFERROR(VLOOKUP(A278,Biogasanlæg!$F$3:$G$8,2,FALSE),1)</f>
        <v>0</v>
      </c>
      <c r="T278" s="189">
        <f t="shared" si="64"/>
        <v>0</v>
      </c>
      <c r="U278" s="187">
        <f>O278*IFERROR(VLOOKUP(A278,[1]Tørstofindhold!A$2:B$24,2,FALSE),0)</f>
        <v>0</v>
      </c>
      <c r="V278" s="188">
        <f>IF(D278=År1,P278,SUM(O278,P278))*IFERROR(VLOOKUP(A278,[1]Tørstofindhold!A$2:B$24,2,FALSE),0)</f>
        <v>0</v>
      </c>
      <c r="W278" s="188">
        <f>J278*IFERROR(VLOOKUP(A278,[1]Tørstofindhold!A$2:B$24,2,FALSE),0)</f>
        <v>0</v>
      </c>
      <c r="X278" s="189">
        <f t="shared" si="65"/>
        <v>0</v>
      </c>
      <c r="Y278" s="169">
        <f t="shared" si="90"/>
        <v>0</v>
      </c>
      <c r="Z278" s="103">
        <f t="shared" si="91"/>
        <v>0</v>
      </c>
    </row>
    <row r="279" spans="1:26" x14ac:dyDescent="0.25">
      <c r="A279" s="190" t="str">
        <f t="shared" si="87"/>
        <v>Rapskage</v>
      </c>
      <c r="B279" s="190" t="str">
        <f t="shared" si="88"/>
        <v/>
      </c>
      <c r="C279" s="190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0">
        <f t="shared" si="74"/>
        <v>2050</v>
      </c>
      <c r="E279" s="188" t="s">
        <v>24</v>
      </c>
      <c r="F279" s="191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22323.556417148338</v>
      </c>
      <c r="G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8051.0080754358942</v>
      </c>
      <c r="H279" s="188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1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5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0">
        <f t="shared" si="62"/>
        <v>14272.548341712445</v>
      </c>
      <c r="O279" s="191">
        <f t="shared" si="89"/>
        <v>0</v>
      </c>
      <c r="P279" s="201">
        <f t="shared" si="63"/>
        <v>0</v>
      </c>
      <c r="Q279" s="188">
        <f>IFERROR(VLOOKUP(A279,[1]Energiindhold!$A$2:$C$11,3,FALSE),IFERROR(VLOOKUP(A279,[1]Biogasudbytte!$A$2:$B$18,2,FALSE)*[1]Energiindhold!$C$10,0))*O279</f>
        <v>0</v>
      </c>
      <c r="R279" s="188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8">
        <f>IFERROR(VLOOKUP(A279,[1]Biogasudbytte!$A$2:$B$18,2,FALSE)*[1]Energiindhold!$C$10,0)*J279*IFERROR(VLOOKUP(A279,Biogasanlæg!$F$3:$G$8,2,FALSE),1)</f>
        <v>0</v>
      </c>
      <c r="T279" s="189">
        <f t="shared" si="64"/>
        <v>0</v>
      </c>
      <c r="U279" s="187">
        <f>O279*IFERROR(VLOOKUP(A279,[1]Tørstofindhold!A$2:B$24,2,FALSE),0)</f>
        <v>0</v>
      </c>
      <c r="V279" s="188">
        <f>IF(D279=År1,P279,SUM(O279,P279))*IFERROR(VLOOKUP(A279,[1]Tørstofindhold!A$2:B$24,2,FALSE),0)</f>
        <v>0</v>
      </c>
      <c r="W279" s="188">
        <f>J279*IFERROR(VLOOKUP(A279,[1]Tørstofindhold!A$2:B$24,2,FALSE),0)</f>
        <v>0</v>
      </c>
      <c r="X279" s="189">
        <f t="shared" si="65"/>
        <v>0</v>
      </c>
      <c r="Y279" s="169">
        <f t="shared" si="90"/>
        <v>0</v>
      </c>
      <c r="Z279" s="103">
        <f t="shared" si="91"/>
        <v>1</v>
      </c>
    </row>
    <row r="280" spans="1:26" x14ac:dyDescent="0.25">
      <c r="A280" s="190" t="str">
        <f t="shared" si="87"/>
        <v>Rapsolie</v>
      </c>
      <c r="B280" s="190" t="str">
        <f t="shared" si="88"/>
        <v>Rapsolie</v>
      </c>
      <c r="C280" s="190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0">
        <f t="shared" si="74"/>
        <v>2050</v>
      </c>
      <c r="E280" s="188" t="s">
        <v>24</v>
      </c>
      <c r="F280" s="191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14287.076106974937</v>
      </c>
      <c r="G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8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1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14287.076106974937</v>
      </c>
      <c r="M280" s="155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0">
        <f t="shared" si="62"/>
        <v>0</v>
      </c>
      <c r="O280" s="191">
        <f t="shared" si="89"/>
        <v>0</v>
      </c>
      <c r="P280" s="201">
        <f t="shared" si="63"/>
        <v>14287.076106974937</v>
      </c>
      <c r="Q280" s="188">
        <f>IFERROR(VLOOKUP(A280,[1]Energiindhold!$A$2:$C$11,3,FALSE),IFERROR(VLOOKUP(A280,[1]Biogasudbytte!$A$2:$B$18,2,FALSE)*[1]Energiindhold!$C$10,0))*O280</f>
        <v>0</v>
      </c>
      <c r="R280" s="188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0.50004766374412279</v>
      </c>
      <c r="S280" s="188">
        <f>IFERROR(VLOOKUP(A280,[1]Biogasudbytte!$A$2:$B$18,2,FALSE)*[1]Energiindhold!$C$10,0)*J280*IFERROR(VLOOKUP(A280,Biogasanlæg!$F$3:$G$8,2,FALSE),1)</f>
        <v>0</v>
      </c>
      <c r="T280" s="189">
        <f t="shared" si="64"/>
        <v>0.50004766374412279</v>
      </c>
      <c r="U280" s="187">
        <f>O280*IFERROR(VLOOKUP(A280,[1]Tørstofindhold!A$2:B$24,2,FALSE),0)</f>
        <v>0</v>
      </c>
      <c r="V280" s="188">
        <f>IF(D280=År1,P280,SUM(O280,P280))*IFERROR(VLOOKUP(A280,[1]Tørstofindhold!A$2:B$24,2,FALSE),0)</f>
        <v>0</v>
      </c>
      <c r="W280" s="188">
        <f>J280*IFERROR(VLOOKUP(A280,[1]Tørstofindhold!A$2:B$24,2,FALSE),0)</f>
        <v>0</v>
      </c>
      <c r="X280" s="189">
        <f t="shared" si="65"/>
        <v>0</v>
      </c>
      <c r="Y280" s="169">
        <f t="shared" si="90"/>
        <v>0</v>
      </c>
      <c r="Z280" s="103">
        <f t="shared" si="91"/>
        <v>0</v>
      </c>
    </row>
    <row r="281" spans="1:26" x14ac:dyDescent="0.25">
      <c r="A281" s="190" t="str">
        <f t="shared" si="87"/>
        <v>Roer</v>
      </c>
      <c r="B281" s="190" t="str">
        <f t="shared" si="88"/>
        <v>Græs og urter</v>
      </c>
      <c r="C281" s="190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0">
        <f t="shared" si="74"/>
        <v>2050</v>
      </c>
      <c r="E281" s="188" t="s">
        <v>24</v>
      </c>
      <c r="F281" s="191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560381.69837016799</v>
      </c>
      <c r="G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106617.61280762311</v>
      </c>
      <c r="H281" s="188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6903.7955745184099</v>
      </c>
      <c r="K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1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5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0">
        <f t="shared" si="62"/>
        <v>446860.28998802649</v>
      </c>
      <c r="O281" s="191">
        <f t="shared" si="89"/>
        <v>446860.28998802649</v>
      </c>
      <c r="P281" s="201">
        <f t="shared" si="63"/>
        <v>6903.7955745184099</v>
      </c>
      <c r="Q281" s="188">
        <f>IFERROR(VLOOKUP(A281,[1]Energiindhold!$A$2:$C$11,3,FALSE),IFERROR(VLOOKUP(A281,[1]Biogasudbytte!$A$2:$B$18,2,FALSE)*[1]Energiindhold!$C$10,0))*O281</f>
        <v>1.2127967014391035</v>
      </c>
      <c r="R281" s="188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1.2315338787801693</v>
      </c>
      <c r="S281" s="188">
        <f>IFERROR(VLOOKUP(A281,[1]Biogasudbytte!$A$2:$B$18,2,FALSE)*[1]Energiindhold!$C$10,0)*J281*IFERROR(VLOOKUP(A281,Biogasanlæg!$F$3:$G$8,2,FALSE),1)</f>
        <v>1.8737177341065947E-2</v>
      </c>
      <c r="T281" s="189">
        <f t="shared" si="64"/>
        <v>1.2127967014391032</v>
      </c>
      <c r="U281" s="187">
        <f>O281*IFERROR(VLOOKUP(A281,[1]Tørstofindhold!A$2:B$24,2,FALSE),0)</f>
        <v>89372.057997605298</v>
      </c>
      <c r="V281" s="188">
        <f>IF(D281=År1,P281,SUM(O281,P281))*IFERROR(VLOOKUP(A281,[1]Tørstofindhold!A$2:B$24,2,FALSE),0)</f>
        <v>90752.817112508987</v>
      </c>
      <c r="W281" s="188">
        <f>J281*IFERROR(VLOOKUP(A281,[1]Tørstofindhold!A$2:B$24,2,FALSE),0)</f>
        <v>1380.7591149036821</v>
      </c>
      <c r="X281" s="189">
        <f t="shared" si="65"/>
        <v>89372.057997605298</v>
      </c>
      <c r="Y281" s="169">
        <f t="shared" si="90"/>
        <v>0</v>
      </c>
      <c r="Z281" s="103">
        <f t="shared" si="91"/>
        <v>1</v>
      </c>
    </row>
    <row r="282" spans="1:26" x14ac:dyDescent="0.25">
      <c r="A282" s="190" t="str">
        <f t="shared" si="87"/>
        <v>Slagteriaffald til andet</v>
      </c>
      <c r="B282" s="190" t="str">
        <f t="shared" si="88"/>
        <v/>
      </c>
      <c r="C282" s="190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0">
        <f t="shared" ref="D282:D290" si="92">År3</f>
        <v>2050</v>
      </c>
      <c r="E282" s="188" t="s">
        <v>24</v>
      </c>
      <c r="F282" s="191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18485.099996842164</v>
      </c>
      <c r="G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8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1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5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0">
        <f t="shared" ref="N282:N290" si="93">F282-SUM(G282:M282)</f>
        <v>18485.099996842164</v>
      </c>
      <c r="O282" s="191">
        <f t="shared" si="89"/>
        <v>0</v>
      </c>
      <c r="P282" s="201">
        <f t="shared" ref="P282:P290" si="94">SUM(J282,L282)</f>
        <v>0</v>
      </c>
      <c r="Q282" s="188">
        <f>IFERROR(VLOOKUP(A282,[1]Energiindhold!$A$2:$C$11,3,FALSE),IFERROR(VLOOKUP(A282,[1]Biogasudbytte!$A$2:$B$18,2,FALSE)*[1]Energiindhold!$C$10,0))*O282</f>
        <v>0</v>
      </c>
      <c r="R282" s="188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8">
        <f>IFERROR(VLOOKUP(A282,[1]Biogasudbytte!$A$2:$B$18,2,FALSE)*[1]Energiindhold!$C$10,0)*J282*IFERROR(VLOOKUP(A282,Biogasanlæg!$F$3:$G$8,2,FALSE),1)</f>
        <v>0</v>
      </c>
      <c r="T282" s="189">
        <f t="shared" ref="T282:T290" si="95">R282-S282</f>
        <v>0</v>
      </c>
      <c r="U282" s="187">
        <f>O282*IFERROR(VLOOKUP(A282,[1]Tørstofindhold!A$2:B$24,2,FALSE),0)</f>
        <v>0</v>
      </c>
      <c r="V282" s="188">
        <f>IF(D282=År1,P282,SUM(O282,P282))*IFERROR(VLOOKUP(A282,[1]Tørstofindhold!A$2:B$24,2,FALSE),0)</f>
        <v>0</v>
      </c>
      <c r="W282" s="188">
        <f>J282*IFERROR(VLOOKUP(A282,[1]Tørstofindhold!A$2:B$24,2,FALSE),0)</f>
        <v>0</v>
      </c>
      <c r="X282" s="189">
        <f t="shared" ref="X282:X290" si="96">V282-W282</f>
        <v>0</v>
      </c>
      <c r="Y282" s="169">
        <f t="shared" si="90"/>
        <v>0</v>
      </c>
      <c r="Z282" s="103">
        <f t="shared" si="91"/>
        <v>1</v>
      </c>
    </row>
    <row r="283" spans="1:26" x14ac:dyDescent="0.25">
      <c r="A283" s="190" t="str">
        <f t="shared" si="87"/>
        <v>Slagteriaffald til foder</v>
      </c>
      <c r="B283" s="190" t="str">
        <f t="shared" si="88"/>
        <v/>
      </c>
      <c r="C283" s="190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0">
        <f t="shared" si="92"/>
        <v>2050</v>
      </c>
      <c r="E283" s="188" t="s">
        <v>24</v>
      </c>
      <c r="F283" s="191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15100.557694869811</v>
      </c>
      <c r="G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4723.4213980800014</v>
      </c>
      <c r="H283" s="188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1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5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0">
        <f t="shared" si="93"/>
        <v>10377.136296789809</v>
      </c>
      <c r="O283" s="191">
        <f t="shared" si="89"/>
        <v>0</v>
      </c>
      <c r="P283" s="201">
        <f t="shared" si="94"/>
        <v>0</v>
      </c>
      <c r="Q283" s="188">
        <f>IFERROR(VLOOKUP(A283,[1]Energiindhold!$A$2:$C$11,3,FALSE),IFERROR(VLOOKUP(A283,[1]Biogasudbytte!$A$2:$B$18,2,FALSE)*[1]Energiindhold!$C$10,0))*O283</f>
        <v>0</v>
      </c>
      <c r="R283" s="188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8">
        <f>IFERROR(VLOOKUP(A283,[1]Biogasudbytte!$A$2:$B$18,2,FALSE)*[1]Energiindhold!$C$10,0)*J283*IFERROR(VLOOKUP(A283,Biogasanlæg!$F$3:$G$8,2,FALSE),1)</f>
        <v>0</v>
      </c>
      <c r="T283" s="189">
        <f t="shared" si="95"/>
        <v>0</v>
      </c>
      <c r="U283" s="187">
        <f>O283*IFERROR(VLOOKUP(A283,[1]Tørstofindhold!A$2:B$24,2,FALSE),0)</f>
        <v>0</v>
      </c>
      <c r="V283" s="188">
        <f>IF(D283=År1,P283,SUM(O283,P283))*IFERROR(VLOOKUP(A283,[1]Tørstofindhold!A$2:B$24,2,FALSE),0)</f>
        <v>0</v>
      </c>
      <c r="W283" s="188">
        <f>J283*IFERROR(VLOOKUP(A283,[1]Tørstofindhold!A$2:B$24,2,FALSE),0)</f>
        <v>0</v>
      </c>
      <c r="X283" s="189">
        <f t="shared" si="96"/>
        <v>0</v>
      </c>
      <c r="Y283" s="169">
        <f t="shared" si="90"/>
        <v>0</v>
      </c>
      <c r="Z283" s="103">
        <f t="shared" si="91"/>
        <v>1</v>
      </c>
    </row>
    <row r="284" spans="1:26" x14ac:dyDescent="0.25">
      <c r="A284" s="190" t="str">
        <f t="shared" si="87"/>
        <v>Spildevandsslam</v>
      </c>
      <c r="B284" s="190" t="str">
        <f t="shared" si="88"/>
        <v>Bionedbrydeligt affald</v>
      </c>
      <c r="C284" s="190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0">
        <f t="shared" si="92"/>
        <v>2050</v>
      </c>
      <c r="E284" s="188" t="s">
        <v>24</v>
      </c>
      <c r="F284" s="191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3499426.14906302</v>
      </c>
      <c r="G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8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1327153.3220649515</v>
      </c>
      <c r="K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1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5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0">
        <f t="shared" si="93"/>
        <v>2172272.8269980685</v>
      </c>
      <c r="O284" s="191">
        <f t="shared" si="89"/>
        <v>2172272.8269980685</v>
      </c>
      <c r="P284" s="201">
        <f t="shared" si="94"/>
        <v>1327153.3220649515</v>
      </c>
      <c r="Q284" s="188">
        <f>IFERROR(VLOOKUP(A284,[1]Energiindhold!$A$2:$C$11,3,FALSE),IFERROR(VLOOKUP(A284,[1]Biogasudbytte!$A$2:$B$18,2,FALSE)*[1]Energiindhold!$C$10,0))*O284</f>
        <v>1.0839858634003063</v>
      </c>
      <c r="R284" s="188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1.7462486426439379</v>
      </c>
      <c r="S284" s="188">
        <f>IFERROR(VLOOKUP(A284,[1]Biogasudbytte!$A$2:$B$18,2,FALSE)*[1]Energiindhold!$C$10,0)*J284*IFERROR(VLOOKUP(A284,Biogasanlæg!$F$3:$G$8,2,FALSE),1)</f>
        <v>0.66226277924363153</v>
      </c>
      <c r="T284" s="189">
        <f t="shared" si="95"/>
        <v>1.0839858634003063</v>
      </c>
      <c r="U284" s="187">
        <f>O284*IFERROR(VLOOKUP(A284,[1]Tørstofindhold!A$2:B$24,2,FALSE),0)</f>
        <v>130336.36961988411</v>
      </c>
      <c r="V284" s="188">
        <f>IF(D284=År1,P284,SUM(O284,P284))*IFERROR(VLOOKUP(A284,[1]Tørstofindhold!A$2:B$24,2,FALSE),0)</f>
        <v>209965.5689437812</v>
      </c>
      <c r="W284" s="188">
        <f>J284*IFERROR(VLOOKUP(A284,[1]Tørstofindhold!A$2:B$24,2,FALSE),0)</f>
        <v>79629.19932389709</v>
      </c>
      <c r="X284" s="189">
        <f t="shared" si="96"/>
        <v>130336.36961988411</v>
      </c>
      <c r="Y284" s="169">
        <f t="shared" si="90"/>
        <v>0</v>
      </c>
      <c r="Z284" s="103">
        <f t="shared" si="91"/>
        <v>1</v>
      </c>
    </row>
    <row r="285" spans="1:26" x14ac:dyDescent="0.25">
      <c r="A285" s="190" t="str">
        <f t="shared" si="87"/>
        <v>Svinegylle</v>
      </c>
      <c r="B285" s="190" t="str">
        <f t="shared" si="88"/>
        <v>Husdyrgødning</v>
      </c>
      <c r="C285" s="190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0">
        <f t="shared" si="92"/>
        <v>2050</v>
      </c>
      <c r="E285" s="188" t="s">
        <v>24</v>
      </c>
      <c r="F285" s="191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1595806.9166905463</v>
      </c>
      <c r="G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8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845777.6658459896</v>
      </c>
      <c r="K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750029.25084455672</v>
      </c>
      <c r="L285" s="191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5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0">
        <f t="shared" si="93"/>
        <v>0</v>
      </c>
      <c r="O285" s="191">
        <f t="shared" si="89"/>
        <v>0</v>
      </c>
      <c r="P285" s="201">
        <f t="shared" si="94"/>
        <v>845777.6658459896</v>
      </c>
      <c r="Q285" s="188">
        <f>IFERROR(VLOOKUP(A285,[1]Energiindhold!$A$2:$C$11,3,FALSE),IFERROR(VLOOKUP(A285,[1]Biogasudbytte!$A$2:$B$18,2,FALSE)*[1]Energiindhold!$C$10,0))*O285</f>
        <v>0</v>
      </c>
      <c r="R285" s="188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0.36436101844645236</v>
      </c>
      <c r="S285" s="188">
        <f>IFERROR(VLOOKUP(A285,[1]Biogasudbytte!$A$2:$B$18,2,FALSE)*[1]Energiindhold!$C$10,0)*J285*IFERROR(VLOOKUP(A285,Biogasanlæg!$F$3:$G$8,2,FALSE),1)</f>
        <v>0.36436101844645236</v>
      </c>
      <c r="T285" s="189">
        <f t="shared" si="95"/>
        <v>0</v>
      </c>
      <c r="U285" s="187">
        <f>O285*IFERROR(VLOOKUP(A285,[1]Tørstofindhold!A$2:B$24,2,FALSE),0)</f>
        <v>0</v>
      </c>
      <c r="V285" s="188">
        <f>IF(D285=År1,P285,SUM(O285,P285))*IFERROR(VLOOKUP(A285,[1]Tørstofindhold!A$2:B$24,2,FALSE),0)</f>
        <v>42288.883292299484</v>
      </c>
      <c r="W285" s="188">
        <f>J285*IFERROR(VLOOKUP(A285,[1]Tørstofindhold!A$2:B$24,2,FALSE),0)</f>
        <v>42288.883292299484</v>
      </c>
      <c r="X285" s="189">
        <f t="shared" si="96"/>
        <v>0</v>
      </c>
      <c r="Y285" s="169">
        <f t="shared" si="90"/>
        <v>0</v>
      </c>
      <c r="Z285" s="103">
        <f t="shared" si="91"/>
        <v>0</v>
      </c>
    </row>
    <row r="286" spans="1:26" x14ac:dyDescent="0.25">
      <c r="A286" s="190" t="str">
        <f t="shared" si="87"/>
        <v>Svinekød</v>
      </c>
      <c r="B286" s="190" t="str">
        <f t="shared" si="88"/>
        <v/>
      </c>
      <c r="C286" s="190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0">
        <f t="shared" si="92"/>
        <v>2050</v>
      </c>
      <c r="E286" s="188" t="s">
        <v>24</v>
      </c>
      <c r="F286" s="191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164992.8017368337</v>
      </c>
      <c r="G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8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1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5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0">
        <f t="shared" si="93"/>
        <v>54518.504179968979</v>
      </c>
      <c r="O286" s="191">
        <f t="shared" si="89"/>
        <v>0</v>
      </c>
      <c r="P286" s="201">
        <f t="shared" si="94"/>
        <v>0</v>
      </c>
      <c r="Q286" s="188">
        <f>IFERROR(VLOOKUP(A286,[1]Energiindhold!$A$2:$C$11,3,FALSE),IFERROR(VLOOKUP(A286,[1]Biogasudbytte!$A$2:$B$18,2,FALSE)*[1]Energiindhold!$C$10,0))*O286</f>
        <v>0</v>
      </c>
      <c r="R286" s="188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8">
        <f>IFERROR(VLOOKUP(A286,[1]Biogasudbytte!$A$2:$B$18,2,FALSE)*[1]Energiindhold!$C$10,0)*J286*IFERROR(VLOOKUP(A286,Biogasanlæg!$F$3:$G$8,2,FALSE),1)</f>
        <v>0</v>
      </c>
      <c r="T286" s="189">
        <f t="shared" si="95"/>
        <v>0</v>
      </c>
      <c r="U286" s="187">
        <f>O286*IFERROR(VLOOKUP(A286,[1]Tørstofindhold!A$2:B$24,2,FALSE),0)</f>
        <v>0</v>
      </c>
      <c r="V286" s="188">
        <f>IF(D286=År1,P286,SUM(O286,P286))*IFERROR(VLOOKUP(A286,[1]Tørstofindhold!A$2:B$24,2,FALSE),0)</f>
        <v>0</v>
      </c>
      <c r="W286" s="188">
        <f>J286*IFERROR(VLOOKUP(A286,[1]Tørstofindhold!A$2:B$24,2,FALSE),0)</f>
        <v>0</v>
      </c>
      <c r="X286" s="189">
        <f t="shared" si="96"/>
        <v>0</v>
      </c>
      <c r="Y286" s="169">
        <f t="shared" si="90"/>
        <v>0</v>
      </c>
      <c r="Z286" s="103">
        <f t="shared" si="91"/>
        <v>1</v>
      </c>
    </row>
    <row r="287" spans="1:26" x14ac:dyDescent="0.25">
      <c r="A287" s="190" t="str">
        <f t="shared" si="87"/>
        <v>Tang</v>
      </c>
      <c r="B287" s="190" t="str">
        <f t="shared" si="88"/>
        <v>Havbiomasse</v>
      </c>
      <c r="C287" s="190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0">
        <f t="shared" si="92"/>
        <v>2050</v>
      </c>
      <c r="E287" s="188" t="s">
        <v>24</v>
      </c>
      <c r="F287" s="191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4500</v>
      </c>
      <c r="G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8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1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5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0">
        <f t="shared" si="93"/>
        <v>4500</v>
      </c>
      <c r="O287" s="191">
        <f t="shared" si="89"/>
        <v>4500</v>
      </c>
      <c r="P287" s="201">
        <f t="shared" si="94"/>
        <v>0</v>
      </c>
      <c r="Q287" s="188">
        <f>IFERROR(VLOOKUP(A287,[1]Energiindhold!$A$2:$C$11,3,FALSE),IFERROR(VLOOKUP(A287,[1]Biogasudbytte!$A$2:$B$18,2,FALSE)*[1]Energiindhold!$C$10,0))*O287</f>
        <v>4.0387500000000007E-3</v>
      </c>
      <c r="R287" s="188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88">
        <f>IFERROR(VLOOKUP(A287,[1]Biogasudbytte!$A$2:$B$18,2,FALSE)*[1]Energiindhold!$C$10,0)*J287*IFERROR(VLOOKUP(A287,Biogasanlæg!$F$3:$G$8,2,FALSE),1)</f>
        <v>0</v>
      </c>
      <c r="T287" s="189">
        <f t="shared" si="95"/>
        <v>4.0387500000000007E-3</v>
      </c>
      <c r="U287" s="187">
        <f>O287*IFERROR(VLOOKUP(A287,[1]Tørstofindhold!A$2:B$24,2,FALSE),0)</f>
        <v>675</v>
      </c>
      <c r="V287" s="188">
        <f>IF(D287=År1,P287,SUM(O287,P287))*IFERROR(VLOOKUP(A287,[1]Tørstofindhold!A$2:B$24,2,FALSE),0)</f>
        <v>675</v>
      </c>
      <c r="W287" s="188">
        <f>J287*IFERROR(VLOOKUP(A287,[1]Tørstofindhold!A$2:B$24,2,FALSE),0)</f>
        <v>0</v>
      </c>
      <c r="X287" s="189">
        <f t="shared" si="96"/>
        <v>675</v>
      </c>
      <c r="Y287" s="169">
        <f t="shared" si="90"/>
        <v>0</v>
      </c>
      <c r="Z287" s="103">
        <f t="shared" si="91"/>
        <v>1</v>
      </c>
    </row>
    <row r="288" spans="1:26" x14ac:dyDescent="0.25">
      <c r="A288" s="190" t="str">
        <f t="shared" si="87"/>
        <v>Total til biogas</v>
      </c>
      <c r="B288" s="190" t="str">
        <f t="shared" si="88"/>
        <v/>
      </c>
      <c r="C288" s="190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0">
        <f t="shared" si="92"/>
        <v>2050</v>
      </c>
      <c r="E288" s="188" t="s">
        <v>24</v>
      </c>
      <c r="F288" s="191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8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1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5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0">
        <f t="shared" si="93"/>
        <v>0</v>
      </c>
      <c r="O288" s="191">
        <f t="shared" si="89"/>
        <v>0</v>
      </c>
      <c r="P288" s="201">
        <f t="shared" si="94"/>
        <v>0</v>
      </c>
      <c r="Q288" s="188">
        <f>IFERROR(VLOOKUP(A288,[1]Energiindhold!$A$2:$C$11,3,FALSE),IFERROR(VLOOKUP(A288,[1]Biogasudbytte!$A$2:$B$18,2,FALSE)*[1]Energiindhold!$C$10,0))*O288</f>
        <v>0</v>
      </c>
      <c r="R288" s="188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8">
        <f>IFERROR(VLOOKUP(A288,[1]Biogasudbytte!$A$2:$B$18,2,FALSE)*[1]Energiindhold!$C$10,0)*J288*IFERROR(VLOOKUP(A288,Biogasanlæg!$F$3:$G$8,2,FALSE),1)</f>
        <v>0</v>
      </c>
      <c r="T288" s="189">
        <f t="shared" si="95"/>
        <v>0</v>
      </c>
      <c r="U288" s="187">
        <f>O288*IFERROR(VLOOKUP(A288,[1]Tørstofindhold!A$2:B$24,2,FALSE),0)</f>
        <v>0</v>
      </c>
      <c r="V288" s="188">
        <f>IF(D288=År1,P288,SUM(O288,P288))*IFERROR(VLOOKUP(A288,[1]Tørstofindhold!A$2:B$24,2,FALSE),0)</f>
        <v>0</v>
      </c>
      <c r="W288" s="188">
        <f>J288*IFERROR(VLOOKUP(A288,[1]Tørstofindhold!A$2:B$24,2,FALSE),0)</f>
        <v>0</v>
      </c>
      <c r="X288" s="189">
        <f t="shared" si="96"/>
        <v>0</v>
      </c>
      <c r="Y288" s="169">
        <f t="shared" si="90"/>
        <v>0</v>
      </c>
      <c r="Z288" s="103">
        <f t="shared" si="91"/>
        <v>0</v>
      </c>
    </row>
    <row r="289" spans="1:26" x14ac:dyDescent="0.25">
      <c r="A289" s="190" t="str">
        <f t="shared" si="87"/>
        <v>Træ til energi</v>
      </c>
      <c r="B289" s="190" t="str">
        <f t="shared" si="88"/>
        <v>Vedmasse</v>
      </c>
      <c r="C289" s="190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0">
        <f t="shared" si="92"/>
        <v>2050</v>
      </c>
      <c r="E289" s="188" t="s">
        <v>24</v>
      </c>
      <c r="F289" s="191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588379.46402837499</v>
      </c>
      <c r="G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8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1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588379.46402837499</v>
      </c>
      <c r="M289" s="155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0">
        <f t="shared" ca="1" si="93"/>
        <v>0</v>
      </c>
      <c r="O289" s="191">
        <f t="shared" ca="1" si="89"/>
        <v>0</v>
      </c>
      <c r="P289" s="201">
        <f t="shared" ca="1" si="94"/>
        <v>588379.46402837499</v>
      </c>
      <c r="Q289" s="188">
        <f ca="1">IFERROR(VLOOKUP(A289,[1]Energiindhold!$A$2:$C$11,3,FALSE),IFERROR(VLOOKUP(A289,[1]Biogasudbytte!$A$2:$B$18,2,FALSE)*[1]Energiindhold!$C$10,0))*O289</f>
        <v>0</v>
      </c>
      <c r="R289" s="188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8.5277183016965061</v>
      </c>
      <c r="S289" s="188">
        <f>IFERROR(VLOOKUP(A289,[1]Biogasudbytte!$A$2:$B$18,2,FALSE)*[1]Energiindhold!$C$10,0)*J289*IFERROR(VLOOKUP(A289,Biogasanlæg!$F$3:$G$8,2,FALSE),1)</f>
        <v>0</v>
      </c>
      <c r="T289" s="189">
        <f t="shared" ca="1" si="95"/>
        <v>8.5277183016965061</v>
      </c>
      <c r="U289" s="187">
        <f ca="1">O289*IFERROR(VLOOKUP(A289,[1]Tørstofindhold!A$2:B$24,2,FALSE),0)</f>
        <v>0</v>
      </c>
      <c r="V289" s="188">
        <f ca="1">IF(D289=År1,P289,SUM(O289,P289))*IFERROR(VLOOKUP(A289,[1]Tørstofindhold!A$2:B$24,2,FALSE),0)</f>
        <v>291002.67658403376</v>
      </c>
      <c r="W289" s="188">
        <f>J289*IFERROR(VLOOKUP(A289,[1]Tørstofindhold!A$2:B$24,2,FALSE),0)</f>
        <v>0</v>
      </c>
      <c r="X289" s="189">
        <f t="shared" ca="1" si="96"/>
        <v>291002.67658403376</v>
      </c>
      <c r="Y289" s="169">
        <f t="shared" ca="1" si="90"/>
        <v>0</v>
      </c>
      <c r="Z289" s="103">
        <f t="shared" ca="1" si="91"/>
        <v>0</v>
      </c>
    </row>
    <row r="290" spans="1:26" ht="15.75" thickBot="1" x14ac:dyDescent="0.3">
      <c r="A290" s="190" t="str">
        <f t="shared" si="87"/>
        <v>Træmaterialer</v>
      </c>
      <c r="B290" s="190" t="str">
        <f t="shared" si="88"/>
        <v/>
      </c>
      <c r="C290" s="190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0">
        <f t="shared" si="92"/>
        <v>2050</v>
      </c>
      <c r="E290" s="188" t="s">
        <v>24</v>
      </c>
      <c r="F290" s="191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162120.99079899571</v>
      </c>
      <c r="G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8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1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5">
        <f ca="1">SUMIFS('Forbrug af biomasse'!E:E,'Forbrug af biomasse'!C:C,'Resultat-Produktion &amp; forbrug'!$A290,'Forbrug af biomasse'!D:D,'Resultat-Produktion &amp; forbrug'!$D290,'Forbrug af biomasse'!G:G,1,'Forbrug af biomasse'!B:B,$E290)</f>
        <v>162120.99079899571</v>
      </c>
      <c r="N290" s="202">
        <f t="shared" ca="1" si="93"/>
        <v>0</v>
      </c>
      <c r="O290" s="203">
        <f t="shared" si="89"/>
        <v>0</v>
      </c>
      <c r="P290" s="204">
        <f t="shared" si="94"/>
        <v>0</v>
      </c>
      <c r="Q290" s="193">
        <f>IFERROR(VLOOKUP(A290,[1]Energiindhold!$A$2:$C$11,3,FALSE),IFERROR(VLOOKUP(A290,[1]Biogasudbytte!$A$2:$B$18,2,FALSE)*[1]Energiindhold!$C$10,0))*O290</f>
        <v>0</v>
      </c>
      <c r="R290" s="193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3">
        <f>IFERROR(VLOOKUP(A290,[1]Biogasudbytte!$A$2:$B$18,2,FALSE)*[1]Energiindhold!$C$10,0)*J290*IFERROR(VLOOKUP(A290,Biogasanlæg!$F$3:$G$8,2,FALSE),1)</f>
        <v>0</v>
      </c>
      <c r="T290" s="194">
        <f t="shared" si="95"/>
        <v>0</v>
      </c>
      <c r="U290" s="192">
        <f>O290*IFERROR(VLOOKUP(A290,[1]Tørstofindhold!A$2:B$24,2,FALSE),0)</f>
        <v>0</v>
      </c>
      <c r="V290" s="193">
        <f>IF(D290=År1,P290,SUM(O290,P290))*IFERROR(VLOOKUP(A290,[1]Tørstofindhold!A$2:B$24,2,FALSE),0)</f>
        <v>0</v>
      </c>
      <c r="W290" s="193">
        <f>J290*IFERROR(VLOOKUP(A290,[1]Tørstofindhold!A$2:B$24,2,FALSE),0)</f>
        <v>0</v>
      </c>
      <c r="X290" s="194">
        <f t="shared" si="96"/>
        <v>0</v>
      </c>
      <c r="Y290" s="169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51" t="s">
        <v>23</v>
      </c>
      <c r="B2" s="452"/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3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47" t="s">
        <v>7</v>
      </c>
      <c r="D3" s="448"/>
      <c r="E3" s="448"/>
      <c r="F3" s="448"/>
      <c r="G3" s="448"/>
      <c r="H3" s="448"/>
      <c r="I3" s="448"/>
      <c r="J3" s="448"/>
      <c r="K3" s="449"/>
      <c r="L3" s="447" t="s">
        <v>8</v>
      </c>
      <c r="M3" s="448"/>
      <c r="N3" s="448"/>
      <c r="O3" s="448"/>
      <c r="P3" s="448"/>
      <c r="Q3" s="448"/>
      <c r="R3" s="448"/>
      <c r="S3" s="448"/>
      <c r="T3" s="449"/>
      <c r="U3" s="71"/>
      <c r="W3" s="31" t="s">
        <v>275</v>
      </c>
      <c r="X3" s="35">
        <f>C24+C51</f>
        <v>11808068</v>
      </c>
      <c r="Y3" s="11">
        <f>D24+D51</f>
        <v>10770825.628876731</v>
      </c>
      <c r="Z3" s="23">
        <f>E24+E51</f>
        <v>8800050.6171953417</v>
      </c>
    </row>
    <row r="4" spans="1:26" ht="15.75" thickBot="1" x14ac:dyDescent="0.3">
      <c r="A4" s="61"/>
      <c r="B4" s="63"/>
      <c r="C4" s="170">
        <f>År1</f>
        <v>2019</v>
      </c>
      <c r="D4" s="170">
        <f>År1</f>
        <v>2019</v>
      </c>
      <c r="E4" s="170">
        <f>År1</f>
        <v>2019</v>
      </c>
      <c r="F4" s="171">
        <f>År2</f>
        <v>2030</v>
      </c>
      <c r="G4" s="171">
        <f>År2</f>
        <v>2030</v>
      </c>
      <c r="H4" s="171">
        <f>År2</f>
        <v>2030</v>
      </c>
      <c r="I4" s="171">
        <f>År3</f>
        <v>2050</v>
      </c>
      <c r="J4" s="171">
        <f>År3</f>
        <v>2050</v>
      </c>
      <c r="K4" s="171">
        <f>År3</f>
        <v>2050</v>
      </c>
      <c r="L4" s="170">
        <f>År1</f>
        <v>2019</v>
      </c>
      <c r="M4" s="170">
        <f>År1</f>
        <v>2019</v>
      </c>
      <c r="N4" s="170">
        <f>År1</f>
        <v>2019</v>
      </c>
      <c r="O4" s="171">
        <f>År2</f>
        <v>2030</v>
      </c>
      <c r="P4" s="171">
        <f>År2</f>
        <v>2030</v>
      </c>
      <c r="Q4" s="171">
        <f>År2</f>
        <v>2030</v>
      </c>
      <c r="R4" s="171">
        <f>År3</f>
        <v>2050</v>
      </c>
      <c r="S4" s="171">
        <f>År3</f>
        <v>2050</v>
      </c>
      <c r="T4" s="171">
        <f>År3</f>
        <v>2050</v>
      </c>
      <c r="U4" s="71"/>
      <c r="W4" s="31" t="s">
        <v>276</v>
      </c>
      <c r="X4" s="35">
        <f t="shared" ref="X4:Z5" si="0">C25+C52</f>
        <v>1267084</v>
      </c>
      <c r="Y4" s="11">
        <f t="shared" si="0"/>
        <v>1119150.9100031496</v>
      </c>
      <c r="Z4" s="23">
        <f t="shared" si="0"/>
        <v>853137.62328738987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277</v>
      </c>
      <c r="X5" s="48">
        <f t="shared" si="0"/>
        <v>19782594</v>
      </c>
      <c r="Y5" s="16">
        <f t="shared" si="0"/>
        <v>17602077.246732581</v>
      </c>
      <c r="Z5" s="24">
        <f t="shared" si="0"/>
        <v>13566999.088634305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644933.82622113335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9490.6378356280329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2787.9622783121608</v>
      </c>
      <c r="I6" s="11">
        <f>IF(Landbrug!$E$47&gt;0,SUMIF(Landbrug!$B$32:$B$45,$B6,IF($I$4=År2,Landbrug!$D$32:$D$45,Landbrug!$E$32:$E$45)),'[1]Afgrødefordeling - jordtype'!$G4)*(1-Landbrug!$E$5)*Arealanvendelse!P$26</f>
        <v>351339.52711072582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172223.29271132441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2534.3823374246472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744.49815470099543</v>
      </c>
      <c r="R6" s="11">
        <f>IF(Landbrug!$E$47&gt;0,SUMIF(Landbrug!$B$32:$B$45,$B6,IF($R$4=År2,Landbrug!$D$32:$D$45,Landbrug!$E$32:$E$45)),'[1]Afgrødefordeling - jordtype'!$G4)*(Landbrug!$E$5)*Arealanvendelse!P$26</f>
        <v>222591.66829618209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4"/>
      <c r="W6" s="31" t="s">
        <v>278</v>
      </c>
      <c r="X6" s="34">
        <f t="shared" ref="X6:Z8" si="1">F24+F51</f>
        <v>490924</v>
      </c>
      <c r="Y6" s="11">
        <f t="shared" si="1"/>
        <v>1528166.3711232687</v>
      </c>
      <c r="Z6" s="23">
        <f t="shared" si="1"/>
        <v>3498941.3828046578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43619.316164212927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813.57736439608004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160.52869978546411</v>
      </c>
      <c r="I7" s="11">
        <f>IF(Landbrug!$E$47&gt;0,SUMIF(Landbrug!$B$32:$B$45,$B7,IF($I$4=År2,Landbrug!$D$32:$D$45,Landbrug!$E$32:$E$45)),'[1]Afgrødefordeling - jordtype'!$G5)*(1-Landbrug!$E$5)*Arealanvendelse!P$26</f>
        <v>31915.511434192158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11648.113264013013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217.25790596638819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42.867624751071503</v>
      </c>
      <c r="R7" s="11">
        <f>IF(Landbrug!$E$47&gt;0,SUMIF(Landbrug!$B$32:$B$45,$B7,IF($R$4=År2,Landbrug!$D$32:$D$45,Landbrug!$E$32:$E$45)),'[1]Afgrødefordeling - jordtype'!$G5)*(Landbrug!$E$5)*Arealanvendelse!P$26</f>
        <v>20220.11867860179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4"/>
      <c r="W7" s="31" t="s">
        <v>279</v>
      </c>
      <c r="X7" s="34">
        <f t="shared" si="1"/>
        <v>224348</v>
      </c>
      <c r="Y7" s="11">
        <f t="shared" si="1"/>
        <v>372281.08999685029</v>
      </c>
      <c r="Z7" s="23">
        <f t="shared" si="1"/>
        <v>638294.37671261013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28163.04917996216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871.1648098071654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207.87739711582819</v>
      </c>
      <c r="I8" s="11">
        <f>IF(Landbrug!$E$47&gt;0,SUMIF(Landbrug!$B$32:$B$45,$B8,IF($I$4=År2,Landbrug!$D$32:$D$45,Landbrug!$E$32:$E$45)),'[1]Afgrødefordeling - jordtype'!$G6)*(1-Landbrug!$E$5)*Arealanvendelse!P$26</f>
        <v>20606.423877461926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7520.6678039879653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232.63607201117887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55.511632908632748</v>
      </c>
      <c r="R8" s="11">
        <f>IF(Landbrug!$E$47&gt;0,SUMIF(Landbrug!$B$32:$B$45,$B8,IF($R$4=År2,Landbrug!$D$32:$D$45,Landbrug!$E$32:$E$45)),'[1]Afgrødefordeling - jordtype'!$G6)*(Landbrug!$E$5)*Arealanvendelse!P$26</f>
        <v>13055.229812092792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4"/>
      <c r="W8" s="46" t="s">
        <v>280</v>
      </c>
      <c r="X8" s="47">
        <f t="shared" si="1"/>
        <v>3277287</v>
      </c>
      <c r="Y8" s="16">
        <f t="shared" si="1"/>
        <v>5457803.7532674177</v>
      </c>
      <c r="Z8" s="24">
        <f t="shared" si="1"/>
        <v>9492881.9113656953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358964.48802999349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8039.4163674234442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4794.3089897887294</v>
      </c>
      <c r="I9" s="11">
        <f>IF(Landbrug!$E$47&gt;0,SUMIF(Landbrug!$B$32:$B$45,$B9,IF($I$4=År2,Landbrug!$D$32:$D$45,Landbrug!$E$32:$E$45)),'[1]Afgrødefordeling - jordtype'!$G7)*(1-Landbrug!$E$5)*Arealanvendelse!P$26</f>
        <v>403882.3292636784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95857.968029363183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2146.8477880709584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1280.2734899716784</v>
      </c>
      <c r="R9" s="11">
        <f>IF(Landbrug!$E$47&gt;0,SUMIF(Landbrug!$B$32:$B$45,$B9,IF($R$4=År2,Landbrug!$D$32:$D$45,Landbrug!$E$32:$E$45)),'[1]Afgrødefordeling - jordtype'!$G7)*(Landbrug!$E$5)*Arealanvendelse!P$26</f>
        <v>255880.2370045245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7330.9635896981126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37.60065274501838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5.5724853038537319</v>
      </c>
      <c r="I10" s="11">
        <f>IF(Landbrug!$E$47&gt;0,SUMIF(Landbrug!$B$32:$B$45,$B10,IF($I$4=År2,Landbrug!$D$32:$D$45,Landbrug!$E$32:$E$45)),'[1]Afgrødefordeling - jordtype'!$G8)*(1-Landbrug!$E$5)*Arealanvendelse!P$26</f>
        <v>5363.9413187916089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1957.6623784216506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10.040887856333013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1.4880778904688605</v>
      </c>
      <c r="R10" s="11">
        <f>IF(Landbrug!$E$47&gt;0,SUMIF(Landbrug!$B$32:$B$45,$B10,IF($R$4=År2,Landbrug!$D$32:$D$45,Landbrug!$E$32:$E$45)),'[1]Afgrødefordeling - jordtype'!$G8)*(Landbrug!$E$5)*Arealanvendelse!P$26</f>
        <v>3398.332822416432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30834.713960981455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593.61684950263771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294.95328123236726</v>
      </c>
      <c r="I11" s="11">
        <f>IF(Landbrug!$E$47&gt;0,SUMIF(Landbrug!$B$32:$B$45,$B11,IF($I$4=År2,Landbrug!$D$32:$D$45,Landbrug!$E$32:$E$45)),'[1]Afgrødefordeling - jordtype'!$G9)*(1-Landbrug!$E$5)*Arealanvendelse!P$26</f>
        <v>22561.23553810201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8234.1098454824023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158.51959421835784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78.764399112832606</v>
      </c>
      <c r="R11" s="11">
        <f>IF(Landbrug!$E$47&gt;0,SUMIF(Landbrug!$B$32:$B$45,$B11,IF($R$4=År2,Landbrug!$D$32:$D$45,Landbrug!$E$32:$E$45)),'[1]Afgrødefordeling - jordtype'!$G9)*(Landbrug!$E$5)*Arealanvendelse!P$26</f>
        <v>14293.703582251808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18963.465816940919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15.573727659962529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3.1896432751013108</v>
      </c>
      <c r="I12" s="11">
        <f>IF(Landbrug!$E$47&gt;0,SUMIF(Landbrug!$B$32:$B$45,$B12,IF($I$4=År2,Landbrug!$D$32:$D$45,Landbrug!$E$32:$E$45)),'[1]Afgrødefordeling - jordtype'!$G10)*(1-Landbrug!$E$5)*Arealanvendelse!P$26</f>
        <v>13875.245265973344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5064.0087268308198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4.1588121886919351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0.85176315007569059</v>
      </c>
      <c r="R12" s="11">
        <f>IF(Landbrug!$E$47&gt;0,SUMIF(Landbrug!$B$32:$B$45,$B12,IF($R$4=År2,Landbrug!$D$32:$D$45,Landbrug!$E$32:$E$45)),'[1]Afgrødefordeling - jordtype'!$G10)*(Landbrug!$E$5)*Arealanvendelse!P$26</f>
        <v>8790.6818147402864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61958.708195916741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2010.3342065277557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396.66336654744111</v>
      </c>
      <c r="I13" s="11">
        <f>IF(Landbrug!$E$47&gt;0,SUMIF(Landbrug!$B$32:$B$45,$B13,IF($I$4=År2,Landbrug!$D$32:$D$45,Landbrug!$E$32:$E$45)),'[1]Afgrødefordeling - jordtype'!$G11)*(1-Landbrug!$E$5)*Arealanvendelse!P$26</f>
        <v>24727.708652954312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16545.469168773525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536.84015696162987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105.92508612090651</v>
      </c>
      <c r="R13" s="11">
        <f>IF(Landbrug!$E$47&gt;0,SUMIF(Landbrug!$B$32:$B$45,$B13,IF($R$4=År2,Landbrug!$D$32:$D$45,Landbrug!$E$32:$E$45)),'[1]Afgrødefordeling - jordtype'!$G11)*(Landbrug!$E$5)*Arealanvendelse!P$26</f>
        <v>15666.275774511349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2858.8189779950267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34.247771402013242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11.367166704679786</v>
      </c>
      <c r="I14" s="11">
        <f>IF(Landbrug!$E$47&gt;0,SUMIF(Landbrug!$B$32:$B$45,$B14,IF($I$4=År2,Landbrug!$D$32:$D$45,Landbrug!$E$32:$E$45)),'[1]Afgrødefordeling - jordtype'!$G12)*(1-Landbrug!$E$5)*Arealanvendelse!P$26</f>
        <v>2091.7492020506129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763.41974577576138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9.1455335711559798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3.0354910830917392</v>
      </c>
      <c r="R14" s="11">
        <f>IF(Landbrug!$E$47&gt;0,SUMIF(Landbrug!$B$32:$B$45,$B14,IF($R$4=År2,Landbrug!$D$32:$D$45,Landbrug!$E$32:$E$45)),'[1]Afgrødefordeling - jordtype'!$G12)*(Landbrug!$E$5)*Arealanvendelse!P$26</f>
        <v>1325.230748645359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39384.151743264825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605.70270796637942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201.03858946351968</v>
      </c>
      <c r="I15" s="11">
        <f>IF(Landbrug!$E$47&gt;0,SUMIF(Landbrug!$B$32:$B$45,$B15,IF($I$4=År2,Landbrug!$D$32:$D$45,Landbrug!$E$32:$E$45)),'[1]Afgrødefordeling - jordtype'!$G13)*(1-Landbrug!$E$5)*Arealanvendelse!P$26</f>
        <v>28816.713690697266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10517.153881678742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161.7470049312748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53.685395976696533</v>
      </c>
      <c r="R15" s="11">
        <f>IF(Landbrug!$E$47&gt;0,SUMIF(Landbrug!$B$32:$B$45,$B15,IF($R$4=År2,Landbrug!$D$32:$D$45,Landbrug!$E$32:$E$45)),'[1]Afgrødefordeling - jordtype'!$G13)*(Landbrug!$E$5)*Arealanvendelse!P$26</f>
        <v>18256.870862139654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56882.751322060642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1495.0529044849709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639.63757717268152</v>
      </c>
      <c r="I16" s="11">
        <f>IF(Landbrug!$E$47&gt;0,SUMIF(Landbrug!$B$32:$B$45,$B16,IF($I$4=År2,Landbrug!$D$32:$D$45,Landbrug!$E$32:$E$45)),'[1]Afgrødefordeling - jordtype'!$G14)*(1-Landbrug!$E$5)*Arealanvendelse!P$26</f>
        <v>41620.141255607268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15189.984356326371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399.23930722738322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170.8089810206381</v>
      </c>
      <c r="R16" s="11">
        <f>IF(Landbrug!$E$47&gt;0,SUMIF(Landbrug!$B$32:$B$45,$B16,IF($R$4=År2,Landbrug!$D$32:$D$45,Landbrug!$E$32:$E$45)),'[1]Afgrødefordeling - jordtype'!$G14)*(Landbrug!$E$5)*Arealanvendelse!P$26</f>
        <v>26368.501013803387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10683.561140435961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171.77120578833589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57.01252523383436</v>
      </c>
      <c r="I17" s="11">
        <f>IF(Landbrug!$E$47&gt;0,SUMIF(Landbrug!$B$32:$B$45,$B17,IF($I$4=År2,Landbrug!$D$32:$D$45,Landbrug!$E$32:$E$45)),'[1]Afgrødefordeling - jordtype'!$G15)*(1-Landbrug!$E$5)*Arealanvendelse!P$26</f>
        <v>7816.9799006436897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2852.9408796395687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45.869826408699431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15.224639214677737</v>
      </c>
      <c r="R17" s="11">
        <f>IF(Landbrug!$E$47&gt;0,SUMIF(Landbrug!$B$32:$B$45,$B17,IF($R$4=År2,Landbrug!$D$32:$D$45,Landbrug!$E$32:$E$45)),'[1]Afgrødefordeling - jordtype'!$G15)*(Landbrug!$E$5)*Arealanvendelse!P$26</f>
        <v>4952.4589829986235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4108.2981484004922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282.11165911762731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134.57942530031829</v>
      </c>
      <c r="I18" s="11">
        <f>IF(Landbrug!$E$47&gt;0,SUMIF(Landbrug!$B$32:$B$45,$B18,IF($I$4=År2,Landbrug!$D$32:$D$45,Landbrug!$E$32:$E$45)),'[1]Afgrødefordeling - jordtype'!$G16)*(1-Landbrug!$E$5)*Arealanvendelse!P$26</f>
        <v>3005.971850561044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1097.0809807001331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75.335169082654659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35.938123903693985</v>
      </c>
      <c r="R18" s="11">
        <f>IF(Landbrug!$E$47&gt;0,SUMIF(Landbrug!$B$32:$B$45,$B18,IF($R$4=År2,Landbrug!$D$32:$D$45,Landbrug!$E$32:$E$45)),'[1]Afgrødefordeling - jordtype'!$G16)*(Landbrug!$E$5)*Arealanvendelse!P$26</f>
        <v>1904.4378370124975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99658.944634840125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22206.298570938838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21106.083420946448</v>
      </c>
      <c r="I19" s="11">
        <f>IF(Landbrug!$E$47&gt;0,SUMIF(Landbrug!$B$32:$B$45,$B19,IF($I$4=År2,Landbrug!$D$32:$D$45,Landbrug!$E$32:$E$45)),'[1]Afgrødefordeling - jordtype'!$G17)*(1-Landbrug!$E$5)*Arealanvendelse!P$26</f>
        <v>72918.754045537091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16855.522728429914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4549.0349190359657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26612.949880012548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5929.9756088565728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5636.1738758434185</v>
      </c>
      <c r="R19" s="11">
        <f>IF(Landbrug!$E$47&gt;0,SUMIF(Landbrug!$B$32:$B$45,$B19,IF($R$4=År2,Landbrug!$D$32:$D$45,Landbrug!$E$32:$E$45)),'[1]Afgrødefordeling - jordtype'!$G17)*(Landbrug!$E$5)*Arealanvendelse!P$26</f>
        <v>46197.782659278731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10678.84093480608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2882.0476878671443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1408345.0571258361</v>
      </c>
      <c r="G20" s="38">
        <f t="shared" si="2"/>
        <v>46667.106633388263</v>
      </c>
      <c r="H20" s="38">
        <f t="shared" si="2"/>
        <v>30800.77484618243</v>
      </c>
      <c r="I20" s="38">
        <f t="shared" si="2"/>
        <v>1030542.2324069765</v>
      </c>
      <c r="J20" s="38">
        <f t="shared" si="2"/>
        <v>16855.522728429914</v>
      </c>
      <c r="K20" s="39">
        <f t="shared" si="2"/>
        <v>4549.0349190359657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376084.82165233017</v>
      </c>
      <c r="P20" s="38">
        <f t="shared" si="2"/>
        <v>12461.996004775927</v>
      </c>
      <c r="Q20" s="38">
        <f t="shared" si="2"/>
        <v>8225.0467356488771</v>
      </c>
      <c r="R20" s="38">
        <f t="shared" si="2"/>
        <v>652901.5298891993</v>
      </c>
      <c r="S20" s="38">
        <f t="shared" si="2"/>
        <v>10678.84093480608</v>
      </c>
      <c r="T20" s="39">
        <f t="shared" si="2"/>
        <v>2882.0476878671443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47" t="s">
        <v>7</v>
      </c>
      <c r="D22" s="448"/>
      <c r="E22" s="449"/>
      <c r="F22" s="450" t="s">
        <v>8</v>
      </c>
      <c r="G22" s="448"/>
      <c r="H22" s="449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9267413.626535669</v>
      </c>
      <c r="E24" s="23">
        <f>($F24+$C24)*Landbrug!E11*(1-Landbrug!E6)</f>
        <v>7365165.8833250785</v>
      </c>
      <c r="F24" s="34">
        <f>SUM([1]Dyrehold!E58:G61)</f>
        <v>475477</v>
      </c>
      <c r="G24" s="11">
        <f>($F24+$C24)*Landbrug!D11*Landbrug!D6</f>
        <v>1475029.3734643301</v>
      </c>
      <c r="H24" s="23">
        <f>($F24+$C24)*Landbrug!E11*Landbrug!E6</f>
        <v>3377277.1166749215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1047387.2944076648</v>
      </c>
      <c r="E25" s="23">
        <f>($F25+$C25)*Landbrug!E12*(1-Landbrug!E7)</f>
        <v>800812.88842738699</v>
      </c>
      <c r="F25" s="34">
        <f>SUM([1]Dyrehold!E36:G51)</f>
        <v>207835</v>
      </c>
      <c r="G25" s="11">
        <f>($F25+$C25)*Landbrug!D12*Landbrug!D7</f>
        <v>345076.7055923352</v>
      </c>
      <c r="H25" s="23">
        <f>($F25+$C25)*Landbrug!E12*Landbrug!E7</f>
        <v>591651.11157261301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16178843.958241226</v>
      </c>
      <c r="E26" s="24">
        <f>($F26+$C26)*Landbrug!E13*(1-Landbrug!E8)</f>
        <v>12411632.548340486</v>
      </c>
      <c r="F26" s="47">
        <f>SUM([1]Dyrehold!E65:G78)</f>
        <v>3062300</v>
      </c>
      <c r="G26" s="16">
        <f>($F26+$C26)*Landbrug!D13*Landbrug!D8</f>
        <v>5095490.041758772</v>
      </c>
      <c r="H26" s="24">
        <f>($F26+$C26)*Landbrug!E13*Landbrug!E8</f>
        <v>8862701.4516595136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4" t="s">
        <v>24</v>
      </c>
      <c r="B29" s="455"/>
      <c r="C29" s="455"/>
      <c r="D29" s="455"/>
      <c r="E29" s="455"/>
      <c r="F29" s="455"/>
      <c r="G29" s="455"/>
      <c r="H29" s="455"/>
      <c r="I29" s="455"/>
      <c r="J29" s="455"/>
      <c r="K29" s="455"/>
      <c r="L29" s="455"/>
      <c r="M29" s="455"/>
      <c r="N29" s="455"/>
      <c r="O29" s="455"/>
      <c r="P29" s="455"/>
      <c r="Q29" s="455"/>
      <c r="R29" s="455"/>
      <c r="S29" s="455"/>
      <c r="T29" s="455"/>
      <c r="U29" s="456"/>
    </row>
    <row r="30" spans="1:21" x14ac:dyDescent="0.25">
      <c r="A30" s="56"/>
      <c r="B30" s="53"/>
      <c r="C30" s="457" t="s">
        <v>7</v>
      </c>
      <c r="D30" s="458"/>
      <c r="E30" s="458"/>
      <c r="F30" s="458"/>
      <c r="G30" s="458"/>
      <c r="H30" s="458"/>
      <c r="I30" s="458"/>
      <c r="J30" s="458"/>
      <c r="K30" s="459"/>
      <c r="L30" s="457" t="s">
        <v>8</v>
      </c>
      <c r="M30" s="458"/>
      <c r="N30" s="458"/>
      <c r="O30" s="458"/>
      <c r="P30" s="458"/>
      <c r="Q30" s="458"/>
      <c r="R30" s="458"/>
      <c r="S30" s="458"/>
      <c r="T30" s="459"/>
      <c r="U30" s="53"/>
    </row>
    <row r="31" spans="1:21" ht="15.75" thickBot="1" x14ac:dyDescent="0.3">
      <c r="A31" s="56"/>
      <c r="B31" s="55"/>
      <c r="C31" s="170">
        <f>År1</f>
        <v>2019</v>
      </c>
      <c r="D31" s="170">
        <f>År1</f>
        <v>2019</v>
      </c>
      <c r="E31" s="170">
        <f>År1</f>
        <v>2019</v>
      </c>
      <c r="F31" s="171">
        <f>År2</f>
        <v>2030</v>
      </c>
      <c r="G31" s="171">
        <f>År2</f>
        <v>2030</v>
      </c>
      <c r="H31" s="171">
        <f>År2</f>
        <v>2030</v>
      </c>
      <c r="I31" s="171">
        <f>År3</f>
        <v>2050</v>
      </c>
      <c r="J31" s="171">
        <f>År3</f>
        <v>2050</v>
      </c>
      <c r="K31" s="171">
        <f>År3</f>
        <v>2050</v>
      </c>
      <c r="L31" s="170">
        <f>År1</f>
        <v>2019</v>
      </c>
      <c r="M31" s="170">
        <f>År1</f>
        <v>2019</v>
      </c>
      <c r="N31" s="170">
        <f>År1</f>
        <v>2019</v>
      </c>
      <c r="O31" s="171">
        <f>År2</f>
        <v>2030</v>
      </c>
      <c r="P31" s="171">
        <f>År2</f>
        <v>2030</v>
      </c>
      <c r="Q31" s="171">
        <f>År2</f>
        <v>2030</v>
      </c>
      <c r="R31" s="171">
        <f>År3</f>
        <v>2050</v>
      </c>
      <c r="S31" s="171">
        <f>År3</f>
        <v>2050</v>
      </c>
      <c r="T31" s="171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197128.99278150831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1341.9372857635426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429.87161527617815</v>
      </c>
      <c r="I33" s="11">
        <f>IF(Landbrug!$E$47&gt;0,SUMIF(Landbrug!$B$32:$B$45,$B33,IF($I$31=År2,Landbrug!$D$32:$D$45,Landbrug!$E$32:$E$45)),'[1]Afgrødefordeling - jordtype'!$P4)*(1-Landbrug!$E$5)*Arealanvendelse!P$36</f>
        <v>111565.86474931188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52641.376286033876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358.35127352593128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114.79302529344227</v>
      </c>
      <c r="R33" s="11">
        <f>IF(Landbrug!$E$47&gt;0,SUMIF(Landbrug!$B$32:$B$45,$B33,IF($R$31=År2,Landbrug!$D$32:$D$45,Landbrug!$E$32:$E$45)),'[1]Afgrødefordeling - jordtype'!$P4)*(Landbrug!$E$5)*Arealanvendelse!P$36</f>
        <v>70682.715843780199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13332.580044144219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36.288129269323399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7.8078860767998624</v>
      </c>
      <c r="I34" s="11">
        <f>IF(Landbrug!$E$47&gt;0,SUMIF(Landbrug!$B$32:$B$45,$B34,IF($I$31=År2,Landbrug!$D$32:$D$45,Landbrug!$E$32:$E$45)),'[1]Afgrødefordeling - jordtype'!$P5)*(1-Landbrug!$E$5)*Arealanvendelse!P$36</f>
        <v>10134.588787529272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3560.3355603067766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9.6903912541163457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2.0850198804742326</v>
      </c>
      <c r="R34" s="11">
        <f>IF(Landbrug!$E$47&gt;0,SUMIF(Landbrug!$B$32:$B$45,$B34,IF($R$31=År2,Landbrug!$D$32:$D$45,Landbrug!$E$32:$E$45)),'[1]Afgrødefordeling - jordtype'!$P5)*(Landbrug!$E$5)*Arealanvendelse!P$36</f>
        <v>6420.7834634017008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8608.2529598911933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146.5734228086215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38.13969650774699</v>
      </c>
      <c r="I35" s="11">
        <f>IF(Landbrug!$E$47&gt;0,SUMIF(Landbrug!$B$32:$B$45,$B35,IF($I$31=År2,Landbrug!$D$32:$D$45,Landbrug!$E$32:$E$45)),'[1]Afgrødefordeling - jordtype'!$P6)*(1-Landbrug!$E$5)*Arealanvendelse!P$36</f>
        <v>6543.4524779655058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2298.7500561586844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39.141004043745959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10.184834239602406</v>
      </c>
      <c r="R35" s="11">
        <f>IF(Landbrug!$E$47&gt;0,SUMIF(Landbrug!$B$32:$B$45,$B35,IF($R$31=År2,Landbrug!$D$32:$D$45,Landbrug!$E$32:$E$45)),'[1]Afgrødefordeling - jordtype'!$P6)*(Landbrug!$E$5)*Arealanvendelse!P$36</f>
        <v>4145.6138324797766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109720.26135503023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430.98727783808897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280.27283492976966</v>
      </c>
      <c r="I36" s="11">
        <f>IF(Landbrug!$E$47&gt;0,SUMIF(Landbrug!$B$32:$B$45,$B36,IF($I$31=År2,Landbrug!$D$32:$D$45,Landbrug!$E$32:$E$45)),'[1]Afgrødefordeling - jordtype'!$P7)*(1-Landbrug!$E$5)*Arealanvendelse!P$36</f>
        <v>128250.53216135269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29299.72645167357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115.09095210725641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74.844129004627362</v>
      </c>
      <c r="R36" s="11">
        <f>IF(Landbrug!$E$47&gt;0,SUMIF(Landbrug!$B$32:$B$45,$B36,IF($R$31=År2,Landbrug!$D$32:$D$45,Landbrug!$E$32:$E$45)),'[1]Afgrødefordeling - jordtype'!$P7)*(Landbrug!$E$5)*Arealanvendelse!P$36</f>
        <v>81253.311144441221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2240.7655015130053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8.1624322960479301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1.3191318198291107</v>
      </c>
      <c r="I37" s="11">
        <f>IF(Landbrug!$E$47&gt;0,SUMIF(Landbrug!$B$32:$B$45,$B37,IF($I$31=År2,Landbrug!$D$32:$D$45,Landbrug!$E$32:$E$45)),'[1]Afgrødefordeling - jordtype'!$P8)*(1-Landbrug!$E$5)*Arealanvendelse!P$36</f>
        <v>1703.2889997229152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598.37458848404606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2.1796979928862137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0.35226129611219092</v>
      </c>
      <c r="R37" s="11">
        <f>IF(Landbrug!$E$47&gt;0,SUMIF(Landbrug!$B$32:$B$45,$B37,IF($R$31=År2,Landbrug!$D$32:$D$45,Landbrug!$E$32:$E$45)),'[1]Afgrødefordeling - jordtype'!$P8)*(Landbrug!$E$5)*Arealanvendelse!P$36</f>
        <v>1079.1212225869831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9424.8678836548315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13.876881948726561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7.5188940108426783</v>
      </c>
      <c r="I38" s="11">
        <f>IF(Landbrug!$E$47&gt;0,SUMIF(Landbrug!$B$32:$B$45,$B38,IF($I$31=År2,Landbrug!$D$32:$D$45,Landbrug!$E$32:$E$45)),'[1]Afgrødefordeling - jordtype'!$P9)*(1-Landbrug!$E$5)*Arealanvendelse!P$36</f>
        <v>7164.1917814388025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2516.8191127498626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3.705686079111902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2.0078473658021165</v>
      </c>
      <c r="R38" s="11">
        <f>IF(Landbrug!$E$47&gt;0,SUMIF(Landbrug!$B$32:$B$45,$B38,IF($R$31=År2,Landbrug!$D$32:$D$45,Landbrug!$E$32:$E$45)),'[1]Afgrødefordeling - jordtype'!$P9)*(Landbrug!$E$5)*Arealanvendelse!P$36</f>
        <v>4538.8841208341701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5796.3294281580511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38.769088613871659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8.6586500553434007</v>
      </c>
      <c r="I39" s="11">
        <f>IF(Landbrug!$E$47&gt;0,SUMIF(Landbrug!$B$32:$B$45,$B39,IF($I$31=År2,Landbrug!$D$32:$D$45,Landbrug!$E$32:$E$45)),'[1]Afgrødefordeling - jordtype'!$P10)*(1-Landbrug!$E$5)*Arealanvendelse!P$36</f>
        <v>4406.0050670565552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1547.8532822600712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10.352907267432922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2.3122081093247311</v>
      </c>
      <c r="R39" s="11">
        <f>IF(Landbrug!$E$47&gt;0,SUMIF(Landbrug!$B$32:$B$45,$B39,IF($R$31=År2,Landbrug!$D$32:$D$45,Landbrug!$E$32:$E$45)),'[1]Afgrødefordeling - jordtype'!$P10)*(Landbrug!$E$5)*Arealanvendelse!P$36</f>
        <v>2791.4309171608429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18938.156511760622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41.333831193582235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8.8935376823073096</v>
      </c>
      <c r="I40" s="11">
        <f>IF(Landbrug!$E$47&gt;0,SUMIF(Landbrug!$B$32:$B$45,$B40,IF($I$31=År2,Landbrug!$D$32:$D$45,Landbrug!$E$32:$E$45)),'[1]Afgrødefordeling - jordtype'!$P11)*(1-Landbrug!$E$5)*Arealanvendelse!P$36</f>
        <v>7852.1429735586071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5057.2501235491054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11.037796777140914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2.3749325608702505</v>
      </c>
      <c r="R40" s="11">
        <f>IF(Landbrug!$E$47&gt;0,SUMIF(Landbrug!$B$32:$B$45,$B40,IF($R$31=År2,Landbrug!$D$32:$D$45,Landbrug!$E$32:$E$45)),'[1]Afgrødefordeling - jordtype'!$P11)*(Landbrug!$E$5)*Arealanvendelse!P$36</f>
        <v>4974.7365989757318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873.82004597102605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8.9165570688709668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3.227246687100445</v>
      </c>
      <c r="I41" s="11">
        <f>IF(Landbrug!$E$47&gt;0,SUMIF(Landbrug!$B$32:$B$45,$B41,IF($I$31=År2,Landbrug!$D$32:$D$45,Landbrug!$E$32:$E$45)),'[1]Afgrødefordeling - jordtype'!$P12)*(1-Landbrug!$E$5)*Arealanvendelse!P$36</f>
        <v>664.22303941882706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233.34512695057583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2.3810796637031362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0.86180477476394313</v>
      </c>
      <c r="R41" s="11">
        <f>IF(Landbrug!$E$47&gt;0,SUMIF(Landbrug!$B$32:$B$45,$B41,IF($R$31=År2,Landbrug!$D$32:$D$45,Landbrug!$E$32:$E$45)),'[1]Afgrødefordeling - jordtype'!$P12)*(Landbrug!$E$5)*Arealanvendelse!P$36</f>
        <v>420.81947249391567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12038.069409685235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63.668542106239137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23.044106598298601</v>
      </c>
      <c r="I42" s="11">
        <f>IF(Landbrug!$E$47&gt;0,SUMIF(Landbrug!$B$32:$B$45,$B42,IF($I$31=År2,Landbrug!$D$32:$D$45,Landbrug!$E$32:$E$45)),'[1]Afgrødefordeling - jordtype'!$P13)*(1-Landbrug!$E$5)*Arealanvendelse!P$36</f>
        <v>9150.5832223732941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3214.6491117874693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17.002063650335472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6.1537040772132681</v>
      </c>
      <c r="R42" s="11">
        <f>IF(Landbrug!$E$47&gt;0,SUMIF(Landbrug!$B$32:$B$45,$B42,IF($R$31=År2,Landbrug!$D$32:$D$45,Landbrug!$E$32:$E$45)),'[1]Afgrødefordeling - jordtype'!$P13)*(Landbrug!$E$5)*Arealanvendelse!P$36</f>
        <v>5797.3653067199793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17386.651186309547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462.23059641763115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215.65084033780454</v>
      </c>
      <c r="I43" s="11">
        <f>IF(Landbrug!$E$47&gt;0,SUMIF(Landbrug!$B$32:$B$45,$B43,IF($I$31=År2,Landbrug!$D$32:$D$45,Landbrug!$E$32:$E$45)),'[1]Afgrødefordeling - jordtype'!$P14)*(1-Landbrug!$E$5)*Arealanvendelse!P$36</f>
        <v>13216.238686138369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4642.9357474929175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123.4341758338294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57.587455160409412</v>
      </c>
      <c r="R43" s="11">
        <f>IF(Landbrug!$E$47&gt;0,SUMIF(Landbrug!$B$32:$B$45,$B43,IF($R$31=År2,Landbrug!$D$32:$D$45,Landbrug!$E$32:$E$45)),'[1]Afgrødefordeling - jordtype'!$P14)*(Landbrug!$E$5)*Arealanvendelse!P$36</f>
        <v>8373.167237801159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3265.5127724866597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13.972194186037328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5.0570771935991958</v>
      </c>
      <c r="I44" s="11">
        <f>IF(Landbrug!$E$47&gt;0,SUMIF(Landbrug!$B$32:$B$45,$B44,IF($I$31=År2,Landbrug!$D$32:$D$45,Landbrug!$E$32:$E$45)),'[1]Afgrødefordeling - jordtype'!$P15)*(1-Landbrug!$E$5)*Arealanvendelse!P$36</f>
        <v>2482.237422914432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872.02335992174335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3.7311382831644075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1.3504431778375496</v>
      </c>
      <c r="R44" s="11">
        <f>IF(Landbrug!$E$47&gt;0,SUMIF(Landbrug!$B$32:$B$45,$B44,IF($R$31=År2,Landbrug!$D$32:$D$45,Landbrug!$E$32:$E$45)),'[1]Afgrødefordeling - jordtype'!$P15)*(Landbrug!$E$5)*Arealanvendelse!P$36</f>
        <v>1572.6251287963075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1255.7329808324243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29.654214536198896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15.426205639594636</v>
      </c>
      <c r="I45" s="11">
        <f>IF(Landbrug!$E$47&gt;0,SUMIF(Landbrug!$B$32:$B$45,$B45,IF($I$31=År2,Landbrug!$D$32:$D$45,Landbrug!$E$32:$E$45)),'[1]Afgrødefordeling - jordtype'!$P16)*(1-Landbrug!$E$5)*Arealanvendelse!P$36</f>
        <v>954.52923181695155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335.33125404871168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7.9188689793440421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4.1194178709151004</v>
      </c>
      <c r="R45" s="11">
        <f>IF(Landbrug!$E$47&gt;0,SUMIF(Landbrug!$B$32:$B$45,$B45,IF($R$31=År2,Landbrug!$D$32:$D$45,Landbrug!$E$32:$E$45)),'[1]Afgrødefordeling - jordtype'!$P16)*(Landbrug!$E$5)*Arealanvendelse!P$36</f>
        <v>604.74338283220732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30461.524235198161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2393.3808440301391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2274.800349586566</v>
      </c>
      <c r="I46" s="11">
        <f>IF(Landbrug!$E$47&gt;0,SUMIF(Landbrug!$B$32:$B$45,$B46,IF($I$31=År2,Landbrug!$D$32:$D$45,Landbrug!$E$32:$E$45)),'[1]Afgrødefordeling - jordtype'!$P17)*(1-Landbrug!$E$5)*Arealanvendelse!P$36</f>
        <v>23154.934824537635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1816.6776009727953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490.292112360109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8134.4531663514217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639.12902830087648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607.46326295550796</v>
      </c>
      <c r="R46" s="11">
        <f>IF(Landbrug!$E$47&gt;0,SUMIF(Landbrug!$B$32:$B$45,$B46,IF($R$31=År2,Landbrug!$D$32:$D$45,Landbrug!$E$32:$E$45)),'[1]Afgrødefordeling - jordtype'!$P17)*(Landbrug!$E$5)*Arealanvendelse!P$36</f>
        <v>14669.842628492142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1150.9587357912035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310.62528073677737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430471.51709614345</v>
      </c>
      <c r="G47" s="38">
        <f t="shared" si="3"/>
        <v>5029.7512980769225</v>
      </c>
      <c r="H47" s="38">
        <f t="shared" si="3"/>
        <v>3319.6880724017806</v>
      </c>
      <c r="I47" s="38">
        <f t="shared" si="3"/>
        <v>327242.81342513574</v>
      </c>
      <c r="J47" s="38">
        <f t="shared" si="3"/>
        <v>1816.6776009727953</v>
      </c>
      <c r="K47" s="39">
        <f t="shared" si="3"/>
        <v>490.292112360109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114953.22322776882</v>
      </c>
      <c r="P47" s="38">
        <f t="shared" si="3"/>
        <v>1343.146063758875</v>
      </c>
      <c r="Q47" s="38">
        <f t="shared" si="3"/>
        <v>886.49034576690292</v>
      </c>
      <c r="R47" s="38">
        <f t="shared" si="3"/>
        <v>207325.16030079636</v>
      </c>
      <c r="S47" s="38">
        <f t="shared" si="3"/>
        <v>1150.9587357912035</v>
      </c>
      <c r="T47" s="39">
        <f t="shared" si="3"/>
        <v>310.62528073677737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47" t="s">
        <v>7</v>
      </c>
      <c r="D49" s="448"/>
      <c r="E49" s="449"/>
      <c r="F49" s="450" t="s">
        <v>8</v>
      </c>
      <c r="G49" s="448"/>
      <c r="H49" s="449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1503412.0023410614</v>
      </c>
      <c r="E51" s="23">
        <f>SUM([1]Dyrehold!$E$22:$E$23)-H51</f>
        <v>1434884.7338702637</v>
      </c>
      <c r="F51" s="50">
        <f>SUM([1]Dyrehold!C58:D61)</f>
        <v>15447</v>
      </c>
      <c r="G51" s="11">
        <f>$F51/Landbrug!$C6*Landbrug!D6</f>
        <v>53136.997658938686</v>
      </c>
      <c r="H51" s="23">
        <f>$F51/Landbrug!$C6*Landbrug!E6</f>
        <v>121664.26612973634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71763.61559548488</v>
      </c>
      <c r="E52" s="23">
        <f>SUM([1]Dyrehold!$D$22:$D$23)-H52</f>
        <v>52324.734860002864</v>
      </c>
      <c r="F52" s="50">
        <f>SUM([1]Dyrehold!C36:D51)</f>
        <v>16513</v>
      </c>
      <c r="G52" s="11">
        <f>$F52/Landbrug!$C7*Landbrug!D7</f>
        <v>27204.384404515113</v>
      </c>
      <c r="H52" s="23">
        <f>$F52/Landbrug!$C7*Landbrug!E7</f>
        <v>46643.265139997136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1423233.2884913548</v>
      </c>
      <c r="E53" s="24">
        <f>SUM([1]Dyrehold!$F$22:$F$23)-H53</f>
        <v>1155366.5402938179</v>
      </c>
      <c r="F53" s="51">
        <f>SUM([1]Dyrehold!C65:D78)</f>
        <v>214987</v>
      </c>
      <c r="G53" s="16">
        <f>$F53/Landbrug!$C8*Landbrug!D8</f>
        <v>362313.71150864527</v>
      </c>
      <c r="H53" s="24">
        <f>$F53/Landbrug!$C8*Landbrug!E8</f>
        <v>630180.45970618213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N37"/>
  <sheetViews>
    <sheetView topLeftCell="A2" workbookViewId="0">
      <selection activeCell="Q100" sqref="Q10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5703125" bestFit="1" customWidth="1"/>
    <col min="33" max="33" width="12.28515625" bestFit="1" customWidth="1"/>
    <col min="34" max="34" width="8.85546875" bestFit="1" customWidth="1"/>
    <col min="35" max="35" width="9.28515625" bestFit="1" customWidth="1"/>
    <col min="36" max="36" width="8.5703125" bestFit="1" customWidth="1"/>
    <col min="37" max="37" width="11" bestFit="1" customWidth="1"/>
    <col min="38" max="38" width="13.28515625" bestFit="1" customWidth="1"/>
    <col min="39" max="39" width="13.85546875" bestFit="1" customWidth="1"/>
    <col min="40" max="40" width="11.28515625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40" x14ac:dyDescent="0.25">
      <c r="A3" s="77" t="s">
        <v>174</v>
      </c>
      <c r="B3" s="77" t="s">
        <v>62</v>
      </c>
    </row>
    <row r="4" spans="1:40" x14ac:dyDescent="0.25">
      <c r="A4" s="77" t="s">
        <v>60</v>
      </c>
      <c r="B4" s="169" t="s">
        <v>15</v>
      </c>
      <c r="C4" s="169" t="s">
        <v>49</v>
      </c>
      <c r="D4" s="169" t="s">
        <v>102</v>
      </c>
      <c r="E4" s="169" t="s">
        <v>101</v>
      </c>
      <c r="F4" s="169" t="s">
        <v>19</v>
      </c>
      <c r="G4" s="169" t="s">
        <v>137</v>
      </c>
      <c r="H4" s="169" t="s">
        <v>96</v>
      </c>
      <c r="I4" s="169" t="s">
        <v>54</v>
      </c>
      <c r="J4" s="169" t="s">
        <v>158</v>
      </c>
      <c r="K4" s="169" t="s">
        <v>51</v>
      </c>
      <c r="L4" s="169" t="s">
        <v>6</v>
      </c>
      <c r="M4" s="169" t="s">
        <v>67</v>
      </c>
      <c r="N4" s="169" t="s">
        <v>162</v>
      </c>
      <c r="O4" s="169" t="s">
        <v>159</v>
      </c>
      <c r="P4" s="169" t="s">
        <v>103</v>
      </c>
      <c r="Q4" s="169" t="s">
        <v>12</v>
      </c>
      <c r="R4" s="169" t="s">
        <v>48</v>
      </c>
      <c r="S4" s="169" t="s">
        <v>136</v>
      </c>
      <c r="T4" s="169" t="s">
        <v>108</v>
      </c>
      <c r="U4" s="169" t="s">
        <v>53</v>
      </c>
      <c r="V4" s="169" t="s">
        <v>116</v>
      </c>
      <c r="W4" s="169" t="s">
        <v>14</v>
      </c>
      <c r="X4" s="169" t="s">
        <v>50</v>
      </c>
      <c r="Y4" s="169" t="s">
        <v>52</v>
      </c>
      <c r="Z4" s="169" t="s">
        <v>107</v>
      </c>
      <c r="AA4" s="169" t="s">
        <v>140</v>
      </c>
      <c r="AB4" s="169" t="s">
        <v>135</v>
      </c>
      <c r="AC4" s="169" t="s">
        <v>13</v>
      </c>
      <c r="AD4" s="169" t="s">
        <v>95</v>
      </c>
      <c r="AE4" s="169" t="s">
        <v>119</v>
      </c>
      <c r="AF4" s="169" t="s">
        <v>204</v>
      </c>
      <c r="AG4" s="169" t="s">
        <v>203</v>
      </c>
      <c r="AH4" s="169" t="s">
        <v>208</v>
      </c>
      <c r="AI4" s="169" t="s">
        <v>238</v>
      </c>
      <c r="AJ4" s="169" t="s">
        <v>231</v>
      </c>
      <c r="AK4" s="169" t="s">
        <v>110</v>
      </c>
      <c r="AL4" s="169" t="s">
        <v>115</v>
      </c>
      <c r="AM4" s="169" t="s">
        <v>118</v>
      </c>
      <c r="AN4" s="169" t="s">
        <v>61</v>
      </c>
    </row>
    <row r="5" spans="1:40" x14ac:dyDescent="0.25">
      <c r="A5" s="78" t="s">
        <v>109</v>
      </c>
      <c r="B5" s="238"/>
      <c r="C5" s="238"/>
      <c r="D5" s="238">
        <v>1462906</v>
      </c>
      <c r="E5" s="238">
        <v>4359766.1548592066</v>
      </c>
      <c r="F5" s="238"/>
      <c r="G5" s="238">
        <v>14699.009279267571</v>
      </c>
      <c r="H5" s="238"/>
      <c r="I5" s="238"/>
      <c r="J5" s="238">
        <v>428226</v>
      </c>
      <c r="K5" s="238">
        <v>257031</v>
      </c>
      <c r="L5" s="238"/>
      <c r="M5" s="238">
        <v>227802</v>
      </c>
      <c r="N5" s="238">
        <v>234</v>
      </c>
      <c r="O5" s="238"/>
      <c r="P5" s="238">
        <v>2423468</v>
      </c>
      <c r="Q5" s="238"/>
      <c r="R5" s="238">
        <v>11357.999999999998</v>
      </c>
      <c r="S5" s="238">
        <v>23832069.863980211</v>
      </c>
      <c r="T5" s="238"/>
      <c r="U5" s="238">
        <v>990078</v>
      </c>
      <c r="V5" s="238"/>
      <c r="W5" s="238"/>
      <c r="X5" s="238"/>
      <c r="Y5" s="238">
        <v>85935.000000000015</v>
      </c>
      <c r="Z5" s="238"/>
      <c r="AA5" s="238">
        <v>8328213.2398871668</v>
      </c>
      <c r="AB5" s="238">
        <v>18006633.512452923</v>
      </c>
      <c r="AC5" s="238"/>
      <c r="AD5" s="238"/>
      <c r="AE5" s="238"/>
      <c r="AF5" s="238"/>
      <c r="AG5" s="238"/>
      <c r="AH5" s="238">
        <v>629893.28757860046</v>
      </c>
      <c r="AI5" s="238"/>
      <c r="AJ5" s="238"/>
      <c r="AK5" s="238"/>
      <c r="AL5" s="238"/>
      <c r="AM5" s="238"/>
      <c r="AN5" s="238">
        <v>61058313.068037376</v>
      </c>
    </row>
    <row r="6" spans="1:40" x14ac:dyDescent="0.25">
      <c r="A6" s="79">
        <v>2019</v>
      </c>
      <c r="B6" s="238"/>
      <c r="C6" s="238"/>
      <c r="D6" s="238">
        <v>729134</v>
      </c>
      <c r="E6" s="238">
        <v>757087.00000000012</v>
      </c>
      <c r="F6" s="238"/>
      <c r="G6" s="238">
        <v>4441.5</v>
      </c>
      <c r="H6" s="238"/>
      <c r="I6" s="238"/>
      <c r="J6" s="238">
        <v>142742</v>
      </c>
      <c r="K6" s="238">
        <v>85676.999999999985</v>
      </c>
      <c r="L6" s="238"/>
      <c r="M6" s="238">
        <v>75934</v>
      </c>
      <c r="N6" s="238">
        <v>78</v>
      </c>
      <c r="O6" s="238"/>
      <c r="P6" s="238">
        <v>995654</v>
      </c>
      <c r="Q6" s="238"/>
      <c r="R6" s="238">
        <v>3785.9999999999991</v>
      </c>
      <c r="S6" s="238">
        <v>4353509.666666667</v>
      </c>
      <c r="T6" s="238"/>
      <c r="U6" s="238">
        <v>330026</v>
      </c>
      <c r="V6" s="238"/>
      <c r="W6" s="238"/>
      <c r="X6" s="238"/>
      <c r="Y6" s="238">
        <v>28645.000000000004</v>
      </c>
      <c r="Z6" s="238"/>
      <c r="AA6" s="238">
        <v>2668834</v>
      </c>
      <c r="AB6" s="238">
        <v>2914869.3333333335</v>
      </c>
      <c r="AC6" s="238"/>
      <c r="AD6" s="238"/>
      <c r="AE6" s="238"/>
      <c r="AF6" s="238"/>
      <c r="AG6" s="238"/>
      <c r="AH6" s="238">
        <v>0</v>
      </c>
      <c r="AI6" s="238"/>
      <c r="AJ6" s="238"/>
      <c r="AK6" s="238"/>
      <c r="AL6" s="238"/>
      <c r="AM6" s="238"/>
      <c r="AN6" s="238">
        <v>13090417.500000002</v>
      </c>
    </row>
    <row r="7" spans="1:40" x14ac:dyDescent="0.25">
      <c r="A7" s="79">
        <v>2030</v>
      </c>
      <c r="B7" s="238"/>
      <c r="C7" s="238"/>
      <c r="D7" s="238">
        <v>363995</v>
      </c>
      <c r="E7" s="238">
        <v>1641908.826272649</v>
      </c>
      <c r="F7" s="238"/>
      <c r="G7" s="238">
        <v>4801.4905255224585</v>
      </c>
      <c r="H7" s="238"/>
      <c r="I7" s="238"/>
      <c r="J7" s="238">
        <v>142742</v>
      </c>
      <c r="K7" s="238">
        <v>85677.000000000015</v>
      </c>
      <c r="L7" s="238"/>
      <c r="M7" s="238">
        <v>75934.000000000015</v>
      </c>
      <c r="N7" s="238">
        <v>78</v>
      </c>
      <c r="O7" s="238"/>
      <c r="P7" s="238">
        <v>720407</v>
      </c>
      <c r="Q7" s="238"/>
      <c r="R7" s="238">
        <v>3785.9999999999995</v>
      </c>
      <c r="S7" s="238">
        <v>10186289.575486882</v>
      </c>
      <c r="T7" s="238"/>
      <c r="U7" s="238">
        <v>330026</v>
      </c>
      <c r="V7" s="238"/>
      <c r="W7" s="238"/>
      <c r="X7" s="238"/>
      <c r="Y7" s="238">
        <v>28645.000000000007</v>
      </c>
      <c r="Z7" s="238"/>
      <c r="AA7" s="238">
        <v>2773589.7536241808</v>
      </c>
      <c r="AB7" s="238">
        <v>8408895.3802456073</v>
      </c>
      <c r="AC7" s="238"/>
      <c r="AD7" s="238"/>
      <c r="AE7" s="238"/>
      <c r="AF7" s="238"/>
      <c r="AG7" s="238"/>
      <c r="AH7" s="238">
        <v>80512.675855911337</v>
      </c>
      <c r="AI7" s="238"/>
      <c r="AJ7" s="238"/>
      <c r="AK7" s="238"/>
      <c r="AL7" s="238"/>
      <c r="AM7" s="238"/>
      <c r="AN7" s="238">
        <v>24847287.702010751</v>
      </c>
    </row>
    <row r="8" spans="1:40" x14ac:dyDescent="0.25">
      <c r="A8" s="79">
        <v>2050</v>
      </c>
      <c r="B8" s="238"/>
      <c r="C8" s="238"/>
      <c r="D8" s="238">
        <v>369777</v>
      </c>
      <c r="E8" s="238">
        <v>1960770.3285865572</v>
      </c>
      <c r="F8" s="238"/>
      <c r="G8" s="238">
        <v>5456.0187537451129</v>
      </c>
      <c r="H8" s="238"/>
      <c r="I8" s="238"/>
      <c r="J8" s="238">
        <v>142742</v>
      </c>
      <c r="K8" s="238">
        <v>85677</v>
      </c>
      <c r="L8" s="238"/>
      <c r="M8" s="238">
        <v>75934</v>
      </c>
      <c r="N8" s="238">
        <v>78</v>
      </c>
      <c r="O8" s="238"/>
      <c r="P8" s="238">
        <v>707407</v>
      </c>
      <c r="Q8" s="238"/>
      <c r="R8" s="238">
        <v>3786</v>
      </c>
      <c r="S8" s="238">
        <v>9292270.6218266636</v>
      </c>
      <c r="T8" s="238"/>
      <c r="U8" s="238">
        <v>330026</v>
      </c>
      <c r="V8" s="238"/>
      <c r="W8" s="238"/>
      <c r="X8" s="238"/>
      <c r="Y8" s="238">
        <v>28645</v>
      </c>
      <c r="Z8" s="238"/>
      <c r="AA8" s="238">
        <v>2885789.4862629864</v>
      </c>
      <c r="AB8" s="238">
        <v>6682868.7988739815</v>
      </c>
      <c r="AC8" s="238"/>
      <c r="AD8" s="238"/>
      <c r="AE8" s="238"/>
      <c r="AF8" s="238"/>
      <c r="AG8" s="238"/>
      <c r="AH8" s="238">
        <v>549380.61172268912</v>
      </c>
      <c r="AI8" s="238"/>
      <c r="AJ8" s="238"/>
      <c r="AK8" s="238"/>
      <c r="AL8" s="238"/>
      <c r="AM8" s="238"/>
      <c r="AN8" s="238">
        <v>23120607.866026621</v>
      </c>
    </row>
    <row r="9" spans="1:40" x14ac:dyDescent="0.25">
      <c r="A9" s="78" t="s">
        <v>112</v>
      </c>
      <c r="B9" s="238"/>
      <c r="C9" s="238">
        <v>209511.71619619365</v>
      </c>
      <c r="D9" s="238"/>
      <c r="E9" s="238"/>
      <c r="F9" s="238"/>
      <c r="G9" s="238"/>
      <c r="H9" s="238"/>
      <c r="I9" s="238"/>
      <c r="J9" s="238"/>
      <c r="K9" s="238">
        <v>41244890.863743842</v>
      </c>
      <c r="L9" s="238"/>
      <c r="M9" s="238">
        <v>2587381.5679163407</v>
      </c>
      <c r="N9" s="238"/>
      <c r="O9" s="238">
        <v>16252009.860477313</v>
      </c>
      <c r="P9" s="238"/>
      <c r="Q9" s="238">
        <v>0</v>
      </c>
      <c r="R9" s="238">
        <v>17493692.8427938</v>
      </c>
      <c r="S9" s="238"/>
      <c r="T9" s="238">
        <v>5093508.3226583023</v>
      </c>
      <c r="U9" s="238">
        <v>12574255.997817094</v>
      </c>
      <c r="V9" s="238"/>
      <c r="W9" s="238"/>
      <c r="X9" s="238"/>
      <c r="Y9" s="238">
        <v>2894924.5536562409</v>
      </c>
      <c r="Z9" s="238">
        <v>130666.08500411626</v>
      </c>
      <c r="AA9" s="238"/>
      <c r="AB9" s="238"/>
      <c r="AC9" s="238"/>
      <c r="AD9" s="238"/>
      <c r="AE9" s="238"/>
      <c r="AF9" s="238">
        <v>2496157.0190117648</v>
      </c>
      <c r="AG9" s="238">
        <v>1215174.6215279999</v>
      </c>
      <c r="AH9" s="238"/>
      <c r="AI9" s="238">
        <v>417124.43603570113</v>
      </c>
      <c r="AJ9" s="238"/>
      <c r="AK9" s="238"/>
      <c r="AL9" s="238"/>
      <c r="AM9" s="238"/>
      <c r="AN9" s="238">
        <v>102609297.8868387</v>
      </c>
    </row>
    <row r="10" spans="1:40" x14ac:dyDescent="0.25">
      <c r="A10" s="79">
        <v>2019</v>
      </c>
      <c r="B10" s="238"/>
      <c r="C10" s="238">
        <v>72415.092228932088</v>
      </c>
      <c r="D10" s="238"/>
      <c r="E10" s="238"/>
      <c r="F10" s="238"/>
      <c r="G10" s="238"/>
      <c r="H10" s="238"/>
      <c r="I10" s="238"/>
      <c r="J10" s="238"/>
      <c r="K10" s="238">
        <v>13739757.985270014</v>
      </c>
      <c r="L10" s="238"/>
      <c r="M10" s="238">
        <v>867975.34157733875</v>
      </c>
      <c r="N10" s="238"/>
      <c r="O10" s="238">
        <v>5421074.2654714445</v>
      </c>
      <c r="P10" s="238"/>
      <c r="Q10" s="238">
        <v>0</v>
      </c>
      <c r="R10" s="238">
        <v>6600836.8097011279</v>
      </c>
      <c r="S10" s="238"/>
      <c r="T10" s="238">
        <v>1701754.6673799041</v>
      </c>
      <c r="U10" s="238">
        <v>6351407.0475792512</v>
      </c>
      <c r="V10" s="238"/>
      <c r="W10" s="238"/>
      <c r="X10" s="238"/>
      <c r="Y10" s="238">
        <v>944413.49448565592</v>
      </c>
      <c r="Z10" s="238">
        <v>44253.667473236274</v>
      </c>
      <c r="AA10" s="238"/>
      <c r="AB10" s="238"/>
      <c r="AC10" s="238"/>
      <c r="AD10" s="238"/>
      <c r="AE10" s="238"/>
      <c r="AF10" s="238">
        <v>0</v>
      </c>
      <c r="AG10" s="238">
        <v>0</v>
      </c>
      <c r="AH10" s="238"/>
      <c r="AI10" s="238">
        <v>240377.87559326066</v>
      </c>
      <c r="AJ10" s="238"/>
      <c r="AK10" s="238"/>
      <c r="AL10" s="238"/>
      <c r="AM10" s="238"/>
      <c r="AN10" s="238">
        <v>35984266.24676016</v>
      </c>
    </row>
    <row r="11" spans="1:40" x14ac:dyDescent="0.25">
      <c r="A11" s="79">
        <v>2030</v>
      </c>
      <c r="B11" s="238"/>
      <c r="C11" s="238">
        <v>68548.311983630774</v>
      </c>
      <c r="D11" s="238"/>
      <c r="E11" s="238"/>
      <c r="F11" s="238"/>
      <c r="G11" s="238"/>
      <c r="H11" s="238"/>
      <c r="I11" s="238"/>
      <c r="J11" s="238"/>
      <c r="K11" s="238">
        <v>13752566.439236915</v>
      </c>
      <c r="L11" s="238"/>
      <c r="M11" s="238">
        <v>859703.11316950095</v>
      </c>
      <c r="N11" s="238"/>
      <c r="O11" s="238">
        <v>5415467.797502934</v>
      </c>
      <c r="P11" s="238"/>
      <c r="Q11" s="238">
        <v>0</v>
      </c>
      <c r="R11" s="238">
        <v>6271644.38268972</v>
      </c>
      <c r="S11" s="238"/>
      <c r="T11" s="238">
        <v>1695876.8276391989</v>
      </c>
      <c r="U11" s="238">
        <v>4484936.1803515982</v>
      </c>
      <c r="V11" s="238"/>
      <c r="W11" s="238"/>
      <c r="X11" s="238"/>
      <c r="Y11" s="238">
        <v>975255.52958529233</v>
      </c>
      <c r="Z11" s="238">
        <v>43206.208765439995</v>
      </c>
      <c r="AA11" s="238"/>
      <c r="AB11" s="238"/>
      <c r="AC11" s="238"/>
      <c r="AD11" s="238"/>
      <c r="AE11" s="238"/>
      <c r="AF11" s="238">
        <v>576036.23515656102</v>
      </c>
      <c r="AG11" s="238">
        <v>275439.58087967994</v>
      </c>
      <c r="AH11" s="238"/>
      <c r="AI11" s="238">
        <v>103102.16025809028</v>
      </c>
      <c r="AJ11" s="238"/>
      <c r="AK11" s="238"/>
      <c r="AL11" s="238"/>
      <c r="AM11" s="238"/>
      <c r="AN11" s="238">
        <v>34521782.767218567</v>
      </c>
    </row>
    <row r="12" spans="1:40" x14ac:dyDescent="0.25">
      <c r="A12" s="79">
        <v>2050</v>
      </c>
      <c r="B12" s="238"/>
      <c r="C12" s="238">
        <v>68548.311983630774</v>
      </c>
      <c r="D12" s="238"/>
      <c r="E12" s="238"/>
      <c r="F12" s="238"/>
      <c r="G12" s="238"/>
      <c r="H12" s="238"/>
      <c r="I12" s="238"/>
      <c r="J12" s="238"/>
      <c r="K12" s="238">
        <v>13752566.439236915</v>
      </c>
      <c r="L12" s="238"/>
      <c r="M12" s="238">
        <v>859703.11316950095</v>
      </c>
      <c r="N12" s="238"/>
      <c r="O12" s="238">
        <v>5415467.7975029349</v>
      </c>
      <c r="P12" s="238"/>
      <c r="Q12" s="238">
        <v>0</v>
      </c>
      <c r="R12" s="238">
        <v>4621211.650402952</v>
      </c>
      <c r="S12" s="238"/>
      <c r="T12" s="238">
        <v>1695876.8276391989</v>
      </c>
      <c r="U12" s="238">
        <v>1737912.7698862443</v>
      </c>
      <c r="V12" s="238"/>
      <c r="W12" s="238"/>
      <c r="X12" s="238"/>
      <c r="Y12" s="238">
        <v>975255.52958529233</v>
      </c>
      <c r="Z12" s="238">
        <v>43206.208765439995</v>
      </c>
      <c r="AA12" s="238"/>
      <c r="AB12" s="238"/>
      <c r="AC12" s="238"/>
      <c r="AD12" s="238"/>
      <c r="AE12" s="238"/>
      <c r="AF12" s="238">
        <v>1920120.7838552035</v>
      </c>
      <c r="AG12" s="238">
        <v>939735.04064831987</v>
      </c>
      <c r="AH12" s="238"/>
      <c r="AI12" s="238">
        <v>73644.400184350205</v>
      </c>
      <c r="AJ12" s="238"/>
      <c r="AK12" s="238"/>
      <c r="AL12" s="238"/>
      <c r="AM12" s="238"/>
      <c r="AN12" s="238">
        <v>32103248.872859981</v>
      </c>
    </row>
    <row r="13" spans="1:40" x14ac:dyDescent="0.25">
      <c r="A13" s="78" t="s">
        <v>127</v>
      </c>
      <c r="B13" s="238">
        <v>182574.19618217932</v>
      </c>
      <c r="C13" s="238">
        <v>0</v>
      </c>
      <c r="D13" s="238"/>
      <c r="E13" s="238"/>
      <c r="F13" s="238">
        <v>281468.55244752642</v>
      </c>
      <c r="G13" s="238"/>
      <c r="H13" s="238">
        <v>197788.71253069426</v>
      </c>
      <c r="I13" s="238">
        <v>1445379.0531089196</v>
      </c>
      <c r="J13" s="238"/>
      <c r="K13" s="238"/>
      <c r="L13" s="238">
        <v>1513844.376677237</v>
      </c>
      <c r="M13" s="238"/>
      <c r="N13" s="238"/>
      <c r="O13" s="238"/>
      <c r="P13" s="238"/>
      <c r="Q13" s="238">
        <v>692260.49385742994</v>
      </c>
      <c r="R13" s="238">
        <v>1658382.281988129</v>
      </c>
      <c r="S13" s="238"/>
      <c r="T13" s="238"/>
      <c r="U13" s="238"/>
      <c r="V13" s="238">
        <v>2647325.8446415998</v>
      </c>
      <c r="W13" s="238">
        <v>336392.95646566537</v>
      </c>
      <c r="X13" s="238"/>
      <c r="Y13" s="238"/>
      <c r="Z13" s="238"/>
      <c r="AA13" s="238"/>
      <c r="AB13" s="238"/>
      <c r="AC13" s="238">
        <v>682979.63888483576</v>
      </c>
      <c r="AD13" s="238"/>
      <c r="AE13" s="238"/>
      <c r="AF13" s="238"/>
      <c r="AG13" s="238"/>
      <c r="AH13" s="238"/>
      <c r="AI13" s="238"/>
      <c r="AJ13" s="238"/>
      <c r="AK13" s="238"/>
      <c r="AL13" s="238"/>
      <c r="AM13" s="238"/>
      <c r="AN13" s="238">
        <v>9638396.1067842171</v>
      </c>
    </row>
    <row r="14" spans="1:40" x14ac:dyDescent="0.25">
      <c r="A14" s="79">
        <v>2019</v>
      </c>
      <c r="B14" s="238">
        <v>58403.100598004137</v>
      </c>
      <c r="C14" s="238">
        <v>0</v>
      </c>
      <c r="D14" s="238"/>
      <c r="E14" s="238"/>
      <c r="F14" s="238">
        <v>90038.113421923044</v>
      </c>
      <c r="G14" s="238"/>
      <c r="H14" s="238">
        <v>63270.025647837821</v>
      </c>
      <c r="I14" s="238">
        <v>462357.87973419944</v>
      </c>
      <c r="J14" s="238"/>
      <c r="K14" s="238"/>
      <c r="L14" s="238">
        <v>484259.042458451</v>
      </c>
      <c r="M14" s="238"/>
      <c r="N14" s="238"/>
      <c r="O14" s="238"/>
      <c r="P14" s="238"/>
      <c r="Q14" s="238">
        <v>221445.08976743236</v>
      </c>
      <c r="R14" s="238">
        <v>530494.83043187088</v>
      </c>
      <c r="S14" s="238"/>
      <c r="T14" s="238"/>
      <c r="U14" s="238"/>
      <c r="V14" s="238">
        <v>846844.95867106004</v>
      </c>
      <c r="W14" s="238">
        <v>107607.71285182264</v>
      </c>
      <c r="X14" s="238"/>
      <c r="Y14" s="238"/>
      <c r="Z14" s="238"/>
      <c r="AA14" s="238"/>
      <c r="AB14" s="238"/>
      <c r="AC14" s="238">
        <v>218476.26548703379</v>
      </c>
      <c r="AD14" s="238"/>
      <c r="AE14" s="238"/>
      <c r="AF14" s="238"/>
      <c r="AG14" s="238"/>
      <c r="AH14" s="238"/>
      <c r="AI14" s="238"/>
      <c r="AJ14" s="238"/>
      <c r="AK14" s="238"/>
      <c r="AL14" s="238"/>
      <c r="AM14" s="238"/>
      <c r="AN14" s="238">
        <v>3083197.0190696353</v>
      </c>
    </row>
    <row r="15" spans="1:40" x14ac:dyDescent="0.25">
      <c r="A15" s="79">
        <v>2030</v>
      </c>
      <c r="B15" s="238">
        <v>60789.12467762841</v>
      </c>
      <c r="C15" s="238">
        <v>0</v>
      </c>
      <c r="D15" s="238"/>
      <c r="E15" s="238"/>
      <c r="F15" s="238">
        <v>93716.56721134379</v>
      </c>
      <c r="G15" s="238"/>
      <c r="H15" s="238">
        <v>65854.885067430776</v>
      </c>
      <c r="I15" s="238">
        <v>481247.23703122488</v>
      </c>
      <c r="J15" s="238"/>
      <c r="K15" s="238"/>
      <c r="L15" s="238">
        <v>504043.1587853356</v>
      </c>
      <c r="M15" s="238"/>
      <c r="N15" s="238"/>
      <c r="O15" s="238"/>
      <c r="P15" s="238"/>
      <c r="Q15" s="238">
        <v>230492.09773600774</v>
      </c>
      <c r="R15" s="238">
        <v>552167.88248845807</v>
      </c>
      <c r="S15" s="238"/>
      <c r="T15" s="238"/>
      <c r="U15" s="238"/>
      <c r="V15" s="238">
        <v>881442.3078256119</v>
      </c>
      <c r="W15" s="238">
        <v>112003.96221853035</v>
      </c>
      <c r="X15" s="238"/>
      <c r="Y15" s="238"/>
      <c r="Z15" s="238"/>
      <c r="AA15" s="238"/>
      <c r="AB15" s="238"/>
      <c r="AC15" s="238">
        <v>227401.98389822827</v>
      </c>
      <c r="AD15" s="238"/>
      <c r="AE15" s="238"/>
      <c r="AF15" s="238"/>
      <c r="AG15" s="238"/>
      <c r="AH15" s="238"/>
      <c r="AI15" s="238"/>
      <c r="AJ15" s="238"/>
      <c r="AK15" s="238"/>
      <c r="AL15" s="238"/>
      <c r="AM15" s="238"/>
      <c r="AN15" s="238">
        <v>3209159.2069397997</v>
      </c>
    </row>
    <row r="16" spans="1:40" x14ac:dyDescent="0.25">
      <c r="A16" s="79">
        <v>2050</v>
      </c>
      <c r="B16" s="238">
        <v>63381.970906546776</v>
      </c>
      <c r="C16" s="238">
        <v>0</v>
      </c>
      <c r="D16" s="238"/>
      <c r="E16" s="238"/>
      <c r="F16" s="238">
        <v>97713.871814259604</v>
      </c>
      <c r="G16" s="238"/>
      <c r="H16" s="238">
        <v>68663.801815425672</v>
      </c>
      <c r="I16" s="238">
        <v>501773.93634349527</v>
      </c>
      <c r="J16" s="238"/>
      <c r="K16" s="238"/>
      <c r="L16" s="238">
        <v>525542.17543345026</v>
      </c>
      <c r="M16" s="238"/>
      <c r="N16" s="238"/>
      <c r="O16" s="238"/>
      <c r="P16" s="238"/>
      <c r="Q16" s="238">
        <v>240323.30635398987</v>
      </c>
      <c r="R16" s="238">
        <v>575719.56906779984</v>
      </c>
      <c r="S16" s="238"/>
      <c r="T16" s="238"/>
      <c r="U16" s="238"/>
      <c r="V16" s="238">
        <v>919038.57814492821</v>
      </c>
      <c r="W16" s="238">
        <v>116781.28139531243</v>
      </c>
      <c r="X16" s="238"/>
      <c r="Y16" s="238"/>
      <c r="Z16" s="238"/>
      <c r="AA16" s="238"/>
      <c r="AB16" s="238"/>
      <c r="AC16" s="238">
        <v>237101.38949957371</v>
      </c>
      <c r="AD16" s="238"/>
      <c r="AE16" s="238"/>
      <c r="AF16" s="238"/>
      <c r="AG16" s="238"/>
      <c r="AH16" s="238"/>
      <c r="AI16" s="238"/>
      <c r="AJ16" s="238"/>
      <c r="AK16" s="238"/>
      <c r="AL16" s="238"/>
      <c r="AM16" s="238"/>
      <c r="AN16" s="238">
        <v>3346039.8807747816</v>
      </c>
    </row>
    <row r="17" spans="1:40" x14ac:dyDescent="0.25">
      <c r="A17" s="78" t="s">
        <v>120</v>
      </c>
      <c r="B17" s="238"/>
      <c r="C17" s="238"/>
      <c r="D17" s="238">
        <v>0</v>
      </c>
      <c r="E17" s="238"/>
      <c r="F17" s="238"/>
      <c r="G17" s="238"/>
      <c r="H17" s="238"/>
      <c r="I17" s="238"/>
      <c r="J17" s="238"/>
      <c r="K17" s="238"/>
      <c r="L17" s="238"/>
      <c r="M17" s="238">
        <v>4913044.2253398197</v>
      </c>
      <c r="N17" s="238">
        <v>2948193</v>
      </c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>
        <v>540181.03297894262</v>
      </c>
      <c r="AE17" s="238">
        <v>8468381.4765873924</v>
      </c>
      <c r="AF17" s="238"/>
      <c r="AG17" s="238"/>
      <c r="AH17" s="238"/>
      <c r="AI17" s="238"/>
      <c r="AJ17" s="238">
        <v>238530.24098557347</v>
      </c>
      <c r="AK17" s="238"/>
      <c r="AL17" s="238"/>
      <c r="AM17" s="238"/>
      <c r="AN17" s="238">
        <v>17108329.975891728</v>
      </c>
    </row>
    <row r="18" spans="1:40" x14ac:dyDescent="0.25">
      <c r="A18" s="79">
        <v>2019</v>
      </c>
      <c r="B18" s="238"/>
      <c r="C18" s="238"/>
      <c r="D18" s="238">
        <v>0</v>
      </c>
      <c r="E18" s="238"/>
      <c r="F18" s="238"/>
      <c r="G18" s="238"/>
      <c r="H18" s="238"/>
      <c r="I18" s="238"/>
      <c r="J18" s="238"/>
      <c r="K18" s="238"/>
      <c r="L18" s="238"/>
      <c r="M18" s="238">
        <v>1893765.2125355615</v>
      </c>
      <c r="N18" s="238">
        <v>982731</v>
      </c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>
        <v>209782.38739500003</v>
      </c>
      <c r="AE18" s="238">
        <v>3010238.4923246857</v>
      </c>
      <c r="AF18" s="238"/>
      <c r="AG18" s="238"/>
      <c r="AH18" s="238"/>
      <c r="AI18" s="238"/>
      <c r="AJ18" s="238">
        <v>112887.06079513082</v>
      </c>
      <c r="AK18" s="238"/>
      <c r="AL18" s="238"/>
      <c r="AM18" s="238"/>
      <c r="AN18" s="238">
        <v>6209404.1530503789</v>
      </c>
    </row>
    <row r="19" spans="1:40" x14ac:dyDescent="0.25">
      <c r="A19" s="79">
        <v>2030</v>
      </c>
      <c r="B19" s="238"/>
      <c r="C19" s="238"/>
      <c r="D19" s="238">
        <v>0</v>
      </c>
      <c r="E19" s="238"/>
      <c r="F19" s="238"/>
      <c r="G19" s="238"/>
      <c r="H19" s="238"/>
      <c r="I19" s="238"/>
      <c r="J19" s="238"/>
      <c r="K19" s="238"/>
      <c r="L19" s="238"/>
      <c r="M19" s="238">
        <v>2128785.2884938968</v>
      </c>
      <c r="N19" s="238">
        <v>982731</v>
      </c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>
        <v>179195.12035606703</v>
      </c>
      <c r="AE19" s="238">
        <v>2848752.9835421797</v>
      </c>
      <c r="AF19" s="238"/>
      <c r="AG19" s="238"/>
      <c r="AH19" s="238"/>
      <c r="AI19" s="238"/>
      <c r="AJ19" s="238">
        <v>66363.71707962401</v>
      </c>
      <c r="AK19" s="238"/>
      <c r="AL19" s="238"/>
      <c r="AM19" s="238"/>
      <c r="AN19" s="238">
        <v>6205828.1094717672</v>
      </c>
    </row>
    <row r="20" spans="1:40" x14ac:dyDescent="0.25">
      <c r="A20" s="79">
        <v>2050</v>
      </c>
      <c r="B20" s="238"/>
      <c r="C20" s="238"/>
      <c r="D20" s="238">
        <v>0</v>
      </c>
      <c r="E20" s="238"/>
      <c r="F20" s="238"/>
      <c r="G20" s="238"/>
      <c r="H20" s="238"/>
      <c r="I20" s="238"/>
      <c r="J20" s="238"/>
      <c r="K20" s="238"/>
      <c r="L20" s="238"/>
      <c r="M20" s="238">
        <v>890493.72431036131</v>
      </c>
      <c r="N20" s="238">
        <v>982731</v>
      </c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>
        <v>151203.52522787557</v>
      </c>
      <c r="AE20" s="238">
        <v>2609390.000720527</v>
      </c>
      <c r="AF20" s="238"/>
      <c r="AG20" s="238"/>
      <c r="AH20" s="238"/>
      <c r="AI20" s="238"/>
      <c r="AJ20" s="238">
        <v>59279.463110818644</v>
      </c>
      <c r="AK20" s="238"/>
      <c r="AL20" s="238"/>
      <c r="AM20" s="238"/>
      <c r="AN20" s="238">
        <v>4693097.7133695828</v>
      </c>
    </row>
    <row r="21" spans="1:40" x14ac:dyDescent="0.25">
      <c r="A21" s="78" t="s">
        <v>164</v>
      </c>
      <c r="B21" s="238"/>
      <c r="C21" s="238"/>
      <c r="D21" s="238">
        <v>0</v>
      </c>
      <c r="E21" s="238"/>
      <c r="F21" s="238"/>
      <c r="G21" s="238"/>
      <c r="H21" s="238"/>
      <c r="I21" s="238"/>
      <c r="J21" s="238"/>
      <c r="K21" s="238"/>
      <c r="L21" s="238"/>
      <c r="M21" s="238">
        <v>0</v>
      </c>
      <c r="N21" s="238">
        <v>0</v>
      </c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>
        <v>0</v>
      </c>
      <c r="AE21" s="238"/>
      <c r="AF21" s="238"/>
      <c r="AG21" s="238"/>
      <c r="AH21" s="238"/>
      <c r="AI21" s="238"/>
      <c r="AJ21" s="238">
        <v>104203.4407339669</v>
      </c>
      <c r="AK21" s="238"/>
      <c r="AL21" s="238"/>
      <c r="AM21" s="238">
        <v>2330919.0257364037</v>
      </c>
      <c r="AN21" s="238">
        <v>2435122.4664703701</v>
      </c>
    </row>
    <row r="22" spans="1:40" x14ac:dyDescent="0.25">
      <c r="A22" s="79">
        <v>2019</v>
      </c>
      <c r="B22" s="238"/>
      <c r="C22" s="238"/>
      <c r="D22" s="238">
        <v>0</v>
      </c>
      <c r="E22" s="238"/>
      <c r="F22" s="238"/>
      <c r="G22" s="238"/>
      <c r="H22" s="238"/>
      <c r="I22" s="238"/>
      <c r="J22" s="238"/>
      <c r="K22" s="238"/>
      <c r="L22" s="238"/>
      <c r="M22" s="238">
        <v>0</v>
      </c>
      <c r="N22" s="238">
        <v>0</v>
      </c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>
        <v>0</v>
      </c>
      <c r="AE22" s="238"/>
      <c r="AF22" s="238"/>
      <c r="AG22" s="238"/>
      <c r="AH22" s="238"/>
      <c r="AI22" s="238"/>
      <c r="AJ22" s="238">
        <v>104203.4407339669</v>
      </c>
      <c r="AK22" s="238"/>
      <c r="AL22" s="238"/>
      <c r="AM22" s="238">
        <v>827693.20492220437</v>
      </c>
      <c r="AN22" s="238">
        <v>931896.64565617125</v>
      </c>
    </row>
    <row r="23" spans="1:40" x14ac:dyDescent="0.25">
      <c r="A23" s="79">
        <v>2030</v>
      </c>
      <c r="B23" s="238"/>
      <c r="C23" s="238"/>
      <c r="D23" s="238">
        <v>0</v>
      </c>
      <c r="E23" s="238"/>
      <c r="F23" s="238"/>
      <c r="G23" s="238"/>
      <c r="H23" s="238"/>
      <c r="I23" s="238"/>
      <c r="J23" s="238"/>
      <c r="K23" s="238"/>
      <c r="L23" s="238"/>
      <c r="M23" s="238">
        <v>0</v>
      </c>
      <c r="N23" s="238">
        <v>0</v>
      </c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>
        <v>0</v>
      </c>
      <c r="AE23" s="238"/>
      <c r="AF23" s="238"/>
      <c r="AG23" s="238"/>
      <c r="AH23" s="238"/>
      <c r="AI23" s="238"/>
      <c r="AJ23" s="238">
        <v>0</v>
      </c>
      <c r="AK23" s="238"/>
      <c r="AL23" s="238"/>
      <c r="AM23" s="238">
        <v>783291.25515859458</v>
      </c>
      <c r="AN23" s="238">
        <v>783291.25515859458</v>
      </c>
    </row>
    <row r="24" spans="1:40" x14ac:dyDescent="0.25">
      <c r="A24" s="79">
        <v>2050</v>
      </c>
      <c r="B24" s="238"/>
      <c r="C24" s="238"/>
      <c r="D24" s="238">
        <v>0</v>
      </c>
      <c r="E24" s="238"/>
      <c r="F24" s="238"/>
      <c r="G24" s="238"/>
      <c r="H24" s="238"/>
      <c r="I24" s="238"/>
      <c r="J24" s="238"/>
      <c r="K24" s="238"/>
      <c r="L24" s="238"/>
      <c r="M24" s="238">
        <v>0</v>
      </c>
      <c r="N24" s="238">
        <v>0</v>
      </c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>
        <v>0</v>
      </c>
      <c r="AE24" s="238"/>
      <c r="AF24" s="238"/>
      <c r="AG24" s="238"/>
      <c r="AH24" s="238"/>
      <c r="AI24" s="238"/>
      <c r="AJ24" s="238">
        <v>0</v>
      </c>
      <c r="AK24" s="238"/>
      <c r="AL24" s="238"/>
      <c r="AM24" s="238">
        <v>719934.56565560447</v>
      </c>
      <c r="AN24" s="238">
        <v>719934.56565560447</v>
      </c>
    </row>
    <row r="25" spans="1:40" x14ac:dyDescent="0.25">
      <c r="A25" s="78" t="s">
        <v>114</v>
      </c>
      <c r="B25" s="238"/>
      <c r="C25" s="238"/>
      <c r="D25" s="238"/>
      <c r="E25" s="238">
        <v>2187636.3871966996</v>
      </c>
      <c r="F25" s="238"/>
      <c r="G25" s="238">
        <v>14699.009279267571</v>
      </c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>
        <v>15847614.60616919</v>
      </c>
      <c r="T25" s="238"/>
      <c r="U25" s="238"/>
      <c r="V25" s="238"/>
      <c r="W25" s="238"/>
      <c r="X25" s="238"/>
      <c r="Y25" s="238"/>
      <c r="Z25" s="238"/>
      <c r="AA25" s="238"/>
      <c r="AB25" s="238">
        <v>28125393.240602903</v>
      </c>
      <c r="AC25" s="238"/>
      <c r="AD25" s="238"/>
      <c r="AE25" s="238"/>
      <c r="AF25" s="238"/>
      <c r="AG25" s="238"/>
      <c r="AH25" s="238"/>
      <c r="AI25" s="238"/>
      <c r="AJ25" s="238"/>
      <c r="AK25" s="238">
        <v>46685104.621471167</v>
      </c>
      <c r="AL25" s="238">
        <v>2496987.8306802288</v>
      </c>
      <c r="AM25" s="238"/>
      <c r="AN25" s="238">
        <v>95357435.695399463</v>
      </c>
    </row>
    <row r="26" spans="1:40" x14ac:dyDescent="0.25">
      <c r="A26" s="79">
        <v>2019</v>
      </c>
      <c r="B26" s="238"/>
      <c r="C26" s="238"/>
      <c r="D26" s="238"/>
      <c r="E26" s="238">
        <v>823764.99285714305</v>
      </c>
      <c r="F26" s="238"/>
      <c r="G26" s="238">
        <v>4441.5</v>
      </c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>
        <v>9696490.333333334</v>
      </c>
      <c r="T26" s="238"/>
      <c r="U26" s="238"/>
      <c r="V26" s="238"/>
      <c r="W26" s="238"/>
      <c r="X26" s="238"/>
      <c r="Y26" s="238"/>
      <c r="Z26" s="238"/>
      <c r="AA26" s="238"/>
      <c r="AB26" s="238">
        <v>14742130.666666664</v>
      </c>
      <c r="AC26" s="238"/>
      <c r="AD26" s="238"/>
      <c r="AE26" s="238"/>
      <c r="AF26" s="238"/>
      <c r="AG26" s="238"/>
      <c r="AH26" s="238"/>
      <c r="AI26" s="238"/>
      <c r="AJ26" s="238"/>
      <c r="AK26" s="238">
        <v>8803491.7355084848</v>
      </c>
      <c r="AL26" s="238">
        <v>944815.08868008247</v>
      </c>
      <c r="AM26" s="238"/>
      <c r="AN26" s="238">
        <v>35015134.317045711</v>
      </c>
    </row>
    <row r="27" spans="1:40" x14ac:dyDescent="0.25">
      <c r="A27" s="79">
        <v>2030</v>
      </c>
      <c r="B27" s="238"/>
      <c r="C27" s="238"/>
      <c r="D27" s="238"/>
      <c r="E27" s="238">
        <v>621579.76994607435</v>
      </c>
      <c r="F27" s="238"/>
      <c r="G27" s="238">
        <v>4801.4905255224585</v>
      </c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>
        <v>3216723.0238379622</v>
      </c>
      <c r="T27" s="238"/>
      <c r="U27" s="238"/>
      <c r="V27" s="238"/>
      <c r="W27" s="238"/>
      <c r="X27" s="238"/>
      <c r="Y27" s="238"/>
      <c r="Z27" s="238"/>
      <c r="AA27" s="238"/>
      <c r="AB27" s="238">
        <v>7456944.9598404439</v>
      </c>
      <c r="AC27" s="238"/>
      <c r="AD27" s="238"/>
      <c r="AE27" s="238"/>
      <c r="AF27" s="238"/>
      <c r="AG27" s="238"/>
      <c r="AH27" s="238"/>
      <c r="AI27" s="238"/>
      <c r="AJ27" s="238"/>
      <c r="AK27" s="238">
        <v>19877954.063540507</v>
      </c>
      <c r="AL27" s="238">
        <v>837465.38714427105</v>
      </c>
      <c r="AM27" s="238"/>
      <c r="AN27" s="238">
        <v>32015468.69483478</v>
      </c>
    </row>
    <row r="28" spans="1:40" x14ac:dyDescent="0.25">
      <c r="A28" s="79">
        <v>2050</v>
      </c>
      <c r="B28" s="238"/>
      <c r="C28" s="238"/>
      <c r="D28" s="238"/>
      <c r="E28" s="238">
        <v>742291.62439348234</v>
      </c>
      <c r="F28" s="238"/>
      <c r="G28" s="238">
        <v>5456.0187537451129</v>
      </c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>
        <v>2934401.2489978937</v>
      </c>
      <c r="T28" s="238"/>
      <c r="U28" s="238"/>
      <c r="V28" s="238"/>
      <c r="W28" s="238"/>
      <c r="X28" s="238"/>
      <c r="Y28" s="238"/>
      <c r="Z28" s="238"/>
      <c r="AA28" s="238"/>
      <c r="AB28" s="238">
        <v>5926317.614095795</v>
      </c>
      <c r="AC28" s="238"/>
      <c r="AD28" s="238"/>
      <c r="AE28" s="238"/>
      <c r="AF28" s="238"/>
      <c r="AG28" s="238"/>
      <c r="AH28" s="238"/>
      <c r="AI28" s="238"/>
      <c r="AJ28" s="238"/>
      <c r="AK28" s="238">
        <v>18003658.822422177</v>
      </c>
      <c r="AL28" s="238">
        <v>714707.35485587514</v>
      </c>
      <c r="AM28" s="238"/>
      <c r="AN28" s="238">
        <v>28326832.683518969</v>
      </c>
    </row>
    <row r="29" spans="1:40" x14ac:dyDescent="0.25">
      <c r="A29" s="78" t="s">
        <v>209</v>
      </c>
      <c r="B29" s="238"/>
      <c r="C29" s="238"/>
      <c r="D29" s="238"/>
      <c r="E29" s="238"/>
      <c r="F29" s="238"/>
      <c r="G29" s="238"/>
      <c r="H29" s="238"/>
      <c r="I29" s="238"/>
      <c r="J29" s="238"/>
      <c r="K29" s="238">
        <v>7269034.5418464411</v>
      </c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/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/>
      <c r="AL29" s="238"/>
      <c r="AM29" s="238"/>
      <c r="AN29" s="238">
        <v>7269034.5418464411</v>
      </c>
    </row>
    <row r="30" spans="1:40" x14ac:dyDescent="0.25">
      <c r="A30" s="79">
        <v>2019</v>
      </c>
      <c r="B30" s="238"/>
      <c r="C30" s="238"/>
      <c r="D30" s="238"/>
      <c r="E30" s="238"/>
      <c r="F30" s="238"/>
      <c r="G30" s="238"/>
      <c r="H30" s="238"/>
      <c r="I30" s="238"/>
      <c r="J30" s="238"/>
      <c r="K30" s="238">
        <v>0</v>
      </c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/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/>
      <c r="AL30" s="238"/>
      <c r="AM30" s="238"/>
      <c r="AN30" s="238">
        <v>0</v>
      </c>
    </row>
    <row r="31" spans="1:40" x14ac:dyDescent="0.25">
      <c r="A31" s="79">
        <v>2030</v>
      </c>
      <c r="B31" s="238"/>
      <c r="C31" s="238"/>
      <c r="D31" s="238"/>
      <c r="E31" s="238"/>
      <c r="F31" s="238"/>
      <c r="G31" s="238"/>
      <c r="H31" s="238"/>
      <c r="I31" s="238"/>
      <c r="J31" s="238"/>
      <c r="K31" s="238">
        <v>1647647.8294851934</v>
      </c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/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/>
      <c r="AL31" s="238"/>
      <c r="AM31" s="238"/>
      <c r="AN31" s="238">
        <v>1647647.8294851934</v>
      </c>
    </row>
    <row r="32" spans="1:40" x14ac:dyDescent="0.25">
      <c r="A32" s="79">
        <v>2050</v>
      </c>
      <c r="B32" s="238"/>
      <c r="C32" s="238"/>
      <c r="D32" s="238"/>
      <c r="E32" s="238"/>
      <c r="F32" s="238"/>
      <c r="G32" s="238"/>
      <c r="H32" s="238"/>
      <c r="I32" s="238"/>
      <c r="J32" s="238"/>
      <c r="K32" s="238">
        <v>5621386.7123612482</v>
      </c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/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/>
      <c r="AL32" s="238"/>
      <c r="AM32" s="238"/>
      <c r="AN32" s="238">
        <v>5621386.7123612482</v>
      </c>
    </row>
    <row r="33" spans="1:40" x14ac:dyDescent="0.25">
      <c r="A33" s="78" t="s">
        <v>237</v>
      </c>
      <c r="B33" s="238"/>
      <c r="C33" s="238"/>
      <c r="D33" s="238"/>
      <c r="E33" s="238"/>
      <c r="F33" s="238"/>
      <c r="G33" s="238"/>
      <c r="H33" s="238"/>
      <c r="I33" s="238"/>
      <c r="J33" s="238"/>
      <c r="K33" s="238"/>
      <c r="L33" s="238"/>
      <c r="M33" s="238"/>
      <c r="N33" s="238"/>
      <c r="O33" s="238"/>
      <c r="P33" s="238"/>
      <c r="Q33" s="238"/>
      <c r="R33" s="238"/>
      <c r="S33" s="238"/>
      <c r="T33" s="238"/>
      <c r="U33" s="238"/>
      <c r="V33" s="238"/>
      <c r="W33" s="238"/>
      <c r="X33" s="238">
        <v>1071042.7553735636</v>
      </c>
      <c r="Y33" s="238"/>
      <c r="Z33" s="238"/>
      <c r="AA33" s="238"/>
      <c r="AB33" s="238"/>
      <c r="AC33" s="238"/>
      <c r="AD33" s="238"/>
      <c r="AE33" s="238"/>
      <c r="AF33" s="238"/>
      <c r="AG33" s="238"/>
      <c r="AH33" s="238"/>
      <c r="AI33" s="238"/>
      <c r="AJ33" s="238"/>
      <c r="AK33" s="238"/>
      <c r="AL33" s="238"/>
      <c r="AM33" s="238"/>
      <c r="AN33" s="238">
        <v>1071042.7553735636</v>
      </c>
    </row>
    <row r="34" spans="1:40" x14ac:dyDescent="0.25">
      <c r="A34" s="79">
        <v>2019</v>
      </c>
      <c r="B34" s="238"/>
      <c r="C34" s="238"/>
      <c r="D34" s="238"/>
      <c r="E34" s="238"/>
      <c r="F34" s="238"/>
      <c r="G34" s="238"/>
      <c r="H34" s="238"/>
      <c r="I34" s="238"/>
      <c r="J34" s="238"/>
      <c r="K34" s="238"/>
      <c r="L34" s="238"/>
      <c r="M34" s="238"/>
      <c r="N34" s="238"/>
      <c r="O34" s="238"/>
      <c r="P34" s="238"/>
      <c r="Q34" s="238"/>
      <c r="R34" s="238"/>
      <c r="S34" s="238"/>
      <c r="T34" s="238"/>
      <c r="U34" s="238"/>
      <c r="V34" s="238"/>
      <c r="W34" s="238"/>
      <c r="X34" s="238">
        <v>678407.81727843033</v>
      </c>
      <c r="Y34" s="238"/>
      <c r="Z34" s="238"/>
      <c r="AA34" s="238"/>
      <c r="AB34" s="238"/>
      <c r="AC34" s="238"/>
      <c r="AD34" s="238"/>
      <c r="AE34" s="238"/>
      <c r="AF34" s="238"/>
      <c r="AG34" s="238"/>
      <c r="AH34" s="238"/>
      <c r="AI34" s="238"/>
      <c r="AJ34" s="238"/>
      <c r="AK34" s="238"/>
      <c r="AL34" s="238"/>
      <c r="AM34" s="238"/>
      <c r="AN34" s="238">
        <v>678407.81727843033</v>
      </c>
    </row>
    <row r="35" spans="1:40" x14ac:dyDescent="0.25">
      <c r="A35" s="79">
        <v>2030</v>
      </c>
      <c r="B35" s="238"/>
      <c r="C35" s="238"/>
      <c r="D35" s="238"/>
      <c r="E35" s="238"/>
      <c r="F35" s="238"/>
      <c r="G35" s="238"/>
      <c r="H35" s="238"/>
      <c r="I35" s="238"/>
      <c r="J35" s="238"/>
      <c r="K35" s="238"/>
      <c r="L35" s="238"/>
      <c r="M35" s="238"/>
      <c r="N35" s="238"/>
      <c r="O35" s="238"/>
      <c r="P35" s="238"/>
      <c r="Q35" s="238"/>
      <c r="R35" s="238"/>
      <c r="S35" s="238"/>
      <c r="T35" s="238"/>
      <c r="U35" s="238"/>
      <c r="V35" s="238"/>
      <c r="W35" s="238"/>
      <c r="X35" s="238">
        <v>207386.61587382504</v>
      </c>
      <c r="Y35" s="238"/>
      <c r="Z35" s="238"/>
      <c r="AA35" s="238"/>
      <c r="AB35" s="238"/>
      <c r="AC35" s="238"/>
      <c r="AD35" s="238"/>
      <c r="AE35" s="238"/>
      <c r="AF35" s="238"/>
      <c r="AG35" s="238"/>
      <c r="AH35" s="238"/>
      <c r="AI35" s="238"/>
      <c r="AJ35" s="238"/>
      <c r="AK35" s="238"/>
      <c r="AL35" s="238"/>
      <c r="AM35" s="238"/>
      <c r="AN35" s="238">
        <v>207386.61587382504</v>
      </c>
    </row>
    <row r="36" spans="1:40" x14ac:dyDescent="0.25">
      <c r="A36" s="79">
        <v>2050</v>
      </c>
      <c r="B36" s="238"/>
      <c r="C36" s="238"/>
      <c r="D36" s="238"/>
      <c r="E36" s="238"/>
      <c r="F36" s="238"/>
      <c r="G36" s="238"/>
      <c r="H36" s="238"/>
      <c r="I36" s="238"/>
      <c r="J36" s="238"/>
      <c r="K36" s="238"/>
      <c r="L36" s="238"/>
      <c r="M36" s="238"/>
      <c r="N36" s="238"/>
      <c r="O36" s="238"/>
      <c r="P36" s="238"/>
      <c r="Q36" s="238"/>
      <c r="R36" s="238"/>
      <c r="S36" s="238"/>
      <c r="T36" s="238"/>
      <c r="U36" s="238"/>
      <c r="V36" s="238"/>
      <c r="W36" s="238"/>
      <c r="X36" s="238">
        <v>185248.32222130828</v>
      </c>
      <c r="Y36" s="238"/>
      <c r="Z36" s="238"/>
      <c r="AA36" s="238"/>
      <c r="AB36" s="238"/>
      <c r="AC36" s="238"/>
      <c r="AD36" s="238"/>
      <c r="AE36" s="238"/>
      <c r="AF36" s="238"/>
      <c r="AG36" s="238"/>
      <c r="AH36" s="238"/>
      <c r="AI36" s="238"/>
      <c r="AJ36" s="238"/>
      <c r="AK36" s="238"/>
      <c r="AL36" s="238"/>
      <c r="AM36" s="238"/>
      <c r="AN36" s="238">
        <v>185248.32222130828</v>
      </c>
    </row>
    <row r="37" spans="1:40" x14ac:dyDescent="0.25">
      <c r="A37" s="78" t="s">
        <v>61</v>
      </c>
      <c r="B37" s="238">
        <v>182574.19618217932</v>
      </c>
      <c r="C37" s="238">
        <v>209511.71619619365</v>
      </c>
      <c r="D37" s="238">
        <v>1462906</v>
      </c>
      <c r="E37" s="238">
        <v>6547402.5420559067</v>
      </c>
      <c r="F37" s="238">
        <v>281468.55244752642</v>
      </c>
      <c r="G37" s="238">
        <v>29398.018558535143</v>
      </c>
      <c r="H37" s="238">
        <v>197788.71253069426</v>
      </c>
      <c r="I37" s="238">
        <v>1445379.0531089196</v>
      </c>
      <c r="J37" s="238">
        <v>428226</v>
      </c>
      <c r="K37" s="238">
        <v>48770956.405590281</v>
      </c>
      <c r="L37" s="238">
        <v>1513844.376677237</v>
      </c>
      <c r="M37" s="238">
        <v>7728227.7932561599</v>
      </c>
      <c r="N37" s="238">
        <v>2948427</v>
      </c>
      <c r="O37" s="238">
        <v>16252009.860477313</v>
      </c>
      <c r="P37" s="238">
        <v>2423468</v>
      </c>
      <c r="Q37" s="238">
        <v>692260.49385742994</v>
      </c>
      <c r="R37" s="238">
        <v>19163433.124781929</v>
      </c>
      <c r="S37" s="238">
        <v>39679684.470149405</v>
      </c>
      <c r="T37" s="238">
        <v>5093508.3226583023</v>
      </c>
      <c r="U37" s="238">
        <v>13564333.997817094</v>
      </c>
      <c r="V37" s="238">
        <v>2647325.8446415998</v>
      </c>
      <c r="W37" s="238">
        <v>336392.95646566537</v>
      </c>
      <c r="X37" s="238">
        <v>1071042.7553735636</v>
      </c>
      <c r="Y37" s="238">
        <v>2980859.5536562409</v>
      </c>
      <c r="Z37" s="238">
        <v>130666.08500411626</v>
      </c>
      <c r="AA37" s="238">
        <v>8328213.2398871668</v>
      </c>
      <c r="AB37" s="238">
        <v>46132026.753055826</v>
      </c>
      <c r="AC37" s="238">
        <v>682979.63888483576</v>
      </c>
      <c r="AD37" s="238">
        <v>540181.03297894262</v>
      </c>
      <c r="AE37" s="238">
        <v>8468381.4765873924</v>
      </c>
      <c r="AF37" s="238">
        <v>2496157.0190117648</v>
      </c>
      <c r="AG37" s="238">
        <v>1215174.6215279999</v>
      </c>
      <c r="AH37" s="238">
        <v>629893.28757860046</v>
      </c>
      <c r="AI37" s="238">
        <v>417124.43603570113</v>
      </c>
      <c r="AJ37" s="238">
        <v>342733.68171954039</v>
      </c>
      <c r="AK37" s="238">
        <v>46685104.621471167</v>
      </c>
      <c r="AL37" s="238">
        <v>2496987.8306802288</v>
      </c>
      <c r="AM37" s="238">
        <v>2330919.0257364037</v>
      </c>
      <c r="AN37" s="238">
        <v>296546972.49664187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L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13.85546875" bestFit="1" customWidth="1"/>
    <col min="7" max="7" width="8.7109375" bestFit="1" customWidth="1"/>
    <col min="8" max="8" width="8.42578125" bestFit="1" customWidth="1"/>
    <col min="9" max="9" width="12.5703125" bestFit="1" customWidth="1"/>
    <col min="10" max="10" width="8.85546875" bestFit="1" customWidth="1"/>
    <col min="11" max="11" width="14.5703125" bestFit="1" customWidth="1"/>
    <col min="12" max="15" width="11.285156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2" x14ac:dyDescent="0.25">
      <c r="A2" s="77" t="s">
        <v>281</v>
      </c>
      <c r="B2" s="78">
        <v>1</v>
      </c>
    </row>
    <row r="4" spans="1:12" x14ac:dyDescent="0.25">
      <c r="A4" s="77" t="s">
        <v>308</v>
      </c>
      <c r="B4" s="77" t="s">
        <v>62</v>
      </c>
    </row>
    <row r="5" spans="1:12" x14ac:dyDescent="0.25">
      <c r="A5" s="77" t="s">
        <v>60</v>
      </c>
      <c r="B5" s="169" t="s">
        <v>102</v>
      </c>
      <c r="C5" s="169" t="s">
        <v>6</v>
      </c>
      <c r="D5" s="169" t="s">
        <v>103</v>
      </c>
      <c r="E5" s="169" t="s">
        <v>115</v>
      </c>
      <c r="F5" s="169" t="s">
        <v>108</v>
      </c>
      <c r="G5" s="169" t="s">
        <v>14</v>
      </c>
      <c r="H5" s="169" t="s">
        <v>158</v>
      </c>
      <c r="I5" s="169" t="s">
        <v>204</v>
      </c>
      <c r="J5" s="169" t="s">
        <v>54</v>
      </c>
      <c r="K5" s="169" t="s">
        <v>159</v>
      </c>
      <c r="L5" s="169" t="s">
        <v>61</v>
      </c>
    </row>
    <row r="6" spans="1:12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0</v>
      </c>
      <c r="H6" s="76">
        <v>142742</v>
      </c>
      <c r="I6" s="76">
        <v>0</v>
      </c>
      <c r="J6" s="76">
        <v>420629.98984142789</v>
      </c>
      <c r="K6" s="76">
        <v>5421074.2654714445</v>
      </c>
      <c r="L6" s="76">
        <v>7785702.6698210612</v>
      </c>
    </row>
    <row r="7" spans="1:12" x14ac:dyDescent="0.25">
      <c r="A7" s="78">
        <v>2030</v>
      </c>
      <c r="B7" s="76">
        <v>2.825725611182861E-2</v>
      </c>
      <c r="C7" s="76">
        <v>231449.05135267469</v>
      </c>
      <c r="D7" s="76">
        <v>0.29522195184836164</v>
      </c>
      <c r="E7" s="76">
        <v>837465.38714427105</v>
      </c>
      <c r="F7" s="76">
        <v>20754.071278017291</v>
      </c>
      <c r="G7" s="76">
        <v>5146.7083806234805</v>
      </c>
      <c r="H7" s="76">
        <v>142742</v>
      </c>
      <c r="I7" s="76">
        <v>8954.7451101610422</v>
      </c>
      <c r="J7" s="76">
        <v>441347.05604647589</v>
      </c>
      <c r="K7" s="76">
        <v>5415467.797502934</v>
      </c>
      <c r="L7" s="76">
        <v>7103327.1402943656</v>
      </c>
    </row>
    <row r="8" spans="1:12" x14ac:dyDescent="0.25">
      <c r="A8" s="78">
        <v>2050</v>
      </c>
      <c r="B8" s="76">
        <v>0.18489040050189942</v>
      </c>
      <c r="C8" s="76">
        <v>273877.00966623385</v>
      </c>
      <c r="D8" s="76">
        <v>9.5137343159876764E-2</v>
      </c>
      <c r="E8" s="76">
        <v>714707.35485587514</v>
      </c>
      <c r="F8" s="76">
        <v>163525.05971223337</v>
      </c>
      <c r="G8" s="76">
        <v>25950.691837427992</v>
      </c>
      <c r="H8" s="76">
        <v>142742</v>
      </c>
      <c r="I8" s="76">
        <v>0</v>
      </c>
      <c r="J8" s="76">
        <v>465148.89140347519</v>
      </c>
      <c r="K8" s="76">
        <v>5415467.7975029349</v>
      </c>
      <c r="L8" s="76">
        <v>7201419.0850059241</v>
      </c>
    </row>
    <row r="9" spans="1:12" x14ac:dyDescent="0.25">
      <c r="A9" s="78" t="s">
        <v>61</v>
      </c>
      <c r="B9" s="76">
        <v>370459.88762915425</v>
      </c>
      <c r="C9" s="76">
        <v>708975.68202441465</v>
      </c>
      <c r="D9" s="76">
        <v>282332.42070039728</v>
      </c>
      <c r="E9" s="76">
        <v>2496987.8306802288</v>
      </c>
      <c r="F9" s="76">
        <v>184279.13099025065</v>
      </c>
      <c r="G9" s="76">
        <v>31097.400218051473</v>
      </c>
      <c r="H9" s="76">
        <v>428226</v>
      </c>
      <c r="I9" s="76">
        <v>8954.7451101610422</v>
      </c>
      <c r="J9" s="76">
        <v>1327125.9372913791</v>
      </c>
      <c r="K9" s="76">
        <v>16252009.860477313</v>
      </c>
      <c r="L9" s="76">
        <v>22090448.895121351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9" bestFit="1" customWidth="1"/>
    <col min="2" max="2" width="16.28515625" style="169" bestFit="1" customWidth="1"/>
    <col min="3" max="3" width="9.140625" style="169" bestFit="1" customWidth="1"/>
    <col min="4" max="4" width="11" style="169" bestFit="1" customWidth="1"/>
    <col min="5" max="5" width="11.5703125" style="169" bestFit="1" customWidth="1"/>
    <col min="6" max="6" width="11.140625" style="169" bestFit="1" customWidth="1"/>
    <col min="7" max="7" width="9.85546875" style="169" bestFit="1" customWidth="1"/>
    <col min="8" max="8" width="11" style="169" bestFit="1" customWidth="1"/>
    <col min="9" max="10" width="9.85546875" style="169" bestFit="1" customWidth="1"/>
    <col min="11" max="11" width="13.85546875" style="169" bestFit="1" customWidth="1"/>
    <col min="12" max="12" width="9.85546875" style="169" bestFit="1" customWidth="1"/>
    <col min="13" max="13" width="16" style="169" bestFit="1" customWidth="1"/>
    <col min="14" max="14" width="10" style="169" bestFit="1" customWidth="1"/>
    <col min="15" max="15" width="8.7109375" style="169" bestFit="1" customWidth="1"/>
    <col min="16" max="16" width="11" style="169" bestFit="1" customWidth="1"/>
    <col min="17" max="17" width="9.85546875" style="169" bestFit="1" customWidth="1"/>
    <col min="18" max="18" width="21" style="169" bestFit="1" customWidth="1"/>
    <col min="19" max="19" width="20.7109375" style="169" bestFit="1" customWidth="1"/>
    <col min="20" max="20" width="9.85546875" style="169" bestFit="1" customWidth="1"/>
    <col min="21" max="21" width="7.140625" style="169" bestFit="1" customWidth="1"/>
    <col min="22" max="22" width="16" style="169" bestFit="1" customWidth="1"/>
    <col min="23" max="23" width="9.85546875" style="169" bestFit="1" customWidth="1"/>
    <col min="24" max="24" width="12.5703125" style="169" bestFit="1" customWidth="1"/>
    <col min="25" max="26" width="9.85546875" style="169" bestFit="1" customWidth="1"/>
    <col min="27" max="27" width="9.28515625" style="169" bestFit="1" customWidth="1"/>
    <col min="28" max="30" width="12" style="169" bestFit="1" customWidth="1"/>
    <col min="31" max="32" width="10.140625" style="169" bestFit="1" customWidth="1"/>
    <col min="33" max="33" width="12.140625" style="169" bestFit="1" customWidth="1"/>
    <col min="34" max="34" width="8.85546875" style="169" bestFit="1" customWidth="1"/>
    <col min="35" max="35" width="15.42578125" style="169" bestFit="1" customWidth="1"/>
    <col min="36" max="36" width="16" style="169" bestFit="1" customWidth="1"/>
    <col min="37" max="37" width="8.85546875" style="169" bestFit="1" customWidth="1"/>
    <col min="38" max="38" width="12.5703125" style="169" bestFit="1" customWidth="1"/>
    <col min="39" max="39" width="10.42578125" style="169" bestFit="1" customWidth="1"/>
    <col min="40" max="40" width="12.28515625" style="169" bestFit="1" customWidth="1"/>
    <col min="41" max="41" width="14.5703125" style="169" bestFit="1" customWidth="1"/>
    <col min="42" max="43" width="9.85546875" style="169" bestFit="1" customWidth="1"/>
    <col min="44" max="44" width="14" style="169" bestFit="1" customWidth="1"/>
    <col min="45" max="45" width="6.7109375" style="169" bestFit="1" customWidth="1"/>
    <col min="46" max="46" width="9.28515625" style="169" bestFit="1" customWidth="1"/>
    <col min="47" max="47" width="8.5703125" style="169" bestFit="1" customWidth="1"/>
    <col min="48" max="48" width="12" style="169" bestFit="1" customWidth="1"/>
    <col min="49" max="49" width="12.28515625" style="169" bestFit="1" customWidth="1"/>
    <col min="50" max="50" width="13.28515625" style="169" bestFit="1" customWidth="1"/>
    <col min="51" max="51" width="13.42578125" style="169" bestFit="1" customWidth="1"/>
    <col min="52" max="52" width="20.85546875" style="169" bestFit="1" customWidth="1"/>
    <col min="53" max="54" width="12.28515625" style="169" bestFit="1" customWidth="1"/>
    <col min="55" max="55" width="13.28515625" style="169" bestFit="1" customWidth="1"/>
    <col min="56" max="59" width="12.28515625" style="169" bestFit="1" customWidth="1"/>
    <col min="60" max="60" width="13.28515625" style="169" bestFit="1" customWidth="1"/>
    <col min="61" max="61" width="13.42578125" style="169" bestFit="1" customWidth="1"/>
    <col min="62" max="62" width="20.85546875" style="169" bestFit="1" customWidth="1"/>
    <col min="63" max="64" width="12.28515625" style="169" bestFit="1" customWidth="1"/>
    <col min="65" max="65" width="13.28515625" style="169" bestFit="1" customWidth="1"/>
    <col min="66" max="66" width="13.42578125" style="169" bestFit="1" customWidth="1"/>
    <col min="67" max="67" width="20.85546875" style="169" bestFit="1" customWidth="1"/>
    <col min="68" max="69" width="11.28515625" style="169" bestFit="1" customWidth="1"/>
    <col min="70" max="70" width="13.28515625" style="169" bestFit="1" customWidth="1"/>
    <col min="71" max="71" width="13.42578125" style="169" bestFit="1" customWidth="1"/>
    <col min="72" max="72" width="12.28515625" style="169" bestFit="1" customWidth="1"/>
    <col min="73" max="73" width="16.85546875" style="169" bestFit="1" customWidth="1"/>
    <col min="74" max="74" width="12.28515625" style="169" bestFit="1" customWidth="1"/>
    <col min="75" max="75" width="13.28515625" style="169" bestFit="1" customWidth="1"/>
    <col min="76" max="76" width="13.42578125" style="169" bestFit="1" customWidth="1"/>
    <col min="77" max="77" width="12.28515625" style="169" bestFit="1" customWidth="1"/>
    <col min="78" max="78" width="16.85546875" style="169" bestFit="1" customWidth="1"/>
    <col min="79" max="79" width="12.28515625" style="169" bestFit="1" customWidth="1"/>
    <col min="80" max="80" width="13.28515625" style="169" bestFit="1" customWidth="1"/>
    <col min="81" max="81" width="13.42578125" style="169" bestFit="1" customWidth="1"/>
    <col min="82" max="82" width="12.28515625" style="169" bestFit="1" customWidth="1"/>
    <col min="83" max="83" width="15.85546875" style="169" bestFit="1" customWidth="1"/>
    <col min="84" max="84" width="12.28515625" style="169" bestFit="1" customWidth="1"/>
    <col min="85" max="85" width="13.28515625" style="169" bestFit="1" customWidth="1"/>
    <col min="86" max="89" width="11.7109375" style="169" bestFit="1" customWidth="1"/>
    <col min="90" max="90" width="14.28515625" style="169" bestFit="1" customWidth="1"/>
    <col min="91" max="91" width="13.42578125" style="169" bestFit="1" customWidth="1"/>
    <col min="92" max="92" width="20.85546875" style="169" bestFit="1" customWidth="1"/>
    <col min="93" max="94" width="11.7109375" style="169" bestFit="1" customWidth="1"/>
    <col min="95" max="95" width="14.28515625" style="169" bestFit="1" customWidth="1"/>
    <col min="96" max="96" width="13.42578125" style="169" bestFit="1" customWidth="1"/>
    <col min="97" max="97" width="20.85546875" style="169" bestFit="1" customWidth="1"/>
    <col min="98" max="99" width="12.28515625" style="169" bestFit="1" customWidth="1"/>
    <col min="100" max="100" width="14.28515625" style="169" bestFit="1" customWidth="1"/>
    <col min="101" max="101" width="12.28515625" style="169" bestFit="1" customWidth="1"/>
    <col min="102" max="103" width="13.28515625" style="169" bestFit="1" customWidth="1"/>
    <col min="104" max="104" width="13.42578125" style="169" bestFit="1" customWidth="1"/>
    <col min="105" max="105" width="20.85546875" style="169" bestFit="1" customWidth="1"/>
    <col min="106" max="107" width="12.28515625" style="169" bestFit="1" customWidth="1"/>
    <col min="108" max="109" width="13.28515625" style="169" bestFit="1" customWidth="1"/>
    <col min="110" max="113" width="11.7109375" style="169" bestFit="1" customWidth="1"/>
    <col min="114" max="115" width="13.28515625" style="169" bestFit="1" customWidth="1"/>
    <col min="116" max="116" width="13.42578125" style="169" bestFit="1" customWidth="1"/>
    <col min="117" max="117" width="20.85546875" style="169" bestFit="1" customWidth="1"/>
    <col min="118" max="120" width="11.7109375" style="169" bestFit="1" customWidth="1"/>
    <col min="121" max="121" width="13.28515625" style="169" bestFit="1" customWidth="1"/>
    <col min="122" max="122" width="13.42578125" style="169" bestFit="1" customWidth="1"/>
    <col min="123" max="123" width="12.28515625" style="169" bestFit="1" customWidth="1"/>
    <col min="124" max="124" width="15.85546875" style="169" bestFit="1" customWidth="1"/>
    <col min="125" max="125" width="12.28515625" style="169" bestFit="1" customWidth="1"/>
    <col min="126" max="127" width="13.28515625" style="169" bestFit="1" customWidth="1"/>
    <col min="128" max="128" width="13.42578125" style="169" bestFit="1" customWidth="1"/>
    <col min="129" max="129" width="20.85546875" style="169" bestFit="1" customWidth="1"/>
    <col min="130" max="131" width="11.28515625" style="169" bestFit="1" customWidth="1"/>
    <col min="132" max="133" width="13.28515625" style="169" bestFit="1" customWidth="1"/>
    <col min="134" max="134" width="13.42578125" style="169" bestFit="1" customWidth="1"/>
    <col min="135" max="135" width="20.85546875" style="169" bestFit="1" customWidth="1"/>
    <col min="136" max="137" width="12.28515625" style="169" bestFit="1" customWidth="1"/>
    <col min="138" max="139" width="13.28515625" style="169" bestFit="1" customWidth="1"/>
    <col min="140" max="143" width="12.28515625" style="169" bestFit="1" customWidth="1"/>
    <col min="144" max="145" width="13.28515625" style="169" bestFit="1" customWidth="1"/>
    <col min="146" max="146" width="13.42578125" style="169" bestFit="1" customWidth="1"/>
    <col min="147" max="147" width="12.28515625" style="169" bestFit="1" customWidth="1"/>
    <col min="148" max="148" width="16.85546875" style="169" bestFit="1" customWidth="1"/>
    <col min="149" max="149" width="12.28515625" style="169" bestFit="1" customWidth="1"/>
    <col min="150" max="151" width="13.28515625" style="169" bestFit="1" customWidth="1"/>
    <col min="152" max="152" width="13.42578125" style="169" bestFit="1" customWidth="1"/>
    <col min="153" max="153" width="12.28515625" style="169" bestFit="1" customWidth="1"/>
    <col min="154" max="154" width="16.85546875" style="169" bestFit="1" customWidth="1"/>
    <col min="155" max="155" width="12.28515625" style="169" bestFit="1" customWidth="1"/>
    <col min="156" max="157" width="13.28515625" style="169" bestFit="1" customWidth="1"/>
    <col min="158" max="158" width="13.42578125" style="169" bestFit="1" customWidth="1"/>
    <col min="159" max="159" width="20.85546875" style="169" bestFit="1" customWidth="1"/>
    <col min="160" max="161" width="12.28515625" style="169" bestFit="1" customWidth="1"/>
    <col min="162" max="163" width="14.28515625" style="169" bestFit="1" customWidth="1"/>
    <col min="164" max="164" width="13.42578125" style="169" bestFit="1" customWidth="1"/>
    <col min="165" max="165" width="20.85546875" style="169" bestFit="1" customWidth="1"/>
    <col min="166" max="167" width="11.7109375" style="169" bestFit="1" customWidth="1"/>
    <col min="168" max="169" width="14.28515625" style="169" bestFit="1" customWidth="1"/>
    <col min="170" max="173" width="11.7109375" style="169" bestFit="1" customWidth="1"/>
    <col min="174" max="175" width="14.28515625" style="169" bestFit="1" customWidth="1"/>
    <col min="176" max="176" width="12.28515625" style="169" bestFit="1" customWidth="1"/>
    <col min="177" max="16384" width="9.140625" style="169"/>
  </cols>
  <sheetData>
    <row r="2" spans="1:48" x14ac:dyDescent="0.25">
      <c r="A2" s="77" t="s">
        <v>303</v>
      </c>
      <c r="B2" s="78">
        <v>1</v>
      </c>
    </row>
    <row r="4" spans="1:48" x14ac:dyDescent="0.25">
      <c r="A4" s="77" t="s">
        <v>254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9" t="s">
        <v>15</v>
      </c>
      <c r="C5" s="169" t="s">
        <v>49</v>
      </c>
      <c r="D5" s="169" t="s">
        <v>110</v>
      </c>
      <c r="E5" s="169" t="s">
        <v>101</v>
      </c>
      <c r="F5" s="169" t="s">
        <v>96</v>
      </c>
      <c r="G5" s="169" t="s">
        <v>113</v>
      </c>
      <c r="H5" s="169" t="s">
        <v>51</v>
      </c>
      <c r="I5" s="169" t="s">
        <v>12</v>
      </c>
      <c r="J5" s="169" t="s">
        <v>48</v>
      </c>
      <c r="K5" s="169" t="s">
        <v>108</v>
      </c>
      <c r="L5" s="169" t="s">
        <v>53</v>
      </c>
      <c r="M5" s="169" t="s">
        <v>116</v>
      </c>
      <c r="N5" s="169" t="s">
        <v>106</v>
      </c>
      <c r="O5" s="169" t="s">
        <v>14</v>
      </c>
      <c r="P5" s="169" t="s">
        <v>117</v>
      </c>
      <c r="Q5" s="169" t="s">
        <v>52</v>
      </c>
      <c r="R5" s="169" t="s">
        <v>121</v>
      </c>
      <c r="S5" s="169" t="s">
        <v>107</v>
      </c>
      <c r="T5" s="169" t="s">
        <v>13</v>
      </c>
      <c r="U5" s="169" t="s">
        <v>99</v>
      </c>
      <c r="V5" s="169" t="s">
        <v>140</v>
      </c>
      <c r="W5" s="169" t="s">
        <v>208</v>
      </c>
      <c r="X5" s="169" t="s">
        <v>204</v>
      </c>
      <c r="Y5" s="169" t="s">
        <v>56</v>
      </c>
      <c r="Z5" s="169" t="s">
        <v>55</v>
      </c>
      <c r="AA5" s="169" t="s">
        <v>238</v>
      </c>
      <c r="AB5" s="169" t="s">
        <v>61</v>
      </c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4368323.901678659</v>
      </c>
      <c r="W6" s="98"/>
      <c r="X6" s="98"/>
      <c r="Y6" s="98">
        <v>911574.64248506655</v>
      </c>
      <c r="Z6" s="98">
        <v>2005102.1714007764</v>
      </c>
      <c r="AA6" s="98">
        <v>98826.033045954537</v>
      </c>
      <c r="AB6" s="98">
        <v>34625194.021511331</v>
      </c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159514.08577732509</v>
      </c>
      <c r="C7" s="98">
        <v>208970.92050051555</v>
      </c>
      <c r="D7" s="98">
        <v>2964157.5209179753</v>
      </c>
      <c r="E7" s="98">
        <v>1020329.0563265749</v>
      </c>
      <c r="F7" s="98">
        <v>114655.84934403934</v>
      </c>
      <c r="G7" s="98">
        <v>1373382.5070844863</v>
      </c>
      <c r="H7" s="98">
        <v>19350672.623317029</v>
      </c>
      <c r="I7" s="98">
        <v>1941936.7965847314</v>
      </c>
      <c r="J7" s="98">
        <v>787503.19758674048</v>
      </c>
      <c r="K7" s="98"/>
      <c r="L7" s="98">
        <v>77153.344535718672</v>
      </c>
      <c r="M7" s="98">
        <v>2350675.2410932588</v>
      </c>
      <c r="N7" s="98">
        <v>148232.6739623498</v>
      </c>
      <c r="O7" s="98"/>
      <c r="P7" s="98">
        <v>5033066.9797744127</v>
      </c>
      <c r="Q7" s="98">
        <v>1489260.4030561694</v>
      </c>
      <c r="R7" s="98">
        <v>201922.37904121177</v>
      </c>
      <c r="S7" s="98">
        <v>97016.53393111816</v>
      </c>
      <c r="T7" s="98">
        <v>1268180.5191812452</v>
      </c>
      <c r="U7" s="98">
        <v>14400</v>
      </c>
      <c r="V7" s="98">
        <v>4539787.1932864804</v>
      </c>
      <c r="W7" s="98">
        <v>724614.08270320203</v>
      </c>
      <c r="X7" s="98"/>
      <c r="Y7" s="98">
        <v>880607.64072431345</v>
      </c>
      <c r="Z7" s="98">
        <v>1933606.0132146534</v>
      </c>
      <c r="AA7" s="98">
        <v>591.1476788222335</v>
      </c>
      <c r="AB7" s="98">
        <v>46680236.709622383</v>
      </c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130199.80401195865</v>
      </c>
      <c r="C8" s="98">
        <v>185519.69272735214</v>
      </c>
      <c r="D8" s="98">
        <v>3251115.9888160955</v>
      </c>
      <c r="E8" s="98">
        <v>1218478.704193075</v>
      </c>
      <c r="F8" s="98">
        <v>73602.257568286732</v>
      </c>
      <c r="G8" s="98">
        <v>1226484.3700345419</v>
      </c>
      <c r="H8" s="98">
        <v>29163070.644929633</v>
      </c>
      <c r="I8" s="98">
        <v>1735805.2879660793</v>
      </c>
      <c r="J8" s="98">
        <v>115029.66699762642</v>
      </c>
      <c r="K8" s="98"/>
      <c r="L8" s="98">
        <v>476638.98467432143</v>
      </c>
      <c r="M8" s="98">
        <v>2037605.0597173451</v>
      </c>
      <c r="N8" s="98">
        <v>243411.82603765032</v>
      </c>
      <c r="O8" s="98"/>
      <c r="P8" s="98">
        <v>4604097.8520915266</v>
      </c>
      <c r="Q8" s="98">
        <v>1321216.6579891986</v>
      </c>
      <c r="R8" s="98">
        <v>174489.67286973639</v>
      </c>
      <c r="S8" s="98">
        <v>78876.104206330288</v>
      </c>
      <c r="T8" s="98">
        <v>1066580.7616045058</v>
      </c>
      <c r="U8" s="98">
        <v>18000</v>
      </c>
      <c r="V8" s="98">
        <v>4723434.7239489537</v>
      </c>
      <c r="W8" s="98">
        <v>2197522.4468907565</v>
      </c>
      <c r="X8" s="98">
        <v>14627.829244278691</v>
      </c>
      <c r="Y8" s="98">
        <v>806064.62786867074</v>
      </c>
      <c r="Z8" s="98">
        <v>1770771.2320314979</v>
      </c>
      <c r="AA8" s="98">
        <v>18979.76092630393</v>
      </c>
      <c r="AB8" s="98">
        <v>56651623.957345717</v>
      </c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466310.78919127956</v>
      </c>
      <c r="C9" s="98">
        <v>607201.62298361445</v>
      </c>
      <c r="D9" s="98">
        <v>9445802.581975583</v>
      </c>
      <c r="E9" s="98">
        <v>3591025.7676625075</v>
      </c>
      <c r="F9" s="98">
        <v>326533.38694122521</v>
      </c>
      <c r="G9" s="98">
        <v>4102424.9127272433</v>
      </c>
      <c r="H9" s="98">
        <v>52631746.978546828</v>
      </c>
      <c r="I9" s="98">
        <v>5718615.8354169447</v>
      </c>
      <c r="J9" s="98">
        <v>2877203.1938957861</v>
      </c>
      <c r="K9" s="98">
        <v>51892.132620096323</v>
      </c>
      <c r="L9" s="98">
        <v>1820054.5754775323</v>
      </c>
      <c r="M9" s="98">
        <v>6925063.5421395442</v>
      </c>
      <c r="N9" s="98">
        <v>392524.60000000009</v>
      </c>
      <c r="O9" s="98">
        <v>8064.2063400965635</v>
      </c>
      <c r="P9" s="98">
        <v>14906164.831865938</v>
      </c>
      <c r="Q9" s="98">
        <v>4466841.7025462827</v>
      </c>
      <c r="R9" s="98">
        <v>593422.41934647132</v>
      </c>
      <c r="S9" s="98">
        <v>281838.94970940368</v>
      </c>
      <c r="T9" s="98">
        <v>3717412.7119646575</v>
      </c>
      <c r="U9" s="98">
        <v>32476.5</v>
      </c>
      <c r="V9" s="98">
        <v>13631545.818914093</v>
      </c>
      <c r="W9" s="98">
        <v>2922136.5295939585</v>
      </c>
      <c r="X9" s="98">
        <v>14627.829244278691</v>
      </c>
      <c r="Y9" s="98">
        <v>2598246.9110780507</v>
      </c>
      <c r="Z9" s="98">
        <v>5709479.4166469276</v>
      </c>
      <c r="AA9" s="98">
        <v>118396.94165108071</v>
      </c>
      <c r="AB9" s="98">
        <v>137957054.68847942</v>
      </c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9" t="s">
        <v>230</v>
      </c>
      <c r="C4" s="169" t="s">
        <v>158</v>
      </c>
      <c r="D4" s="169" t="s">
        <v>224</v>
      </c>
      <c r="E4" s="169" t="s">
        <v>227</v>
      </c>
      <c r="F4" s="169" t="s">
        <v>226</v>
      </c>
      <c r="G4" s="169" t="s">
        <v>222</v>
      </c>
      <c r="H4" s="169" t="s">
        <v>315</v>
      </c>
      <c r="I4" s="169" t="s">
        <v>231</v>
      </c>
      <c r="J4" s="169" t="s">
        <v>225</v>
      </c>
      <c r="K4" s="169" t="s">
        <v>61</v>
      </c>
    </row>
    <row r="5" spans="1:11" x14ac:dyDescent="0.25">
      <c r="A5" s="78" t="s">
        <v>288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</row>
    <row r="6" spans="1:11" x14ac:dyDescent="0.25">
      <c r="A6" s="79">
        <v>2019</v>
      </c>
      <c r="B6" s="236">
        <v>17.543930524502301</v>
      </c>
      <c r="C6" s="236">
        <v>0</v>
      </c>
      <c r="D6" s="236">
        <v>0</v>
      </c>
      <c r="E6" s="236">
        <v>19.573590488557194</v>
      </c>
      <c r="F6" s="236">
        <v>0</v>
      </c>
      <c r="G6" s="236">
        <v>0</v>
      </c>
      <c r="H6" s="236">
        <v>0</v>
      </c>
      <c r="I6" s="236">
        <v>3.951047127829578</v>
      </c>
      <c r="J6" s="236">
        <v>47.489094924341849</v>
      </c>
      <c r="K6" s="236">
        <v>88.557663065230912</v>
      </c>
    </row>
    <row r="7" spans="1:11" x14ac:dyDescent="0.25">
      <c r="A7" s="79">
        <v>2030</v>
      </c>
      <c r="B7" s="236">
        <v>20.220929426516975</v>
      </c>
      <c r="C7" s="236">
        <v>0</v>
      </c>
      <c r="D7" s="236">
        <v>39.921711604019222</v>
      </c>
      <c r="E7" s="236">
        <v>24.69980068075812</v>
      </c>
      <c r="F7" s="236">
        <v>0.14596282488120896</v>
      </c>
      <c r="G7" s="236">
        <v>2.1977887873274424</v>
      </c>
      <c r="H7" s="236">
        <v>0</v>
      </c>
      <c r="I7" s="236">
        <v>2.3227300977868404</v>
      </c>
      <c r="J7" s="236">
        <v>44.585787862809475</v>
      </c>
      <c r="K7" s="236">
        <v>134.09471128409928</v>
      </c>
    </row>
    <row r="8" spans="1:11" x14ac:dyDescent="0.25">
      <c r="A8" s="79">
        <v>2050</v>
      </c>
      <c r="B8" s="236">
        <v>21.149221740593234</v>
      </c>
      <c r="C8" s="236">
        <v>0</v>
      </c>
      <c r="D8" s="236">
        <v>58.953373416269734</v>
      </c>
      <c r="E8" s="236">
        <v>9.5979311859998937</v>
      </c>
      <c r="F8" s="236">
        <v>0.23461711386879117</v>
      </c>
      <c r="G8" s="236">
        <v>2.6246031288318838</v>
      </c>
      <c r="H8" s="236">
        <v>0</v>
      </c>
      <c r="I8" s="236">
        <v>2.0747812088786524</v>
      </c>
      <c r="J8" s="236">
        <v>40.601518628630025</v>
      </c>
      <c r="K8" s="236">
        <v>135.23604642307222</v>
      </c>
    </row>
    <row r="9" spans="1:11" x14ac:dyDescent="0.25">
      <c r="A9" s="78" t="s">
        <v>245</v>
      </c>
      <c r="B9" s="236"/>
      <c r="C9" s="236"/>
      <c r="D9" s="236"/>
      <c r="E9" s="236"/>
      <c r="F9" s="236"/>
      <c r="G9" s="236"/>
      <c r="H9" s="236"/>
      <c r="I9" s="236"/>
      <c r="J9" s="236"/>
      <c r="K9" s="236"/>
    </row>
    <row r="10" spans="1:11" x14ac:dyDescent="0.25">
      <c r="A10" s="79">
        <v>2019</v>
      </c>
      <c r="B10" s="236">
        <v>7.483154704207001</v>
      </c>
      <c r="C10" s="236">
        <v>2.1694819870080004</v>
      </c>
      <c r="D10" s="236">
        <v>1.4201719861750002</v>
      </c>
      <c r="E10" s="236">
        <v>0.45076703431999998</v>
      </c>
      <c r="F10" s="236">
        <v>0</v>
      </c>
      <c r="G10" s="236">
        <v>5.0922829580050024</v>
      </c>
      <c r="H10" s="236">
        <v>0</v>
      </c>
      <c r="I10" s="236">
        <v>0</v>
      </c>
      <c r="J10" s="236">
        <v>0</v>
      </c>
      <c r="K10" s="236">
        <v>16.615858669715003</v>
      </c>
    </row>
    <row r="11" spans="1:11" x14ac:dyDescent="0.25">
      <c r="A11" s="79">
        <v>2030</v>
      </c>
      <c r="B11" s="236">
        <v>5.3233875835998123</v>
      </c>
      <c r="C11" s="236">
        <v>2.1694819870080004</v>
      </c>
      <c r="D11" s="236">
        <v>1.4201719861750002</v>
      </c>
      <c r="E11" s="236">
        <v>0.45076703432000015</v>
      </c>
      <c r="F11" s="236">
        <v>0</v>
      </c>
      <c r="G11" s="236">
        <v>12.317679754796046</v>
      </c>
      <c r="H11" s="236">
        <v>0</v>
      </c>
      <c r="I11" s="236">
        <v>0</v>
      </c>
      <c r="J11" s="236">
        <v>0</v>
      </c>
      <c r="K11" s="236">
        <v>21.681488345898856</v>
      </c>
    </row>
    <row r="12" spans="1:11" x14ac:dyDescent="0.25">
      <c r="A12" s="79">
        <v>2050</v>
      </c>
      <c r="B12" s="236">
        <v>5.6175232535168851</v>
      </c>
      <c r="C12" s="236">
        <v>2.1694819870080004</v>
      </c>
      <c r="D12" s="236">
        <v>1.4201719861750002</v>
      </c>
      <c r="E12" s="236">
        <v>0.45076703432000009</v>
      </c>
      <c r="F12" s="236">
        <v>0</v>
      </c>
      <c r="G12" s="236">
        <v>11.808699543452494</v>
      </c>
      <c r="H12" s="236">
        <v>0</v>
      </c>
      <c r="I12" s="236">
        <v>0</v>
      </c>
      <c r="J12" s="236">
        <v>0</v>
      </c>
      <c r="K12" s="236">
        <v>21.466643804472383</v>
      </c>
    </row>
    <row r="13" spans="1:11" x14ac:dyDescent="0.25">
      <c r="A13" s="78" t="s">
        <v>289</v>
      </c>
      <c r="B13" s="236">
        <v>58.914081691612509</v>
      </c>
      <c r="C13" s="236">
        <v>0</v>
      </c>
      <c r="D13" s="236">
        <v>98.875085020288964</v>
      </c>
      <c r="E13" s="236">
        <v>53.871322355315215</v>
      </c>
      <c r="F13" s="236">
        <v>0.38057993875000012</v>
      </c>
      <c r="G13" s="236">
        <v>4.8223919161593258</v>
      </c>
      <c r="H13" s="236">
        <v>0</v>
      </c>
      <c r="I13" s="236">
        <v>8.3485584344950716</v>
      </c>
      <c r="J13" s="236">
        <v>132.67640141578136</v>
      </c>
      <c r="K13" s="236">
        <v>357.88842077240241</v>
      </c>
    </row>
    <row r="14" spans="1:11" x14ac:dyDescent="0.25">
      <c r="A14" s="78" t="s">
        <v>246</v>
      </c>
      <c r="B14" s="236">
        <v>18.424065541323699</v>
      </c>
      <c r="C14" s="236">
        <v>6.5084459610240017</v>
      </c>
      <c r="D14" s="236">
        <v>4.2605159585250005</v>
      </c>
      <c r="E14" s="236">
        <v>1.3523011029600003</v>
      </c>
      <c r="F14" s="236">
        <v>0</v>
      </c>
      <c r="G14" s="236">
        <v>29.218662256253541</v>
      </c>
      <c r="H14" s="236">
        <v>0</v>
      </c>
      <c r="I14" s="236">
        <v>0</v>
      </c>
      <c r="J14" s="236">
        <v>0</v>
      </c>
      <c r="K14" s="236">
        <v>59.763990820086242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9" t="s">
        <v>230</v>
      </c>
      <c r="C2" s="169" t="s">
        <v>158</v>
      </c>
      <c r="D2" s="169" t="s">
        <v>224</v>
      </c>
      <c r="E2" s="169" t="s">
        <v>227</v>
      </c>
      <c r="F2" s="169" t="s">
        <v>226</v>
      </c>
      <c r="G2" s="169" t="s">
        <v>222</v>
      </c>
      <c r="H2" s="169" t="s">
        <v>225</v>
      </c>
      <c r="I2" s="169" t="s">
        <v>61</v>
      </c>
    </row>
    <row r="3" spans="1:9" x14ac:dyDescent="0.25">
      <c r="A3" s="78">
        <v>2019</v>
      </c>
      <c r="B3" s="237">
        <v>1077304.94</v>
      </c>
      <c r="C3" s="237">
        <v>128467.8</v>
      </c>
      <c r="D3" s="237">
        <v>128726.35999999999</v>
      </c>
      <c r="E3" s="237">
        <v>1675417.9906552273</v>
      </c>
      <c r="F3" s="237">
        <v>0</v>
      </c>
      <c r="G3" s="237">
        <v>704016.11583333346</v>
      </c>
      <c r="H3" s="237">
        <v>1575873.4784311759</v>
      </c>
      <c r="I3" s="237">
        <v>5289806.6849197373</v>
      </c>
    </row>
    <row r="4" spans="1:9" x14ac:dyDescent="0.25">
      <c r="A4" s="78">
        <v>2030</v>
      </c>
      <c r="B4" s="237">
        <v>1172564.8044245997</v>
      </c>
      <c r="C4" s="237">
        <v>128467.8</v>
      </c>
      <c r="D4" s="237">
        <v>5867912.7785007171</v>
      </c>
      <c r="E4" s="237">
        <v>2119311.0464717015</v>
      </c>
      <c r="F4" s="237">
        <v>24394.90109435247</v>
      </c>
      <c r="G4" s="237">
        <v>1993576.6354321584</v>
      </c>
      <c r="H4" s="237">
        <v>1483311.7213913377</v>
      </c>
      <c r="I4" s="237">
        <v>12789539.687314866</v>
      </c>
    </row>
    <row r="5" spans="1:9" x14ac:dyDescent="0.25">
      <c r="A5" s="78">
        <v>2050</v>
      </c>
      <c r="B5" s="237">
        <v>1269511.5326937563</v>
      </c>
      <c r="C5" s="237">
        <v>128467.8</v>
      </c>
      <c r="D5" s="237">
        <v>8701621.1675804332</v>
      </c>
      <c r="E5" s="237">
        <v>858296.4224330713</v>
      </c>
      <c r="F5" s="237">
        <v>39211.773905647548</v>
      </c>
      <c r="G5" s="237">
        <v>1994474.4462179011</v>
      </c>
      <c r="H5" s="237">
        <v>1353310.2674925956</v>
      </c>
      <c r="I5" s="237">
        <v>14344893.410323404</v>
      </c>
    </row>
    <row r="6" spans="1:9" x14ac:dyDescent="0.25">
      <c r="A6" s="78" t="s">
        <v>61</v>
      </c>
      <c r="B6" s="237">
        <v>3519381.277118356</v>
      </c>
      <c r="C6" s="237">
        <v>385403.4</v>
      </c>
      <c r="D6" s="237">
        <v>14698260.30608115</v>
      </c>
      <c r="E6" s="237">
        <v>4653025.4595599994</v>
      </c>
      <c r="F6" s="237">
        <v>63606.675000000017</v>
      </c>
      <c r="G6" s="237">
        <v>4692067.1974833924</v>
      </c>
      <c r="H6" s="237">
        <v>4412495.4673151094</v>
      </c>
      <c r="I6" s="237">
        <v>32424239.782558009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9" t="s">
        <v>111</v>
      </c>
      <c r="C2" s="169" t="s">
        <v>200</v>
      </c>
      <c r="D2" s="169" t="s">
        <v>193</v>
      </c>
      <c r="E2" s="169" t="s">
        <v>194</v>
      </c>
      <c r="F2" s="169" t="s">
        <v>10</v>
      </c>
      <c r="G2" s="169" t="s">
        <v>263</v>
      </c>
      <c r="H2" s="169" t="s">
        <v>313</v>
      </c>
      <c r="I2" s="169" t="s">
        <v>336</v>
      </c>
      <c r="J2" s="169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11139467.915958788</v>
      </c>
      <c r="C4" s="98">
        <v>-24610.813181900667</v>
      </c>
      <c r="D4" s="98">
        <v>5465486.5519993426</v>
      </c>
      <c r="E4" s="98">
        <v>7518879.492235614</v>
      </c>
      <c r="F4" s="98">
        <v>-840120.34066998609</v>
      </c>
      <c r="G4" s="98">
        <v>-406770.42780342523</v>
      </c>
      <c r="H4" s="98">
        <v>0</v>
      </c>
      <c r="I4" s="98">
        <v>-573396.54662085196</v>
      </c>
      <c r="J4" s="98">
        <v>22278935.83191758</v>
      </c>
    </row>
    <row r="5" spans="1:10" x14ac:dyDescent="0.25">
      <c r="A5" s="78">
        <v>2050</v>
      </c>
      <c r="B5" s="98">
        <v>7863554.1946581304</v>
      </c>
      <c r="C5" s="98">
        <v>-40179.115818099352</v>
      </c>
      <c r="D5" s="98">
        <v>5367713.1906586625</v>
      </c>
      <c r="E5" s="98">
        <v>5551260.4629323697</v>
      </c>
      <c r="F5" s="98">
        <v>-2125652.3109115865</v>
      </c>
      <c r="G5" s="98">
        <v>-358494.53292940703</v>
      </c>
      <c r="H5" s="98">
        <v>0</v>
      </c>
      <c r="I5" s="98">
        <v>-531093.49927380856</v>
      </c>
      <c r="J5" s="98">
        <v>15727108.389316263</v>
      </c>
    </row>
    <row r="6" spans="1:10" x14ac:dyDescent="0.25">
      <c r="A6" s="78" t="s">
        <v>61</v>
      </c>
      <c r="B6" s="98">
        <v>32914584.228894487</v>
      </c>
      <c r="C6" s="98">
        <v>-64948.366200000019</v>
      </c>
      <c r="D6" s="98">
        <v>16352461.643394722</v>
      </c>
      <c r="E6" s="98">
        <v>22795606.144902166</v>
      </c>
      <c r="F6" s="98">
        <v>-3527672.6515815724</v>
      </c>
      <c r="G6" s="98">
        <v>-930472.17162789195</v>
      </c>
      <c r="H6" s="98">
        <v>0</v>
      </c>
      <c r="I6" s="98">
        <v>-1710390.3699929356</v>
      </c>
      <c r="J6" s="98">
        <v>65829168.457788974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9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9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9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9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9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9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9" customFormat="1" x14ac:dyDescent="0.25">
      <c r="A9" s="169" t="s">
        <v>23</v>
      </c>
      <c r="B9" s="169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9" t="s">
        <v>335</v>
      </c>
      <c r="E9" s="169" t="s">
        <v>336</v>
      </c>
      <c r="G9" s="169" t="s">
        <v>334</v>
      </c>
    </row>
    <row r="10" spans="1:9" s="169" customFormat="1" x14ac:dyDescent="0.25">
      <c r="A10" s="169" t="s">
        <v>23</v>
      </c>
      <c r="B10" s="169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9" t="s">
        <v>263</v>
      </c>
      <c r="E10" s="169" t="s">
        <v>263</v>
      </c>
      <c r="G10" s="169" t="s">
        <v>263</v>
      </c>
    </row>
    <row r="11" spans="1:9" s="169" customFormat="1" x14ac:dyDescent="0.25">
      <c r="A11" s="169" t="s">
        <v>23</v>
      </c>
      <c r="B11" s="169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9" t="s">
        <v>313</v>
      </c>
      <c r="E11" s="169" t="s">
        <v>313</v>
      </c>
      <c r="G11" s="169" t="s">
        <v>313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9576688.349202143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9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5018539.2049980592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9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4015717.0466013732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9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792311.69162346574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9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1262030.8052397082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9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-23936.112883057391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9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-671075.85993180249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9" customFormat="1" x14ac:dyDescent="0.25">
      <c r="A19" s="169" t="s">
        <v>23</v>
      </c>
      <c r="B19" s="169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-443563.40437744389</v>
      </c>
      <c r="D19" s="169" t="s">
        <v>335</v>
      </c>
      <c r="E19" s="98" t="str">
        <f t="shared" si="4"/>
        <v>Træprodukter</v>
      </c>
      <c r="G19" s="169" t="s">
        <v>334</v>
      </c>
      <c r="H19" s="98"/>
      <c r="I19" s="98"/>
    </row>
    <row r="20" spans="1:9" s="169" customFormat="1" x14ac:dyDescent="0.25">
      <c r="A20" s="169" t="s">
        <v>23</v>
      </c>
      <c r="B20" s="169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-373335.0220681568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9" customFormat="1" x14ac:dyDescent="0.25">
      <c r="A21" s="169" t="s">
        <v>23</v>
      </c>
      <c r="B21" s="169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6689901.0930979541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4925781.8657493982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3788435.4304937618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293562.96998061956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211798.44528148958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-32111.211335450222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-1756147.6279562197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9" customFormat="1" x14ac:dyDescent="0.25">
      <c r="A29" s="169" t="s">
        <v>23</v>
      </c>
      <c r="B29" s="169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-411833.66021316953</v>
      </c>
      <c r="D29" s="169" t="s">
        <v>335</v>
      </c>
      <c r="E29" s="98" t="str">
        <f t="shared" si="4"/>
        <v>Træprodukter</v>
      </c>
      <c r="G29" s="169" t="s">
        <v>334</v>
      </c>
      <c r="H29" s="98"/>
      <c r="I29" s="98"/>
    </row>
    <row r="30" spans="1:9" s="169" customFormat="1" x14ac:dyDescent="0.25">
      <c r="A30" s="169" t="s">
        <v>23</v>
      </c>
      <c r="B30" s="169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-329585.11890247389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9" customFormat="1" x14ac:dyDescent="0.25">
      <c r="A31" s="169" t="s">
        <v>23</v>
      </c>
      <c r="B31" s="169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9">
        <f t="shared" ref="B32:B41" si="22">År1</f>
        <v>2019</v>
      </c>
      <c r="C32" s="98">
        <f ca="1"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9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9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9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9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9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9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9" customFormat="1" x14ac:dyDescent="0.25">
      <c r="A39" s="169" t="s">
        <v>24</v>
      </c>
      <c r="B39" s="169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-137192.91374803972</v>
      </c>
      <c r="D39" s="169" t="s">
        <v>335</v>
      </c>
      <c r="E39" s="98" t="str">
        <f t="shared" si="4"/>
        <v>Træprodukter</v>
      </c>
      <c r="G39" s="169" t="s">
        <v>334</v>
      </c>
      <c r="H39" s="98"/>
      <c r="I39" s="98"/>
    </row>
    <row r="40" spans="1:9" s="169" customFormat="1" x14ac:dyDescent="0.25">
      <c r="A40" s="169" t="s">
        <v>24</v>
      </c>
      <c r="B40" s="169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9" customFormat="1" x14ac:dyDescent="0.25">
      <c r="A41" s="169" t="s">
        <v>24</v>
      </c>
      <c r="B41" s="169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9" t="s">
        <v>24</v>
      </c>
      <c r="B42" s="169">
        <f t="shared" ref="B42:B51" si="32">År2</f>
        <v>2030</v>
      </c>
      <c r="C42" s="98">
        <f ca="1">SUMIF('Resultater - Østdanmark'!$F$3:$F$509,'CO2-udledning'!$D$2,'Resultater - Østdanmark'!I$3:I$509)</f>
        <v>1562779.5667566461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9" t="s">
        <v>24</v>
      </c>
      <c r="B43" s="169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446947.3470012836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9" t="s">
        <v>24</v>
      </c>
      <c r="B44" s="169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1227432.7135179634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9" t="s">
        <v>24</v>
      </c>
      <c r="B45" s="169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85395.309525324832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9" t="s">
        <v>24</v>
      </c>
      <c r="B46" s="169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135991.92572777811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9" t="s">
        <v>24</v>
      </c>
      <c r="B47" s="169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-674.70029884327505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9" t="s">
        <v>24</v>
      </c>
      <c r="B48" s="169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-169044.48073818354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9" customFormat="1" x14ac:dyDescent="0.25">
      <c r="A49" s="169" t="s">
        <v>24</v>
      </c>
      <c r="B49" s="169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-129833.14224340807</v>
      </c>
      <c r="D49" s="169" t="s">
        <v>335</v>
      </c>
      <c r="E49" s="98" t="str">
        <f t="shared" si="4"/>
        <v>Træprodukter</v>
      </c>
      <c r="G49" s="169" t="s">
        <v>334</v>
      </c>
      <c r="H49" s="98"/>
      <c r="I49" s="98"/>
    </row>
    <row r="50" spans="1:9" s="169" customFormat="1" x14ac:dyDescent="0.25">
      <c r="A50" s="169" t="s">
        <v>24</v>
      </c>
      <c r="B50" s="169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-33435.405735268432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9" customFormat="1" x14ac:dyDescent="0.25">
      <c r="A51" s="169" t="s">
        <v>24</v>
      </c>
      <c r="B51" s="169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9" t="s">
        <v>24</v>
      </c>
      <c r="B52" s="169">
        <f t="shared" ref="B52:B61" si="42">År3</f>
        <v>2050</v>
      </c>
      <c r="C52" s="98">
        <f ca="1">SUMIF('Resultater - Østdanmark'!$F$3:$F$509,'CO2-udledning'!$D$2,'Resultater - Østdanmark'!J$3:J$509)</f>
        <v>1173653.1015601759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9" t="s">
        <v>24</v>
      </c>
      <c r="B53" s="169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441931.32490926457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9" t="s">
        <v>24</v>
      </c>
      <c r="B54" s="169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1202996.0828084261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9" t="s">
        <v>24</v>
      </c>
      <c r="B55" s="169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31640.031616421915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9" t="s">
        <v>24</v>
      </c>
      <c r="B56" s="169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22827.502751650667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9" t="s">
        <v>24</v>
      </c>
      <c r="B57" s="169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-8067.9044826491263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9" t="s">
        <v>24</v>
      </c>
      <c r="B58" s="169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-369504.68295536668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9" customFormat="1" x14ac:dyDescent="0.25">
      <c r="A59" s="169" t="s">
        <v>24</v>
      </c>
      <c r="B59" s="169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-119259.83906063907</v>
      </c>
      <c r="D59" s="169" t="s">
        <v>335</v>
      </c>
      <c r="E59" s="98" t="str">
        <f t="shared" si="4"/>
        <v>Træprodukter</v>
      </c>
      <c r="G59" s="169" t="s">
        <v>334</v>
      </c>
      <c r="H59" s="98"/>
      <c r="I59" s="98"/>
    </row>
    <row r="60" spans="1:9" s="169" customFormat="1" x14ac:dyDescent="0.25">
      <c r="A60" s="169" t="s">
        <v>24</v>
      </c>
      <c r="B60" s="169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-28909.414026933129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9" t="s">
        <v>24</v>
      </c>
      <c r="B61" s="169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1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9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9" t="s">
        <v>49</v>
      </c>
      <c r="C4" s="169" t="s">
        <v>113</v>
      </c>
      <c r="D4" s="169" t="s">
        <v>54</v>
      </c>
      <c r="E4" s="169" t="s">
        <v>51</v>
      </c>
      <c r="F4" s="169" t="s">
        <v>6</v>
      </c>
      <c r="G4" s="169" t="s">
        <v>56</v>
      </c>
      <c r="H4" s="169" t="s">
        <v>12</v>
      </c>
      <c r="I4" s="169" t="s">
        <v>48</v>
      </c>
      <c r="J4" s="169" t="s">
        <v>53</v>
      </c>
      <c r="K4" s="169" t="s">
        <v>55</v>
      </c>
      <c r="L4" s="169" t="s">
        <v>95</v>
      </c>
      <c r="M4" s="169" t="s">
        <v>50</v>
      </c>
      <c r="N4" s="169" t="s">
        <v>52</v>
      </c>
      <c r="O4" s="169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277519.23248414631</v>
      </c>
      <c r="C6" s="98">
        <v>1373382.5070844863</v>
      </c>
      <c r="D6" s="98">
        <v>39900.180984749015</v>
      </c>
      <c r="E6" s="98">
        <v>34836563.892039135</v>
      </c>
      <c r="F6" s="98">
        <v>272594.10743266088</v>
      </c>
      <c r="G6" s="98">
        <v>880607.64072431345</v>
      </c>
      <c r="H6" s="98">
        <v>2172428.8943207394</v>
      </c>
      <c r="I6" s="98">
        <v>7615101.4627649188</v>
      </c>
      <c r="J6" s="98">
        <v>4892115.5248873159</v>
      </c>
      <c r="K6" s="98">
        <v>1933606.0132146534</v>
      </c>
      <c r="L6" s="98">
        <v>179195.12035606703</v>
      </c>
      <c r="M6" s="98">
        <v>207386.61587382504</v>
      </c>
      <c r="N6" s="98">
        <v>2493160.9326414615</v>
      </c>
      <c r="O6" s="98">
        <v>57173562.124808483</v>
      </c>
    </row>
    <row r="7" spans="1:15" x14ac:dyDescent="0.25">
      <c r="A7" s="78">
        <v>2050</v>
      </c>
      <c r="B7" s="98">
        <v>254068.0047109829</v>
      </c>
      <c r="C7" s="98">
        <v>1226484.3700345419</v>
      </c>
      <c r="D7" s="98">
        <v>36625.04494002006</v>
      </c>
      <c r="E7" s="98">
        <v>48622700.796527795</v>
      </c>
      <c r="F7" s="98">
        <v>251665.16576721644</v>
      </c>
      <c r="G7" s="98">
        <v>806064.62786867074</v>
      </c>
      <c r="H7" s="98">
        <v>1976128.5943200691</v>
      </c>
      <c r="I7" s="98">
        <v>5315746.8864683779</v>
      </c>
      <c r="J7" s="98">
        <v>2544577.7545605656</v>
      </c>
      <c r="K7" s="98">
        <v>1770771.2320314979</v>
      </c>
      <c r="L7" s="98">
        <v>151203.52522787557</v>
      </c>
      <c r="M7" s="98">
        <v>185248.32222130828</v>
      </c>
      <c r="N7" s="98">
        <v>2325117.1875744909</v>
      </c>
      <c r="O7" s="98">
        <v>65466401.512253404</v>
      </c>
    </row>
    <row r="8" spans="1:15" x14ac:dyDescent="0.25">
      <c r="A8" s="78" t="s">
        <v>61</v>
      </c>
      <c r="B8" s="98">
        <v>816713.33917980816</v>
      </c>
      <c r="C8" s="98">
        <v>4102424.9127272433</v>
      </c>
      <c r="D8" s="98">
        <v>118253.1158175406</v>
      </c>
      <c r="E8" s="98">
        <v>101402703.38413712</v>
      </c>
      <c r="F8" s="98">
        <v>804868.69465282222</v>
      </c>
      <c r="G8" s="98">
        <v>2598246.9110780507</v>
      </c>
      <c r="H8" s="98">
        <v>6410876.3292743759</v>
      </c>
      <c r="I8" s="98">
        <v>22040636.318677712</v>
      </c>
      <c r="J8" s="98">
        <v>15384388.573294625</v>
      </c>
      <c r="K8" s="98">
        <v>5709479.4166469276</v>
      </c>
      <c r="L8" s="98">
        <v>540181.03297894262</v>
      </c>
      <c r="M8" s="98">
        <v>1071042.7553735636</v>
      </c>
      <c r="N8" s="98">
        <v>7447701.2562025227</v>
      </c>
      <c r="O8" s="98">
        <v>168447516.04004124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5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5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5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5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5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5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5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5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5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5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5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5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5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5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5849092.288531078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5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213692.89158762878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5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159579.37363726847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5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27042134.224778831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5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208875.62977638197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5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1676585.1390430741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5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1905541.9010865423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5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3784586.3044886771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5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30577.183238476249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5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1486568.2848710858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5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1051403.8466263001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5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677461.36910389608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5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139642.05031935725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5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4034586.8295627958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5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192834.50614053759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5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140601.20938701159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5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37013724.844488479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5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191010.78078958855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5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1499857.4180538384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5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1764735.4892043229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5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1931303.3736580268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5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27797.960870428567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5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1343993.6933621466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5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930886.6264122529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5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611793.18745479197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5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114761.6251294364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5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5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5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5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5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5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5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5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5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5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5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5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5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5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1766009.1742338412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5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63826.34089651754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5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47807.242236556565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5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7794429.667260306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5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63718.477656278912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5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495843.75527766516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5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587619.03155491932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5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1107529.2203986393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5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9322.9977462727657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5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447037.72834356769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5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321978.66045818618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5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203146.27162041739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5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39553.070036709789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5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1281160.0569055823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5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61233.498570445321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5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44647.112834296677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5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11608975.952039318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5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60654.384977627895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5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476271.17626623076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5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560381.69837016799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5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613274.38090253877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5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8827.084069591494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5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426777.53866935126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5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295597.74362228904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5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194271.44041387876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5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36441.900098439175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119</v>
      </c>
      <c r="C5" s="169" t="s">
        <v>118</v>
      </c>
      <c r="D5" s="169" t="s">
        <v>61</v>
      </c>
    </row>
    <row r="6" spans="1:4" x14ac:dyDescent="0.25">
      <c r="A6" s="78">
        <v>2019</v>
      </c>
      <c r="B6" s="237">
        <v>3010238.4923246857</v>
      </c>
      <c r="C6" s="237">
        <v>827693.20492220437</v>
      </c>
      <c r="D6" s="237">
        <v>3837931.69724689</v>
      </c>
    </row>
    <row r="7" spans="1:4" x14ac:dyDescent="0.25">
      <c r="A7" s="78">
        <v>2030</v>
      </c>
      <c r="B7" s="237">
        <v>2848752.9835421797</v>
      </c>
      <c r="C7" s="237">
        <v>783291.25515859458</v>
      </c>
      <c r="D7" s="237">
        <v>3632044.2387007745</v>
      </c>
    </row>
    <row r="8" spans="1:4" x14ac:dyDescent="0.25">
      <c r="A8" s="78">
        <v>2050</v>
      </c>
      <c r="B8" s="237">
        <v>2609390.000720527</v>
      </c>
      <c r="C8" s="237">
        <v>719934.56565560447</v>
      </c>
      <c r="D8" s="237">
        <v>3329324.5663761315</v>
      </c>
    </row>
    <row r="9" spans="1:4" x14ac:dyDescent="0.25">
      <c r="A9" s="78" t="s">
        <v>61</v>
      </c>
      <c r="B9" s="237">
        <v>8468381.4765873924</v>
      </c>
      <c r="C9" s="237">
        <v>2330919.0257364037</v>
      </c>
      <c r="D9" s="237">
        <v>10799300.502323795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106</v>
      </c>
      <c r="C5" s="169" t="s">
        <v>99</v>
      </c>
      <c r="D5" s="169" t="s">
        <v>61</v>
      </c>
    </row>
    <row r="6" spans="1:4" x14ac:dyDescent="0.25">
      <c r="A6" s="78">
        <v>2019</v>
      </c>
      <c r="B6" s="237">
        <v>880.09999999999991</v>
      </c>
      <c r="C6" s="237">
        <v>76.5</v>
      </c>
      <c r="D6" s="237">
        <v>956.59999999999991</v>
      </c>
    </row>
    <row r="7" spans="1:4" x14ac:dyDescent="0.25">
      <c r="A7" s="78">
        <v>2030</v>
      </c>
      <c r="B7" s="237">
        <v>148232.6739623498</v>
      </c>
      <c r="C7" s="237">
        <v>14400</v>
      </c>
      <c r="D7" s="237">
        <v>162632.6739623498</v>
      </c>
    </row>
    <row r="8" spans="1:4" x14ac:dyDescent="0.25">
      <c r="A8" s="78">
        <v>2050</v>
      </c>
      <c r="B8" s="237">
        <v>243411.82603765032</v>
      </c>
      <c r="C8" s="237">
        <v>18000</v>
      </c>
      <c r="D8" s="237">
        <v>261411.82603765032</v>
      </c>
    </row>
    <row r="9" spans="1:4" x14ac:dyDescent="0.25">
      <c r="A9" s="78" t="s">
        <v>61</v>
      </c>
      <c r="B9" s="237">
        <v>392524.60000000009</v>
      </c>
      <c r="C9" s="237">
        <v>32476.5</v>
      </c>
      <c r="D9" s="237">
        <v>425001.10000000009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9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9" t="s">
        <v>11</v>
      </c>
      <c r="C4" s="169" t="s">
        <v>32</v>
      </c>
      <c r="D4" s="169" t="s">
        <v>9</v>
      </c>
      <c r="E4" s="169" t="s">
        <v>33</v>
      </c>
      <c r="F4" s="169" t="s">
        <v>10</v>
      </c>
      <c r="G4" s="169" t="s">
        <v>61</v>
      </c>
    </row>
    <row r="5" spans="1:7" x14ac:dyDescent="0.25">
      <c r="A5" s="78">
        <v>2019</v>
      </c>
      <c r="B5" s="237">
        <v>65860</v>
      </c>
      <c r="C5" s="237">
        <v>591230</v>
      </c>
      <c r="D5" s="237">
        <v>2578370</v>
      </c>
      <c r="E5" s="237">
        <v>472920</v>
      </c>
      <c r="F5" s="237">
        <v>561900</v>
      </c>
      <c r="G5" s="237">
        <v>4270280</v>
      </c>
    </row>
    <row r="6" spans="1:7" x14ac:dyDescent="0.25">
      <c r="A6" s="78">
        <v>2030</v>
      </c>
      <c r="B6" s="237">
        <v>65860</v>
      </c>
      <c r="C6" s="237">
        <v>591230</v>
      </c>
      <c r="D6" s="237">
        <v>2438269.9999999995</v>
      </c>
      <c r="E6" s="237">
        <v>551420</v>
      </c>
      <c r="F6" s="237">
        <v>623500</v>
      </c>
      <c r="G6" s="237">
        <v>4270280</v>
      </c>
    </row>
    <row r="7" spans="1:7" x14ac:dyDescent="0.25">
      <c r="A7" s="78">
        <v>2050</v>
      </c>
      <c r="B7" s="237">
        <v>65860</v>
      </c>
      <c r="C7" s="237">
        <v>591230</v>
      </c>
      <c r="D7" s="237">
        <v>2256269.9999999995</v>
      </c>
      <c r="E7" s="237">
        <v>621419.99999999988</v>
      </c>
      <c r="F7" s="237">
        <v>735500</v>
      </c>
      <c r="G7" s="237">
        <v>4270280</v>
      </c>
    </row>
    <row r="8" spans="1:7" x14ac:dyDescent="0.25">
      <c r="A8" s="78" t="s">
        <v>61</v>
      </c>
      <c r="B8" s="237">
        <v>197580</v>
      </c>
      <c r="C8" s="237">
        <v>1773690</v>
      </c>
      <c r="D8" s="237">
        <v>7272910</v>
      </c>
      <c r="E8" s="237">
        <v>1645760</v>
      </c>
      <c r="F8" s="237">
        <v>1920900</v>
      </c>
      <c r="G8" s="237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9" t="s">
        <v>80</v>
      </c>
    </row>
    <row r="2" spans="1:16" x14ac:dyDescent="0.25">
      <c r="A2" s="77" t="s">
        <v>64</v>
      </c>
      <c r="B2" s="169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9" t="s">
        <v>49</v>
      </c>
      <c r="C5" s="169" t="s">
        <v>54</v>
      </c>
      <c r="D5" s="169" t="s">
        <v>51</v>
      </c>
      <c r="E5" s="169" t="s">
        <v>6</v>
      </c>
      <c r="F5" s="169" t="s">
        <v>56</v>
      </c>
      <c r="G5" s="169" t="s">
        <v>12</v>
      </c>
      <c r="H5" s="169" t="s">
        <v>48</v>
      </c>
      <c r="I5" s="169" t="s">
        <v>53</v>
      </c>
      <c r="J5" s="169" t="s">
        <v>55</v>
      </c>
      <c r="K5" s="169" t="s">
        <v>50</v>
      </c>
      <c r="L5" s="169" t="s">
        <v>52</v>
      </c>
      <c r="M5" s="169" t="s">
        <v>38</v>
      </c>
      <c r="N5" s="169" t="s">
        <v>95</v>
      </c>
      <c r="O5" s="169" t="s">
        <v>113</v>
      </c>
      <c r="P5" s="169" t="s">
        <v>61</v>
      </c>
    </row>
    <row r="6" spans="1:16" x14ac:dyDescent="0.25">
      <c r="A6" s="78">
        <v>2019</v>
      </c>
      <c r="B6" s="237">
        <v>76853.212866422313</v>
      </c>
      <c r="C6" s="237">
        <v>5114.7808931059071</v>
      </c>
      <c r="D6" s="237">
        <v>288931.41565564787</v>
      </c>
      <c r="E6" s="237">
        <v>12752.078568827996</v>
      </c>
      <c r="F6" s="237">
        <v>18942.69646674622</v>
      </c>
      <c r="G6" s="237">
        <v>55075.520801981496</v>
      </c>
      <c r="H6" s="237">
        <v>1337821.3326830014</v>
      </c>
      <c r="I6" s="237">
        <v>180140.67588310441</v>
      </c>
      <c r="J6" s="237">
        <v>69938.636069140397</v>
      </c>
      <c r="K6" s="237">
        <v>161431.62233269325</v>
      </c>
      <c r="L6" s="237">
        <v>33966.356863719026</v>
      </c>
      <c r="M6" s="237">
        <v>221005.01507630604</v>
      </c>
      <c r="N6" s="237">
        <v>8579.6273865744097</v>
      </c>
      <c r="O6" s="237">
        <v>107817.02845272887</v>
      </c>
      <c r="P6" s="237">
        <v>2578370</v>
      </c>
    </row>
    <row r="7" spans="1:16" x14ac:dyDescent="0.25">
      <c r="A7" s="78">
        <v>2030</v>
      </c>
      <c r="B7" s="237">
        <v>73450.448054056644</v>
      </c>
      <c r="C7" s="237">
        <v>4802.5865476477702</v>
      </c>
      <c r="D7" s="237">
        <v>611004.48569519504</v>
      </c>
      <c r="E7" s="237">
        <v>12194.481685317363</v>
      </c>
      <c r="F7" s="237">
        <v>17988.027201970119</v>
      </c>
      <c r="G7" s="237">
        <v>52163.474236339222</v>
      </c>
      <c r="H7" s="237">
        <v>1084729.9218059247</v>
      </c>
      <c r="I7" s="237">
        <v>105612.98691437159</v>
      </c>
      <c r="J7" s="237">
        <v>66286.066261186235</v>
      </c>
      <c r="K7" s="237">
        <v>48191.948869442524</v>
      </c>
      <c r="L7" s="237">
        <v>31455.524054509664</v>
      </c>
      <c r="M7" s="237">
        <v>225661.17687786059</v>
      </c>
      <c r="N7" s="237">
        <v>7381.526448412108</v>
      </c>
      <c r="O7" s="237">
        <v>97665.964449844832</v>
      </c>
      <c r="P7" s="237">
        <v>2438588.6191020785</v>
      </c>
    </row>
    <row r="8" spans="1:16" x14ac:dyDescent="0.25">
      <c r="A8" s="78">
        <v>2050</v>
      </c>
      <c r="B8" s="237">
        <v>68691.002363724925</v>
      </c>
      <c r="C8" s="237">
        <v>4502.0224626087147</v>
      </c>
      <c r="D8" s="237">
        <v>869266.40957399679</v>
      </c>
      <c r="E8" s="237">
        <v>11544.684363517939</v>
      </c>
      <c r="F8" s="237">
        <v>16824.301435353053</v>
      </c>
      <c r="G8" s="237">
        <v>48558.015022626787</v>
      </c>
      <c r="H8" s="237">
        <v>756179.77600000007</v>
      </c>
      <c r="I8" s="237">
        <v>53220.864000000001</v>
      </c>
      <c r="J8" s="237">
        <v>62021.533081930196</v>
      </c>
      <c r="K8" s="237">
        <v>44350.720000000001</v>
      </c>
      <c r="L8" s="237">
        <v>29863.363064931029</v>
      </c>
      <c r="M8" s="237">
        <v>195675.31415784554</v>
      </c>
      <c r="N8" s="237">
        <v>6469.6823022226999</v>
      </c>
      <c r="O8" s="237">
        <v>89578.048193350187</v>
      </c>
      <c r="P8" s="237">
        <v>2256745.7360221073</v>
      </c>
    </row>
    <row r="9" spans="1:16" x14ac:dyDescent="0.25">
      <c r="A9" s="78" t="s">
        <v>61</v>
      </c>
      <c r="B9" s="237">
        <v>218994.66328420388</v>
      </c>
      <c r="C9" s="237">
        <v>14419.389903362393</v>
      </c>
      <c r="D9" s="237">
        <v>1769202.3109248397</v>
      </c>
      <c r="E9" s="237">
        <v>36491.244617663295</v>
      </c>
      <c r="F9" s="237">
        <v>53755.025104069391</v>
      </c>
      <c r="G9" s="237">
        <v>155797.0100609475</v>
      </c>
      <c r="H9" s="237">
        <v>3178731.0304889265</v>
      </c>
      <c r="I9" s="237">
        <v>338974.52679747599</v>
      </c>
      <c r="J9" s="237">
        <v>198246.23541225682</v>
      </c>
      <c r="K9" s="237">
        <v>253974.29120213576</v>
      </c>
      <c r="L9" s="237">
        <v>95285.243983159715</v>
      </c>
      <c r="M9" s="237">
        <v>642341.5061120122</v>
      </c>
      <c r="N9" s="237">
        <v>22430.836137209219</v>
      </c>
      <c r="O9" s="237">
        <v>295061.04109592392</v>
      </c>
      <c r="P9" s="237">
        <v>7273704.3551241858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1784185.849197506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490276.74059587362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296519.72330078861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59129.102638164186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87109.403474360603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39025.821581831304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77423.359211475472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1683082.6844777358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591379.90531564387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296519.72330078861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27534.363663235992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118704.1424492888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7431.08260690311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109018.09818640367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545350.15080249379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133223.25940412635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72634.276699211434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6372.8973618357959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9388.5965256393793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4206.1784181686835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8344.6407885245098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534453.31552226411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144120.09468435613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72634.276699211434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2967.6363367639988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12793.857550711176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800.91739309688637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11749.901813596309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9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9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9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9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9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9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9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9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9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9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9267413.626535669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9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9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9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1047387.2944076648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9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9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9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16178843.958241226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9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9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9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7365165.8833250785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9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800812.88842738699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9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9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9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12411632.548340486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9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9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9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9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9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9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9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9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9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9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9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9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1475029.3734643301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9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9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9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345076.7055923352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9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644933.82622113335</v>
      </c>
      <c r="H16" s="169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4520986.1218101447</v>
      </c>
      <c r="I16" s="169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2116047.5543132382</v>
      </c>
      <c r="J16" s="76">
        <f t="shared" si="2"/>
        <v>2116047.5543132382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5095490.041758772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9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43619.316164212927</v>
      </c>
      <c r="H17" s="169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168370.56039386193</v>
      </c>
      <c r="I17" s="169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71678.793485643968</v>
      </c>
      <c r="J17" s="76">
        <f t="shared" si="2"/>
        <v>71678.793485643968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3377277.1166749215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9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28163.04917996216</v>
      </c>
      <c r="H18" s="169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123917.41639183351</v>
      </c>
      <c r="I18" s="169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94908.349214505288</v>
      </c>
      <c r="J18" s="76">
        <f t="shared" si="2"/>
        <v>94908.349214505288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591651.11157261301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9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358964.48802999349</v>
      </c>
      <c r="H19" s="16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17811817.896048278</v>
      </c>
      <c r="I19" s="16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17811817.896048278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8862701.4516595136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9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7330.9635896981126</v>
      </c>
      <c r="H20" s="169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152117.49448623584</v>
      </c>
      <c r="I20" s="169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152117.49448623584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9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30834.713960981455</v>
      </c>
      <c r="H21" s="169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1309578.036850784</v>
      </c>
      <c r="I21" s="169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1309578.036850784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9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18963.465816940919</v>
      </c>
      <c r="H22" s="169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1540852.3568272591</v>
      </c>
      <c r="I22" s="169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1540852.3568272591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9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61958.708195916741</v>
      </c>
      <c r="H23" s="169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2757782.1018002545</v>
      </c>
      <c r="I23" s="169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2757782.1018002545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1503412.0023410614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9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2858.8189779950267</v>
      </c>
      <c r="H24" s="169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24271.373123177778</v>
      </c>
      <c r="I24" s="169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24271.373123177778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71763.61559548488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9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39384.151743264825</v>
      </c>
      <c r="H25" s="169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1173487.960460156</v>
      </c>
      <c r="I25" s="169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1173487.960460156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1423233.2884913548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9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56882.751322060642</v>
      </c>
      <c r="H26" s="169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812789.71325782908</v>
      </c>
      <c r="I26" s="169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193628.88550029439</v>
      </c>
      <c r="J26" s="76">
        <f t="shared" si="2"/>
        <v>193628.88550029439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1434884.7338702637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9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10683.561140435961</v>
      </c>
      <c r="H27" s="169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534178.05702179798</v>
      </c>
      <c r="I27" s="169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534178.05702179798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52324.734860002864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9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4108.2981484004922</v>
      </c>
      <c r="H28" s="169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100202.39386342664</v>
      </c>
      <c r="I28" s="169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100202.39386342664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1155366.5402938179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9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99658.944634840125</v>
      </c>
      <c r="H29" s="16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1374296.8465144455</v>
      </c>
      <c r="I29" s="16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1374296.8465144455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9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351339.52711072582</v>
      </c>
      <c r="H30" s="169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2462890.085046188</v>
      </c>
      <c r="I30" s="169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1152755.7043058684</v>
      </c>
      <c r="J30" s="76">
        <f t="shared" si="2"/>
        <v>1152755.7043058684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9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31915.511434192158</v>
      </c>
      <c r="H31" s="169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123193.87413598174</v>
      </c>
      <c r="I31" s="169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52446.153545090725</v>
      </c>
      <c r="J31" s="76">
        <f t="shared" si="2"/>
        <v>52446.153545090725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9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20606.423877461926</v>
      </c>
      <c r="H32" s="169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90668.265060832491</v>
      </c>
      <c r="I32" s="169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69442.824210091596</v>
      </c>
      <c r="J32" s="76">
        <f t="shared" si="2"/>
        <v>69442.824210091596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53136.997658938686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9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403882.3292636784</v>
      </c>
      <c r="H33" s="169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20040641.17806372</v>
      </c>
      <c r="I33" s="169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20040641.17806372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27204.384404515113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9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5363.9413187916089</v>
      </c>
      <c r="H34" s="169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111301.78236492589</v>
      </c>
      <c r="I34" s="169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111301.78236492589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362313.71150864527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9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22561.23553810201</v>
      </c>
      <c r="H35" s="169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958195.96647801495</v>
      </c>
      <c r="I35" s="169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958195.96647801495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121664.26612973634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9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13875.245265973344</v>
      </c>
      <c r="H36" s="169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1127415.4511635655</v>
      </c>
      <c r="I36" s="169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1127415.4511635655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46643.265139997136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9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24727.708652954312</v>
      </c>
      <c r="H37" s="169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1100630.3121429966</v>
      </c>
      <c r="I37" s="169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1100630.3121429966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630180.45970618213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9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2091.7492020506129</v>
      </c>
      <c r="H38" s="169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17758.950725409708</v>
      </c>
      <c r="I38" s="169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17758.950725409708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9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28816.713690697266</v>
      </c>
      <c r="H39" s="16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858621.17321959464</v>
      </c>
      <c r="I39" s="16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858621.17321959464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9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41620.141255607268</v>
      </c>
      <c r="H40" s="169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594704.40319183038</v>
      </c>
      <c r="I40" s="169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141674.96083408713</v>
      </c>
      <c r="J40" s="76">
        <f t="shared" si="2"/>
        <v>141674.96083408713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9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7816.9799006436897</v>
      </c>
      <c r="H41" s="169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390848.99503218452</v>
      </c>
      <c r="I41" s="169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390848.99503218452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9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3005.971850561044</v>
      </c>
      <c r="H42" s="169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73316.38659904986</v>
      </c>
      <c r="I42" s="169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73316.38659904986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9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72918.754045537091</v>
      </c>
      <c r="H43" s="169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1005549.6182879566</v>
      </c>
      <c r="I43" s="169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1005549.6182879566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9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9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9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9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9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9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9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9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9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9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9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9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9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9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9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9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9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9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9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9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9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9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9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9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9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9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9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9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9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9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9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9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9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9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9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9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9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9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9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9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9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172223.29271132441</v>
      </c>
      <c r="H58" s="169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808881.13887727738</v>
      </c>
      <c r="I58" s="169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378596.81705150963</v>
      </c>
      <c r="J58" s="76">
        <f t="shared" si="2"/>
        <v>378596.81705150963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9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11648.113264013013</v>
      </c>
      <c r="H59" s="16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25628.178803481427</v>
      </c>
      <c r="I59" s="16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10910.440231182321</v>
      </c>
      <c r="J59" s="76">
        <f t="shared" si="2"/>
        <v>10910.440231182321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9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7520.6678039879653</v>
      </c>
      <c r="H60" s="169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18200.016085650877</v>
      </c>
      <c r="I60" s="169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13939.392320000008</v>
      </c>
      <c r="J60" s="76">
        <f t="shared" si="2"/>
        <v>13939.392320000008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9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95857.968029363183</v>
      </c>
      <c r="H61" s="169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3710048.4514212608</v>
      </c>
      <c r="I61" s="169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3710048.4514212608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9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1957.6623784216506</v>
      </c>
      <c r="H62" s="169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23154.25178078207</v>
      </c>
      <c r="I62" s="169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23154.25178078207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9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8234.1098454824023</v>
      </c>
      <c r="H63" s="169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199334.72934350121</v>
      </c>
      <c r="I63" s="169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199334.72934350121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9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5064.0087268308198</v>
      </c>
      <c r="H64" s="169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234537.67462767428</v>
      </c>
      <c r="I64" s="169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234537.67462767428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9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16545.469168773525</v>
      </c>
      <c r="H65" s="169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611244.23114275094</v>
      </c>
      <c r="I65" s="169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611244.23114275094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9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763.41974577576138</v>
      </c>
      <c r="H66" s="169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3694.4171757326421</v>
      </c>
      <c r="I66" s="169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3694.4171757326421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9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10517.153881678742</v>
      </c>
      <c r="H67" s="169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178620.05806747917</v>
      </c>
      <c r="I67" s="169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178620.05806747917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9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15189.984356326371</v>
      </c>
      <c r="H68" s="169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123717.11570166773</v>
      </c>
      <c r="I68" s="169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29472.822846892926</v>
      </c>
      <c r="J68" s="76">
        <f t="shared" si="2"/>
        <v>29472.822846892926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9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2852.9408796395687</v>
      </c>
      <c r="H69" s="1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81308.815069727716</v>
      </c>
      <c r="I69" s="1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81308.815069727716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9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1097.0809807001331</v>
      </c>
      <c r="H70" s="169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15252.101439001848</v>
      </c>
      <c r="I70" s="169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15252.101439001848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9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26612.949880012548</v>
      </c>
      <c r="H71" s="169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366992.57884537306</v>
      </c>
      <c r="I71" s="169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366992.57884537306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9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222591.66829618209</v>
      </c>
      <c r="H72" s="169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1045446.2884866784</v>
      </c>
      <c r="I72" s="169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489321.13532618986</v>
      </c>
      <c r="J72" s="76">
        <f t="shared" ref="J72:J139" si="15">IF(I72&lt;&gt;0,I72,H72)</f>
        <v>489321.13532618986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9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20220.11867860179</v>
      </c>
      <c r="H73" s="169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44488.305116659656</v>
      </c>
      <c r="I73" s="169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18939.582000106111</v>
      </c>
      <c r="J73" s="76">
        <f t="shared" si="15"/>
        <v>18939.582000106111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9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13055.229812092792</v>
      </c>
      <c r="H74" s="169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31593.656145264558</v>
      </c>
      <c r="I74" s="169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24197.581241658121</v>
      </c>
      <c r="J74" s="76">
        <f t="shared" si="15"/>
        <v>24197.581241658121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9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255880.2370045245</v>
      </c>
      <c r="H75" s="169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9903486.3409283143</v>
      </c>
      <c r="I75" s="169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9903486.3409283143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9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3398.332822416432</v>
      </c>
      <c r="H76" s="169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40193.781457130353</v>
      </c>
      <c r="I76" s="169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40193.781457130353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9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14293.703582251808</v>
      </c>
      <c r="H77" s="169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346027.87530793168</v>
      </c>
      <c r="I77" s="169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346027.87530793168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9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8790.6818147402864</v>
      </c>
      <c r="H78" s="169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407137.14814454154</v>
      </c>
      <c r="I78" s="169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407137.14814454154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9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15666.275774511349</v>
      </c>
      <c r="H79" s="16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578763.92582050513</v>
      </c>
      <c r="I79" s="16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578763.92582050513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9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1325.230748645359</v>
      </c>
      <c r="H80" s="169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6413.1891619194867</v>
      </c>
      <c r="I80" s="169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6413.1891619194867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9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18256.870862139654</v>
      </c>
      <c r="H81" s="169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310068.99492140242</v>
      </c>
      <c r="I81" s="169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310068.99492140242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9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26368.501013803387</v>
      </c>
      <c r="H82" s="169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214762.22847099841</v>
      </c>
      <c r="I82" s="169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51162.275147062435</v>
      </c>
      <c r="J82" s="76">
        <f t="shared" si="15"/>
        <v>51162.275147062435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9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4952.4589829986235</v>
      </c>
      <c r="H83" s="169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141145.08101546075</v>
      </c>
      <c r="I83" s="169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141145.08101546075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9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1904.4378370124975</v>
      </c>
      <c r="H84" s="169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26476.330904807892</v>
      </c>
      <c r="I84" s="169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26476.330904807892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9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46197.782659278731</v>
      </c>
      <c r="H85" s="169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637067.42287145369</v>
      </c>
      <c r="I85" s="169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637067.42287145369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9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9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9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9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9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9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9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9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9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9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9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9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9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9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9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9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9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9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9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9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9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9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9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9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9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9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9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9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9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9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9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9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9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9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9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9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9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9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9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9490.6378356280329</v>
      </c>
      <c r="H100" s="169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79835.245473303017</v>
      </c>
      <c r="I100" s="169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37366.886643779471</v>
      </c>
      <c r="J100" s="76">
        <f t="shared" si="15"/>
        <v>37366.886643779471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9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813.57736439608004</v>
      </c>
      <c r="H101" s="169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3768.4903518826427</v>
      </c>
      <c r="I101" s="169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1604.3234699305858</v>
      </c>
      <c r="J101" s="76">
        <f t="shared" si="15"/>
        <v>1604.3234699305858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9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871.1648098071654</v>
      </c>
      <c r="H102" s="169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4599.7501957818331</v>
      </c>
      <c r="I102" s="169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3522.9486749493053</v>
      </c>
      <c r="J102" s="76">
        <f t="shared" si="15"/>
        <v>3522.9486749493053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9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8039.4163674234442</v>
      </c>
      <c r="H103" s="169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478699.00818186154</v>
      </c>
      <c r="I103" s="169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478699.00818186154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9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37.60065274501838</v>
      </c>
      <c r="H104" s="169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936.25625335095765</v>
      </c>
      <c r="I104" s="169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936.25625335095765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9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593.61684950263771</v>
      </c>
      <c r="H105" s="169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30253.7298473503</v>
      </c>
      <c r="I105" s="169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30253.7298473503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9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15.573727659962529</v>
      </c>
      <c r="H106" s="169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1518.5081799552718</v>
      </c>
      <c r="I106" s="169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1518.5081799552718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9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2010.3342065277557</v>
      </c>
      <c r="H107" s="169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107375.97063906048</v>
      </c>
      <c r="I107" s="169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107375.97063906048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9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34.247771402013242</v>
      </c>
      <c r="H108" s="169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348.91629504371099</v>
      </c>
      <c r="I108" s="169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348.91629504371099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9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605.70270796637942</v>
      </c>
      <c r="H109" s="16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21656.980403186051</v>
      </c>
      <c r="I109" s="16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21656.980403186051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9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1495.0529044849709</v>
      </c>
      <c r="H110" s="169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25635.123336314806</v>
      </c>
      <c r="I110" s="169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6106.9921042402093</v>
      </c>
      <c r="J110" s="76">
        <f t="shared" si="15"/>
        <v>6106.9921042402093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9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171.77120578833589</v>
      </c>
      <c r="H111" s="169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10306.272347300153</v>
      </c>
      <c r="I111" s="169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10306.272347300153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9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282.11165911762731</v>
      </c>
      <c r="H112" s="169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8256.9266083207986</v>
      </c>
      <c r="I112" s="169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8256.9266083207986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9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22206.298570938838</v>
      </c>
      <c r="H113" s="169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367469.82875189593</v>
      </c>
      <c r="I113" s="169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367469.82875189593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9" t="str">
        <f t="shared" si="18"/>
        <v>OC6</v>
      </c>
      <c r="F114" t="str">
        <f t="shared" si="14"/>
        <v>Korn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0</v>
      </c>
      <c r="H114" s="169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0</v>
      </c>
      <c r="I114" s="169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0</v>
      </c>
      <c r="J114" s="76">
        <f t="shared" si="15"/>
        <v>0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9" t="str">
        <f t="shared" si="18"/>
        <v>OC6</v>
      </c>
      <c r="F115" t="str">
        <f t="shared" si="14"/>
        <v>Bælgsæd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0</v>
      </c>
      <c r="H115" s="169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0</v>
      </c>
      <c r="I115" s="169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0</v>
      </c>
      <c r="J115" s="76">
        <f t="shared" si="15"/>
        <v>0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9" t="str">
        <f t="shared" si="18"/>
        <v>OC6</v>
      </c>
      <c r="F116" t="str">
        <f t="shared" si="14"/>
        <v>Raps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0</v>
      </c>
      <c r="H116" s="169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0</v>
      </c>
      <c r="I116" s="169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0</v>
      </c>
      <c r="J116" s="76">
        <f t="shared" si="15"/>
        <v>0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9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0</v>
      </c>
      <c r="H117" s="169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0</v>
      </c>
      <c r="I117" s="169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0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9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0</v>
      </c>
      <c r="H118" s="169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0</v>
      </c>
      <c r="I118" s="169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0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9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0</v>
      </c>
      <c r="H119" s="16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0</v>
      </c>
      <c r="I119" s="16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0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9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0</v>
      </c>
      <c r="H120" s="169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0</v>
      </c>
      <c r="I120" s="169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0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9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0</v>
      </c>
      <c r="H121" s="169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0</v>
      </c>
      <c r="I121" s="169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0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9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0</v>
      </c>
      <c r="H122" s="169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0</v>
      </c>
      <c r="I122" s="169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0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9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0</v>
      </c>
      <c r="H123" s="169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0</v>
      </c>
      <c r="I123" s="169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0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9" t="str">
        <f t="shared" si="23"/>
        <v>OC6</v>
      </c>
      <c r="F124" t="str">
        <f t="shared" si="14"/>
        <v>Frø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0</v>
      </c>
      <c r="H124" s="169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0</v>
      </c>
      <c r="I124" s="169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0</v>
      </c>
      <c r="J124" s="76">
        <f t="shared" si="15"/>
        <v>0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9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0</v>
      </c>
      <c r="H125" s="169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0</v>
      </c>
      <c r="I125" s="169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0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9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0</v>
      </c>
      <c r="H126" s="169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0</v>
      </c>
      <c r="I126" s="169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0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9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16855.522728429914</v>
      </c>
      <c r="H127" s="169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278925.19011005823</v>
      </c>
      <c r="I127" s="169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278925.19011005823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9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9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9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9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9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9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9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9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9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9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9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9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9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9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9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9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9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9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9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9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9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9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9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9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9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9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9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9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9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9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9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9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9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9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9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9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9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9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9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2534.3823374246472</v>
      </c>
      <c r="H142" s="169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14283.88022901881</v>
      </c>
      <c r="I142" s="169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6685.5701411922537</v>
      </c>
      <c r="J142" s="76">
        <f t="shared" si="29"/>
        <v>6685.5701411922537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9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217.25790596638819</v>
      </c>
      <c r="H143" s="169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573.61301364869678</v>
      </c>
      <c r="I143" s="169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244.19879965845695</v>
      </c>
      <c r="J143" s="76">
        <f t="shared" si="29"/>
        <v>244.19879965845695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9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232.63607201117887</v>
      </c>
      <c r="H144" s="169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675.5751531204636</v>
      </c>
      <c r="I144" s="169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517.42300977496302</v>
      </c>
      <c r="J144" s="76">
        <f t="shared" si="29"/>
        <v>517.42300977496302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9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2146.8477880709584</v>
      </c>
      <c r="H145" s="169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99708.885660459782</v>
      </c>
      <c r="I145" s="169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99708.885660459782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9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10.040887856333013</v>
      </c>
      <c r="H146" s="169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142.51032134493445</v>
      </c>
      <c r="I146" s="169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142.51032134493445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9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158.51959421835784</v>
      </c>
      <c r="H147" s="169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4605.0093091475055</v>
      </c>
      <c r="I147" s="169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4605.0093091475055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9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4.1588121886919351</v>
      </c>
      <c r="H148" s="169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231.13660166840896</v>
      </c>
      <c r="I148" s="169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231.13660166840896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9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536.84015696162987</v>
      </c>
      <c r="H149" s="16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23799.176364816696</v>
      </c>
      <c r="I149" s="16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23799.176364816696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9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9.1455335711559798</v>
      </c>
      <c r="H150" s="169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53.109576733074164</v>
      </c>
      <c r="I150" s="169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53.109576733074164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9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161.7470049312748</v>
      </c>
      <c r="H151" s="169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3296.4727611406074</v>
      </c>
      <c r="I151" s="169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3296.4727611406074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9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399.23930722738322</v>
      </c>
      <c r="H152" s="169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3901.9976115511345</v>
      </c>
      <c r="I152" s="169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929.56325163257634</v>
      </c>
      <c r="J152" s="76">
        <f t="shared" si="29"/>
        <v>929.56325163257634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9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45.869826408699431</v>
      </c>
      <c r="H153" s="169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1568.7480631775206</v>
      </c>
      <c r="I153" s="169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1568.7480631775206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9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75.335169082654659</v>
      </c>
      <c r="H154" s="169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1256.8111134764824</v>
      </c>
      <c r="I154" s="169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1256.8111134764824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9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5929.9756088565728</v>
      </c>
      <c r="H155" s="169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98129.236375358567</v>
      </c>
      <c r="I155" s="169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98129.236375358567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9" t="str">
        <f t="shared" si="30"/>
        <v>OC6</v>
      </c>
      <c r="F156" t="str">
        <f t="shared" si="28"/>
        <v>Korn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0</v>
      </c>
      <c r="H156" s="169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0</v>
      </c>
      <c r="I156" s="169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0</v>
      </c>
      <c r="J156" s="76">
        <f t="shared" si="29"/>
        <v>0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9" t="str">
        <f t="shared" si="30"/>
        <v>OC6</v>
      </c>
      <c r="F157" t="str">
        <f t="shared" si="28"/>
        <v>Bælgsæd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0</v>
      </c>
      <c r="H157" s="169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0</v>
      </c>
      <c r="I157" s="169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0</v>
      </c>
      <c r="J157" s="76">
        <f t="shared" si="29"/>
        <v>0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9" t="str">
        <f t="shared" si="30"/>
        <v>OC6</v>
      </c>
      <c r="F158" t="str">
        <f t="shared" si="28"/>
        <v>Raps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0</v>
      </c>
      <c r="H158" s="169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0</v>
      </c>
      <c r="I158" s="169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0</v>
      </c>
      <c r="J158" s="76">
        <f t="shared" si="29"/>
        <v>0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9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0</v>
      </c>
      <c r="H159" s="16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0</v>
      </c>
      <c r="I159" s="16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0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9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0</v>
      </c>
      <c r="H160" s="169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0</v>
      </c>
      <c r="I160" s="169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0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9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0</v>
      </c>
      <c r="H161" s="169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0</v>
      </c>
      <c r="I161" s="169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0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9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0</v>
      </c>
      <c r="H162" s="169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0</v>
      </c>
      <c r="I162" s="169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0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9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0</v>
      </c>
      <c r="H163" s="169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0</v>
      </c>
      <c r="I163" s="169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0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9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0</v>
      </c>
      <c r="H164" s="169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0</v>
      </c>
      <c r="I164" s="169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0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9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0</v>
      </c>
      <c r="H165" s="169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0</v>
      </c>
      <c r="I165" s="169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0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9" t="str">
        <f t="shared" si="30"/>
        <v>OC6</v>
      </c>
      <c r="F166" t="str">
        <f t="shared" si="28"/>
        <v>Frø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0</v>
      </c>
      <c r="H166" s="169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0</v>
      </c>
      <c r="I166" s="169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0</v>
      </c>
      <c r="J166" s="76">
        <f t="shared" si="29"/>
        <v>0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9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0</v>
      </c>
      <c r="H167" s="169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0</v>
      </c>
      <c r="I167" s="169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0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9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0</v>
      </c>
      <c r="H168" s="169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0</v>
      </c>
      <c r="I168" s="169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0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9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10678.84093480608</v>
      </c>
      <c r="H169" s="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176713.459789171</v>
      </c>
      <c r="I169" s="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176713.459789171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9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9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9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9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9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9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9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9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9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9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9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9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9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9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9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9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9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9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9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9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9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9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9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9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9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9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9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9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9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9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9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9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9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9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9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9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9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9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9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9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9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2787.9622783121608</v>
      </c>
      <c r="H184" s="169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27361.061799355546</v>
      </c>
      <c r="I184" s="169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12806.344975188364</v>
      </c>
      <c r="J184" s="76">
        <f t="shared" si="29"/>
        <v>12806.344975188364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9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160.52869978546411</v>
      </c>
      <c r="H185" s="169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867.49709364064802</v>
      </c>
      <c r="I185" s="169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369.31126723702005</v>
      </c>
      <c r="J185" s="76">
        <f t="shared" si="29"/>
        <v>369.31126723702005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9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207.87739711582819</v>
      </c>
      <c r="H186" s="169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1280.5247662335016</v>
      </c>
      <c r="I186" s="169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980.75391845823879</v>
      </c>
      <c r="J186" s="76">
        <f t="shared" si="29"/>
        <v>980.75391845823879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9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4794.3089897887294</v>
      </c>
      <c r="H187" s="169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333051.05690264347</v>
      </c>
      <c r="I187" s="169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333051.05690264347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9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5.5724853038537319</v>
      </c>
      <c r="H188" s="169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161.88069807695092</v>
      </c>
      <c r="I188" s="169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161.88069807695092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9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294.95328123236726</v>
      </c>
      <c r="H189" s="16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17537.703618164534</v>
      </c>
      <c r="I189" s="16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17537.703618164534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9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3.1896432751013108</v>
      </c>
      <c r="H190" s="169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362.83858485839028</v>
      </c>
      <c r="I190" s="169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362.83858485839028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9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396.66336654744111</v>
      </c>
      <c r="H191" s="169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24717.68102303725</v>
      </c>
      <c r="I191" s="169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24717.68102303725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9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11.367166704679786</v>
      </c>
      <c r="H192" s="169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135.11014345182394</v>
      </c>
      <c r="I192" s="169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135.11014345182394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9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201.03858946351968</v>
      </c>
      <c r="H193" s="169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8386.188236468688</v>
      </c>
      <c r="I193" s="169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8386.188236468688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9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639.63757717268152</v>
      </c>
      <c r="H194" s="169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12795.569187464467</v>
      </c>
      <c r="I194" s="169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3048.2568377741309</v>
      </c>
      <c r="J194" s="76">
        <f t="shared" si="29"/>
        <v>3048.2568377741309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9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57.01252523383436</v>
      </c>
      <c r="H195" s="169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3990.8767663684057</v>
      </c>
      <c r="I195" s="169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3990.8767663684057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9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134.57942530031829</v>
      </c>
      <c r="H196" s="169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4595.3950102547715</v>
      </c>
      <c r="I196" s="169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4595.3950102547715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9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21106.083420946448</v>
      </c>
      <c r="H197" s="169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407474.04652479221</v>
      </c>
      <c r="I197" s="169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407474.04652479221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9" t="str">
        <f t="shared" si="35"/>
        <v>OC12</v>
      </c>
      <c r="F198" t="str">
        <f t="shared" si="28"/>
        <v>Korn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 s="169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 s="169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6">
        <f t="shared" si="29"/>
        <v>0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9" t="str">
        <f t="shared" si="35"/>
        <v>OC12</v>
      </c>
      <c r="F199" t="str">
        <f t="shared" si="28"/>
        <v>Bælgsæd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 s="16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 s="16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6">
        <f t="shared" si="29"/>
        <v>0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9" t="str">
        <f t="shared" si="35"/>
        <v>OC12</v>
      </c>
      <c r="F200" t="str">
        <f t="shared" si="28"/>
        <v>Raps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 s="169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 s="169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6">
        <f t="shared" si="29"/>
        <v>0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9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 s="169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 s="169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0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9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 s="169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 s="169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0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9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 s="169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 s="169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0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9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 s="169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 s="169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0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9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 s="169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 s="169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0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9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 s="169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 s="169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0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9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 s="169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 s="169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0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9" t="str">
        <f t="shared" si="40"/>
        <v>OC12</v>
      </c>
      <c r="F208" t="str">
        <f t="shared" si="28"/>
        <v>Frø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 s="169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 s="169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6">
        <f t="shared" si="29"/>
        <v>0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 s="16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 s="16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0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9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 s="169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 s="169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0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9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4549.0349190359657</v>
      </c>
      <c r="H211" s="169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87823.668146908371</v>
      </c>
      <c r="I211" s="169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87823.668146908371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9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9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9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9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9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9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9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9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9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9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9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9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9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9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9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9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9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9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9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9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9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9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9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9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9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9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9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9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9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9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9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9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9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9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9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9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9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9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9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9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9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744.49815470099543</v>
      </c>
      <c r="H226" s="169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4895.3582764578305</v>
      </c>
      <c r="I226" s="169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2291.2724412960879</v>
      </c>
      <c r="J226" s="76">
        <f t="shared" si="42"/>
        <v>2291.2724412960879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9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42.867624751071503</v>
      </c>
      <c r="H227" s="169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132.04428716823051</v>
      </c>
      <c r="I227" s="169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56.21395550831528</v>
      </c>
      <c r="J227" s="76">
        <f t="shared" si="42"/>
        <v>56.21395550831528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9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55.511632908632748</v>
      </c>
      <c r="H228" s="169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188.07341229444779</v>
      </c>
      <c r="I228" s="169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144.04542647631757</v>
      </c>
      <c r="J228" s="76">
        <f t="shared" si="42"/>
        <v>144.04542647631757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9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1280.2734899716784</v>
      </c>
      <c r="H229" s="16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69371.670265054985</v>
      </c>
      <c r="I229" s="16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69371.670265054985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9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1.4880778904688605</v>
      </c>
      <c r="H230" s="169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24.640337749328623</v>
      </c>
      <c r="I230" s="169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24.640337749328623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9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78.764399112832606</v>
      </c>
      <c r="H231" s="169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2669.4655115323194</v>
      </c>
      <c r="I231" s="169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2669.4655115323194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9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0.85176315007569059</v>
      </c>
      <c r="H232" s="169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55.228729463158551</v>
      </c>
      <c r="I232" s="169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55.228729463158551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9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105.92508612090651</v>
      </c>
      <c r="H233" s="169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5478.5111277266797</v>
      </c>
      <c r="I233" s="169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5478.5111277266797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9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3.0354910830917392</v>
      </c>
      <c r="H234" s="169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20.565512797768193</v>
      </c>
      <c r="I234" s="169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20.565512797768193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9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53.685395976696533</v>
      </c>
      <c r="H235" s="169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1276.4864065375373</v>
      </c>
      <c r="I235" s="169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1276.4864065375373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9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170.8089810206381</v>
      </c>
      <c r="H236" s="169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1947.6512655273659</v>
      </c>
      <c r="I236" s="169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463.98414957261315</v>
      </c>
      <c r="J236" s="76">
        <f t="shared" si="42"/>
        <v>463.98414957261315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9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15.224639214677737</v>
      </c>
      <c r="H237" s="169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607.46310466564159</v>
      </c>
      <c r="I237" s="169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607.46310466564159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9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35.938123903693985</v>
      </c>
      <c r="H238" s="169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699.47860671092178</v>
      </c>
      <c r="I238" s="169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699.47860671092178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9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5636.1738758434185</v>
      </c>
      <c r="H239" s="16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108811.97284703304</v>
      </c>
      <c r="I239" s="16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108811.97284703304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9" t="str">
        <f t="shared" si="47"/>
        <v>OC12</v>
      </c>
      <c r="F240" t="str">
        <f t="shared" si="41"/>
        <v>Korn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 s="169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 s="169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6">
        <f t="shared" si="42"/>
        <v>0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9" t="str">
        <f t="shared" si="47"/>
        <v>OC12</v>
      </c>
      <c r="F241" t="str">
        <f t="shared" si="41"/>
        <v>Bælgsæd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 s="169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 s="169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6">
        <f t="shared" si="42"/>
        <v>0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9" t="str">
        <f t="shared" si="47"/>
        <v>OC12</v>
      </c>
      <c r="F242" t="str">
        <f t="shared" si="41"/>
        <v>Raps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 s="169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 s="169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6">
        <f t="shared" si="42"/>
        <v>0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9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 s="169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 s="169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0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9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 s="169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 s="169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0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9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 s="169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 s="169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0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9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 s="169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 s="169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0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9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 s="169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 s="169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0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9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 s="169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 s="169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0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9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 s="16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 s="16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0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9" t="str">
        <f t="shared" si="47"/>
        <v>OC12</v>
      </c>
      <c r="F250" t="str">
        <f t="shared" si="41"/>
        <v>Frø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 s="169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 s="169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6">
        <f t="shared" si="42"/>
        <v>0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9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 s="169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 s="169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0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9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 s="169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 s="169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0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9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2882.0476878671443</v>
      </c>
      <c r="H253" s="169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55640.812661963086</v>
      </c>
      <c r="I253" s="169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55640.812661963086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9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9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9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9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9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9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9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9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9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9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9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9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9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9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9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9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9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9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9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9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9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9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9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9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9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9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9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9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9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9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9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9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9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9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9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9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9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9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9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9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9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197128.99278150831</v>
      </c>
      <c r="H268" s="169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1381874.2393983733</v>
      </c>
      <c r="I268" s="169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646786.23775040871</v>
      </c>
      <c r="J268" s="76">
        <f t="shared" si="42"/>
        <v>646786.23775040871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9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13332.580044144219</v>
      </c>
      <c r="H269" s="1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51463.758970396688</v>
      </c>
      <c r="I269" s="1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21909.175467521356</v>
      </c>
      <c r="J269" s="76">
        <f t="shared" si="42"/>
        <v>21909.175467521356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9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8608.2529598911933</v>
      </c>
      <c r="H270" s="169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37876.313023521252</v>
      </c>
      <c r="I270" s="169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29009.468144714927</v>
      </c>
      <c r="J270" s="76">
        <f t="shared" si="42"/>
        <v>29009.468144714927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9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109720.26135503023</v>
      </c>
      <c r="H271" s="169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5444319.368436601</v>
      </c>
      <c r="I271" s="169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5444319.368436601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9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2240.7655015130053</v>
      </c>
      <c r="H272" s="169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46495.884156394866</v>
      </c>
      <c r="I272" s="169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46495.884156394866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9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9424.8678836548315</v>
      </c>
      <c r="H273" s="169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400282.61641321337</v>
      </c>
      <c r="I273" s="169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400282.61641321337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9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5796.3294281580511</v>
      </c>
      <c r="H274" s="169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470973.39413272287</v>
      </c>
      <c r="I274" s="169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470973.39413272287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9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18938.156511760622</v>
      </c>
      <c r="H275" s="169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842937.34633846546</v>
      </c>
      <c r="I275" s="169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842937.34633846546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9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873.82004597102605</v>
      </c>
      <c r="H276" s="169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7418.732190294013</v>
      </c>
      <c r="I276" s="169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7418.732190294013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9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12038.069409685235</v>
      </c>
      <c r="H277" s="169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358685.63607860694</v>
      </c>
      <c r="I277" s="169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358685.63607860694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9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17386.651186309547</v>
      </c>
      <c r="H278" s="169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248435.43787506258</v>
      </c>
      <c r="I278" s="169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59184.160638197704</v>
      </c>
      <c r="J278" s="76">
        <f t="shared" si="55"/>
        <v>59184.160638197704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9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3265.5127724866597</v>
      </c>
      <c r="H279" s="16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163275.63862433299</v>
      </c>
      <c r="I279" s="16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163275.63862433299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9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1255.7329808324243</v>
      </c>
      <c r="H280" s="169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30627.633678839618</v>
      </c>
      <c r="I280" s="169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30627.633678839618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9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30461.524235198161</v>
      </c>
      <c r="H281" s="169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420064.41920338268</v>
      </c>
      <c r="I281" s="169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420064.41920338268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9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111565.86474931188</v>
      </c>
      <c r="H282" s="169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782076.71189267619</v>
      </c>
      <c r="I282" s="169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366051.00500136707</v>
      </c>
      <c r="J282" s="76">
        <f t="shared" si="55"/>
        <v>366051.00500136707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9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10134.588787529272</v>
      </c>
      <c r="H283" s="169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39119.512719862993</v>
      </c>
      <c r="I283" s="169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16653.977197359887</v>
      </c>
      <c r="J283" s="76">
        <f t="shared" si="55"/>
        <v>16653.977197359887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9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6543.4524779655058</v>
      </c>
      <c r="H284" s="169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28791.190903048224</v>
      </c>
      <c r="I284" s="169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22051.173112644636</v>
      </c>
      <c r="J284" s="76">
        <f t="shared" si="55"/>
        <v>22051.173112644636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9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128250.53216135269</v>
      </c>
      <c r="H285" s="169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6363791.4058463201</v>
      </c>
      <c r="I285" s="169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6363791.4058463201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9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1703.2889997229152</v>
      </c>
      <c r="H286" s="169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35343.246744250493</v>
      </c>
      <c r="I286" s="169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35343.246744250493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9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7164.1917814388025</v>
      </c>
      <c r="H287" s="169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304269.66893973155</v>
      </c>
      <c r="I287" s="169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304269.66893973155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9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4406.0050670565552</v>
      </c>
      <c r="H288" s="169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358004.3520157595</v>
      </c>
      <c r="I288" s="169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358004.3520157595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9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7852.1429735586071</v>
      </c>
      <c r="H289" s="16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349498.88375309366</v>
      </c>
      <c r="I289" s="16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349498.88375309366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9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664.22303941882706</v>
      </c>
      <c r="H290" s="169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5639.2536046658424</v>
      </c>
      <c r="I290" s="169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5639.2536046658424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9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9150.5832223732941</v>
      </c>
      <c r="H291" s="169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272650.26076079207</v>
      </c>
      <c r="I291" s="169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272650.26076079207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9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13216.238686138369</v>
      </c>
      <c r="H292" s="169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188844.99435046475</v>
      </c>
      <c r="I292" s="169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44988.076487615006</v>
      </c>
      <c r="J292" s="76">
        <f t="shared" si="55"/>
        <v>44988.076487615006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9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2482.237422914432</v>
      </c>
      <c r="H293" s="169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124111.8711457216</v>
      </c>
      <c r="I293" s="169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124111.8711457216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9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954.52923181695155</v>
      </c>
      <c r="H294" s="169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23281.200776023208</v>
      </c>
      <c r="I294" s="169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23281.200776023208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9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23154.934824537635</v>
      </c>
      <c r="H295" s="169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319306.55123037403</v>
      </c>
      <c r="I295" s="169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319306.55123037403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9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9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9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9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9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9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9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9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9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9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9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9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9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9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9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9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9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9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9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9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9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9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9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9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9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9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9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9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9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9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9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9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9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9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9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9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9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9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9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52641.376286033876</v>
      </c>
      <c r="H310" s="169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247240.75200261531</v>
      </c>
      <c r="I310" s="169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115721.03397482408</v>
      </c>
      <c r="J310" s="76">
        <f t="shared" si="55"/>
        <v>115721.03397482408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9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3560.3355603067766</v>
      </c>
      <c r="H311" s="169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7833.4502997869704</v>
      </c>
      <c r="I311" s="169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3334.8601145295929</v>
      </c>
      <c r="J311" s="76">
        <f t="shared" si="55"/>
        <v>3334.8601145295929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9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2298.7500561586844</v>
      </c>
      <c r="H312" s="169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5562.9751359040165</v>
      </c>
      <c r="I312" s="169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4260.6826565888859</v>
      </c>
      <c r="J312" s="76">
        <f t="shared" si="55"/>
        <v>4260.6826565888859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9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29299.72645167357</v>
      </c>
      <c r="H313" s="169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1134004.8926949934</v>
      </c>
      <c r="I313" s="169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1134004.8926949934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9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598.37458848404606</v>
      </c>
      <c r="H314" s="169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7077.2754452950539</v>
      </c>
      <c r="I314" s="169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7077.2754452950539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9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2516.8191127498626</v>
      </c>
      <c r="H315" s="169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60928.195768701553</v>
      </c>
      <c r="I315" s="169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60928.195768701553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9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1547.8532822600712</v>
      </c>
      <c r="H316" s="169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71688.247210680318</v>
      </c>
      <c r="I316" s="169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71688.247210680318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9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5057.2501235491054</v>
      </c>
      <c r="H317" s="169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186831.50848931167</v>
      </c>
      <c r="I317" s="169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186831.50848931167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9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233.34512695057583</v>
      </c>
      <c r="H318" s="169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1129.2270728519215</v>
      </c>
      <c r="I318" s="169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1129.2270728519215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9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3214.6491117874693</v>
      </c>
      <c r="H319" s="16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54596.596900072604</v>
      </c>
      <c r="I319" s="16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54596.596900072604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9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4642.9357474929175</v>
      </c>
      <c r="H320" s="169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37815.089574385107</v>
      </c>
      <c r="I320" s="169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9008.5953721455571</v>
      </c>
      <c r="J320" s="76">
        <f t="shared" si="55"/>
        <v>9008.5953721455571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9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872.02335992174335</v>
      </c>
      <c r="H321" s="169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24852.665757769686</v>
      </c>
      <c r="I321" s="169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24852.665757769686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9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335.33125404871168</v>
      </c>
      <c r="H322" s="169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4661.9223123845286</v>
      </c>
      <c r="I322" s="169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4661.9223123845286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9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8134.4531663514217</v>
      </c>
      <c r="H323" s="169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112174.10916398611</v>
      </c>
      <c r="I323" s="169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112174.10916398611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9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70682.715843780199</v>
      </c>
      <c r="H324" s="169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331975.51150348247</v>
      </c>
      <c r="I324" s="169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155381.13815920494</v>
      </c>
      <c r="J324" s="76">
        <f t="shared" si="55"/>
        <v>155381.13815920494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9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6420.7834634017008</v>
      </c>
      <c r="H325" s="169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14127.007776176421</v>
      </c>
      <c r="I325" s="169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6014.1563381976594</v>
      </c>
      <c r="J325" s="76">
        <f t="shared" si="55"/>
        <v>6014.1563381976594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9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4145.6138324797766</v>
      </c>
      <c r="H326" s="169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10032.385474601062</v>
      </c>
      <c r="I326" s="169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7683.8040349969524</v>
      </c>
      <c r="J326" s="76">
        <f t="shared" si="55"/>
        <v>7683.8040349969524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9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81253.311144441221</v>
      </c>
      <c r="H327" s="169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3144795.6532099955</v>
      </c>
      <c r="I327" s="169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3144795.6532099955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9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1079.1212225869831</v>
      </c>
      <c r="H328" s="169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12763.306260147541</v>
      </c>
      <c r="I328" s="169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12763.306260147541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9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4538.8841208341701</v>
      </c>
      <c r="H329" s="16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109879.17998742567</v>
      </c>
      <c r="I329" s="16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109879.17998742567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9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2791.4309171608429</v>
      </c>
      <c r="H330" s="169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129284.08134960398</v>
      </c>
      <c r="I330" s="169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129284.08134960398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9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4974.7365989757318</v>
      </c>
      <c r="H331" s="169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183783.18659694016</v>
      </c>
      <c r="I331" s="169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183783.18659694016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9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420.81947249391567</v>
      </c>
      <c r="H332" s="169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2036.4716732398063</v>
      </c>
      <c r="I332" s="169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2036.4716732398063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9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5797.3653067199793</v>
      </c>
      <c r="H333" s="169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98460.642429948159</v>
      </c>
      <c r="I333" s="169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98460.642429948159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9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8373.167237801159</v>
      </c>
      <c r="H334" s="169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68196.521842830145</v>
      </c>
      <c r="I334" s="169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16246.28892816083</v>
      </c>
      <c r="J334" s="76">
        <f t="shared" si="55"/>
        <v>16246.28892816083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9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1572.6251287963075</v>
      </c>
      <c r="H335" s="169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44819.816170694765</v>
      </c>
      <c r="I335" s="169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44819.816170694765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9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604.74338283220732</v>
      </c>
      <c r="H336" s="169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8407.4080052282479</v>
      </c>
      <c r="I336" s="169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8407.4080052282479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9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14669.842628492142</v>
      </c>
      <c r="H337" s="169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202297.12984690667</v>
      </c>
      <c r="I337" s="169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202297.12984690667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9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9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9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9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9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9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9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9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9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9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9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9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9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9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9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9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9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9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9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9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9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9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9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9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9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9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9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9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9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9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9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9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9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9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9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9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9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9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9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1341.9372857635426</v>
      </c>
      <c r="H352" s="169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11288.37644784292</v>
      </c>
      <c r="I352" s="169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5283.5245964128781</v>
      </c>
      <c r="J352" s="76">
        <f t="shared" si="60"/>
        <v>5283.5245964128781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9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36.288129269323399</v>
      </c>
      <c r="H353" s="169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168.08661477550601</v>
      </c>
      <c r="I353" s="169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71.557912024587608</v>
      </c>
      <c r="J353" s="76">
        <f t="shared" si="60"/>
        <v>71.557912024587608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9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146.5734228086215</v>
      </c>
      <c r="H354" s="169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773.90767242952154</v>
      </c>
      <c r="I354" s="169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592.73588631377049</v>
      </c>
      <c r="J354" s="76">
        <f t="shared" si="60"/>
        <v>592.73588631377049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9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430.98727783808897</v>
      </c>
      <c r="H355" s="169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25662.706471591169</v>
      </c>
      <c r="I355" s="169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25662.706471591169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9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8.1624322960479301</v>
      </c>
      <c r="H356" s="169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203.24456417159345</v>
      </c>
      <c r="I356" s="169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203.24456417159345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9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13.876881948726561</v>
      </c>
      <c r="H357" s="169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707.2363898566864</v>
      </c>
      <c r="I357" s="169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707.2363898566864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9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38.769088613871659</v>
      </c>
      <c r="H358" s="169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3780.1597327865784</v>
      </c>
      <c r="I358" s="169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3780.1597327865784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9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41.333831193582235</v>
      </c>
      <c r="H359" s="16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2207.7225917116143</v>
      </c>
      <c r="I359" s="16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2207.7225917116143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9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8.9165570688709668</v>
      </c>
      <c r="H360" s="169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90.841883417657414</v>
      </c>
      <c r="I360" s="169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90.841883417657414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9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63.668542106239137</v>
      </c>
      <c r="H361" s="169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2276.477140615299</v>
      </c>
      <c r="I361" s="169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2276.477140615299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9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462.23059641763115</v>
      </c>
      <c r="H362" s="169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7925.6983571870942</v>
      </c>
      <c r="I362" s="169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1888.1195402467395</v>
      </c>
      <c r="J362" s="76">
        <f t="shared" si="60"/>
        <v>1888.1195402467395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9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13.972194186037328</v>
      </c>
      <c r="H363" s="169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838.33165116223972</v>
      </c>
      <c r="I363" s="169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838.33165116223972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9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29.654214536198896</v>
      </c>
      <c r="H364" s="169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867.92823032777255</v>
      </c>
      <c r="I364" s="169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867.92823032777255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9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2393.3808440301391</v>
      </c>
      <c r="H365" s="169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39605.666207010741</v>
      </c>
      <c r="I365" s="169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39605.666207010741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9" t="str">
        <f t="shared" si="59"/>
        <v>OC6</v>
      </c>
      <c r="F366" t="str">
        <f t="shared" si="58"/>
        <v>Korn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0</v>
      </c>
      <c r="H366" s="169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0</v>
      </c>
      <c r="I366" s="169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0</v>
      </c>
      <c r="J366" s="76">
        <f t="shared" si="60"/>
        <v>0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9" t="str">
        <f t="shared" si="59"/>
        <v>OC6</v>
      </c>
      <c r="F367" t="str">
        <f t="shared" si="58"/>
        <v>Bælgsæd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0</v>
      </c>
      <c r="H367" s="169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0</v>
      </c>
      <c r="I367" s="169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0</v>
      </c>
      <c r="J367" s="76">
        <f t="shared" si="60"/>
        <v>0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9" t="str">
        <f t="shared" si="59"/>
        <v>OC6</v>
      </c>
      <c r="F368" t="str">
        <f t="shared" si="58"/>
        <v>Raps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0</v>
      </c>
      <c r="H368" s="169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0</v>
      </c>
      <c r="I368" s="169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0</v>
      </c>
      <c r="J368" s="76">
        <f t="shared" si="60"/>
        <v>0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9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0</v>
      </c>
      <c r="H369" s="1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0</v>
      </c>
      <c r="I369" s="1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0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9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0</v>
      </c>
      <c r="H370" s="169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0</v>
      </c>
      <c r="I370" s="169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0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9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0</v>
      </c>
      <c r="H371" s="169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0</v>
      </c>
      <c r="I371" s="169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0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9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0</v>
      </c>
      <c r="H372" s="169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0</v>
      </c>
      <c r="I372" s="169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0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9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0</v>
      </c>
      <c r="H373" s="169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0</v>
      </c>
      <c r="I373" s="169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0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9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0</v>
      </c>
      <c r="H374" s="169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0</v>
      </c>
      <c r="I374" s="169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0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9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0</v>
      </c>
      <c r="H375" s="169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0</v>
      </c>
      <c r="I375" s="169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0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9" t="str">
        <f t="shared" si="61"/>
        <v>OC6</v>
      </c>
      <c r="F376" t="str">
        <f t="shared" si="58"/>
        <v>Frø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0</v>
      </c>
      <c r="H376" s="169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0</v>
      </c>
      <c r="I376" s="169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0</v>
      </c>
      <c r="J376" s="76">
        <f t="shared" si="60"/>
        <v>0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9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0</v>
      </c>
      <c r="H377" s="169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0</v>
      </c>
      <c r="I377" s="169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0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9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0</v>
      </c>
      <c r="H378" s="169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0</v>
      </c>
      <c r="I378" s="169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0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9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1816.6776009727953</v>
      </c>
      <c r="H379" s="16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30062.380940897816</v>
      </c>
      <c r="I379" s="16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30062.380940897816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9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9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9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9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9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9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9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9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9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9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9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9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9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9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9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9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9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9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9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9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9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9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9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9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9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9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9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9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9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9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9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9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9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9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9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9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9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9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9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9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9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358.35127352593128</v>
      </c>
      <c r="H394" s="169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2019.6821116430901</v>
      </c>
      <c r="I394" s="169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945.31221235454802</v>
      </c>
      <c r="J394" s="76">
        <f t="shared" si="60"/>
        <v>945.31221235454802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9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9.6903912541163457</v>
      </c>
      <c r="H395" s="169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25.584958604768143</v>
      </c>
      <c r="I395" s="169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10.892040508031604</v>
      </c>
      <c r="J395" s="76">
        <f t="shared" si="60"/>
        <v>10.892040508031604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9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39.141004043745959</v>
      </c>
      <c r="H396" s="169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113.66547574303827</v>
      </c>
      <c r="I396" s="169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87.056387871593003</v>
      </c>
      <c r="J396" s="76">
        <f t="shared" si="60"/>
        <v>87.056387871593003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9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115.09095210725641</v>
      </c>
      <c r="H397" s="169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5345.3210087740918</v>
      </c>
      <c r="I397" s="169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5345.3210087740918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9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2.1796979928862137</v>
      </c>
      <c r="H398" s="169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30.936453613034026</v>
      </c>
      <c r="I398" s="169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30.936453613034026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9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3.705686079111902</v>
      </c>
      <c r="H399" s="16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107.65053352068445</v>
      </c>
      <c r="I399" s="16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107.65053352068445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9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10.352907267432922</v>
      </c>
      <c r="H400" s="169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575.38924447926718</v>
      </c>
      <c r="I400" s="169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575.38924447926718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9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11.037796777140914</v>
      </c>
      <c r="H401" s="169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489.32716521233988</v>
      </c>
      <c r="I401" s="169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489.32716521233988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9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2.3810796637031362</v>
      </c>
      <c r="H402" s="169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13.827310579870304</v>
      </c>
      <c r="I402" s="169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13.827310579870304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9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17.002063650335472</v>
      </c>
      <c r="H403" s="169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346.50928918482077</v>
      </c>
      <c r="I403" s="169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346.50928918482077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9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123.4341758338294</v>
      </c>
      <c r="H404" s="169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1206.3938859934735</v>
      </c>
      <c r="I404" s="169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287.396235224235</v>
      </c>
      <c r="J404" s="76">
        <f t="shared" si="60"/>
        <v>287.396235224235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9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3.7311382831644075</v>
      </c>
      <c r="H405" s="169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127.60492928422273</v>
      </c>
      <c r="I405" s="169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127.60492928422273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9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7.9188689793440421</v>
      </c>
      <c r="H406" s="169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132.10991175295914</v>
      </c>
      <c r="I406" s="169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132.10991175295914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9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639.12902830087648</v>
      </c>
      <c r="H407" s="169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10576.307160322904</v>
      </c>
      <c r="I407" s="169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10576.307160322904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9" t="str">
        <f t="shared" si="63"/>
        <v>OC6</v>
      </c>
      <c r="F408" t="str">
        <f t="shared" si="62"/>
        <v>Korn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0</v>
      </c>
      <c r="H408" s="169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0</v>
      </c>
      <c r="I408" s="169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0</v>
      </c>
      <c r="J408" s="76">
        <f t="shared" si="64"/>
        <v>0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9" t="str">
        <f t="shared" si="63"/>
        <v>OC6</v>
      </c>
      <c r="F409" t="str">
        <f t="shared" si="62"/>
        <v>Bælgsæd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0</v>
      </c>
      <c r="H409" s="16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0</v>
      </c>
      <c r="I409" s="16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0</v>
      </c>
      <c r="J409" s="76">
        <f t="shared" si="64"/>
        <v>0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9" t="str">
        <f t="shared" si="63"/>
        <v>OC6</v>
      </c>
      <c r="F410" t="str">
        <f t="shared" si="62"/>
        <v>Raps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0</v>
      </c>
      <c r="H410" s="169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0</v>
      </c>
      <c r="I410" s="169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0</v>
      </c>
      <c r="J410" s="76">
        <f t="shared" si="64"/>
        <v>0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9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0</v>
      </c>
      <c r="H411" s="169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0</v>
      </c>
      <c r="I411" s="169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0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9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0</v>
      </c>
      <c r="H412" s="169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0</v>
      </c>
      <c r="I412" s="169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0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9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0</v>
      </c>
      <c r="H413" s="169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0</v>
      </c>
      <c r="I413" s="169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0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9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0</v>
      </c>
      <c r="H414" s="169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0</v>
      </c>
      <c r="I414" s="169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0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9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0</v>
      </c>
      <c r="H415" s="169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0</v>
      </c>
      <c r="I415" s="169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0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9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0</v>
      </c>
      <c r="H416" s="169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0</v>
      </c>
      <c r="I416" s="169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0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9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0</v>
      </c>
      <c r="H417" s="169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0</v>
      </c>
      <c r="I417" s="169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0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9" t="str">
        <f t="shared" si="63"/>
        <v>OC6</v>
      </c>
      <c r="F418" t="str">
        <f t="shared" si="62"/>
        <v>Frø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0</v>
      </c>
      <c r="H418" s="169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0</v>
      </c>
      <c r="I418" s="169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0</v>
      </c>
      <c r="J418" s="76">
        <f t="shared" si="64"/>
        <v>0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9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0</v>
      </c>
      <c r="H419" s="16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0</v>
      </c>
      <c r="I419" s="16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0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9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0</v>
      </c>
      <c r="H420" s="169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0</v>
      </c>
      <c r="I420" s="169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0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9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1150.9587357912035</v>
      </c>
      <c r="H421" s="169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19046.065159872836</v>
      </c>
      <c r="I421" s="169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19046.065159872836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9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9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9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9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9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9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9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9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9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9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9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9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9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9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9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9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9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9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9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9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9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9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9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9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9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9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9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9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9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9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9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9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9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9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9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9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9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9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9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9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9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429.87161527617815</v>
      </c>
      <c r="H436" s="169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4218.7600323204124</v>
      </c>
      <c r="I436" s="169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1974.5906331275689</v>
      </c>
      <c r="J436" s="76">
        <f t="shared" si="64"/>
        <v>1974.5906331275689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9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7.8078860767998624</v>
      </c>
      <c r="H437" s="169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42.193816359026464</v>
      </c>
      <c r="I437" s="169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17.962771176237652</v>
      </c>
      <c r="J437" s="76">
        <f t="shared" si="64"/>
        <v>17.962771176237652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9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38.13969650774699</v>
      </c>
      <c r="H438" s="169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234.94053048772145</v>
      </c>
      <c r="I438" s="169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179.94095230054586</v>
      </c>
      <c r="J438" s="76">
        <f t="shared" si="64"/>
        <v>179.94095230054586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9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280.27283492976966</v>
      </c>
      <c r="H439" s="16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19469.993296901237</v>
      </c>
      <c r="I439" s="16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19469.993296901237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9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1.3191318198291107</v>
      </c>
      <c r="H440" s="169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38.320779366035666</v>
      </c>
      <c r="I440" s="169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38.320779366035666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9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7.5188940108426783</v>
      </c>
      <c r="H441" s="169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447.06786833358649</v>
      </c>
      <c r="I441" s="169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447.06786833358649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9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8.6586500553434007</v>
      </c>
      <c r="H442" s="169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984.96667554933219</v>
      </c>
      <c r="I442" s="169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984.96667554933219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9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8.8935376823073096</v>
      </c>
      <c r="H443" s="169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554.1919071352977</v>
      </c>
      <c r="I443" s="169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554.1919071352977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9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3.227246687100445</v>
      </c>
      <c r="H444" s="169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38.359054122875889</v>
      </c>
      <c r="I444" s="169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38.359054122875889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9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23.044106598298601</v>
      </c>
      <c r="H445" s="169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961.26925775933967</v>
      </c>
      <c r="I445" s="169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961.26925775933967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9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215.65084033780454</v>
      </c>
      <c r="H446" s="169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4313.9667623565656</v>
      </c>
      <c r="I446" s="169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1027.7056447138414</v>
      </c>
      <c r="J446" s="76">
        <f t="shared" si="64"/>
        <v>1027.7056447138414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9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5.0570771935991958</v>
      </c>
      <c r="H447" s="169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353.99540355194375</v>
      </c>
      <c r="I447" s="169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353.99540355194375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9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15.426205639594636</v>
      </c>
      <c r="H448" s="169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526.748485254451</v>
      </c>
      <c r="I448" s="169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526.748485254451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9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2274.800349586566</v>
      </c>
      <c r="H449" s="16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43917.295549118244</v>
      </c>
      <c r="I449" s="16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43917.295549118244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9" t="str">
        <f t="shared" si="65"/>
        <v>OC12</v>
      </c>
      <c r="F450" t="str">
        <f t="shared" si="62"/>
        <v>Korn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 s="169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 s="169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6">
        <f t="shared" si="64"/>
        <v>0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9" t="str">
        <f t="shared" si="65"/>
        <v>OC12</v>
      </c>
      <c r="F451" t="str">
        <f t="shared" si="62"/>
        <v>Bælgsæd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 s="169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 s="169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6">
        <f t="shared" si="64"/>
        <v>0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9" t="str">
        <f t="shared" si="65"/>
        <v>OC12</v>
      </c>
      <c r="F452" t="str">
        <f t="shared" si="62"/>
        <v>Raps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 s="169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 s="169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6">
        <f t="shared" si="64"/>
        <v>0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9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 s="169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 s="169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0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9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 s="169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 s="169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0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9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 s="169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 s="169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0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9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 s="169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 s="169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0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9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 s="169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 s="169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0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9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 s="169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 s="169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0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9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 s="16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 s="16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0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9" t="str">
        <f t="shared" si="66"/>
        <v>OC12</v>
      </c>
      <c r="F460" t="str">
        <f t="shared" si="62"/>
        <v>Frø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 s="169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 s="169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6">
        <f t="shared" si="64"/>
        <v>0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9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 s="169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 s="169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0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9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 s="169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 s="169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0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9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490.292112360109</v>
      </c>
      <c r="H463" s="169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9465.5795212242647</v>
      </c>
      <c r="I463" s="169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9465.5795212242647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9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9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9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9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9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9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9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9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9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9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9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9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9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9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9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9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9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9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9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9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9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9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9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9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9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9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9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9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9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9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9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9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9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9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9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9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9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9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9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9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9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114.79302529344227</v>
      </c>
      <c r="H478" s="169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754.80776265399436</v>
      </c>
      <c r="I478" s="169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353.28777331020206</v>
      </c>
      <c r="J478" s="76">
        <f t="shared" si="68"/>
        <v>353.28777331020206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9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2.0850198804742326</v>
      </c>
      <c r="H479" s="16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6.4224450374271687</v>
      </c>
      <c r="I479" s="16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2.7341662962560505</v>
      </c>
      <c r="J479" s="76">
        <f t="shared" si="68"/>
        <v>2.7341662962560505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9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10.184834239602406</v>
      </c>
      <c r="H480" s="169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34.506218403772955</v>
      </c>
      <c r="I480" s="169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26.428312675449696</v>
      </c>
      <c r="J480" s="76">
        <f t="shared" si="68"/>
        <v>26.428312675449696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9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74.844129004627362</v>
      </c>
      <c r="H481" s="169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4055.4321238808939</v>
      </c>
      <c r="I481" s="169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4055.4321238808939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9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0.35226129611219092</v>
      </c>
      <c r="H482" s="169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5.8329186716737125</v>
      </c>
      <c r="I482" s="169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5.8329186716737125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9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2.0078473658021165</v>
      </c>
      <c r="H483" s="169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68.0495167334618</v>
      </c>
      <c r="I483" s="169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68.0495167334618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9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2.3122081093247311</v>
      </c>
      <c r="H484" s="169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149.92467814681697</v>
      </c>
      <c r="I484" s="169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149.92467814681697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9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2.3749325608702505</v>
      </c>
      <c r="H485" s="169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122.8329845063971</v>
      </c>
      <c r="I485" s="169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122.8329845063971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9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0.86180477476394313</v>
      </c>
      <c r="H486" s="169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5.8387445851212094</v>
      </c>
      <c r="I486" s="169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5.8387445851212094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9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6.1537040772132681</v>
      </c>
      <c r="H487" s="169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146.3176244024923</v>
      </c>
      <c r="I487" s="169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146.3176244024923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9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57.587455160409412</v>
      </c>
      <c r="H488" s="169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656.64158436797891</v>
      </c>
      <c r="I488" s="169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156.43010249809481</v>
      </c>
      <c r="J488" s="76">
        <f t="shared" ref="J488:J505" si="70">IF(I488&lt;&gt;0,I488,H488)</f>
        <v>156.43010249809481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9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1.3504431778375496</v>
      </c>
      <c r="H489" s="16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53.882682795718225</v>
      </c>
      <c r="I489" s="16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53.882682795718225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9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4.1194178709151004</v>
      </c>
      <c r="H490" s="169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80.177938072932918</v>
      </c>
      <c r="I490" s="169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80.177938072932918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9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607.46326295550796</v>
      </c>
      <c r="H491" s="169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11727.685754619037</v>
      </c>
      <c r="I491" s="169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11727.685754619037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9" t="str">
        <f t="shared" si="69"/>
        <v>OC12</v>
      </c>
      <c r="F492" t="str">
        <f t="shared" si="67"/>
        <v>Korn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 s="169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 s="169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6">
        <f t="shared" si="70"/>
        <v>0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9" t="str">
        <f t="shared" si="69"/>
        <v>OC12</v>
      </c>
      <c r="F493" t="str">
        <f t="shared" si="67"/>
        <v>Bælgsæd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 s="169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 s="169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6">
        <f t="shared" si="70"/>
        <v>0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9" t="str">
        <f t="shared" si="69"/>
        <v>OC12</v>
      </c>
      <c r="F494" t="str">
        <f t="shared" si="67"/>
        <v>Raps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 s="169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 s="169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6">
        <f t="shared" si="70"/>
        <v>0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9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 s="169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 s="169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0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9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 s="169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 s="169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0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9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 s="169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 s="169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0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9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 s="169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 s="169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0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9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 s="16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 s="16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0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9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 s="169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 s="169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0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9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 s="169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 s="169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0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9" t="str">
        <f t="shared" si="69"/>
        <v>OC12</v>
      </c>
      <c r="F502" t="str">
        <f t="shared" si="67"/>
        <v>Frø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 s="169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 s="169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6">
        <f t="shared" si="70"/>
        <v>0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9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 s="169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 s="169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0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9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 s="169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 s="169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0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9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310.62528073677737</v>
      </c>
      <c r="H505" s="169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5996.9316699042238</v>
      </c>
      <c r="I505" s="169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5996.9316699042238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2021-09-29T06:39:42Z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570730090141296</vt:r8>
  </property>
</Properties>
</file>