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7CDDCFD8-E53D-45B5-9C92-BA69D3863DEF}" xr6:coauthVersionLast="47" xr6:coauthVersionMax="47" xr10:uidLastSave="{00000000-0000-0000-0000-000000000000}"/>
  <bookViews>
    <workbookView xWindow="28680" yWindow="-120" windowWidth="29040" windowHeight="1584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084" r:id="rId38"/>
    <pivotCache cacheId="1088" r:id="rId39"/>
    <pivotCache cacheId="1093" r:id="rId40"/>
    <pivotCache cacheId="1098" r:id="rId41"/>
    <pivotCache cacheId="1104" r:id="rId42"/>
    <pivotCache cacheId="1109" r:id="rId43"/>
    <pivotCache cacheId="1114" r:id="rId44"/>
    <pivotCache cacheId="111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3" i="41" l="1"/>
  <c r="I3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37"/>
  <c r="J4" i="58"/>
  <c r="H4" i="37" l="1"/>
  <c r="H4" i="58"/>
  <c r="E37" i="53"/>
  <c r="O4" i="58"/>
  <c r="M45" i="39"/>
  <c r="F245" i="66"/>
  <c r="E31" i="53"/>
  <c r="F101" i="66"/>
  <c r="J4" i="41"/>
  <c r="E45" i="39" s="1"/>
  <c r="F53" i="66"/>
  <c r="E19" i="53"/>
  <c r="I4" i="41"/>
  <c r="D45" i="39" s="1"/>
  <c r="E25" i="53"/>
  <c r="F197" i="66"/>
  <c r="N4" i="58"/>
  <c r="L45" i="39"/>
  <c r="E107" i="38" l="1"/>
  <c r="D56" i="39"/>
  <c r="D59" i="39"/>
  <c r="D60" i="39" s="1"/>
  <c r="E59" i="39"/>
  <c r="E60" i="39" s="1"/>
  <c r="E56" i="39"/>
  <c r="E124" i="38"/>
  <c r="M56" i="39"/>
  <c r="E175" i="38"/>
  <c r="M59" i="39"/>
  <c r="M60" i="39" s="1"/>
  <c r="L59" i="39"/>
  <c r="L60" i="39" s="1"/>
  <c r="E158" i="38"/>
  <c r="L56" i="39"/>
  <c r="E13" i="53"/>
  <c r="M4" i="58"/>
  <c r="F149" i="66"/>
  <c r="E7" i="53"/>
  <c r="H4" i="41"/>
  <c r="K45" i="39" s="1"/>
  <c r="F5" i="66"/>
  <c r="C45" i="39"/>
  <c r="J466" i="58" l="1"/>
  <c r="J245" i="66"/>
  <c r="J474" i="58"/>
  <c r="D37" i="53"/>
  <c r="F37" i="53" s="1"/>
  <c r="M58" i="39"/>
  <c r="M57" i="39"/>
  <c r="J474" i="37"/>
  <c r="J101" i="66"/>
  <c r="D31" i="53"/>
  <c r="F31" i="53" s="1"/>
  <c r="H37" i="53" s="1"/>
  <c r="J466" i="37"/>
  <c r="E57" i="39"/>
  <c r="E58" i="39"/>
  <c r="C59" i="39"/>
  <c r="C60" i="39" s="1"/>
  <c r="E90" i="38"/>
  <c r="C56" i="39"/>
  <c r="L58" i="39"/>
  <c r="L57" i="39"/>
  <c r="I466" i="58"/>
  <c r="D25" i="53"/>
  <c r="F25" i="53" s="1"/>
  <c r="I474" i="58"/>
  <c r="J197" i="66"/>
  <c r="D57" i="39"/>
  <c r="D58" i="39"/>
  <c r="K59" i="39"/>
  <c r="K60" i="39" s="1"/>
  <c r="K56" i="39"/>
  <c r="E141" i="38"/>
  <c r="I474" i="37"/>
  <c r="I466" i="37"/>
  <c r="J53" i="66"/>
  <c r="D19" i="53"/>
  <c r="F19" i="53" s="1"/>
  <c r="H25" i="53" s="1"/>
  <c r="I479" i="58" l="1"/>
  <c r="F199" i="66"/>
  <c r="W101" i="66"/>
  <c r="S101" i="66"/>
  <c r="F103" i="66"/>
  <c r="J474" i="41"/>
  <c r="J479" i="37"/>
  <c r="J489" i="37"/>
  <c r="J466" i="41"/>
  <c r="F102" i="66"/>
  <c r="F198" i="66"/>
  <c r="I489" i="58"/>
  <c r="S53" i="66"/>
  <c r="W53" i="66"/>
  <c r="G25" i="53"/>
  <c r="H19" i="53"/>
  <c r="G19" i="53" s="1"/>
  <c r="I489" i="37"/>
  <c r="F54" i="66"/>
  <c r="I466" i="41"/>
  <c r="I474" i="41"/>
  <c r="F55" i="66"/>
  <c r="I479" i="37"/>
  <c r="C57" i="39"/>
  <c r="C58" i="39"/>
  <c r="G37" i="53"/>
  <c r="H31" i="53"/>
  <c r="G31" i="53" s="1"/>
  <c r="W197" i="66"/>
  <c r="S197" i="66"/>
  <c r="H474" i="58"/>
  <c r="J149" i="66"/>
  <c r="H466" i="58"/>
  <c r="D13" i="53"/>
  <c r="F13" i="53" s="1"/>
  <c r="H7" i="53" s="1"/>
  <c r="J479" i="58"/>
  <c r="F247" i="66"/>
  <c r="W245" i="66"/>
  <c r="S245" i="66"/>
  <c r="H474" i="37"/>
  <c r="D7" i="53"/>
  <c r="F7" i="53" s="1"/>
  <c r="J5" i="66"/>
  <c r="H466" i="37"/>
  <c r="K58" i="39"/>
  <c r="K57" i="39"/>
  <c r="F246" i="66"/>
  <c r="J489" i="58"/>
  <c r="F150" i="66" l="1"/>
  <c r="H489" i="58"/>
  <c r="L102" i="66"/>
  <c r="P102" i="66" s="1"/>
  <c r="L54" i="66"/>
  <c r="P54" i="66" s="1"/>
  <c r="N54" i="66"/>
  <c r="J489" i="41"/>
  <c r="F7" i="66"/>
  <c r="H474" i="41"/>
  <c r="H479" i="37"/>
  <c r="I489" i="41"/>
  <c r="J480" i="37"/>
  <c r="E366" i="38"/>
  <c r="K103" i="66" s="1"/>
  <c r="N103" i="66" s="1"/>
  <c r="J479" i="41"/>
  <c r="S5" i="66"/>
  <c r="W5" i="66"/>
  <c r="E307" i="38"/>
  <c r="E313" i="38"/>
  <c r="S149" i="66"/>
  <c r="W149" i="66"/>
  <c r="G7" i="53"/>
  <c r="H13" i="53"/>
  <c r="G13" i="53" s="1"/>
  <c r="E331" i="38"/>
  <c r="E337" i="38"/>
  <c r="H479" i="58"/>
  <c r="F151" i="66"/>
  <c r="E325" i="38"/>
  <c r="M197" i="66" s="1"/>
  <c r="E319" i="38"/>
  <c r="E349" i="38"/>
  <c r="M245" i="66" s="1"/>
  <c r="E343" i="38"/>
  <c r="H489" i="37"/>
  <c r="H489" i="41" s="1"/>
  <c r="H466" i="41"/>
  <c r="F6" i="66"/>
  <c r="L246" i="66"/>
  <c r="P246" i="66" s="1"/>
  <c r="N246" i="66"/>
  <c r="J480" i="58"/>
  <c r="E385" i="38" s="1"/>
  <c r="K266" i="66" s="1"/>
  <c r="N266" i="66" s="1"/>
  <c r="E384" i="38"/>
  <c r="K247" i="66" s="1"/>
  <c r="N247" i="66" s="1"/>
  <c r="I480" i="37"/>
  <c r="I479" i="41"/>
  <c r="E360" i="38"/>
  <c r="K55" i="66" s="1"/>
  <c r="N55" i="66" s="1"/>
  <c r="L198" i="66"/>
  <c r="P198" i="66" s="1"/>
  <c r="I480" i="58"/>
  <c r="E379" i="38" s="1"/>
  <c r="K218" i="66" s="1"/>
  <c r="N218" i="66" s="1"/>
  <c r="E378" i="38"/>
  <c r="K199" i="66" s="1"/>
  <c r="N199" i="66" s="1"/>
  <c r="N198" i="66" l="1"/>
  <c r="E367" i="38"/>
  <c r="K122" i="66" s="1"/>
  <c r="N122" i="66" s="1"/>
  <c r="J480" i="41"/>
  <c r="Z199" i="66"/>
  <c r="Z55" i="66"/>
  <c r="Y55" i="66"/>
  <c r="Y199" i="66"/>
  <c r="I486" i="58"/>
  <c r="L197" i="66"/>
  <c r="H479" i="41"/>
  <c r="H480" i="37"/>
  <c r="E354" i="38"/>
  <c r="K7" i="66" s="1"/>
  <c r="N7" i="66" s="1"/>
  <c r="C20" i="8"/>
  <c r="M53" i="66"/>
  <c r="F18" i="39" s="1"/>
  <c r="J486" i="58"/>
  <c r="L245" i="66"/>
  <c r="E372" i="38"/>
  <c r="K151" i="66" s="1"/>
  <c r="N151" i="66" s="1"/>
  <c r="H480" i="58"/>
  <c r="E373" i="38" s="1"/>
  <c r="K170" i="66" s="1"/>
  <c r="N170" i="66" s="1"/>
  <c r="D20" i="8"/>
  <c r="M101" i="66"/>
  <c r="G18" i="39" s="1"/>
  <c r="Y54" i="66"/>
  <c r="Z54" i="66"/>
  <c r="O54" i="66"/>
  <c r="Z198" i="66"/>
  <c r="I486" i="37"/>
  <c r="I486" i="41" s="1"/>
  <c r="L53" i="66"/>
  <c r="J486" i="37"/>
  <c r="J486" i="41" s="1"/>
  <c r="L101" i="66"/>
  <c r="I480" i="41"/>
  <c r="E361" i="38"/>
  <c r="K74" i="66" s="1"/>
  <c r="N74" i="66" s="1"/>
  <c r="O246" i="66"/>
  <c r="E295" i="38"/>
  <c r="E301" i="38"/>
  <c r="M149" i="66" s="1"/>
  <c r="N102" i="66"/>
  <c r="Y198" i="66"/>
  <c r="O198" i="66"/>
  <c r="L6" i="66"/>
  <c r="P6" i="66" s="1"/>
  <c r="V6" i="66" s="1"/>
  <c r="X6" i="66" s="1"/>
  <c r="N6" i="66"/>
  <c r="E283" i="38"/>
  <c r="E289" i="38"/>
  <c r="Y247" i="66"/>
  <c r="Y103" i="66"/>
  <c r="Z103" i="66"/>
  <c r="Z247" i="66"/>
  <c r="L150" i="66"/>
  <c r="P150" i="66" s="1"/>
  <c r="V150" i="66" s="1"/>
  <c r="X150" i="66" s="1"/>
  <c r="V198" i="66" l="1"/>
  <c r="X198" i="66" s="1"/>
  <c r="Q198" i="66"/>
  <c r="U198" i="66"/>
  <c r="E355" i="38"/>
  <c r="K26" i="66" s="1"/>
  <c r="N26" i="66" s="1"/>
  <c r="H480" i="41"/>
  <c r="Y151" i="66"/>
  <c r="Z151" i="66"/>
  <c r="Z7" i="66"/>
  <c r="Y7" i="66"/>
  <c r="V54" i="66"/>
  <c r="X54" i="66" s="1"/>
  <c r="U54" i="66"/>
  <c r="Q54" i="66"/>
  <c r="N150" i="66"/>
  <c r="O150" i="66" s="1"/>
  <c r="Y246" i="66"/>
  <c r="Y102" i="66"/>
  <c r="Z246" i="66"/>
  <c r="O102" i="66"/>
  <c r="Z102" i="66"/>
  <c r="N197" i="66"/>
  <c r="O197" i="66" s="1"/>
  <c r="P197" i="66"/>
  <c r="L149" i="66"/>
  <c r="H486" i="58"/>
  <c r="V246" i="66"/>
  <c r="X246" i="66" s="1"/>
  <c r="Q246" i="66"/>
  <c r="U246" i="66"/>
  <c r="Z218" i="66"/>
  <c r="Y74" i="66"/>
  <c r="Z74" i="66"/>
  <c r="Y218" i="66"/>
  <c r="P101" i="66"/>
  <c r="N101" i="66"/>
  <c r="P245" i="66"/>
  <c r="N245" i="66"/>
  <c r="Y150" i="66"/>
  <c r="Z150" i="66"/>
  <c r="O6" i="66"/>
  <c r="Z6" i="66"/>
  <c r="Y6" i="66"/>
  <c r="M5" i="66"/>
  <c r="B20" i="8"/>
  <c r="H486" i="37"/>
  <c r="H486" i="41" s="1"/>
  <c r="L5" i="66"/>
  <c r="P53" i="66"/>
  <c r="N53" i="66"/>
  <c r="Z122" i="66"/>
  <c r="Z266" i="66"/>
  <c r="Y122" i="66"/>
  <c r="Y266" i="66"/>
  <c r="Q6" i="66" l="1"/>
  <c r="U6" i="66"/>
  <c r="N149" i="66"/>
  <c r="R149" i="66"/>
  <c r="T149" i="66" s="1"/>
  <c r="P149" i="66"/>
  <c r="V149" i="66" s="1"/>
  <c r="X149" i="66" s="1"/>
  <c r="O245" i="66"/>
  <c r="Z53" i="66"/>
  <c r="O53" i="66"/>
  <c r="Y197" i="66"/>
  <c r="Z197" i="66"/>
  <c r="Y53" i="66"/>
  <c r="O101" i="66"/>
  <c r="Z101" i="66"/>
  <c r="Y245" i="66"/>
  <c r="Y101" i="66"/>
  <c r="Z245" i="66"/>
  <c r="V197" i="66"/>
  <c r="X197" i="66" s="1"/>
  <c r="U197" i="66"/>
  <c r="Q197" i="66"/>
  <c r="R197" i="66" s="1"/>
  <c r="T197" i="66" s="1"/>
  <c r="R5" i="66"/>
  <c r="T5" i="66" s="1"/>
  <c r="P5" i="66"/>
  <c r="V5" i="66" s="1"/>
  <c r="X5" i="66" s="1"/>
  <c r="N5" i="66"/>
  <c r="U102" i="66"/>
  <c r="Q102" i="66"/>
  <c r="V102" i="66"/>
  <c r="X102" i="66" s="1"/>
  <c r="Y26" i="66"/>
  <c r="Z26" i="66"/>
  <c r="Y170" i="66"/>
  <c r="Z170" i="66"/>
  <c r="Q150" i="66"/>
  <c r="U150" i="66"/>
  <c r="U101" i="66" l="1"/>
  <c r="V101" i="66"/>
  <c r="X101" i="66" s="1"/>
  <c r="Q101" i="66"/>
  <c r="R101" i="66" s="1"/>
  <c r="T101" i="66" s="1"/>
  <c r="Z149" i="66"/>
  <c r="O5" i="66"/>
  <c r="Y149" i="66"/>
  <c r="Y5" i="66"/>
  <c r="Z5" i="66"/>
  <c r="U53" i="66"/>
  <c r="Q53" i="66"/>
  <c r="R53" i="66" s="1"/>
  <c r="T53" i="66" s="1"/>
  <c r="V53" i="66"/>
  <c r="X53" i="66" s="1"/>
  <c r="V245" i="66"/>
  <c r="X245" i="66" s="1"/>
  <c r="Q245" i="66"/>
  <c r="R245" i="66" s="1"/>
  <c r="T245" i="66" s="1"/>
  <c r="U245" i="66"/>
  <c r="O149" i="66"/>
  <c r="Q5" i="66" l="1"/>
  <c r="U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<sst xmlns="http://schemas.openxmlformats.org/spreadsheetml/2006/main" count="4748" uniqueCount="343">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</sst>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251355.52688580981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E3A57D9-F0E2-4421-9F3E-C85EA0AE5C93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D83C8E-92DD-47FC-91A5-3C1DEF0CFBD2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80718027-EF75-4E6A-8C98-6BAD21116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0185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5972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71295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94444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29166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29166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52314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87036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410169.524502344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7697.9195836745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79077.1519635522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22180.863636810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09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09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08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0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0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0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0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0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B7" sqref="B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12089246.676465897</v>
      </c>
      <c r="R37" s="344">
        <f t="shared" ref="R37:R38" si="0">1-Q37/$Q$35</f>
        <v>0.39553766617670516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11129878.783220485</v>
      </c>
      <c r="R38" s="344">
        <f t="shared" si="0"/>
        <v>0.4435060608389757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251355.52688580981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0.85085506224669805</v>
      </c>
      <c r="AC3" s="231">
        <f>SUM(E12:E14)/SUM(E12:E15)</f>
        <v>0.84156678039128929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0.34031562314868813</v>
      </c>
      <c r="AC5" s="348">
        <f t="shared" si="0"/>
        <v>0.3303788017692923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0.39319844103504681</v>
      </c>
      <c r="AC6" s="348">
        <f t="shared" si="0"/>
        <v>0.39109334699095094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7317872.3979037404</v>
      </c>
      <c r="E12" s="131">
        <f>SUMIFS('Resultater - Danmark'!J$3:J$504,'Resultater - Danmark'!$F$3:$F$504,$A12)*D3</f>
        <v>7005959.4247079371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0.34031562314868813</v>
      </c>
      <c r="L12" s="132">
        <f t="shared" ref="L12:L28" si="3">E12/E$29</f>
        <v>0.3303788017692923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8455021.8174732141</v>
      </c>
      <c r="E13" s="134">
        <f>SUMIFS('Resultater - Danmark'!J$3:J$504,'Resultater - Danmark'!$F$3:$F$504,$A13)*D4</f>
        <v>8293462.2488436466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0.39319844103504681</v>
      </c>
      <c r="L13" s="135">
        <f t="shared" si="3"/>
        <v>0.39109334699095094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3617.1712242793346</v>
      </c>
      <c r="E14" s="134">
        <f>SUMIFS('Resultater - Danmark'!J$3:J$504,'Resultater - Danmark'!$F$3:$F$504,$A14)*D5</f>
        <v>3735.4520479403895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1.6821554302842836E-4</v>
      </c>
      <c r="L14" s="135">
        <f t="shared" si="3"/>
        <v>1.7615205810539539E-4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2880969.7698136591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0.12860591985150802</v>
      </c>
      <c r="L15" s="135">
        <f t="shared" si="3"/>
        <v>0.1358573869451534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1204392.371220411</v>
      </c>
      <c r="E16" s="134">
        <f>SUMIFS('Resultater - Danmark'!J$3:J$504,'Resultater - Danmark'!$F$3:$F$504,$A16)*D7</f>
        <v>1262014.3338818299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5.6009932674531422E-2</v>
      </c>
      <c r="L16" s="135">
        <f t="shared" si="3"/>
        <v>5.9512588950075447E-2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1.6927486366596273E-2</v>
      </c>
      <c r="L18" s="135">
        <f t="shared" si="3"/>
        <v>1.7437509236921743E-2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3.3760940184851887E-2</v>
      </c>
      <c r="L19" s="135">
        <f t="shared" si="3"/>
        <v>3.4095893413030022E-2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3.531289577497277E-3</v>
      </c>
      <c r="L20" s="135">
        <f t="shared" si="3"/>
        <v>3.5808063411094139E-3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4122757.2851450914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1.7606687834704731E-4</v>
      </c>
      <c r="L21" s="135">
        <f t="shared" si="3"/>
        <v>1.7853573902916006E-4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8515051.4180946313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3.9843850861436799E-3</v>
      </c>
      <c r="L22" s="135">
        <f t="shared" si="3"/>
        <v>4.0402552860014122E-3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3353627.3013542481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1.5347767457306561E-2</v>
      </c>
      <c r="L23" s="135">
        <f t="shared" si="3"/>
        <v>1.5562978290765341E-2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2115860.9405659074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1.3321277681593159E-3</v>
      </c>
      <c r="L24" s="135">
        <f t="shared" si="3"/>
        <v>1.3508072489409114E-3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3.6273683336158717E-6</v>
      </c>
      <c r="L25" s="135">
        <f t="shared" si="3"/>
        <v>3.6782323413297636E-6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6.638177059961497E-3</v>
      </c>
      <c r="L26" s="135">
        <f t="shared" si="3"/>
        <v>6.7312594982832452E-3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21503192.625119273</v>
      </c>
      <c r="E29" s="143">
        <f>SUM(E12:E28)</f>
        <v>21205838.229295012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1.0000000000000002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0.10536609436161316</v>
      </c>
      <c r="E30" s="147">
        <f>SUMPRODUCT(E12:E28,$H$12:$H$28)/E29</f>
        <v>0.10668972466527758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2.0840347189956605E-2</v>
      </c>
      <c r="E31" s="147">
        <f>SUM(E21:E24)/E29</f>
        <v>2.1132576564736823E-2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539354838.00291681</v>
      </c>
      <c r="E32" s="124">
        <f>SUMPRODUCT(E12:E28,$I$12:$I$28)</f>
        <v>538646145.97033834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19.362838684304716</v>
      </c>
      <c r="E33" s="124">
        <f>E32*[1]Energiindhold!$C$10</f>
        <v>19.33739664033515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6391729.2665735735</v>
      </c>
      <c r="E39" s="131">
        <f>SUMIFS('Resultater - Vestdanmark'!J$3:J$504,'Resultater - Vestdanmark'!$F$3:$F$504,$A39)*D3</f>
        <v>6119291.7094537346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926143.13133016659</v>
      </c>
      <c r="M39" s="131">
        <f>SUMIFS('Resultater - Østdanmark'!J$3:J$504,'Resultater - Østdanmark'!$F$3:$F$504,$A39)*D3</f>
        <v>886667.7152542026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7893966.0004921574</v>
      </c>
      <c r="E40" s="134">
        <f>SUMIFS('Resultater - Vestdanmark'!J$3:J$504,'Resultater - Vestdanmark'!$F$3:$F$504,$A40)*D4</f>
        <v>7743127.1535502924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561055.81698105508</v>
      </c>
      <c r="M40" s="134">
        <f>SUMIFS('Resultater - Østdanmark'!J$3:J$504,'Resultater - Østdanmark'!$F$3:$F$504,$A40)*D4</f>
        <v>550335.09529335448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3337.0904542181925</v>
      </c>
      <c r="E41" s="134">
        <f>SUMIFS('Resultater - Vestdanmark'!J$3:J$504,'Resultater - Vestdanmark'!$F$3:$F$504,$A41)*D5</f>
        <v>3446.2126889929687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280.08077006114183</v>
      </c>
      <c r="M41" s="134">
        <f>SUMIFS('Resultater - Østdanmark'!J$3:J$504,'Resultater - Østdanmark'!$F$3:$F$504,$A41)*D5</f>
        <v>289.23935894742124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1554136.2730559006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1326833.4967577588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1061170.3273835385</v>
      </c>
      <c r="E43" s="134">
        <f>SUMIFS('Resultater - Vestdanmark'!J$3:J$504,'Resultater - Vestdanmark'!$F$3:$F$504,$A43)*D7</f>
        <v>1111191.0910754299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143222.04383687259</v>
      </c>
      <c r="M43" s="134">
        <f>SUMIFS('Resultater - Østdanmark'!J$3:J$504,'Resultater - Østdanmark'!$F$3:$F$504,$A43)*D7</f>
        <v>150823.24280639994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508461.98144503916</v>
      </c>
      <c r="E46" s="134">
        <f>SUMIFS('Resultater - Vestdanmark'!J$3:J$504,'Resultater - Vestdanmark'!$F$3:$F$504,$A46)/SUMIFS('Resultater - Danmark'!J$3:J$504,'Resultater - Danmark'!$F$3:$F$504,$A46)*E19</f>
        <v>505095.54922592157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217506.01855496093</v>
      </c>
      <c r="M46" s="134">
        <f>SUMIFS('Resultater - Østdanmark'!J$3:J$504,'Resultater - Østdanmark'!$F$3:$F$504,$A46)/SUMIFS('Resultater - Danmark'!J$3:J$504,'Resultater - Danmark'!$F$3:$F$504,$A46)*E19</f>
        <v>217936.45077407858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53644.580306161413</v>
      </c>
      <c r="E47" s="134">
        <f>SUMIFS('Resultater - Vestdanmark'!J$3:J$504,'Resultater - Vestdanmark'!$F$3:$F$504,$A47)/SUMIFS('Resultater - Danmark'!J$3:J$504,'Resultater - Danmark'!$F$3:$F$504,$A47)*E20</f>
        <v>53363.755309158871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22289.419693838598</v>
      </c>
      <c r="M47" s="134">
        <f>SUMIFS('Resultater - Østdanmark'!J$3:J$504,'Resultater - Østdanmark'!$F$3:$F$504,$A47)/SUMIFS('Resultater - Danmark'!J$3:J$504,'Resultater - Danmark'!$F$3:$F$504,$A47)*E20</f>
        <v>22570.244690841144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18116708.54364533</v>
      </c>
      <c r="E56" s="143">
        <f ca="1">SUM(E39:E55)</f>
        <v>17798283.23987589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3386484.0814739461</v>
      </c>
      <c r="M56" s="143">
        <f ca="1">SUM(M39:M55)</f>
        <v>3407554.9894191246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0.10276680091556224</v>
      </c>
      <c r="E57" s="147">
        <f ca="1">SUMPRODUCT(E39:E55,$F$39:$F$55)/E56</f>
        <v>0.10416928393267103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0.11927156110782515</v>
      </c>
      <c r="M57" s="147">
        <f ca="1">SUMPRODUCT(M39:M55,$N$39:$N$55)/M56</f>
        <v>0.11985444781356019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2.1925397003635872E-2</v>
      </c>
      <c r="E58" s="147">
        <f ca="1">SUM(E48:E51)/E56</f>
        <v>2.230057807856935E-2</v>
      </c>
      <c r="I58" s="146" t="s">
        <v>160</v>
      </c>
      <c r="K58" s="147">
        <f ca="1">SUM(K48:K51)/K56</f>
        <v>1.8896340963997331E-2</v>
      </c>
      <c r="L58" s="147">
        <f ca="1">SUM(L48:L51)/L56</f>
        <v>1.5035645098692627E-2</v>
      </c>
      <c r="M58" s="147">
        <f ca="1">SUM(M48:M51)/M56</f>
        <v>1.5031890931681514E-2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436104134.24282026</v>
      </c>
      <c r="E59" s="124">
        <f ca="1">SUMPRODUCT(E39:E55,$I$12:$I$28)</f>
        <v>434305248.86575383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103250703.76009664</v>
      </c>
      <c r="M59" s="124">
        <f ca="1">SUMPRODUCT(M39:M55,$I$12:$I$28)</f>
        <v>104340897.10458456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15.65613841931725</v>
      </c>
      <c r="E60" s="124">
        <f ca="1">E59*[1]Energiindhold!$C$10</f>
        <v>15.591558434280564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3.7067002649874699</v>
      </c>
      <c r="M60" s="124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14170727.436337013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809729.86780953256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13769683.498114759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781289.12421925121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2648877.5690380111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395773.41834279301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2636262.8953785724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385663.66895741841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16654690.164173149</v>
      </c>
      <c r="J474" s="284">
        <f ca="1">SUMIFS('Forbrug af biomasse'!$E$1:$E$425,'Forbrug af biomasse'!$A$1:$A$425,"Biogas",'Forbrug af biomasse'!$B$1:$B$425,$A$1,'Forbrug af biomasse'!$D$1:$D$425,J$2)*'[1]Processer - data'!J474</f>
        <v>16361961.782417906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99195092.054359093</v>
      </c>
      <c r="J479" s="284">
        <f ca="1">J474*'[1]Processer - data'!J$479*Biogasanlæg!AC$3</f>
        <v>96387784.486803308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129556778.84952521</v>
      </c>
      <c r="J480" s="284">
        <f ca="1">-SUMIFS('Resultater - Vestdanmark'!J$3:J$504,'Resultater - Vestdanmark'!$F$3:$F$504,"Gødning",'Resultater - Vestdanmark'!$A$3:$A$504,"&lt;&gt;Gødning")-SUM(J475:J479)</f>
        <v>125006259.8750802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15.644878670886264</v>
      </c>
      <c r="J489" s="284">
        <f ca="1">SUM(J455:J473)*'[1]Processer - data'!$H$489</f>
        <v>15.580582515330825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3113194.8160989988</v>
      </c>
      <c r="J474" s="284">
        <f ca="1">SUMIFS('Forbrug af biomasse'!$E$1:$E$425,'Forbrug af biomasse'!$A$1:$A$425,"Biogas",'Forbrug af biomasse'!$B$1:$B$425,$A$1,'Forbrug af biomasse'!$D$1:$D$425,J$2)*'[1]Processer - data'!J474</f>
        <v>3132565.3017730014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18542142.983266078</v>
      </c>
      <c r="J479" s="284">
        <f ca="1">J474*'[1]Processer - data'!J$479*Biogasanlæg!AC$3</f>
        <v>18453840.267650008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63323746.934846878</v>
      </c>
      <c r="J480" s="284">
        <f ca="1">-SUMIFS('Resultater - Østdanmark'!J$3:J$504,'Resultater - Østdanmark'!$F$3:$F$504,"Gødning",'Resultater - Østdanmark'!$A$3:$A$504,"&lt;&gt;Gødning")-SUM(J475:J479)</f>
        <v>61706187.03318695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3.7056843880811146</v>
      </c>
      <c r="J489" s="284">
        <f ca="1">SUM(J455:J473)*'[1]Processer - data'!$H$489</f>
        <v>3.7448516917247332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12089246.676465895</v>
      </c>
      <c r="O3" s="98">
        <f>SUMIF($F$3:$F$509,$L$3,J$3:J$509)</f>
        <v>11129878.783220479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82323881.005690798</v>
      </c>
      <c r="J125" s="278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5239.8247641809012</v>
      </c>
      <c r="J126" s="278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116133.63423732575</v>
      </c>
      <c r="J127" s="278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171561.69845929107</v>
      </c>
      <c r="J128" s="278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7245.7392422613466</v>
      </c>
      <c r="J129" s="278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-285090575.83192879</v>
      </c>
      <c r="J130" s="278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-6757.0168947177917</v>
      </c>
      <c r="J131" s="278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11008.392730152173</v>
      </c>
      <c r="J132" s="278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1128905.9256907196</v>
      </c>
      <c r="J133" s="278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1994.5176843777681</v>
      </c>
      <c r="J134" s="278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7510.1592646289591</v>
      </c>
      <c r="J135" s="278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13826.644973337128</v>
      </c>
      <c r="J136" s="278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1418.8674777386532</v>
      </c>
      <c r="J137" s="278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-55826704.872071199</v>
      </c>
      <c r="J138" s="278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-2492.2636103603218</v>
      </c>
      <c r="J139" s="278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2371.2412074498138</v>
      </c>
      <c r="J140" s="278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102393.86056963103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157498.34817848625</v>
      </c>
      <c r="J438" s="278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580.93006043583182</v>
      </c>
      <c r="J439" s="281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4752039274.4896984</v>
      </c>
      <c r="J440" s="275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131956390.2838318</v>
      </c>
      <c r="J441" s="278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62759746.598407798</v>
      </c>
      <c r="J443" s="278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115059535.4304143</v>
      </c>
      <c r="J444" s="278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1346116103.3222597</v>
      </c>
      <c r="J445" s="278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193911524.74636257</v>
      </c>
      <c r="J446" s="278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1828078772.7125964</v>
      </c>
      <c r="J449" s="278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131151778.14795476</v>
      </c>
      <c r="J450" s="278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97358068.441119805</v>
      </c>
      <c r="J453" s="278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3223276216.3233547</v>
      </c>
      <c r="J454" s="278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87814468.774844885</v>
      </c>
      <c r="J458" s="278">
        <f>'Resultater - Vestdanmark'!J458+'Resultater - Østdanmark'!J458</f>
        <v>84071513.096495241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-93138.953061874388</v>
      </c>
      <c r="J459" s="284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119215807.62637229</v>
      </c>
      <c r="J460" s="278">
        <f>'Resultater - Vestdanmark'!J460+'Resultater - Østdanmark'!J460</f>
        <v>116937817.70869543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-248800.47137658359</v>
      </c>
      <c r="J461" s="284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47384.943038059275</v>
      </c>
      <c r="J462" s="278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72263542.273224667</v>
      </c>
      <c r="J463" s="278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74480686.960000008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19767884.980272148</v>
      </c>
      <c r="J474" s="284">
        <f ca="1">'Resultater - Vestdanmark'!J474+'Resultater - Østdanmark'!J474</f>
        <v>19494527.084190909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34394000.270147577</v>
      </c>
      <c r="J475" s="284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21360055.117827062</v>
      </c>
      <c r="J476" s="284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25320.198569955341</v>
      </c>
      <c r="J477" s="284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6383279.5674681785</v>
      </c>
      <c r="J478" s="284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117737235.03762516</v>
      </c>
      <c r="J479" s="284">
        <f ca="1">'Resultater - Vestdanmark'!J479+'Resultater - Østdanmark'!J479</f>
        <v>114841624.75445332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192880525.78437209</v>
      </c>
      <c r="J480" s="284">
        <f ca="1">'Resultater - Vestdanmark'!J480+'Resultater - Østdanmark'!J480</f>
        <v>186712446.90826714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22.141657384641213</v>
      </c>
      <c r="J481" s="288">
        <f>'Resultater - Vestdanmark'!J481+'Resultater - Østdanmark'!J481</f>
        <v>21.083253543160303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19.350563058967378</v>
      </c>
      <c r="J489" s="291">
        <f ca="1">'Resultater - Vestdanmark'!J489+'Resultater - Østdanmark'!J489</f>
        <v>19.325434207055558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138453.77532930995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218519.66268109329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436104134.24282026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436104134.24282026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16654690.164173149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2483962.7278361358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659441.56058834167</v>
      </c>
      <c r="O57" s="191">
        <f t="shared" si="1"/>
        <v>659441.56058834167</v>
      </c>
      <c r="P57" s="201">
        <f t="shared" si="10"/>
        <v>1061170.3273835385</v>
      </c>
      <c r="Q57" s="188">
        <f>IFERROR(VLOOKUP(A57,[1]Energiindhold!$A$2:$C$11,3,FALSE),IFERROR(VLOOKUP(A57,[1]Biogasudbytte!$A$2:$B$18,2,FALSE)*[1]Energiindhold!$C$10,0))*O57</f>
        <v>1.420437121507288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8">
        <f>IFERROR(VLOOKUP(A57,[1]Biogasudbytte!$A$2:$B$18,2,FALSE)*[1]Energiindhold!$C$10,0)*J57*IFERROR(VLOOKUP(A57,Biogasanlæg!$F$3:$G$8,2,FALSE),1)</f>
        <v>2.2857608851841418</v>
      </c>
      <c r="T57" s="189">
        <f t="shared" si="11"/>
        <v>1.420437121507288</v>
      </c>
      <c r="U57" s="187">
        <f>O57*IFERROR(VLOOKUP(A57,[1]Tørstofindhold!A$2:B$24,2,FALSE),0)</f>
        <v>197832.4681765025</v>
      </c>
      <c r="V57" s="188">
        <f>IF(D57=År1,P57,SUM(O57,P57))*IFERROR(VLOOKUP(A57,[1]Tørstofindhold!A$2:B$24,2,FALSE),0)</f>
        <v>516183.56639156403</v>
      </c>
      <c r="W57" s="188">
        <f>J57*IFERROR(VLOOKUP(A57,[1]Tørstofindhold!A$2:B$24,2,FALSE),0)</f>
        <v>318351.09821506153</v>
      </c>
      <c r="X57" s="189">
        <f t="shared" si="12"/>
        <v>197832.4681765025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3337.0904542181925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8">
        <f>IFERROR(VLOOKUP(A59,[1]Biogasudbytte!$A$2:$B$18,2,FALSE)*[1]Energiindhold!$C$10,0)*J59*IFERROR(VLOOKUP(A59,Biogasanlæg!$F$3:$G$8,2,FALSE),1)</f>
        <v>1.5694002697142738E-3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210.23669861574612</v>
      </c>
      <c r="W59" s="188">
        <f>J59*IFERROR(VLOOKUP(A59,[1]Tørstofindhold!A$2:B$24,2,FALSE),0)</f>
        <v>210.23669861574612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110008.34505172751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6597597.615337275</v>
      </c>
      <c r="O64" s="191">
        <f t="shared" si="1"/>
        <v>6597597.615337275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12.138754912518669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12.138754912518669</v>
      </c>
      <c r="U64" s="187">
        <f>O64*IFERROR(VLOOKUP(A64,[1]Tørstofindhold!A$2:B$24,2,FALSE),0)</f>
        <v>1847327.3322944371</v>
      </c>
      <c r="V64" s="188">
        <f>IF(D64=År1,P64,SUM(O64,P64))*IFERROR(VLOOKUP(A64,[1]Tørstofindhold!A$2:B$24,2,FALSE),0)</f>
        <v>1868499.2689717831</v>
      </c>
      <c r="W64" s="188">
        <f>J64*IFERROR(VLOOKUP(A64,[1]Tørstofindhold!A$2:B$24,2,FALSE),0)</f>
        <v>21171.936677345977</v>
      </c>
      <c r="X64" s="189">
        <f t="shared" si="12"/>
        <v>1847327.3322944371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1439135.6096790803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88">
        <f>IFERROR(VLOOKUP(A67,[1]Biogasudbytte!$A$2:$B$18,2,FALSE)*[1]Energiindhold!$C$10,0)*J67*IFERROR(VLOOKUP(A67,Biogasanlæg!$F$3:$G$8,2,FALSE),1)</f>
        <v>0.30928997353838589</v>
      </c>
      <c r="T67" s="189">
        <f t="shared" si="11"/>
        <v>14.320166964206413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1223265.2682272182</v>
      </c>
      <c r="W67" s="188">
        <f>J67*IFERROR(VLOOKUP(A67,[1]Tørstofindhold!A$2:B$24,2,FALSE),0)</f>
        <v>45597.893260237201</v>
      </c>
      <c r="X67" s="189">
        <f t="shared" si="12"/>
        <v>1177667.3749669809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-3862742.0312364982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-51961.836502145103</v>
      </c>
      <c r="O70" s="191">
        <f t="shared" si="20"/>
        <v>0</v>
      </c>
      <c r="P70" s="201">
        <f t="shared" si="10"/>
        <v>508461.98144503916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8">
        <f>IFERROR(VLOOKUP(A70,[1]Biogasudbytte!$A$2:$B$18,2,FALSE)*[1]Energiindhold!$C$10,0)*J70*IFERROR(VLOOKUP(A70,Biogasanlæg!$F$3:$G$8,2,FALSE),1)</f>
        <v>1.8727470858101014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213554.03220691642</v>
      </c>
      <c r="W70" s="188">
        <f>J70*IFERROR(VLOOKUP(A70,[1]Tørstofindhold!A$2:B$24,2,FALSE),0)</f>
        <v>213554.03220691642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2169017.6219496708</v>
      </c>
      <c r="O73" s="191">
        <f t="shared" si="20"/>
        <v>2169017.6219496708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7.4285816927105506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7.4285816927105506</v>
      </c>
      <c r="U73" s="187">
        <f>O73*IFERROR(VLOOKUP(A73,[1]Tørstofindhold!A$2:B$24,2,FALSE),0)</f>
        <v>672395.46280439792</v>
      </c>
      <c r="V73" s="188">
        <f>IF(D73=År1,P73,SUM(O73,P73))*IFERROR(VLOOKUP(A73,[1]Tørstofindhold!A$2:B$24,2,FALSE),0)</f>
        <v>673273.98214902682</v>
      </c>
      <c r="W73" s="188">
        <f>J73*IFERROR(VLOOKUP(A73,[1]Tørstofindhold!A$2:B$24,2,FALSE),0)</f>
        <v>878.51934462886106</v>
      </c>
      <c r="X73" s="189">
        <f t="shared" si="12"/>
        <v>672395.46280439792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809729.86780953256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-809729.86780953256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7893966.0004921574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8">
        <f>IFERROR(VLOOKUP(A75,[1]Biogasudbytte!$A$2:$B$18,2,FALSE)*[1]Energiindhold!$C$10,0)*J75*IFERROR(VLOOKUP(A75,Biogasanlæg!$F$3:$G$8,2,FALSE),1)</f>
        <v>3.9958466497891258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599941.41603740398</v>
      </c>
      <c r="W75" s="188">
        <f>J75*IFERROR(VLOOKUP(A75,[1]Tørstofindhold!A$2:B$24,2,FALSE),0)</f>
        <v>599941.41603740398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84223.753359721275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3142972.4098101053</v>
      </c>
      <c r="O77" s="191">
        <f t="shared" si="20"/>
        <v>2961150.4845719668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10.630530239613362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10.630530239613362</v>
      </c>
      <c r="U77" s="187">
        <f>O77*IFERROR(VLOOKUP(A77,[1]Tørstofindhold!A$2:B$24,2,FALSE),0)</f>
        <v>888345.14537159004</v>
      </c>
      <c r="V77" s="188">
        <f>IF(D77=År1,P77,SUM(O77,P77))*IFERROR(VLOOKUP(A77,[1]Tørstofindhold!A$2:B$24,2,FALSE),0)</f>
        <v>982752.83942266752</v>
      </c>
      <c r="W77" s="188">
        <f>J77*IFERROR(VLOOKUP(A77,[1]Tørstofindhold!A$2:B$24,2,FALSE),0)</f>
        <v>94407.694051077502</v>
      </c>
      <c r="X77" s="189">
        <f t="shared" si="12"/>
        <v>888345.14537159004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24906.257794285637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82616.067703844164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-281910.65780216159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72222.074160927164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6391729.2665735735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8">
        <f>IFERROR(VLOOKUP(A93,[1]Biogasudbytte!$A$2:$B$18,2,FALSE)*[1]Energiindhold!$C$10,0)*J93*IFERROR(VLOOKUP(A93,Biogasanlæg!$F$3:$G$8,2,FALSE),1)</f>
        <v>2.7535569680398959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319586.46332867868</v>
      </c>
      <c r="W93" s="188">
        <f>J93*IFERROR(VLOOKUP(A93,[1]Tørstofindhold!A$2:B$24,2,FALSE),0)</f>
        <v>319586.46332867868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980534.87657675741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132728.62230789059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227815.85359424961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434305248.86575383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434305248.86575383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16361961.782417906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2592278.2843031473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690525.89231115999</v>
      </c>
      <c r="O105" s="191">
        <f t="shared" si="20"/>
        <v>690525.89231115999</v>
      </c>
      <c r="P105" s="201">
        <f t="shared" si="24"/>
        <v>1111191.0910754299</v>
      </c>
      <c r="Q105" s="188">
        <f>IFERROR(VLOOKUP(A105,[1]Energiindhold!$A$2:$C$11,3,FALSE),IFERROR(VLOOKUP(A105,[1]Biogasudbytte!$A$2:$B$18,2,FALSE)*[1]Energiindhold!$C$10,0))*O105</f>
        <v>1.4873927720382387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8">
        <f>IFERROR(VLOOKUP(A105,[1]Biogasudbytte!$A$2:$B$18,2,FALSE)*[1]Energiindhold!$C$10,0)*J105*IFERROR(VLOOKUP(A105,Biogasanlæg!$F$3:$G$8,2,FALSE),1)</f>
        <v>2.3935056101764762</v>
      </c>
      <c r="T105" s="189">
        <f t="shared" si="25"/>
        <v>1.4873927720382389</v>
      </c>
      <c r="U105" s="187">
        <f>O105*IFERROR(VLOOKUP(A105,[1]Tørstofindhold!A$2:B$24,2,FALSE),0)</f>
        <v>207157.767693348</v>
      </c>
      <c r="V105" s="188">
        <f>IF(D105=År1,P105,SUM(O105,P105))*IFERROR(VLOOKUP(A105,[1]Tørstofindhold!A$2:B$24,2,FALSE),0)</f>
        <v>540515.09501597693</v>
      </c>
      <c r="W105" s="188">
        <f>J105*IFERROR(VLOOKUP(A105,[1]Tørstofindhold!A$2:B$24,2,FALSE),0)</f>
        <v>333357.32732262899</v>
      </c>
      <c r="X105" s="189">
        <f t="shared" si="26"/>
        <v>207157.76769334794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3446.2126889929687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8">
        <f>IFERROR(VLOOKUP(A107,[1]Biogasudbytte!$A$2:$B$18,2,FALSE)*[1]Energiindhold!$C$10,0)*J107*IFERROR(VLOOKUP(A107,Biogasanlæg!$F$3:$G$8,2,FALSE),1)</f>
        <v>1.6207193655065032E-3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217.11139940655701</v>
      </c>
      <c r="W107" s="188">
        <f>J107*IFERROR(VLOOKUP(A107,[1]Tørstofindhold!A$2:B$24,2,FALSE),0)</f>
        <v>217.11139940655701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102256.20137296121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7405775.7619021684</v>
      </c>
      <c r="O112" s="191">
        <f t="shared" si="20"/>
        <v>7405775.7619021684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13.625701679929753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13.76466201781656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13.625701679929753</v>
      </c>
      <c r="U112" s="187">
        <f>O112*IFERROR(VLOOKUP(A112,[1]Tørstofindhold!A$2:B$24,2,FALSE),0)</f>
        <v>2073617.2133326074</v>
      </c>
      <c r="V112" s="188">
        <f>IF(D112=År1,P112,SUM(O112,P112))*IFERROR(VLOOKUP(A112,[1]Tørstofindhold!A$2:B$24,2,FALSE),0)</f>
        <v>2094764.7883625992</v>
      </c>
      <c r="W112" s="188">
        <f>J112*IFERROR(VLOOKUP(A112,[1]Tørstofindhold!A$2:B$24,2,FALSE),0)</f>
        <v>21147.575029991771</v>
      </c>
      <c r="X112" s="189">
        <f t="shared" si="26"/>
        <v>2073617.2133326074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1356399.9116397309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88">
        <f>IFERROR(VLOOKUP(A115,[1]Biogasudbytte!$A$2:$B$18,2,FALSE)*[1]Energiindhold!$C$10,0)*J115*IFERROR(VLOOKUP(A115,Biogasanlæg!$F$3:$G$8,2,FALSE),1)</f>
        <v>0.30767086578516784</v>
      </c>
      <c r="T115" s="189">
        <f t="shared" si="25"/>
        <v>13.467929364722803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1152939.9248937713</v>
      </c>
      <c r="W115" s="188">
        <f>J115*IFERROR(VLOOKUP(A115,[1]Tørstofindhold!A$2:B$24,2,FALSE),0)</f>
        <v>45359.192012785039</v>
      </c>
      <c r="X115" s="189">
        <f t="shared" si="26"/>
        <v>1107580.7328809863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-3862742.0312364982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-51417.493458536803</v>
      </c>
      <c r="O118" s="191">
        <f t="shared" si="20"/>
        <v>0</v>
      </c>
      <c r="P118" s="201">
        <f t="shared" si="24"/>
        <v>505095.54922592157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8">
        <f>IFERROR(VLOOKUP(A118,[1]Biogasudbytte!$A$2:$B$18,2,FALSE)*[1]Energiindhold!$C$10,0)*J118*IFERROR(VLOOKUP(A118,Biogasanlæg!$F$3:$G$8,2,FALSE),1)</f>
        <v>1.8603479756347201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212140.13067488704</v>
      </c>
      <c r="W118" s="188">
        <f>J118*IFERROR(VLOOKUP(A118,[1]Tørstofindhold!A$2:B$24,2,FALSE),0)</f>
        <v>212140.13067488704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2437290.6089393403</v>
      </c>
      <c r="O121" s="191">
        <f t="shared" si="20"/>
        <v>2437290.6089393403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8.3473791149319911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8.3570569337004841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8.3473791149319911</v>
      </c>
      <c r="U121" s="187">
        <f>O121*IFERROR(VLOOKUP(A121,[1]Tørstofindhold!A$2:B$24,2,FALSE),0)</f>
        <v>755560.0887711955</v>
      </c>
      <c r="V121" s="188">
        <f>IF(D121=År1,P121,SUM(O121,P121))*IFERROR(VLOOKUP(A121,[1]Tørstofindhold!A$2:B$24,2,FALSE),0)</f>
        <v>756436.07313792373</v>
      </c>
      <c r="W121" s="188">
        <f>J121*IFERROR(VLOOKUP(A121,[1]Tørstofindhold!A$2:B$24,2,FALSE),0)</f>
        <v>875.9843667282845</v>
      </c>
      <c r="X121" s="189">
        <f t="shared" si="26"/>
        <v>755560.08877119538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781289.12421925121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-781289.12421925121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7743127.1535502924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8">
        <f>IFERROR(VLOOKUP(A123,[1]Biogasudbytte!$A$2:$B$18,2,FALSE)*[1]Energiindhold!$C$10,0)*J123*IFERROR(VLOOKUP(A123,Biogasanlæg!$F$3:$G$8,2,FALSE),1)</f>
        <v>3.9194935338556229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588477.66366982216</v>
      </c>
      <c r="W123" s="188">
        <f>J123*IFERROR(VLOOKUP(A123,[1]Tørstofindhold!A$2:B$24,2,FALSE),0)</f>
        <v>588477.66366982216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60135.437128841644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3512940.9583504042</v>
      </c>
      <c r="O125" s="191">
        <f t="shared" si="20"/>
        <v>3353627.3013542485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12.039522011861754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13.168667209102049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12.039522011861754</v>
      </c>
      <c r="U125" s="187">
        <f>O125*IFERROR(VLOOKUP(A125,[1]Tørstofindhold!A$2:B$24,2,FALSE),0)</f>
        <v>1006088.1904062745</v>
      </c>
      <c r="V125" s="188">
        <f>IF(D125=År1,P125,SUM(O125,P125))*IFERROR(VLOOKUP(A125,[1]Tørstofindhold!A$2:B$24,2,FALSE),0)</f>
        <v>1100445.7277801153</v>
      </c>
      <c r="W125" s="188">
        <f>J125*IFERROR(VLOOKUP(A125,[1]Tørstofindhold!A$2:B$24,2,FALSE),0)</f>
        <v>94357.537373840722</v>
      </c>
      <c r="X125" s="189">
        <f t="shared" si="26"/>
        <v>1006088.1904062746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1964839.0076939645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19861.924916870877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3823969.5719075543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91032.259302944381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-268556.45445950102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148453.72937457461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69347.610603876325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2543796.5149034681</v>
      </c>
      <c r="O140" s="191">
        <f t="shared" si="39"/>
        <v>2543796.5149034681</v>
      </c>
      <c r="P140" s="201">
        <f t="shared" si="24"/>
        <v>1554136.2730559006</v>
      </c>
      <c r="Q140" s="188">
        <f>IFERROR(VLOOKUP(A140,[1]Energiindhold!$A$2:$C$11,3,FALSE),IFERROR(VLOOKUP(A140,[1]Biogasudbytte!$A$2:$B$18,2,FALSE)*[1]Energiindhold!$C$10,0))*O140</f>
        <v>1.2693798989019798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8">
        <f>IFERROR(VLOOKUP(A140,[1]Biogasudbytte!$A$2:$B$18,2,FALSE)*[1]Energiindhold!$C$10,0)*J140*IFERROR(VLOOKUP(A140,Biogasanlæg!$F$3:$G$8,2,FALSE),1)</f>
        <v>0.77552954161762511</v>
      </c>
      <c r="T140" s="189">
        <f t="shared" si="25"/>
        <v>1.2693798989019798</v>
      </c>
      <c r="U140" s="187">
        <f>O140*IFERROR(VLOOKUP(A140,[1]Tørstofindhold!A$2:B$24,2,FALSE),0)</f>
        <v>152627.79089420807</v>
      </c>
      <c r="V140" s="188">
        <f>IF(D140=År1,P140,SUM(O140,P140))*IFERROR(VLOOKUP(A140,[1]Tørstofindhold!A$2:B$24,2,FALSE),0)</f>
        <v>245875.96727756213</v>
      </c>
      <c r="W140" s="188">
        <f>J140*IFERROR(VLOOKUP(A140,[1]Tørstofindhold!A$2:B$24,2,FALSE),0)</f>
        <v>93248.176383354032</v>
      </c>
      <c r="X140" s="189">
        <f t="shared" si="26"/>
        <v>152627.7908942081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6119291.7094537346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8">
        <f>IFERROR(VLOOKUP(A141,[1]Biogasudbytte!$A$2:$B$18,2,FALSE)*[1]Energiindhold!$C$10,0)*J141*IFERROR(VLOOKUP(A141,Biogasanlæg!$F$3:$G$8,2,FALSE),1)</f>
        <v>2.6361908684326694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305964.58547268674</v>
      </c>
      <c r="W141" s="188">
        <f>J141*IFERROR(VLOOKUP(A141,[1]Tørstofindhold!A$2:B$24,2,FALSE),0)</f>
        <v>305964.58547268674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945493.60796413617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-13854.556574310172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22219.132039015061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103250703.76009664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103250703.76009664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3113194.8160989988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464317.24706098763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89002.270098627952</v>
      </c>
      <c r="O201" s="191">
        <f t="shared" si="59"/>
        <v>89002.270098627952</v>
      </c>
      <c r="P201" s="201">
        <f t="shared" si="49"/>
        <v>143222.04383687259</v>
      </c>
      <c r="Q201" s="188">
        <f>IFERROR(VLOOKUP(A201,[1]Energiindhold!$A$2:$C$11,3,FALSE),IFERROR(VLOOKUP(A201,[1]Biogasudbytte!$A$2:$B$18,2,FALSE)*[1]Energiindhold!$C$10,0))*O201</f>
        <v>0.19171088979244461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8">
        <f>IFERROR(VLOOKUP(A201,[1]Biogasudbytte!$A$2:$B$18,2,FALSE)*[1]Energiindhold!$C$10,0)*J201*IFERROR(VLOOKUP(A201,Biogasanlæg!$F$3:$G$8,2,FALSE),1)</f>
        <v>0.30850028242462357</v>
      </c>
      <c r="T201" s="189">
        <f t="shared" si="50"/>
        <v>0.19171088979244455</v>
      </c>
      <c r="U201" s="187">
        <f>O201*IFERROR(VLOOKUP(A201,[1]Tørstofindhold!A$2:B$24,2,FALSE),0)</f>
        <v>26700.681029588384</v>
      </c>
      <c r="V201" s="188">
        <f>IF(D201=År1,P201,SUM(O201,P201))*IFERROR(VLOOKUP(A201,[1]Tørstofindhold!A$2:B$24,2,FALSE),0)</f>
        <v>69667.294180650162</v>
      </c>
      <c r="W201" s="188">
        <f>J201*IFERROR(VLOOKUP(A201,[1]Tørstofindhold!A$2:B$24,2,FALSE),0)</f>
        <v>42966.613151061778</v>
      </c>
      <c r="X201" s="189">
        <f t="shared" si="51"/>
        <v>26700.681029588384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280.08077006114183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8">
        <f>IFERROR(VLOOKUP(A203,[1]Biogasudbytte!$A$2:$B$18,2,FALSE)*[1]Energiindhold!$C$10,0)*J203*IFERROR(VLOOKUP(A203,Biogasanlæg!$F$3:$G$8,2,FALSE),1)</f>
        <v>1.317191853520544E-4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17.645088513851935</v>
      </c>
      <c r="W203" s="188">
        <f>J203*IFERROR(VLOOKUP(A203,[1]Tørstofindhold!A$2:B$24,2,FALSE),0)</f>
        <v>17.645088513851935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-18364.881940672021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979275.23027812573</v>
      </c>
      <c r="O208" s="191">
        <f t="shared" si="59"/>
        <v>979275.23027812573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1.8017440143079666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1.8017440143079666</v>
      </c>
      <c r="U208" s="187">
        <f>O208*IFERROR(VLOOKUP(A208,[1]Tørstofindhold!A$2:B$24,2,FALSE),0)</f>
        <v>274197.06447787525</v>
      </c>
      <c r="V208" s="188">
        <f>IF(D208=År1,P208,SUM(O208,P208))*IFERROR(VLOOKUP(A208,[1]Tørstofindhold!A$2:B$24,2,FALSE),0)</f>
        <v>277014.68780052924</v>
      </c>
      <c r="W208" s="188">
        <f>J208*IFERROR(VLOOKUP(A208,[1]Tørstofindhold!A$2:B$24,2,FALSE),0)</f>
        <v>2817.623322654033</v>
      </c>
      <c r="X208" s="189">
        <f t="shared" si="51"/>
        <v>274197.06447787519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779026.74272400839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88">
        <f>IFERROR(VLOOKUP(A211,[1]Biogasudbytte!$A$2:$B$18,2,FALSE)*[1]Energiindhold!$C$10,0)*J211*IFERROR(VLOOKUP(A211,Biogasanlæg!$F$3:$G$8,2,FALSE),1)</f>
        <v>0.1285105408216142</v>
      </c>
      <c r="T211" s="189">
        <f t="shared" si="50"/>
        <v>7.8214904204347988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662172.73131540709</v>
      </c>
      <c r="W211" s="188">
        <f>J211*IFERROR(VLOOKUP(A211,[1]Tørstofindhold!A$2:B$24,2,FALSE),0)</f>
        <v>18946.006739762808</v>
      </c>
      <c r="X211" s="189">
        <f t="shared" si="51"/>
        <v>643226.72457564424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-474117.38114065683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-22227.841189355648</v>
      </c>
      <c r="O214" s="191">
        <f t="shared" si="59"/>
        <v>0</v>
      </c>
      <c r="P214" s="201">
        <f t="shared" si="49"/>
        <v>217506.01855496093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8">
        <f>IFERROR(VLOOKUP(A214,[1]Biogasudbytte!$A$2:$B$18,2,FALSE)*[1]Energiindhold!$C$10,0)*J214*IFERROR(VLOOKUP(A214,Biogasanlæg!$F$3:$G$8,2,FALSE),1)</f>
        <v>0.80110957605389932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91352.527793083587</v>
      </c>
      <c r="W214" s="188">
        <f>J214*IFERROR(VLOOKUP(A214,[1]Tørstofindhold!A$2:B$24,2,FALSE),0)</f>
        <v>91352.527793083587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1574682.9124116749</v>
      </c>
      <c r="O217" s="191">
        <f t="shared" si="59"/>
        <v>1574682.9124116749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5.3930685194022496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5.3930685194022496</v>
      </c>
      <c r="U217" s="187">
        <f>O217*IFERROR(VLOOKUP(A217,[1]Tørstofindhold!A$2:B$24,2,FALSE),0)</f>
        <v>488151.70284761919</v>
      </c>
      <c r="V217" s="188">
        <f>IF(D217=År1,P217,SUM(O217,P217))*IFERROR(VLOOKUP(A217,[1]Tørstofindhold!A$2:B$24,2,FALSE),0)</f>
        <v>488446.84350299038</v>
      </c>
      <c r="W217" s="188">
        <f>J217*IFERROR(VLOOKUP(A217,[1]Tørstofindhold!A$2:B$24,2,FALSE),0)</f>
        <v>295.14065537113913</v>
      </c>
      <c r="X217" s="189">
        <f t="shared" si="65"/>
        <v>488151.70284761925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395773.41834279301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-395773.41834279301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561055.81698105508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8">
        <f>IFERROR(VLOOKUP(A219,[1]Biogasudbytte!$A$2:$B$18,2,FALSE)*[1]Energiindhold!$C$10,0)*J219*IFERROR(VLOOKUP(A219,Biogasanlæg!$F$3:$G$8,2,FALSE),1)</f>
        <v>0.28400084399764031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42640.242090560183</v>
      </c>
      <c r="W219" s="188">
        <f>J219*IFERROR(VLOOKUP(A219,[1]Tørstofindhold!A$2:B$24,2,FALSE),0)</f>
        <v>42640.242090560183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-56663.967855439478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-181821.92523813841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-45939.072923222928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81180.880041585086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2274572.6185528086</v>
      </c>
      <c r="O233" s="191">
        <f t="shared" si="59"/>
        <v>1992661.9607506471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5.4081642679556863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5.4081642679556863</v>
      </c>
      <c r="U233" s="187">
        <f>O233*IFERROR(VLOOKUP(A233,[1]Tørstofindhold!A$2:B$24,2,FALSE),0)</f>
        <v>398532.39215012942</v>
      </c>
      <c r="V233" s="188">
        <f>IF(D233=År1,P233,SUM(O233,P233))*IFERROR(VLOOKUP(A233,[1]Tørstofindhold!A$2:B$24,2,FALSE),0)</f>
        <v>403446.24799347471</v>
      </c>
      <c r="W233" s="188">
        <f>J233*IFERROR(VLOOKUP(A233,[1]Tørstofindhold!A$2:B$24,2,FALSE),0)</f>
        <v>4913.8558433452836</v>
      </c>
      <c r="X233" s="189">
        <f t="shared" si="65"/>
        <v>398532.39215012942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10761.995034953325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926143.13133016659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8">
        <f>IFERROR(VLOOKUP(A237,[1]Biogasudbytte!$A$2:$B$18,2,FALSE)*[1]Energiindhold!$C$10,0)*J237*IFERROR(VLOOKUP(A237,Biogasanlæg!$F$3:$G$8,2,FALSE),1)</f>
        <v>0.39898246097703582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46307.156566508333</v>
      </c>
      <c r="W237" s="188">
        <f>J237*IFERROR(VLOOKUP(A237,[1]Tørstofindhold!A$2:B$24,2,FALSE),0)</f>
        <v>46307.156566508333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54209.6497730923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-15551.122347381201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23539.673291560197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104340897.10458454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104340897.10458454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3132565.3017730014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496302.40639442904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93725.872315405693</v>
      </c>
      <c r="O249" s="191">
        <f t="shared" si="59"/>
        <v>93725.872315405693</v>
      </c>
      <c r="P249" s="201">
        <f t="shared" si="63"/>
        <v>150823.24280639994</v>
      </c>
      <c r="Q249" s="188">
        <f>IFERROR(VLOOKUP(A249,[1]Energiindhold!$A$2:$C$11,3,FALSE),IFERROR(VLOOKUP(A249,[1]Biogasudbytte!$A$2:$B$18,2,FALSE)*[1]Energiindhold!$C$10,0))*O249</f>
        <v>0.20188552896738388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8">
        <f>IFERROR(VLOOKUP(A249,[1]Biogasudbytte!$A$2:$B$18,2,FALSE)*[1]Energiindhold!$C$10,0)*J249*IFERROR(VLOOKUP(A249,Biogasanlæg!$F$3:$G$8,2,FALSE),1)</f>
        <v>0.32487326500498548</v>
      </c>
      <c r="T249" s="189">
        <f t="shared" si="64"/>
        <v>0.20188552896738388</v>
      </c>
      <c r="U249" s="187">
        <f>O249*IFERROR(VLOOKUP(A249,[1]Tørstofindhold!A$2:B$24,2,FALSE),0)</f>
        <v>28117.761694621706</v>
      </c>
      <c r="V249" s="188">
        <f>IF(D249=År1,P249,SUM(O249,P249))*IFERROR(VLOOKUP(A249,[1]Tørstofindhold!A$2:B$24,2,FALSE),0)</f>
        <v>73364.734536541684</v>
      </c>
      <c r="W249" s="188">
        <f>J249*IFERROR(VLOOKUP(A249,[1]Tørstofindhold!A$2:B$24,2,FALSE),0)</f>
        <v>45246.972841919982</v>
      </c>
      <c r="X249" s="189">
        <f t="shared" si="65"/>
        <v>28117.761694621702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289.23935894742124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8">
        <f>IFERROR(VLOOKUP(A251,[1]Biogasudbytte!$A$2:$B$18,2,FALSE)*[1]Energiindhold!$C$10,0)*J251*IFERROR(VLOOKUP(A251,Biogasanlæg!$F$3:$G$8,2,FALSE),1)</f>
        <v>1.3602637811938273E-4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18.222079613687537</v>
      </c>
      <c r="W251" s="188">
        <f>J251*IFERROR(VLOOKUP(A251,[1]Tørstofindhold!A$2:B$24,2,FALSE),0)</f>
        <v>18.222079613687537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-20332.910274194179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1109275.6561924629</v>
      </c>
      <c r="O256" s="191">
        <f t="shared" si="59"/>
        <v>1109275.6561924629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2.0409285479371078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2.0596031804253001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2.0409285479371078</v>
      </c>
      <c r="U256" s="187">
        <f>O256*IFERROR(VLOOKUP(A256,[1]Tørstofindhold!A$2:B$24,2,FALSE),0)</f>
        <v>310597.18373388966</v>
      </c>
      <c r="V256" s="188">
        <f>IF(D256=År1,P256,SUM(O256,P256))*IFERROR(VLOOKUP(A256,[1]Tørstofindhold!A$2:B$24,2,FALSE),0)</f>
        <v>313439.16870389786</v>
      </c>
      <c r="W256" s="188">
        <f>J256*IFERROR(VLOOKUP(A256,[1]Tørstofindhold!A$2:B$24,2,FALSE),0)</f>
        <v>2841.9849700082277</v>
      </c>
      <c r="X256" s="189">
        <f t="shared" si="65"/>
        <v>310597.1837338896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759360.76964520989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88">
        <f>IFERROR(VLOOKUP(A259,[1]Biogasudbytte!$A$2:$B$18,2,FALSE)*[1]Energiindhold!$C$10,0)*J259*IFERROR(VLOOKUP(A259,Biogasanlæg!$F$3:$G$8,2,FALSE),1)</f>
        <v>0.13012964857483225</v>
      </c>
      <c r="T259" s="189">
        <f t="shared" si="64"/>
        <v>7.6153241784375005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645456.65419842838</v>
      </c>
      <c r="W259" s="188">
        <f>J259*IFERROR(VLOOKUP(A259,[1]Tørstofindhold!A$2:B$24,2,FALSE),0)</f>
        <v>19184.707987214973</v>
      </c>
      <c r="X259" s="189">
        <f t="shared" si="65"/>
        <v>626271.94621121336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-474117.381140657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-22185.398483962403</v>
      </c>
      <c r="O262" s="191">
        <f t="shared" si="75"/>
        <v>0</v>
      </c>
      <c r="P262" s="201">
        <f t="shared" si="63"/>
        <v>217936.45077407858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8">
        <f>IFERROR(VLOOKUP(A262,[1]Biogasudbytte!$A$2:$B$18,2,FALSE)*[1]Energiindhold!$C$10,0)*J262*IFERROR(VLOOKUP(A262,Biogasanlæg!$F$3:$G$8,2,FALSE),1)</f>
        <v>0.80269492700128076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91533.309325113005</v>
      </c>
      <c r="W262" s="188">
        <f>J262*IFERROR(VLOOKUP(A262,[1]Tørstofindhold!A$2:B$24,2,FALSE),0)</f>
        <v>91533.309325113005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1685466.6762057506</v>
      </c>
      <c r="O265" s="191">
        <f t="shared" si="75"/>
        <v>1685466.6762057506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5.7724874006700277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5.7757761018615339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5.7724874006700277</v>
      </c>
      <c r="U265" s="187">
        <f>O265*IFERROR(VLOOKUP(A265,[1]Tørstofindhold!A$2:B$24,2,FALSE),0)</f>
        <v>522494.66962378268</v>
      </c>
      <c r="V265" s="188">
        <f>IF(D265=År1,P265,SUM(O265,P265))*IFERROR(VLOOKUP(A265,[1]Tørstofindhold!A$2:B$24,2,FALSE),0)</f>
        <v>522792.34525705443</v>
      </c>
      <c r="W265" s="188">
        <f>J265*IFERROR(VLOOKUP(A265,[1]Tørstofindhold!A$2:B$24,2,FALSE),0)</f>
        <v>297.67563327171541</v>
      </c>
      <c r="X265" s="189">
        <f t="shared" si="65"/>
        <v>522494.66962378274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385663.66895741841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-385663.66895741841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550335.09529335448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8">
        <f>IFERROR(VLOOKUP(A267,[1]Biogasudbytte!$A$2:$B$18,2,FALSE)*[1]Energiindhold!$C$10,0)*J267*IFERROR(VLOOKUP(A267,Biogasanlæg!$F$3:$G$8,2,FALSE),1)</f>
        <v>0.27857412188654312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41825.467242294937</v>
      </c>
      <c r="W267" s="188">
        <f>J267*IFERROR(VLOOKUP(A267,[1]Tørstofindhold!A$2:B$24,2,FALSE),0)</f>
        <v>41825.467242294937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-58376.021079607381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-159313.65699615568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-253680.1735764404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-48568.262884772746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271784.85087768652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85804.248954001043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2384417.3950254079</v>
      </c>
      <c r="O281" s="191">
        <f t="shared" si="89"/>
        <v>2115860.9405659069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5.7425312271334938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5.8093262734856053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5.7425312271334938</v>
      </c>
      <c r="U281" s="187">
        <f>O281*IFERROR(VLOOKUP(A281,[1]Tørstofindhold!A$2:B$24,2,FALSE),0)</f>
        <v>423172.18811318139</v>
      </c>
      <c r="V281" s="188">
        <f>IF(D281=År1,P281,SUM(O281,P281))*IFERROR(VLOOKUP(A281,[1]Tørstofindhold!A$2:B$24,2,FALSE),0)</f>
        <v>428094.37395805551</v>
      </c>
      <c r="W281" s="188">
        <f>J281*IFERROR(VLOOKUP(A281,[1]Tørstofindhold!A$2:B$24,2,FALSE),0)</f>
        <v>4922.1858448741477</v>
      </c>
      <c r="X281" s="189">
        <f t="shared" si="65"/>
        <v>423172.18811318139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17515.983585710339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10358.273057913673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2171749.3397621554</v>
      </c>
      <c r="O284" s="191">
        <f t="shared" si="89"/>
        <v>2171749.3397621554</v>
      </c>
      <c r="P284" s="201">
        <f t="shared" si="94"/>
        <v>1326833.4967577588</v>
      </c>
      <c r="Q284" s="188">
        <f>IFERROR(VLOOKUP(A284,[1]Energiindhold!$A$2:$C$11,3,FALSE),IFERROR(VLOOKUP(A284,[1]Biogasudbytte!$A$2:$B$18,2,FALSE)*[1]Energiindhold!$C$10,0))*O284</f>
        <v>1.0837246380347134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8">
        <f>IFERROR(VLOOKUP(A284,[1]Biogasudbytte!$A$2:$B$18,2,FALSE)*[1]Energiindhold!$C$10,0)*J284*IFERROR(VLOOKUP(A284,Biogasanlæg!$F$3:$G$8,2,FALSE),1)</f>
        <v>0.66210318321708928</v>
      </c>
      <c r="T284" s="189">
        <f t="shared" si="95"/>
        <v>1.0837246380347136</v>
      </c>
      <c r="U284" s="187">
        <f>O284*IFERROR(VLOOKUP(A284,[1]Tørstofindhold!A$2:B$24,2,FALSE),0)</f>
        <v>130304.96038572933</v>
      </c>
      <c r="V284" s="188">
        <f>IF(D284=År1,P284,SUM(O284,P284))*IFERROR(VLOOKUP(A284,[1]Tørstofindhold!A$2:B$24,2,FALSE),0)</f>
        <v>209914.97019119485</v>
      </c>
      <c r="W284" s="188">
        <f>J284*IFERROR(VLOOKUP(A284,[1]Tørstofindhold!A$2:B$24,2,FALSE),0)</f>
        <v>79610.009805465525</v>
      </c>
      <c r="X284" s="189">
        <f t="shared" si="96"/>
        <v>130304.96038572933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886667.7152542026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8">
        <f>IFERROR(VLOOKUP(A285,[1]Biogasudbytte!$A$2:$B$18,2,FALSE)*[1]Energiindhold!$C$10,0)*J285*IFERROR(VLOOKUP(A285,Biogasanlæg!$F$3:$G$8,2,FALSE),1)</f>
        <v>0.38197645173151057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44333.385762710132</v>
      </c>
      <c r="W285" s="188">
        <f>J285*IFERROR(VLOOKUP(A285,[1]Tørstofindhold!A$2:B$24,2,FALSE),0)</f>
        <v>44333.385762710132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44872.898915976679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11794.123272219724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21101993.732983526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8315241.6371112876</v>
      </c>
      <c r="AB5" s="238">
        <v>17238701.15594501</v>
      </c>
      <c r="AC5" s="238"/>
      <c r="AD5" s="238"/>
      <c r="AE5" s="238"/>
      <c r="AF5" s="238"/>
      <c r="AG5" s="238"/>
      <c r="AH5" s="238"/>
      <c r="AI5" s="238"/>
      <c r="AJ5" s="238"/>
      <c r="AK5" s="238">
        <v>55799448.354414292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3617.1712242793342</v>
      </c>
      <c r="H7" s="238"/>
      <c r="I7" s="238"/>
      <c r="J7" s="238">
        <v>142742</v>
      </c>
      <c r="K7" s="238">
        <v>85677.000000000029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3786.0000000000009</v>
      </c>
      <c r="S7" s="238">
        <v>8455021.8174732123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/>
      <c r="AI7" s="238"/>
      <c r="AJ7" s="238"/>
      <c r="AK7" s="238">
        <v>21503192.625119273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3735.45204794039</v>
      </c>
      <c r="H8" s="238"/>
      <c r="I8" s="238"/>
      <c r="J8" s="238">
        <v>142742</v>
      </c>
      <c r="K8" s="238">
        <v>85676.999999999985</v>
      </c>
      <c r="L8" s="238"/>
      <c r="M8" s="238">
        <v>75934.000000000015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8293462.2488436466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2880969.7698136596</v>
      </c>
      <c r="AB8" s="238">
        <v>7005959.4247079371</v>
      </c>
      <c r="AC8" s="238"/>
      <c r="AD8" s="238"/>
      <c r="AE8" s="238"/>
      <c r="AF8" s="238"/>
      <c r="AG8" s="238"/>
      <c r="AH8" s="238"/>
      <c r="AI8" s="238"/>
      <c r="AJ8" s="238"/>
      <c r="AK8" s="238">
        <v>21205838.229295015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6075820.2462235913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8445344.7369239964</v>
      </c>
      <c r="AF17" s="238"/>
      <c r="AG17" s="238">
        <v>577039.41724414949</v>
      </c>
      <c r="AH17" s="238"/>
      <c r="AI17" s="238"/>
      <c r="AJ17" s="238"/>
      <c r="AK17" s="238">
        <v>18698658.772897176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2142228.3524030885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6418551.9984543715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2039826.6812849408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2586353.261057131</v>
      </c>
      <c r="AF20" s="238"/>
      <c r="AG20" s="238">
        <v>236248.83758819452</v>
      </c>
      <c r="AH20" s="238"/>
      <c r="AI20" s="238"/>
      <c r="AJ20" s="238"/>
      <c r="AK20" s="238">
        <v>6070702.6213924251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11794.123272219724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14985485.301643921</v>
      </c>
      <c r="T25" s="238"/>
      <c r="U25" s="238"/>
      <c r="V25" s="238"/>
      <c r="W25" s="238"/>
      <c r="X25" s="238"/>
      <c r="Y25" s="238"/>
      <c r="Z25" s="238"/>
      <c r="AA25" s="238"/>
      <c r="AB25" s="238">
        <v>27444396.622567583</v>
      </c>
      <c r="AC25" s="238"/>
      <c r="AD25" s="238"/>
      <c r="AE25" s="238"/>
      <c r="AF25" s="238"/>
      <c r="AG25" s="238"/>
      <c r="AH25" s="238">
        <v>42029043.134376839</v>
      </c>
      <c r="AI25" s="238">
        <v>3317271.1680090777</v>
      </c>
      <c r="AJ25" s="238"/>
      <c r="AK25" s="238">
        <v>89545466.452515498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3617.1712242793342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>
        <v>16819605.005375024</v>
      </c>
      <c r="AI27" s="238">
        <v>1205503.2861523256</v>
      </c>
      <c r="AJ27" s="238"/>
      <c r="AK27" s="238">
        <v>27644114.906248845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3735.45204794039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2618988.0785822044</v>
      </c>
      <c r="T28" s="238"/>
      <c r="U28" s="238"/>
      <c r="V28" s="238"/>
      <c r="W28" s="238"/>
      <c r="X28" s="238"/>
      <c r="Y28" s="238"/>
      <c r="Z28" s="238"/>
      <c r="AA28" s="238"/>
      <c r="AB28" s="238">
        <v>6212831.9426655285</v>
      </c>
      <c r="AC28" s="238"/>
      <c r="AD28" s="238"/>
      <c r="AE28" s="238"/>
      <c r="AF28" s="238"/>
      <c r="AG28" s="238"/>
      <c r="AH28" s="238">
        <v>16405946.393493332</v>
      </c>
      <c r="AI28" s="238">
        <v>1166952.7931766696</v>
      </c>
      <c r="AJ28" s="238"/>
      <c r="AK28" s="238">
        <v>26886217.229220938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8560358.1343246717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2128883.9311816138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652261.37250543782</v>
      </c>
      <c r="AE33" s="238">
        <v>8445344.7369239964</v>
      </c>
      <c r="AF33" s="238">
        <v>624982.47654247773</v>
      </c>
      <c r="AG33" s="238">
        <v>681242.85797811637</v>
      </c>
      <c r="AH33" s="238">
        <v>42029043.134376839</v>
      </c>
      <c r="AI33" s="238">
        <v>3317271.1680090777</v>
      </c>
      <c r="AJ33" s="238">
        <v>2323859.5027345954</v>
      </c>
      <c r="AK33" s="238">
        <v>271798008.80283779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456262.55953572609</v>
      </c>
      <c r="I8" s="76">
        <v>4336859.4123771554</v>
      </c>
      <c r="J8" s="76">
        <v>6428502.883448448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1314336.3276045257</v>
      </c>
      <c r="I9" s="76">
        <v>14094793.090225754</v>
      </c>
      <c r="J9" s="76">
        <v>20642941.909488931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39329636.548080139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251355.52688580981</v>
      </c>
      <c r="D8" s="98">
        <v>3088580.6906975764</v>
      </c>
      <c r="E8" s="98">
        <v>784251.76462656562</v>
      </c>
      <c r="F8" s="98">
        <v>81923.291098767033</v>
      </c>
      <c r="G8" s="98">
        <v>1633518.8473632084</v>
      </c>
      <c r="H8" s="98">
        <v>8515051.4180946313</v>
      </c>
      <c r="I8" s="98">
        <v>2208063.52547062</v>
      </c>
      <c r="J8" s="98">
        <v>4122757.2851450909</v>
      </c>
      <c r="K8" s="98">
        <v>1759.4160492342635</v>
      </c>
      <c r="L8" s="98">
        <v>3353627.3013542485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2115860.9405659069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989747.08638991043</v>
      </c>
      <c r="X8" s="98">
        <v>2178741.0896790312</v>
      </c>
      <c r="Y8" s="98">
        <v>176836.50825694541</v>
      </c>
      <c r="Z8" s="98">
        <v>41639165.232746273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704805.33136166504</v>
      </c>
      <c r="D9" s="98">
        <v>9267389.7378362119</v>
      </c>
      <c r="E9" s="98">
        <v>2884913.6024563927</v>
      </c>
      <c r="F9" s="98">
        <v>311842.03423872165</v>
      </c>
      <c r="G9" s="98">
        <v>4706234.0846063513</v>
      </c>
      <c r="H9" s="98">
        <v>20209927.974010199</v>
      </c>
      <c r="I9" s="98">
        <v>6383143.788157301</v>
      </c>
      <c r="J9" s="98">
        <v>9841128.1488178559</v>
      </c>
      <c r="K9" s="98">
        <v>81211.334173612384</v>
      </c>
      <c r="L9" s="98">
        <v>7581040.0321937073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5764887.5428174678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2856299.6938942028</v>
      </c>
      <c r="X9" s="98">
        <v>6285147.1076456029</v>
      </c>
      <c r="Y9" s="98">
        <v>439459.48904832918</v>
      </c>
      <c r="Z9" s="98">
        <v>115593995.80233774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29.979193434395683</v>
      </c>
      <c r="E7" s="236">
        <v>34.963307596754014</v>
      </c>
      <c r="F7" s="236">
        <v>0.14596282488120896</v>
      </c>
      <c r="G7" s="236">
        <v>1.6121480112997326</v>
      </c>
      <c r="H7" s="236">
        <v>0</v>
      </c>
      <c r="I7" s="236">
        <v>7.9766231601288453</v>
      </c>
      <c r="J7" s="236">
        <v>45.280222691386172</v>
      </c>
      <c r="K7" s="236">
        <v>139.76012919243311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33.448683466862107</v>
      </c>
      <c r="E8" s="236">
        <v>35.203120058762323</v>
      </c>
      <c r="F8" s="236">
        <v>0.23461711386879117</v>
      </c>
      <c r="G8" s="236">
        <v>1.6892783010056229</v>
      </c>
      <c r="H8" s="236">
        <v>0</v>
      </c>
      <c r="I8" s="236">
        <v>8.2687093155868077</v>
      </c>
      <c r="J8" s="236">
        <v>41.635477473780199</v>
      </c>
      <c r="K8" s="236">
        <v>140.37692079130483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10.028349209867528</v>
      </c>
      <c r="H11" s="236">
        <v>0</v>
      </c>
      <c r="I11" s="236">
        <v>0</v>
      </c>
      <c r="J11" s="236">
        <v>0</v>
      </c>
      <c r="K11" s="236">
        <v>19.36283868430472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9.9363705968314342</v>
      </c>
      <c r="H12" s="236">
        <v>0</v>
      </c>
      <c r="I12" s="236">
        <v>0</v>
      </c>
      <c r="J12" s="236">
        <v>0</v>
      </c>
      <c r="K12" s="236">
        <v>19.33739664033515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63.42787690125779</v>
      </c>
      <c r="E13" s="236">
        <v>89.740018144073531</v>
      </c>
      <c r="F13" s="236">
        <v>0.38057993875000012</v>
      </c>
      <c r="G13" s="236">
        <v>3.3014263123053555</v>
      </c>
      <c r="H13" s="236">
        <v>0</v>
      </c>
      <c r="I13" s="236">
        <v>20.196379603545232</v>
      </c>
      <c r="J13" s="236">
        <v>134.40479508950824</v>
      </c>
      <c r="K13" s="236">
        <v>368.69471304896888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25.057002764703967</v>
      </c>
      <c r="H14" s="236">
        <v>0</v>
      </c>
      <c r="I14" s="236">
        <v>0</v>
      </c>
      <c r="J14" s="236">
        <v>0</v>
      </c>
      <c r="K14" s="236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3537128.2942940318</v>
      </c>
      <c r="E4" s="237">
        <v>3047158.8251946424</v>
      </c>
      <c r="F4" s="237">
        <v>24394.90109435247</v>
      </c>
      <c r="G4" s="237">
        <v>1594554.0203824949</v>
      </c>
      <c r="H4" s="237">
        <v>1498974.2460576054</v>
      </c>
      <c r="I4" s="237">
        <v>10969858.874529032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3942201.135585953</v>
      </c>
      <c r="E5" s="237">
        <v>3077624.9974871776</v>
      </c>
      <c r="F5" s="237">
        <v>39211.773905647548</v>
      </c>
      <c r="G5" s="237">
        <v>1594716.2651790529</v>
      </c>
      <c r="H5" s="237">
        <v>1372767.4962379688</v>
      </c>
      <c r="I5" s="237">
        <v>11312834.105864558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7608055.7898799852</v>
      </c>
      <c r="E6" s="237">
        <v>7800201.8133370467</v>
      </c>
      <c r="F6" s="237">
        <v>63606.675000000017</v>
      </c>
      <c r="G6" s="237">
        <v>3893286.4013948813</v>
      </c>
      <c r="H6" s="237">
        <v>4447615.2207267499</v>
      </c>
      <c r="I6" s="237">
        <v>27572499.665313326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12089246.676465897</v>
      </c>
      <c r="C4" s="98">
        <v>-24610.813181900667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24178493.35293179</v>
      </c>
    </row>
    <row r="5" spans="1:10" x14ac:dyDescent="0.25">
      <c r="A5" s="78">
        <v>2050</v>
      </c>
      <c r="B5" s="98">
        <v>11129878.783220485</v>
      </c>
      <c r="C5" s="98">
        <v>-40179.115818099352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22259757.566440966</v>
      </c>
    </row>
    <row r="6" spans="1:10" x14ac:dyDescent="0.25">
      <c r="A6" s="78" t="s">
        <v>61</v>
      </c>
      <c r="B6" s="98">
        <v>37130687.577963948</v>
      </c>
      <c r="C6" s="98">
        <v>-64948.366200000019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74261375.155927882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10410169.524502344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9607697.9195836745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1679077.1519635522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1522180.8636368103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54727494716644</vt:r8>
  </property>
</Properties>
</file>