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61F8E6F-C9E3-418B-A020-E2DCEA258E17}" xr6:coauthVersionLast="47" xr6:coauthVersionMax="47" xr10:uidLastSave="{00000000-0000-0000-0000-000000000000}"/>
  <bookViews>
    <workbookView xWindow="28680" yWindow="-120" windowWidth="29040" windowHeight="1584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132" r:id="rId38"/>
    <pivotCache cacheId="1136" r:id="rId39"/>
    <pivotCache cacheId="1141" r:id="rId40"/>
    <pivotCache cacheId="1146" r:id="rId41"/>
    <pivotCache cacheId="1152" r:id="rId42"/>
    <pivotCache cacheId="1157" r:id="rId43"/>
    <pivotCache cacheId="1162" r:id="rId44"/>
    <pivotCache cacheId="116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2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37" l="1"/>
  <c r="I4" i="58"/>
  <c r="J4" i="37"/>
  <c r="J4" i="58"/>
  <c r="H4" i="37" l="1"/>
  <c r="H4" i="58"/>
  <c r="F245" i="66"/>
  <c r="E37" i="53"/>
  <c r="O4" i="58"/>
  <c r="M45" i="39"/>
  <c r="J4" i="41"/>
  <c r="E45" i="39" s="1"/>
  <c r="E31" i="53"/>
  <c r="F101" i="66"/>
  <c r="E25" i="53"/>
  <c r="N4" i="58"/>
  <c r="F197" i="66"/>
  <c r="L45" i="39"/>
  <c r="I4" i="41"/>
  <c r="D45" i="39" s="1"/>
  <c r="F53" i="66"/>
  <c r="E19" i="53"/>
  <c r="E124" i="38" l="1"/>
  <c r="E56" i="39"/>
  <c r="E59" i="39"/>
  <c r="E60" i="39" s="1"/>
  <c r="M59" i="39"/>
  <c r="M60" i="39" s="1"/>
  <c r="M56" i="39"/>
  <c r="E175" i="38"/>
  <c r="E107" i="38"/>
  <c r="D56" i="39"/>
  <c r="D59" i="39"/>
  <c r="D60" i="39" s="1"/>
  <c r="M4" i="58"/>
  <c r="E13" i="53"/>
  <c r="F149" i="66"/>
  <c r="L59" i="39"/>
  <c r="L60" i="39" s="1"/>
  <c r="E158" i="38"/>
  <c r="L56" i="39"/>
  <c r="E7" i="53"/>
  <c r="H4" i="41"/>
  <c r="K45" i="39" s="1"/>
  <c r="F5" i="66"/>
  <c r="C45" i="39"/>
  <c r="D57" i="39" l="1"/>
  <c r="D58" i="39"/>
  <c r="K56" i="39"/>
  <c r="E141" i="38"/>
  <c r="K59" i="39"/>
  <c r="K60" i="39" s="1"/>
  <c r="D37" i="53"/>
  <c r="F37" i="53" s="1"/>
  <c r="J245" i="66"/>
  <c r="J474" i="58"/>
  <c r="J466" i="58"/>
  <c r="L58" i="39"/>
  <c r="L57" i="39"/>
  <c r="M58" i="39"/>
  <c r="M57" i="39"/>
  <c r="C56" i="39"/>
  <c r="E90" i="38"/>
  <c r="C59" i="39"/>
  <c r="C60" i="39" s="1"/>
  <c r="D25" i="53"/>
  <c r="F25" i="53" s="1"/>
  <c r="I474" i="58"/>
  <c r="J197" i="66"/>
  <c r="I466" i="58"/>
  <c r="E58" i="39"/>
  <c r="E57" i="39"/>
  <c r="I474" i="37"/>
  <c r="I466" i="37"/>
  <c r="D19" i="53"/>
  <c r="F19" i="53" s="1"/>
  <c r="H25" i="53" s="1"/>
  <c r="J53" i="66"/>
  <c r="D31" i="53"/>
  <c r="F31" i="53" s="1"/>
  <c r="H37" i="53" s="1"/>
  <c r="J474" i="37"/>
  <c r="J466" i="37"/>
  <c r="J101" i="66"/>
  <c r="J474" i="41" l="1"/>
  <c r="F103" i="66"/>
  <c r="J479" i="37"/>
  <c r="S197" i="66"/>
  <c r="W197" i="66"/>
  <c r="J489" i="58"/>
  <c r="F246" i="66"/>
  <c r="J479" i="58"/>
  <c r="F247" i="66"/>
  <c r="S101" i="66"/>
  <c r="W101" i="66"/>
  <c r="W245" i="66"/>
  <c r="S245" i="66"/>
  <c r="G37" i="53"/>
  <c r="H31" i="53"/>
  <c r="G31" i="53" s="1"/>
  <c r="G25" i="53"/>
  <c r="H19" i="53"/>
  <c r="G19" i="53" s="1"/>
  <c r="D13" i="53"/>
  <c r="F13" i="53" s="1"/>
  <c r="H7" i="53" s="1"/>
  <c r="J149" i="66"/>
  <c r="H474" i="58"/>
  <c r="H466" i="58"/>
  <c r="J489" i="37"/>
  <c r="J489" i="41" s="1"/>
  <c r="F102" i="66"/>
  <c r="J466" i="41"/>
  <c r="S53" i="66"/>
  <c r="W53" i="66"/>
  <c r="H474" i="37"/>
  <c r="D7" i="53"/>
  <c r="F7" i="53" s="1"/>
  <c r="J5" i="66"/>
  <c r="H466" i="37"/>
  <c r="K58" i="39"/>
  <c r="K57" i="39"/>
  <c r="C57" i="39"/>
  <c r="C58" i="39"/>
  <c r="I479" i="58"/>
  <c r="F199" i="66"/>
  <c r="I466" i="41"/>
  <c r="I489" i="37"/>
  <c r="F54" i="66"/>
  <c r="F198" i="66"/>
  <c r="I489" i="58"/>
  <c r="F55" i="66"/>
  <c r="I479" i="37"/>
  <c r="I474" i="41"/>
  <c r="I489" i="41" l="1"/>
  <c r="E325" i="38"/>
  <c r="M197" i="66" s="1"/>
  <c r="E319" i="38"/>
  <c r="J480" i="58"/>
  <c r="E385" i="38" s="1"/>
  <c r="K266" i="66" s="1"/>
  <c r="N266" i="66" s="1"/>
  <c r="E384" i="38"/>
  <c r="K247" i="66" s="1"/>
  <c r="N247" i="66" s="1"/>
  <c r="L246" i="66"/>
  <c r="P246" i="66" s="1"/>
  <c r="E349" i="38"/>
  <c r="M245" i="66" s="1"/>
  <c r="E343" i="38"/>
  <c r="G7" i="53"/>
  <c r="H13" i="53"/>
  <c r="G13" i="53" s="1"/>
  <c r="E307" i="38"/>
  <c r="E313" i="38"/>
  <c r="L54" i="66"/>
  <c r="P54" i="66" s="1"/>
  <c r="E331" i="38"/>
  <c r="E337" i="38"/>
  <c r="E378" i="38"/>
  <c r="K199" i="66" s="1"/>
  <c r="N199" i="66" s="1"/>
  <c r="I480" i="58"/>
  <c r="E379" i="38" s="1"/>
  <c r="K218" i="66" s="1"/>
  <c r="N218" i="66" s="1"/>
  <c r="F6" i="66"/>
  <c r="H466" i="41"/>
  <c r="H489" i="37"/>
  <c r="L102" i="66"/>
  <c r="P102" i="66" s="1"/>
  <c r="N102" i="66"/>
  <c r="H479" i="37"/>
  <c r="F7" i="66"/>
  <c r="H474" i="41"/>
  <c r="L198" i="66"/>
  <c r="P198" i="66" s="1"/>
  <c r="N198" i="66"/>
  <c r="I479" i="41"/>
  <c r="E360" i="38"/>
  <c r="K55" i="66" s="1"/>
  <c r="N55" i="66" s="1"/>
  <c r="I480" i="37"/>
  <c r="H489" i="58"/>
  <c r="F150" i="66"/>
  <c r="J479" i="41"/>
  <c r="E366" i="38"/>
  <c r="K103" i="66" s="1"/>
  <c r="N103" i="66" s="1"/>
  <c r="J480" i="37"/>
  <c r="H479" i="58"/>
  <c r="F151" i="66"/>
  <c r="W5" i="66"/>
  <c r="S5" i="66"/>
  <c r="W149" i="66"/>
  <c r="S149" i="66"/>
  <c r="N246" i="66" l="1"/>
  <c r="I486" i="37"/>
  <c r="L53" i="66"/>
  <c r="E295" i="38"/>
  <c r="E301" i="38"/>
  <c r="M149" i="66" s="1"/>
  <c r="Z55" i="66"/>
  <c r="Z199" i="66"/>
  <c r="Y55" i="66"/>
  <c r="Y199" i="66"/>
  <c r="L150" i="66"/>
  <c r="P150" i="66" s="1"/>
  <c r="V150" i="66" s="1"/>
  <c r="X150" i="66" s="1"/>
  <c r="N150" i="66"/>
  <c r="H489" i="41"/>
  <c r="E283" i="38"/>
  <c r="E289" i="38"/>
  <c r="Y103" i="66"/>
  <c r="Y247" i="66"/>
  <c r="Z103" i="66"/>
  <c r="Z247" i="66"/>
  <c r="O102" i="66"/>
  <c r="Z102" i="66"/>
  <c r="Z246" i="66"/>
  <c r="Y246" i="66"/>
  <c r="L245" i="66"/>
  <c r="J486" i="58"/>
  <c r="L6" i="66"/>
  <c r="P6" i="66" s="1"/>
  <c r="V6" i="66" s="1"/>
  <c r="X6" i="66" s="1"/>
  <c r="N6" i="66"/>
  <c r="Y102" i="66"/>
  <c r="O246" i="66"/>
  <c r="N54" i="66"/>
  <c r="L197" i="66"/>
  <c r="I486" i="58"/>
  <c r="I480" i="41"/>
  <c r="E361" i="38"/>
  <c r="K74" i="66" s="1"/>
  <c r="N74" i="66" s="1"/>
  <c r="D20" i="8"/>
  <c r="M101" i="66"/>
  <c r="G18" i="39" s="1"/>
  <c r="J486" i="37"/>
  <c r="J486" i="41" s="1"/>
  <c r="L101" i="66"/>
  <c r="H480" i="58"/>
  <c r="E373" i="38" s="1"/>
  <c r="K170" i="66" s="1"/>
  <c r="N170" i="66" s="1"/>
  <c r="E372" i="38"/>
  <c r="K151" i="66" s="1"/>
  <c r="N151" i="66" s="1"/>
  <c r="E367" i="38"/>
  <c r="K122" i="66" s="1"/>
  <c r="N122" i="66" s="1"/>
  <c r="J480" i="41"/>
  <c r="H479" i="41"/>
  <c r="H480" i="37"/>
  <c r="E354" i="38"/>
  <c r="K7" i="66" s="1"/>
  <c r="N7" i="66" s="1"/>
  <c r="C20" i="8"/>
  <c r="M53" i="66"/>
  <c r="F18" i="39" s="1"/>
  <c r="P101" i="66" l="1"/>
  <c r="N101" i="66"/>
  <c r="H486" i="37"/>
  <c r="L5" i="66"/>
  <c r="P245" i="66"/>
  <c r="N245" i="66"/>
  <c r="O245" i="66" s="1"/>
  <c r="Y218" i="66"/>
  <c r="Y74" i="66"/>
  <c r="Z218" i="66"/>
  <c r="Z74" i="66"/>
  <c r="Y151" i="66"/>
  <c r="Z151" i="66"/>
  <c r="Z7" i="66"/>
  <c r="Y7" i="66"/>
  <c r="U102" i="66"/>
  <c r="Q102" i="66"/>
  <c r="V102" i="66"/>
  <c r="X102" i="66" s="1"/>
  <c r="P197" i="66"/>
  <c r="N197" i="66"/>
  <c r="H480" i="41"/>
  <c r="E355" i="38"/>
  <c r="K26" i="66" s="1"/>
  <c r="N26" i="66" s="1"/>
  <c r="O198" i="66"/>
  <c r="Z54" i="66"/>
  <c r="O54" i="66"/>
  <c r="Y198" i="66"/>
  <c r="Z198" i="66"/>
  <c r="Y54" i="66"/>
  <c r="Y266" i="66"/>
  <c r="Z122" i="66"/>
  <c r="Z266" i="66"/>
  <c r="Y122" i="66"/>
  <c r="V246" i="66"/>
  <c r="X246" i="66" s="1"/>
  <c r="Q246" i="66"/>
  <c r="U246" i="66"/>
  <c r="H486" i="58"/>
  <c r="L149" i="66"/>
  <c r="P53" i="66"/>
  <c r="N53" i="66"/>
  <c r="O150" i="66"/>
  <c r="Z150" i="66"/>
  <c r="Z6" i="66"/>
  <c r="Y6" i="66"/>
  <c r="O6" i="66"/>
  <c r="Y150" i="66"/>
  <c r="B20" i="8"/>
  <c r="M5" i="66"/>
  <c r="I486" i="41"/>
  <c r="P149" i="66" l="1"/>
  <c r="V149" i="66" s="1"/>
  <c r="X149" i="66" s="1"/>
  <c r="R149" i="66"/>
  <c r="T149" i="66" s="1"/>
  <c r="N149" i="66"/>
  <c r="Q54" i="66"/>
  <c r="U54" i="66"/>
  <c r="V54" i="66"/>
  <c r="X54" i="66" s="1"/>
  <c r="U198" i="66"/>
  <c r="V198" i="66"/>
  <c r="X198" i="66" s="1"/>
  <c r="Q198" i="66"/>
  <c r="Z170" i="66"/>
  <c r="Y26" i="66"/>
  <c r="Y170" i="66"/>
  <c r="Z26" i="66"/>
  <c r="O197" i="66"/>
  <c r="Q245" i="66"/>
  <c r="R245" i="66" s="1"/>
  <c r="T245" i="66" s="1"/>
  <c r="U245" i="66"/>
  <c r="V245" i="66"/>
  <c r="X245" i="66" s="1"/>
  <c r="P5" i="66"/>
  <c r="V5" i="66" s="1"/>
  <c r="X5" i="66" s="1"/>
  <c r="R5" i="66"/>
  <c r="T5" i="66" s="1"/>
  <c r="N5" i="66"/>
  <c r="U6" i="66"/>
  <c r="Q6" i="66"/>
  <c r="H486" i="41"/>
  <c r="U150" i="66"/>
  <c r="Q150" i="66"/>
  <c r="O53" i="66"/>
  <c r="Z197" i="66"/>
  <c r="Y197" i="66"/>
  <c r="Z53" i="66"/>
  <c r="Y53" i="66"/>
  <c r="O101" i="66"/>
  <c r="Y101" i="66"/>
  <c r="Y245" i="66"/>
  <c r="Z245" i="66"/>
  <c r="Z101" i="66"/>
  <c r="O5" i="66" l="1"/>
  <c r="Y5" i="66"/>
  <c r="Y149" i="66"/>
  <c r="Z5" i="66"/>
  <c r="Z149" i="66"/>
  <c r="Q101" i="66"/>
  <c r="R101" i="66" s="1"/>
  <c r="T101" i="66" s="1"/>
  <c r="U101" i="66"/>
  <c r="V101" i="66"/>
  <c r="X101" i="66" s="1"/>
  <c r="O149" i="66"/>
  <c r="V197" i="66"/>
  <c r="X197" i="66" s="1"/>
  <c r="Q197" i="66"/>
  <c r="R197" i="66" s="1"/>
  <c r="T197" i="66" s="1"/>
  <c r="U197" i="66"/>
  <c r="U53" i="66"/>
  <c r="Q53" i="66"/>
  <c r="R53" i="66" s="1"/>
  <c r="T53" i="66" s="1"/>
  <c r="V53" i="66"/>
  <c r="X53" i="66" s="1"/>
  <c r="U149" i="66" l="1"/>
  <c r="Q149" i="66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<sst xmlns="http://schemas.openxmlformats.org/spreadsheetml/2006/main" count="4748" uniqueCount="343">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</sst>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222389.489994237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D190189-E41C-458F-BEAF-5AB22BD04161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7A75424-F5BE-4D58-AC87-02125CE97D60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FB96D2E-3486-477C-B097-5AB73D5E5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194444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263888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275462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10185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33333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449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68055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79629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76637.928740747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9738.218466586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44565.7882547341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7625.222848026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4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14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13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1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14121203.716995481</v>
      </c>
      <c r="R37" s="344">
        <f t="shared" ref="R37:R38" si="0">1-Q37/$Q$35</f>
        <v>0.29393981415022596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13157363.441314612</v>
      </c>
      <c r="R38" s="344">
        <f t="shared" si="0"/>
        <v>0.34213182793426944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222389.489994237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0.89469856663830138</v>
      </c>
      <c r="AC3" s="231">
        <f>SUM(E12:E14)/SUM(E12:E15)</f>
        <v>0.88782160204184191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0.36572991465890953</v>
      </c>
      <c r="AC5" s="348">
        <f t="shared" si="0"/>
        <v>0.35614057204854455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0.42256194691635995</v>
      </c>
      <c r="AC6" s="348">
        <f t="shared" si="0"/>
        <v>0.42158942273481931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10976808.596855611</v>
      </c>
      <c r="E12" s="131">
        <f>SUMIFS('Resultater - Danmark'!J$3:J$504,'Resultater - Danmark'!$F$3:$F$504,$A12)*D3</f>
        <v>10508939.137061905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0.36572991465890953</v>
      </c>
      <c r="L12" s="132">
        <f t="shared" ref="L12:L28" si="3">E12/E$29</f>
        <v>0.35614057204854455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12682532.726209817</v>
      </c>
      <c r="E13" s="134">
        <f>SUMIFS('Resultater - Danmark'!J$3:J$504,'Resultater - Danmark'!$F$3:$F$504,$A13)*D4</f>
        <v>12440193.373265473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0.42256194691635995</v>
      </c>
      <c r="L13" s="135">
        <f t="shared" si="3"/>
        <v>0.42158942273481931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5425.7568364190029</v>
      </c>
      <c r="E14" s="134">
        <f>SUMIFS('Resultater - Danmark'!J$3:J$504,'Resultater - Danmark'!$F$3:$F$504,$A14)*D5</f>
        <v>5603.1780719105845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1.8077764290359879E-4</v>
      </c>
      <c r="L14" s="135">
        <f t="shared" si="3"/>
        <v>1.8988777247576721E-4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2785221.7345641684</v>
      </c>
      <c r="E15" s="134">
        <f>SUMIFS('Resultater - Danmark'!J$3:J$504,'Resultater - Danmark'!$F$3:$F$504,$A15)*D6</f>
        <v>2900386.1464459291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9.2799186421096025E-2</v>
      </c>
      <c r="L15" s="135">
        <f t="shared" si="3"/>
        <v>9.8292050975348808E-2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1806588.5568306167</v>
      </c>
      <c r="E16" s="134">
        <f>SUMIFS('Resultater - Danmark'!J$3:J$504,'Resultater - Danmark'!$F$3:$F$504,$A16)*D7</f>
        <v>1893021.5008227446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6.0192675574455512E-2</v>
      </c>
      <c r="L16" s="135">
        <f t="shared" si="3"/>
        <v>6.4153170116436189E-2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1.2127738140975156E-2</v>
      </c>
      <c r="L18" s="135">
        <f t="shared" si="3"/>
        <v>1.2531483015821646E-2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2.4188106437526485E-2</v>
      </c>
      <c r="L19" s="135">
        <f t="shared" si="3"/>
        <v>2.450304704699199E-2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2.5300008736296037E-3</v>
      </c>
      <c r="L20" s="135">
        <f t="shared" si="3"/>
        <v>2.573349968557809E-3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1482422.5612646411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1.2614353659179918E-4</v>
      </c>
      <c r="L21" s="135">
        <f t="shared" si="3"/>
        <v>1.2830488293728585E-4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3019148.2239866257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2.8546222357568882E-3</v>
      </c>
      <c r="L22" s="135">
        <f t="shared" si="3"/>
        <v>2.9035334007971054E-3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813064.48232254852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1.099594474570658E-2</v>
      </c>
      <c r="L23" s="135">
        <f t="shared" si="3"/>
        <v>1.118434952357652E-2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1738095.5427716449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9.5440612933758251E-4</v>
      </c>
      <c r="L24" s="135">
        <f t="shared" si="3"/>
        <v>9.7075894657648002E-4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2.5988367285156726E-6</v>
      </c>
      <c r="L25" s="135">
        <f t="shared" si="3"/>
        <v>2.6433652586128626E-6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4.7559378500228733E-3</v>
      </c>
      <c r="L26" s="135">
        <f t="shared" si="3"/>
        <v>4.8374262018579129E-3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30013428.371296629</v>
      </c>
      <c r="E29" s="143">
        <f>SUM(E12:E28)</f>
        <v>29507840.335667964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0.99999999999999978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9.8352805761487513E-2</v>
      </c>
      <c r="E30" s="147">
        <f>SUMPRODUCT(E12:E28,$H$12:$H$28)/E29</f>
        <v>9.9747401334403782E-2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1.4931116647392851E-2</v>
      </c>
      <c r="E31" s="147">
        <f>SUM(E21:E24)/E29</f>
        <v>1.5186946753887392E-2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679300435.56666172</v>
      </c>
      <c r="E32" s="124">
        <f>SUMPRODUCT(E12:E28,$I$12:$I$28)</f>
        <v>677305596.23549116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24.386885636843157</v>
      </c>
      <c r="E33" s="124">
        <f>E32*[1]Energiindhold!$C$10</f>
        <v>24.315270904854135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9587593.8998603616</v>
      </c>
      <c r="E39" s="131">
        <f>SUMIFS('Resultater - Vestdanmark'!J$3:J$504,'Resultater - Vestdanmark'!$F$3:$F$504,$A39)*D3</f>
        <v>9178937.5641805995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1389214.6969952502</v>
      </c>
      <c r="M39" s="131">
        <f>SUMIFS('Resultater - Østdanmark'!J$3:J$504,'Resultater - Østdanmark'!$F$3:$F$504,$A39)*D3</f>
        <v>1330001.5728813037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11840949.000738235</v>
      </c>
      <c r="E40" s="134">
        <f>SUMIFS('Resultater - Vestdanmark'!J$3:J$504,'Resultater - Vestdanmark'!$F$3:$F$504,$A40)*D4</f>
        <v>11614690.73032544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841583.7254715825</v>
      </c>
      <c r="M40" s="134">
        <f>SUMIFS('Resultater - Østdanmark'!J$3:J$504,'Resultater - Østdanmark'!$F$3:$F$504,$A40)*D4</f>
        <v>825502.64294003148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5005.6356813272896</v>
      </c>
      <c r="E41" s="134">
        <f>SUMIFS('Resultater - Vestdanmark'!J$3:J$504,'Resultater - Vestdanmark'!$F$3:$F$504,$A41)*D5</f>
        <v>5169.3190334894534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420.12115509171275</v>
      </c>
      <c r="M41" s="134">
        <f>SUMIFS('Resultater - Østdanmark'!J$3:J$504,'Resultater - Østdanmark'!$F$3:$F$504,$A41)*D5</f>
        <v>433.85903842113186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1516336.6800324824</v>
      </c>
      <c r="E42" s="134">
        <f>SUMIFS('Resultater - Vestdanmark'!J$3:J$504,'Resultater - Vestdanmark'!$F$3:$F$504,$A42)*D6</f>
        <v>1572264.2235564108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1268885.054531686</v>
      </c>
      <c r="M42" s="134">
        <f>SUMIFS('Resultater - Østdanmark'!J$3:J$504,'Resultater - Østdanmark'!$F$3:$F$504,$A42)*D6</f>
        <v>1328121.9228895183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1591755.4910753078</v>
      </c>
      <c r="E43" s="134">
        <f>SUMIFS('Resultater - Vestdanmark'!J$3:J$504,'Resultater - Vestdanmark'!$F$3:$F$504,$A43)*D7</f>
        <v>1666786.636613145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214833.06575530887</v>
      </c>
      <c r="M43" s="134">
        <f>SUMIFS('Resultater - Østdanmark'!J$3:J$504,'Resultater - Østdanmark'!$F$3:$F$504,$A43)*D7</f>
        <v>226234.86420959991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534945.77839568327</v>
      </c>
      <c r="E46" s="134">
        <f>SUMIFS('Resultater - Vestdanmark'!J$3:J$504,'Resultater - Vestdanmark'!$F$3:$F$504,$A46)/SUMIFS('Resultater - Danmark'!J$3:J$504,'Resultater - Danmark'!$F$3:$F$504,$A46)*E19</f>
        <v>531600.61023474101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191022.2216043165</v>
      </c>
      <c r="M46" s="134">
        <f>SUMIFS('Resultater - Østdanmark'!J$3:J$504,'Resultater - Østdanmark'!$F$3:$F$504,$A46)/SUMIFS('Resultater - Danmark'!J$3:J$504,'Resultater - Danmark'!$F$3:$F$504,$A46)*E19</f>
        <v>191431.38976525888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51993.557721309648</v>
      </c>
      <c r="E47" s="134">
        <f>SUMIFS('Resultater - Vestdanmark'!J$3:J$504,'Resultater - Vestdanmark'!$F$3:$F$504,$A47)/SUMIFS('Resultater - Danmark'!J$3:J$504,'Resultater - Danmark'!$F$3:$F$504,$A47)*E20</f>
        <v>51614.661983045924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23940.442278690352</v>
      </c>
      <c r="M47" s="134">
        <f>SUMIFS('Resultater - Østdanmark'!J$3:J$504,'Resultater - Østdanmark'!$F$3:$F$504,$A47)/SUMIFS('Resultater - Danmark'!J$3:J$504,'Resultater - Danmark'!$F$3:$F$504,$A47)*E20</f>
        <v>24319.338016954094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25835113.715763703</v>
      </c>
      <c r="E56" s="143">
        <f ca="1">SUM(E39:E55)</f>
        <v>25329695.241443336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4178314.6555329356</v>
      </c>
      <c r="M56" s="143">
        <f ca="1">SUM(M39:M55)</f>
        <v>4178145.094224629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9.6445051627924924E-2</v>
      </c>
      <c r="E57" s="147">
        <f ca="1">SUMPRODUCT(E39:E55,$F$39:$F$55)/E56</f>
        <v>9.7860468274876003E-2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0.11014872087215088</v>
      </c>
      <c r="M57" s="147">
        <f ca="1">SUMPRODUCT(M39:M55,$N$39:$N$55)/M56</f>
        <v>0.11118679328010478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1.5375044661646605E-2</v>
      </c>
      <c r="E58" s="147">
        <f ca="1">SUM(E48:E51)/E56</f>
        <v>1.5669829473744894E-2</v>
      </c>
      <c r="I58" s="146" t="s">
        <v>160</v>
      </c>
      <c r="K58" s="147">
        <f ca="1">SUM(K48:K51)/K56</f>
        <v>1.8896340963997331E-2</v>
      </c>
      <c r="L58" s="147">
        <f ca="1">SUM(L48:L51)/L56</f>
        <v>1.2186246603995853E-2</v>
      </c>
      <c r="M58" s="147">
        <f ca="1">SUM(M48:M51)/M56</f>
        <v>1.2259506022291719E-2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564672636.4994185</v>
      </c>
      <c r="E59" s="124">
        <f ca="1">SUMPRODUCT(E39:E55,$I$12:$I$28)</f>
        <v>561658711.83836484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114627799.06724329</v>
      </c>
      <c r="M59" s="124">
        <f ca="1">SUMPRODUCT(M39:M55,$I$12:$I$28)</f>
        <v>115646884.39712636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20.271747650329125</v>
      </c>
      <c r="E60" s="124">
        <f ca="1">E59*[1]Energiindhold!$C$10</f>
        <v>20.1635477549973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4.1151379865140347</v>
      </c>
      <c r="M60" s="124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787117.71293108177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675722.17739080405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705945.48999946821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655860.68265151768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21249287.826149497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326194.91053704952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20673448.784384709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309762.85640159156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3436648.7301143073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340898.07290760207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3410095.0601985683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331936.49185647361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8350165.3700423287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8289314.7144771749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23750220.038901571</v>
      </c>
      <c r="J474" s="284">
        <f ca="1">SUMIFS('Forbrug af biomasse'!$E$1:$E$425,'Forbrug af biomasse'!$A$1:$A$425,"Biogas",'Forbrug af biomasse'!$B$1:$B$425,$A$1,'Forbrug af biomasse'!$D$1:$D$425,J$2)*'[1]Processer - data'!J474</f>
        <v>23285588.83545886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148745014.78304648</v>
      </c>
      <c r="J479" s="284">
        <f ca="1">J474*'[1]Processer - data'!J$479*Biogasanlæg!AC$3</f>
        <v>144714141.49069297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52191185.685927927</v>
      </c>
      <c r="J480" s="284">
        <f ca="1">-SUMIFS('Resultater - Vestdanmark'!J$3:J$504,'Resultater - Vestdanmark'!$F$3:$F$504,"Gødning",'Resultater - Vestdanmark'!$A$3:$A$504,"&lt;&gt;Gødning")-SUM(J475:J479)</f>
        <v>49562057.02425465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8.1354962469580183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7.2965158706198192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20.254858027682651</v>
      </c>
      <c r="J489" s="284">
        <f ca="1">SUM(J455:J473)*'[1]Processer - data'!$H$489</f>
        <v>20.147083876572687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3844835.0299576703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3905685.6855228273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3841124.6628314275</v>
      </c>
      <c r="J474" s="284">
        <f ca="1">SUMIFS('Forbrug af biomasse'!$E$1:$E$425,'Forbrug af biomasse'!$A$1:$A$425,"Biogas",'Forbrug af biomasse'!$B$1:$B$425,$A$1,'Forbrug af biomasse'!$D$1:$D$425,J$2)*'[1]Processer - data'!J474</f>
        <v>3840968.7851207014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24056541.110800151</v>
      </c>
      <c r="J479" s="284">
        <f ca="1">J474*'[1]Processer - data'!J$479*Biogasanlæg!AC$3</f>
        <v>23870665.421389978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54543691.665216334</v>
      </c>
      <c r="J480" s="284">
        <f ca="1">-SUMIFS('Resultater - Østdanmark'!J$3:J$504,'Resultater - Østdanmark'!$F$3:$F$504,"Gødning",'Resultater - Østdanmark'!$A$3:$A$504,"&lt;&gt;Gødning")-SUM(J475:J479)</f>
        <v>53109838.697035775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6.9841335645695484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6.778849001338549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4.1136141711545013</v>
      </c>
      <c r="J489" s="284">
        <f ca="1">SUM(J455:J473)*'[1]Processer - data'!$H$489</f>
        <v>4.1502433783620569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14121203.716995483</v>
      </c>
      <c r="O3" s="98">
        <f>SUMIF($F$3:$F$509,$L$3,J$3:J$509)</f>
        <v>13157363.441314623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19198980.976350382</v>
      </c>
      <c r="J95" s="278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20710959.6167087</v>
      </c>
      <c r="J96" s="278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2654995.5877227243</v>
      </c>
      <c r="J97" s="278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217010.79676991503</v>
      </c>
      <c r="J98" s="278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-11848597167.645079</v>
      </c>
      <c r="J99" s="278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-909970.93283724925</v>
      </c>
      <c r="J100" s="278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1551583.4227384133</v>
      </c>
      <c r="J101" s="278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429339.84441808489</v>
      </c>
      <c r="J102" s="278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465370.43318542745</v>
      </c>
      <c r="J104" s="278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14232.928030084939</v>
      </c>
      <c r="J105" s="278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-777105255.84291983</v>
      </c>
      <c r="J106" s="278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-52459.850754472529</v>
      </c>
      <c r="J107" s="278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111938.82087403699</v>
      </c>
      <c r="J108" s="278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515256.62004104216</v>
      </c>
      <c r="J109" s="278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14951914.470119709</v>
      </c>
      <c r="J110" s="278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293015.65755216411</v>
      </c>
      <c r="J111" s="278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5596954.5699419603</v>
      </c>
      <c r="J112" s="278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63760.550480149599</v>
      </c>
      <c r="J113" s="278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-3879306880.0038209</v>
      </c>
      <c r="J114" s="278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-16225.519608877707</v>
      </c>
      <c r="J115" s="278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4195990.3994004242</v>
      </c>
      <c r="J116" s="278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32118.393848932199</v>
      </c>
      <c r="J117" s="278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1735628.5906826821</v>
      </c>
      <c r="J118" s="278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14329.744947985135</v>
      </c>
      <c r="J119" s="278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662956.59098436963</v>
      </c>
      <c r="J120" s="278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13250.361519850407</v>
      </c>
      <c r="J121" s="278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-806175891.19617903</v>
      </c>
      <c r="J122" s="278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-4064.7523925857768</v>
      </c>
      <c r="J123" s="278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729198.1643271636</v>
      </c>
      <c r="J124" s="278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123485821.50853622</v>
      </c>
      <c r="J125" s="278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7859.7371462713527</v>
      </c>
      <c r="J126" s="278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174200.45135598865</v>
      </c>
      <c r="J127" s="278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257342.54768893664</v>
      </c>
      <c r="J128" s="278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10868.608863392021</v>
      </c>
      <c r="J129" s="278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-427635863.74789321</v>
      </c>
      <c r="J130" s="278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-10135.525342076689</v>
      </c>
      <c r="J131" s="278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16512.589095228261</v>
      </c>
      <c r="J132" s="278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1693358.8885360798</v>
      </c>
      <c r="J133" s="278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2991.7765265666521</v>
      </c>
      <c r="J134" s="278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11265.23889694344</v>
      </c>
      <c r="J135" s="278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20739.967460005697</v>
      </c>
      <c r="J136" s="278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2128.3012166079798</v>
      </c>
      <c r="J137" s="278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-83740057.30810681</v>
      </c>
      <c r="J138" s="278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-3738.3954155404826</v>
      </c>
      <c r="J139" s="278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3556.861811174721</v>
      </c>
      <c r="J140" s="278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4019968.1027908651</v>
      </c>
      <c r="J426" s="278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156497.77902315825</v>
      </c>
      <c r="J427" s="278">
        <f>'Resultater - Vestdanmark'!J427+'Resultater - Østdanmark'!J427</f>
        <v>153590.79085444653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20563.808163642996</v>
      </c>
      <c r="J428" s="278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2083445.2791123071</v>
      </c>
      <c r="J429" s="278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1893219.7653721168</v>
      </c>
      <c r="J430" s="278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36271.11801266433</v>
      </c>
      <c r="J431" s="278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168844.62070164204</v>
      </c>
      <c r="J432" s="278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166599.06209826362</v>
      </c>
      <c r="J433" s="278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136456.72063438955</v>
      </c>
      <c r="J434" s="278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66182.615315787814</v>
      </c>
      <c r="J435" s="278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8735.884060062217</v>
      </c>
      <c r="J436" s="278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89791.618440133156</v>
      </c>
      <c r="J437" s="278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236247.52226772945</v>
      </c>
      <c r="J438" s="278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871.39509065374796</v>
      </c>
      <c r="J439" s="281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7128058911.7345467</v>
      </c>
      <c r="J440" s="275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197934585.42574769</v>
      </c>
      <c r="J441" s="278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94139619.897611693</v>
      </c>
      <c r="J443" s="278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172589303.14562145</v>
      </c>
      <c r="J444" s="278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2019174154.9833891</v>
      </c>
      <c r="J445" s="278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290867287.11954385</v>
      </c>
      <c r="J446" s="278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2742118159.0688944</v>
      </c>
      <c r="J449" s="278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196727667.22193214</v>
      </c>
      <c r="J450" s="278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146037102.66167969</v>
      </c>
      <c r="J453" s="278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4834914324.4850321</v>
      </c>
      <c r="J454" s="278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131721703.16226736</v>
      </c>
      <c r="J458" s="278">
        <f>'Resultater - Vestdanmark'!J458+'Resultater - Østdanmark'!J458</f>
        <v>126107269.64474285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-139708.42959281162</v>
      </c>
      <c r="J459" s="284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178823711.43955845</v>
      </c>
      <c r="J460" s="278">
        <f>'Resultater - Vestdanmark'!J460+'Resultater - Østdanmark'!J460</f>
        <v>175406726.56304315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-373200.70706487534</v>
      </c>
      <c r="J461" s="284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71077.414557088938</v>
      </c>
      <c r="J462" s="278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108395313.40983701</v>
      </c>
      <c r="J463" s="278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38714582.110441938</v>
      </c>
      <c r="J473" s="278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27591344.701733001</v>
      </c>
      <c r="J474" s="284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51591000.405221365</v>
      </c>
      <c r="J475" s="284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32040082.67674059</v>
      </c>
      <c r="J476" s="284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37980.297854933022</v>
      </c>
      <c r="J477" s="284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9574919.3512022682</v>
      </c>
      <c r="J478" s="284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172801555.89384663</v>
      </c>
      <c r="J479" s="284">
        <f ca="1">'Resultater - Vestdanmark'!J479+'Resultater - Østdanmark'!J479</f>
        <v>168584806.91208294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106734877.35114425</v>
      </c>
      <c r="J480" s="284">
        <f ca="1">'Resultater - Vestdanmark'!J480+'Resultater - Østdanmark'!J480</f>
        <v>102671895.72129042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15.119629811527567</v>
      </c>
      <c r="J481" s="288">
        <f>'Resultater - Vestdanmark'!J481+'Resultater - Østdanmark'!J481</f>
        <v>14.075364871958367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24.368472198837154</v>
      </c>
      <c r="J489" s="291">
        <f ca="1">'Resultater - Vestdanmark'!J489+'Resultater - Østdanmark'!J489</f>
        <v>24.297327254934743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223970.55527046492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192720.27249101651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564672636.49941862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564672636.49941862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23750220.038901571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2500932.212752074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989162.34088251274</v>
      </c>
      <c r="O57" s="191">
        <f t="shared" si="1"/>
        <v>989162.34088251274</v>
      </c>
      <c r="P57" s="201">
        <f t="shared" si="10"/>
        <v>1591755.4910753078</v>
      </c>
      <c r="Q57" s="188">
        <f>IFERROR(VLOOKUP(A57,[1]Energiindhold!$A$2:$C$11,3,FALSE),IFERROR(VLOOKUP(A57,[1]Biogasudbytte!$A$2:$B$18,2,FALSE)*[1]Energiindhold!$C$10,0))*O57</f>
        <v>2.1306556822609326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8">
        <f>IFERROR(VLOOKUP(A57,[1]Biogasudbytte!$A$2:$B$18,2,FALSE)*[1]Energiindhold!$C$10,0)*J57*IFERROR(VLOOKUP(A57,Biogasanlæg!$F$3:$G$8,2,FALSE),1)</f>
        <v>3.4286413277762131</v>
      </c>
      <c r="T57" s="189">
        <f t="shared" si="11"/>
        <v>2.1306556822609322</v>
      </c>
      <c r="U57" s="187">
        <f>O57*IFERROR(VLOOKUP(A57,[1]Tørstofindhold!A$2:B$24,2,FALSE),0)</f>
        <v>296748.70226475381</v>
      </c>
      <c r="V57" s="188">
        <f>IF(D57=År1,P57,SUM(O57,P57))*IFERROR(VLOOKUP(A57,[1]Tørstofindhold!A$2:B$24,2,FALSE),0)</f>
        <v>774275.34958734619</v>
      </c>
      <c r="W57" s="188">
        <f>J57*IFERROR(VLOOKUP(A57,[1]Tørstofindhold!A$2:B$24,2,FALSE),0)</f>
        <v>477526.64732259233</v>
      </c>
      <c r="X57" s="189">
        <f t="shared" si="12"/>
        <v>296748.70226475387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5005.6356813272896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8">
        <f>IFERROR(VLOOKUP(A59,[1]Biogasudbytte!$A$2:$B$18,2,FALSE)*[1]Energiindhold!$C$10,0)*J59*IFERROR(VLOOKUP(A59,Biogasanlæg!$F$3:$G$8,2,FALSE),1)</f>
        <v>2.3541004045714111E-3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315.35504792361922</v>
      </c>
      <c r="W59" s="188">
        <f>J59*IFERROR(VLOOKUP(A59,[1]Tørstofindhold!A$2:B$24,2,FALSE),0)</f>
        <v>315.35504792361922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182659.9008771329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1702521.6516339555</v>
      </c>
      <c r="O64" s="191">
        <f t="shared" si="1"/>
        <v>1702521.6516339555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3.132427023800024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3.132427023800024</v>
      </c>
      <c r="U64" s="187">
        <f>O64*IFERROR(VLOOKUP(A64,[1]Tørstofindhold!A$2:B$24,2,FALSE),0)</f>
        <v>476706.06245750759</v>
      </c>
      <c r="V64" s="188">
        <f>IF(D64=År1,P64,SUM(O64,P64))*IFERROR(VLOOKUP(A64,[1]Tørstofindhold!A$2:B$24,2,FALSE),0)</f>
        <v>497877.9991348536</v>
      </c>
      <c r="W64" s="188">
        <f>J64*IFERROR(VLOOKUP(A64,[1]Tørstofindhold!A$2:B$24,2,FALSE),0)</f>
        <v>21171.936677345977</v>
      </c>
      <c r="X64" s="189">
        <f t="shared" si="12"/>
        <v>476706.06245750759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839111.27065239137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88">
        <f>IFERROR(VLOOKUP(A67,[1]Biogasudbytte!$A$2:$B$18,2,FALSE)*[1]Energiindhold!$C$10,0)*J67*IFERROR(VLOOKUP(A67,Biogasanlæg!$F$3:$G$8,2,FALSE),1)</f>
        <v>0.29977093678451966</v>
      </c>
      <c r="T67" s="189">
        <f t="shared" si="11"/>
        <v>8.1354962469580183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713244.58005453262</v>
      </c>
      <c r="W67" s="188">
        <f>J67*IFERROR(VLOOKUP(A67,[1]Tørstofindhold!A$2:B$24,2,FALSE),0)</f>
        <v>44194.524063113196</v>
      </c>
      <c r="X67" s="189">
        <f t="shared" si="12"/>
        <v>669050.05599141947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-5794113.0468547465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54668.919188631466</v>
      </c>
      <c r="O70" s="191">
        <f t="shared" si="20"/>
        <v>54668.919188631466</v>
      </c>
      <c r="P70" s="201">
        <f t="shared" si="10"/>
        <v>534945.77839568327</v>
      </c>
      <c r="Q70" s="188">
        <f>IFERROR(VLOOKUP(A70,[1]Energiindhold!$A$2:$C$11,3,FALSE),IFERROR(VLOOKUP(A70,[1]Biogasudbytte!$A$2:$B$18,2,FALSE)*[1]Energiindhold!$C$10,0))*O70</f>
        <v>0.23688753380383468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8">
        <f>IFERROR(VLOOKUP(A70,[1]Biogasudbytte!$A$2:$B$18,2,FALSE)*[1]Energiindhold!$C$10,0)*J70*IFERROR(VLOOKUP(A70,Biogasanlæg!$F$3:$G$8,2,FALSE),1)</f>
        <v>1.9702911606287341</v>
      </c>
      <c r="T70" s="189">
        <f t="shared" si="11"/>
        <v>0.23688753380383454</v>
      </c>
      <c r="U70" s="187">
        <f>O70*IFERROR(VLOOKUP(A70,[1]Tørstofindhold!A$2:B$24,2,FALSE),0)</f>
        <v>22960.946059225214</v>
      </c>
      <c r="V70" s="188">
        <f>IF(D70=År1,P70,SUM(O70,P70))*IFERROR(VLOOKUP(A70,[1]Tørstofindhold!A$2:B$24,2,FALSE),0)</f>
        <v>247638.17298541218</v>
      </c>
      <c r="W70" s="188">
        <f>J70*IFERROR(VLOOKUP(A70,[1]Tørstofindhold!A$2:B$24,2,FALSE),0)</f>
        <v>224677.22692618697</v>
      </c>
      <c r="X70" s="189">
        <f t="shared" si="12"/>
        <v>22960.946059225214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-182668.45884857792</v>
      </c>
      <c r="O73" s="191">
        <f t="shared" si="20"/>
        <v>0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878.51934462886106</v>
      </c>
      <c r="W73" s="188">
        <f>J73*IFERROR(VLOOKUP(A73,[1]Tørstofindhold!A$2:B$24,2,FALSE),0)</f>
        <v>878.51934462886106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326194.91053704952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-326194.91053704952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11840949.000738235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8">
        <f>IFERROR(VLOOKUP(A75,[1]Biogasudbytte!$A$2:$B$18,2,FALSE)*[1]Energiindhold!$C$10,0)*J75*IFERROR(VLOOKUP(A75,Biogasanlæg!$F$3:$G$8,2,FALSE),1)</f>
        <v>5.9937699746836879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899912.12405610585</v>
      </c>
      <c r="W75" s="188">
        <f>J75*IFERROR(VLOOKUP(A75,[1]Tørstofindhold!A$2:B$24,2,FALSE),0)</f>
        <v>899912.12405610585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126335.63003958203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880150.89522212092</v>
      </c>
      <c r="O77" s="191">
        <f t="shared" si="20"/>
        <v>420587.66554026748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1.5099097192895603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1.5099097192895601</v>
      </c>
      <c r="U77" s="187">
        <f>O77*IFERROR(VLOOKUP(A77,[1]Tørstofindhold!A$2:B$24,2,FALSE),0)</f>
        <v>126176.29966208024</v>
      </c>
      <c r="V77" s="188">
        <f>IF(D77=År1,P77,SUM(O77,P77))*IFERROR(VLOOKUP(A77,[1]Tørstofindhold!A$2:B$24,2,FALSE),0)</f>
        <v>220583.99371315775</v>
      </c>
      <c r="W77" s="188">
        <f>J77*IFERROR(VLOOKUP(A77,[1]Tørstofindhold!A$2:B$24,2,FALSE),0)</f>
        <v>94407.694051077502</v>
      </c>
      <c r="X77" s="189">
        <f t="shared" si="12"/>
        <v>126176.29966208024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3280805.3819219102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67373.513210879581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5844517.8424414396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-3023.5747326607525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-618377.70486441301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229347.69258761208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108333.11124139075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2481926.4751490569</v>
      </c>
      <c r="O92" s="191">
        <f t="shared" si="20"/>
        <v>2481926.4751490569</v>
      </c>
      <c r="P92" s="201">
        <f t="shared" si="24"/>
        <v>1516336.6800324824</v>
      </c>
      <c r="Q92" s="188">
        <f>IFERROR(VLOOKUP(A92,[1]Energiindhold!$A$2:$C$11,3,FALSE),IFERROR(VLOOKUP(A92,[1]Biogasudbytte!$A$2:$B$18,2,FALSE)*[1]Energiindhold!$C$10,0))*O92</f>
        <v>1.2385061303641312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8">
        <f>IFERROR(VLOOKUP(A92,[1]Biogasudbytte!$A$2:$B$18,2,FALSE)*[1]Energiindhold!$C$10,0)*J92*IFERROR(VLOOKUP(A92,Biogasanlæg!$F$3:$G$8,2,FALSE),1)</f>
        <v>0.75666716670300915</v>
      </c>
      <c r="T92" s="189">
        <f t="shared" si="25"/>
        <v>1.2385061303641312</v>
      </c>
      <c r="U92" s="187">
        <f>O92*IFERROR(VLOOKUP(A92,[1]Tørstofindhold!A$2:B$24,2,FALSE),0)</f>
        <v>148915.58850894342</v>
      </c>
      <c r="V92" s="188">
        <f>IF(D92=År1,P92,SUM(O92,P92))*IFERROR(VLOOKUP(A92,[1]Tørstofindhold!A$2:B$24,2,FALSE),0)</f>
        <v>239895.78931089235</v>
      </c>
      <c r="W92" s="188">
        <f>J92*IFERROR(VLOOKUP(A92,[1]Tørstofindhold!A$2:B$24,2,FALSE),0)</f>
        <v>90980.200801948944</v>
      </c>
      <c r="X92" s="189">
        <f t="shared" si="26"/>
        <v>148915.58850894339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9587593.8998603616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8">
        <f>IFERROR(VLOOKUP(A93,[1]Biogasudbytte!$A$2:$B$18,2,FALSE)*[1]Energiindhold!$C$10,0)*J93*IFERROR(VLOOKUP(A93,Biogasanlæg!$F$3:$G$8,2,FALSE),1)</f>
        <v>4.1303354520598443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479379.69499301811</v>
      </c>
      <c r="W93" s="188">
        <f>J93*IFERROR(VLOOKUP(A93,[1]Tørstofindhold!A$2:B$24,2,FALSE),0)</f>
        <v>479379.69499301811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1531740.086889476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216017.9179050583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202016.46340417283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561658711.83836472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561658711.83836472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23285588.83545886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2612140.0510741509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1035788.8384667402</v>
      </c>
      <c r="O105" s="191">
        <f t="shared" si="20"/>
        <v>1035788.8384667402</v>
      </c>
      <c r="P105" s="201">
        <f t="shared" si="24"/>
        <v>1666786.636613145</v>
      </c>
      <c r="Q105" s="188">
        <f>IFERROR(VLOOKUP(A105,[1]Energiindhold!$A$2:$C$11,3,FALSE),IFERROR(VLOOKUP(A105,[1]Biogasudbytte!$A$2:$B$18,2,FALSE)*[1]Energiindhold!$C$10,0))*O105</f>
        <v>2.2310891580573586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8">
        <f>IFERROR(VLOOKUP(A105,[1]Biogasudbytte!$A$2:$B$18,2,FALSE)*[1]Energiindhold!$C$10,0)*J105*IFERROR(VLOOKUP(A105,Biogasanlæg!$F$3:$G$8,2,FALSE),1)</f>
        <v>3.5902584152647146</v>
      </c>
      <c r="T105" s="189">
        <f t="shared" si="25"/>
        <v>2.2310891580573591</v>
      </c>
      <c r="U105" s="187">
        <f>O105*IFERROR(VLOOKUP(A105,[1]Tørstofindhold!A$2:B$24,2,FALSE),0)</f>
        <v>310736.65154002205</v>
      </c>
      <c r="V105" s="188">
        <f>IF(D105=År1,P105,SUM(O105,P105))*IFERROR(VLOOKUP(A105,[1]Tørstofindhold!A$2:B$24,2,FALSE),0)</f>
        <v>810772.64252396557</v>
      </c>
      <c r="W105" s="188">
        <f>J105*IFERROR(VLOOKUP(A105,[1]Tørstofindhold!A$2:B$24,2,FALSE),0)</f>
        <v>500035.99098394345</v>
      </c>
      <c r="X105" s="189">
        <f t="shared" si="26"/>
        <v>310736.65154002211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5169.3190334894534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8">
        <f>IFERROR(VLOOKUP(A107,[1]Biogasudbytte!$A$2:$B$18,2,FALSE)*[1]Energiindhold!$C$10,0)*J107*IFERROR(VLOOKUP(A107,Biogasanlæg!$F$3:$G$8,2,FALSE),1)</f>
        <v>2.4310790482597552E-3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325.66709910983559</v>
      </c>
      <c r="W107" s="188">
        <f>J107*IFERROR(VLOOKUP(A107,[1]Tørstofindhold!A$2:B$24,2,FALSE),0)</f>
        <v>325.66709910983559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171719.70187293284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2510699.798198849</v>
      </c>
      <c r="O112" s="191">
        <f t="shared" si="20"/>
        <v>2510699.798198849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4.6193737912111077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4.7583341290979151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4.6193737912111077</v>
      </c>
      <c r="U112" s="187">
        <f>O112*IFERROR(VLOOKUP(A112,[1]Tørstofindhold!A$2:B$24,2,FALSE),0)</f>
        <v>702995.94349567778</v>
      </c>
      <c r="V112" s="188">
        <f>IF(D112=År1,P112,SUM(O112,P112))*IFERROR(VLOOKUP(A112,[1]Tørstofindhold!A$2:B$24,2,FALSE),0)</f>
        <v>724143.51852566947</v>
      </c>
      <c r="W112" s="188">
        <f>J112*IFERROR(VLOOKUP(A112,[1]Tørstofindhold!A$2:B$24,2,FALSE),0)</f>
        <v>21147.575029991771</v>
      </c>
      <c r="X112" s="189">
        <f t="shared" si="26"/>
        <v>702995.94349567767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757560.15198251419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88">
        <f>IFERROR(VLOOKUP(A115,[1]Biogasudbytte!$A$2:$B$18,2,FALSE)*[1]Energiindhold!$C$10,0)*J115*IFERROR(VLOOKUP(A115,Biogasanlæg!$F$3:$G$8,2,FALSE),1)</f>
        <v>0.2975863982497306</v>
      </c>
      <c r="T115" s="189">
        <f t="shared" si="25"/>
        <v>7.2965158706198192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643926.12918513699</v>
      </c>
      <c r="W115" s="188">
        <f>J115*IFERROR(VLOOKUP(A115,[1]Tørstofindhold!A$2:B$24,2,FALSE),0)</f>
        <v>43872.462685589031</v>
      </c>
      <c r="X115" s="189">
        <f t="shared" si="26"/>
        <v>600053.66649954801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-5794113.0468547465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54115.474944335409</v>
      </c>
      <c r="O118" s="191">
        <f t="shared" si="20"/>
        <v>54115.474944335409</v>
      </c>
      <c r="P118" s="201">
        <f t="shared" si="24"/>
        <v>531600.61023474101</v>
      </c>
      <c r="Q118" s="188">
        <f>IFERROR(VLOOKUP(A118,[1]Energiindhold!$A$2:$C$11,3,FALSE),IFERROR(VLOOKUP(A118,[1]Biogasudbytte!$A$2:$B$18,2,FALSE)*[1]Energiindhold!$C$10,0))*O118</f>
        <v>0.23448938794554811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8">
        <f>IFERROR(VLOOKUP(A118,[1]Biogasudbytte!$A$2:$B$18,2,FALSE)*[1]Energiindhold!$C$10,0)*J118*IFERROR(VLOOKUP(A118,Biogasanlæg!$F$3:$G$8,2,FALSE),1)</f>
        <v>1.9579703693924939</v>
      </c>
      <c r="T118" s="189">
        <f t="shared" si="25"/>
        <v>0.23448938794554808</v>
      </c>
      <c r="U118" s="187">
        <f>O118*IFERROR(VLOOKUP(A118,[1]Tørstofindhold!A$2:B$24,2,FALSE),0)</f>
        <v>22728.499476620869</v>
      </c>
      <c r="V118" s="188">
        <f>IF(D118=År1,P118,SUM(O118,P118))*IFERROR(VLOOKUP(A118,[1]Tørstofindhold!A$2:B$24,2,FALSE),0)</f>
        <v>246000.75577521208</v>
      </c>
      <c r="W118" s="188">
        <f>J118*IFERROR(VLOOKUP(A118,[1]Tørstofindhold!A$2:B$24,2,FALSE),0)</f>
        <v>223272.25629859121</v>
      </c>
      <c r="X118" s="189">
        <f t="shared" si="26"/>
        <v>22728.499476620869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85604.528141091578</v>
      </c>
      <c r="O121" s="191">
        <f t="shared" si="20"/>
        <v>85604.528141091578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0.29318352424929894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0.30286134301779261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0.29318352424929894</v>
      </c>
      <c r="U121" s="187">
        <f>O121*IFERROR(VLOOKUP(A121,[1]Tørstofindhold!A$2:B$24,2,FALSE),0)</f>
        <v>26537.403723738389</v>
      </c>
      <c r="V121" s="188">
        <f>IF(D121=År1,P121,SUM(O121,P121))*IFERROR(VLOOKUP(A121,[1]Tørstofindhold!A$2:B$24,2,FALSE),0)</f>
        <v>27413.388090466673</v>
      </c>
      <c r="W121" s="188">
        <f>J121*IFERROR(VLOOKUP(A121,[1]Tørstofindhold!A$2:B$24,2,FALSE),0)</f>
        <v>875.9843667282845</v>
      </c>
      <c r="X121" s="189">
        <f t="shared" si="26"/>
        <v>26537.403723738389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309762.85640159156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-309762.85640159156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11614690.73032544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8">
        <f>IFERROR(VLOOKUP(A123,[1]Biogasudbytte!$A$2:$B$18,2,FALSE)*[1]Energiindhold!$C$10,0)*J123*IFERROR(VLOOKUP(A123,Biogasanlæg!$F$3:$G$8,2,FALSE),1)</f>
        <v>5.8792403007834348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882716.49550473341</v>
      </c>
      <c r="W123" s="188">
        <f>J123*IFERROR(VLOOKUP(A123,[1]Tørstofindhold!A$2:B$24,2,FALSE),0)</f>
        <v>882716.49550473341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90203.155693262815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1250119.4437624197</v>
      </c>
      <c r="O125" s="191">
        <f t="shared" si="20"/>
        <v>813064.48232254898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2.9189014915379512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4.0480466887782454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2.9189014915379512</v>
      </c>
      <c r="U125" s="187">
        <f>O125*IFERROR(VLOOKUP(A125,[1]Tørstofindhold!A$2:B$24,2,FALSE),0)</f>
        <v>243919.34469676469</v>
      </c>
      <c r="V125" s="188">
        <f>IF(D125=År1,P125,SUM(O125,P125))*IFERROR(VLOOKUP(A125,[1]Tørstofindhold!A$2:B$24,2,FALSE),0)</f>
        <v>338276.88207060547</v>
      </c>
      <c r="W125" s="188">
        <f>J125*IFERROR(VLOOKUP(A125,[1]Tørstofindhold!A$2:B$24,2,FALSE),0)</f>
        <v>94357.537373840722</v>
      </c>
      <c r="X125" s="189">
        <f t="shared" si="26"/>
        <v>243919.34469676475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3192670.7859676722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60977.171211943627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0</v>
      </c>
      <c r="Z128" s="103">
        <f t="shared" si="22"/>
        <v>1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5735954.3578613317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5392.6168664394645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-605023.50152175245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222680.59406186192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104021.41590581447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2573468.1840518024</v>
      </c>
      <c r="O140" s="191">
        <f t="shared" si="39"/>
        <v>2573468.1840518024</v>
      </c>
      <c r="P140" s="201">
        <f t="shared" si="24"/>
        <v>1572264.2235564108</v>
      </c>
      <c r="Q140" s="188">
        <f>IFERROR(VLOOKUP(A140,[1]Energiindhold!$A$2:$C$11,3,FALSE),IFERROR(VLOOKUP(A140,[1]Biogasudbytte!$A$2:$B$18,2,FALSE)*[1]Energiindhold!$C$10,0))*O140</f>
        <v>1.2841863585236901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8">
        <f>IFERROR(VLOOKUP(A140,[1]Biogasudbytte!$A$2:$B$18,2,FALSE)*[1]Energiindhold!$C$10,0)*J140*IFERROR(VLOOKUP(A140,Biogasanlæg!$F$3:$G$8,2,FALSE),1)</f>
        <v>0.78457557019688462</v>
      </c>
      <c r="T140" s="189">
        <f t="shared" si="25"/>
        <v>1.2841863585236899</v>
      </c>
      <c r="U140" s="187">
        <f>O140*IFERROR(VLOOKUP(A140,[1]Tørstofindhold!A$2:B$24,2,FALSE),0)</f>
        <v>154408.09104310814</v>
      </c>
      <c r="V140" s="188">
        <f>IF(D140=År1,P140,SUM(O140,P140))*IFERROR(VLOOKUP(A140,[1]Tørstofindhold!A$2:B$24,2,FALSE),0)</f>
        <v>248743.94445649275</v>
      </c>
      <c r="W140" s="188">
        <f>J140*IFERROR(VLOOKUP(A140,[1]Tørstofindhold!A$2:B$24,2,FALSE),0)</f>
        <v>94335.853413384641</v>
      </c>
      <c r="X140" s="189">
        <f t="shared" si="26"/>
        <v>154408.09104310811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9178937.5641805995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8">
        <f>IFERROR(VLOOKUP(A141,[1]Biogasudbytte!$A$2:$B$18,2,FALSE)*[1]Energiindhold!$C$10,0)*J141*IFERROR(VLOOKUP(A141,Biogasanlæg!$F$3:$G$8,2,FALSE),1)</f>
        <v>3.9542863026490029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458946.87820903002</v>
      </c>
      <c r="W141" s="188">
        <f>J141*IFERROR(VLOOKUP(A141,[1]Tørstofindhold!A$2:B$24,2,FALSE),0)</f>
        <v>458946.87820903002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1481553.9579175585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-6677.1647991509926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19052.485337519021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114627799.06724329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114627799.06724329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3841124.6628314275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404475.93271712027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133503.40514794196</v>
      </c>
      <c r="O201" s="191">
        <f t="shared" si="59"/>
        <v>133503.40514794196</v>
      </c>
      <c r="P201" s="201">
        <f t="shared" si="49"/>
        <v>214833.06575530887</v>
      </c>
      <c r="Q201" s="188">
        <f>IFERROR(VLOOKUP(A201,[1]Energiindhold!$A$2:$C$11,3,FALSE),IFERROR(VLOOKUP(A201,[1]Biogasudbytte!$A$2:$B$18,2,FALSE)*[1]Energiindhold!$C$10,0))*O201</f>
        <v>0.28756633468866699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8">
        <f>IFERROR(VLOOKUP(A201,[1]Biogasudbytte!$A$2:$B$18,2,FALSE)*[1]Energiindhold!$C$10,0)*J201*IFERROR(VLOOKUP(A201,Biogasanlæg!$F$3:$G$8,2,FALSE),1)</f>
        <v>0.4627504236369353</v>
      </c>
      <c r="T201" s="189">
        <f t="shared" si="50"/>
        <v>0.28756633468866699</v>
      </c>
      <c r="U201" s="187">
        <f>O201*IFERROR(VLOOKUP(A201,[1]Tørstofindhold!A$2:B$24,2,FALSE),0)</f>
        <v>40051.021544382587</v>
      </c>
      <c r="V201" s="188">
        <f>IF(D201=År1,P201,SUM(O201,P201))*IFERROR(VLOOKUP(A201,[1]Tørstofindhold!A$2:B$24,2,FALSE),0)</f>
        <v>104500.94127097525</v>
      </c>
      <c r="W201" s="188">
        <f>J201*IFERROR(VLOOKUP(A201,[1]Tørstofindhold!A$2:B$24,2,FALSE),0)</f>
        <v>64449.919726592656</v>
      </c>
      <c r="X201" s="189">
        <f t="shared" si="51"/>
        <v>40051.021544382595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420.12115509171275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8">
        <f>IFERROR(VLOOKUP(A203,[1]Biogasudbytte!$A$2:$B$18,2,FALSE)*[1]Energiindhold!$C$10,0)*J203*IFERROR(VLOOKUP(A203,Biogasanlæg!$F$3:$G$8,2,FALSE),1)</f>
        <v>1.9757877802808159E-4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26.467632770777904</v>
      </c>
      <c r="W203" s="188">
        <f>J203*IFERROR(VLOOKUP(A203,[1]Tørstofindhold!A$2:B$24,2,FALSE),0)</f>
        <v>26.467632770777904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-12267.263676834245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378447.99987344025</v>
      </c>
      <c r="O208" s="191">
        <f t="shared" si="59"/>
        <v>378447.99987344025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0.69629701376714592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0.69629701376714592</v>
      </c>
      <c r="U208" s="187">
        <f>O208*IFERROR(VLOOKUP(A208,[1]Tørstofindhold!A$2:B$24,2,FALSE),0)</f>
        <v>105965.43996456328</v>
      </c>
      <c r="V208" s="188">
        <f>IF(D208=År1,P208,SUM(O208,P208))*IFERROR(VLOOKUP(A208,[1]Tørstofindhold!A$2:B$24,2,FALSE),0)</f>
        <v>108783.06328721732</v>
      </c>
      <c r="W208" s="188">
        <f>J208*IFERROR(VLOOKUP(A208,[1]Tørstofindhold!A$2:B$24,2,FALSE),0)</f>
        <v>2817.623322654033</v>
      </c>
      <c r="X208" s="189">
        <f t="shared" si="51"/>
        <v>105965.43996456328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699662.61966949445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88">
        <f>IFERROR(VLOOKUP(A211,[1]Biogasudbytte!$A$2:$B$18,2,FALSE)*[1]Energiindhold!$C$10,0)*J211*IFERROR(VLOOKUP(A211,Biogasanlæg!$F$3:$G$8,2,FALSE),1)</f>
        <v>0.13802957757548037</v>
      </c>
      <c r="T211" s="189">
        <f t="shared" si="50"/>
        <v>6.9841335645695484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594713.22671907023</v>
      </c>
      <c r="W211" s="188">
        <f>J211*IFERROR(VLOOKUP(A211,[1]Tørstofindhold!A$2:B$24,2,FALSE),0)</f>
        <v>20349.375936886798</v>
      </c>
      <c r="X211" s="189">
        <f t="shared" si="51"/>
        <v>574363.85078218346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-711176.07171098527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19521.564274117642</v>
      </c>
      <c r="O214" s="191">
        <f t="shared" si="59"/>
        <v>19521.564274117642</v>
      </c>
      <c r="P214" s="201">
        <f t="shared" si="49"/>
        <v>191022.2216043165</v>
      </c>
      <c r="Q214" s="188">
        <f>IFERROR(VLOOKUP(A214,[1]Energiindhold!$A$2:$C$11,3,FALSE),IFERROR(VLOOKUP(A214,[1]Biogasudbytte!$A$2:$B$18,2,FALSE)*[1]Energiindhold!$C$10,0))*O214</f>
        <v>8.4589475803107383E-2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8">
        <f>IFERROR(VLOOKUP(A214,[1]Biogasudbytte!$A$2:$B$18,2,FALSE)*[1]Energiindhold!$C$10,0)*J214*IFERROR(VLOOKUP(A214,Biogasanlæg!$F$3:$G$8,2,FALSE),1)</f>
        <v>0.70356550123526529</v>
      </c>
      <c r="T214" s="189">
        <f t="shared" si="50"/>
        <v>8.4589475803107383E-2</v>
      </c>
      <c r="U214" s="187">
        <f>O214*IFERROR(VLOOKUP(A214,[1]Tørstofindhold!A$2:B$24,2,FALSE),0)</f>
        <v>8199.0569951294092</v>
      </c>
      <c r="V214" s="188">
        <f>IF(D214=År1,P214,SUM(O214,P214))*IFERROR(VLOOKUP(A214,[1]Tørstofindhold!A$2:B$24,2,FALSE),0)</f>
        <v>88428.390068942332</v>
      </c>
      <c r="W214" s="188">
        <f>J214*IFERROR(VLOOKUP(A214,[1]Tørstofindhold!A$2:B$24,2,FALSE),0)</f>
        <v>80229.33307381293</v>
      </c>
      <c r="X214" s="189">
        <f t="shared" si="51"/>
        <v>8199.0569951294019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1286034.2693294734</v>
      </c>
      <c r="O217" s="191">
        <f t="shared" si="59"/>
        <v>1103365.8104808955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3.7788734296836002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3.7788734296836002</v>
      </c>
      <c r="U217" s="187">
        <f>O217*IFERROR(VLOOKUP(A217,[1]Tørstofindhold!A$2:B$24,2,FALSE),0)</f>
        <v>342043.40124907758</v>
      </c>
      <c r="V217" s="188">
        <f>IF(D217=År1,P217,SUM(O217,P217))*IFERROR(VLOOKUP(A217,[1]Tørstofindhold!A$2:B$24,2,FALSE),0)</f>
        <v>342338.54190444876</v>
      </c>
      <c r="W217" s="188">
        <f>J217*IFERROR(VLOOKUP(A217,[1]Tørstofindhold!A$2:B$24,2,FALSE),0)</f>
        <v>295.14065537113913</v>
      </c>
      <c r="X217" s="189">
        <f t="shared" si="65"/>
        <v>342043.40124907764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340898.07290760207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-340898.07290760207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841583.7254715825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8">
        <f>IFERROR(VLOOKUP(A219,[1]Biogasudbytte!$A$2:$B$18,2,FALSE)*[1]Energiindhold!$C$10,0)*J219*IFERROR(VLOOKUP(A219,Biogasanlæg!$F$3:$G$8,2,FALSE),1)</f>
        <v>0.42600126599646038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63960.363135840271</v>
      </c>
      <c r="W219" s="188">
        <f>J219*IFERROR(VLOOKUP(A219,[1]Tørstofindhold!A$2:B$24,2,FALSE),0)</f>
        <v>63960.363135840271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-84995.951783159224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-459563.22968185344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-142279.58695665724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-42920.754795020359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415393.31848489033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70669.372240785742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2233274.2678207979</v>
      </c>
      <c r="O233" s="191">
        <f t="shared" si="59"/>
        <v>1614896.5629563848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4.3828938677261471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4.3828938677261471</v>
      </c>
      <c r="U233" s="187">
        <f>O233*IFERROR(VLOOKUP(A233,[1]Tørstofindhold!A$2:B$24,2,FALSE),0)</f>
        <v>322979.312591277</v>
      </c>
      <c r="V233" s="188">
        <f>IF(D233=År1,P233,SUM(O233,P233))*IFERROR(VLOOKUP(A233,[1]Tørstofindhold!A$2:B$24,2,FALSE),0)</f>
        <v>327893.16843462223</v>
      </c>
      <c r="W233" s="188">
        <f>J233*IFERROR(VLOOKUP(A233,[1]Tørstofindhold!A$2:B$24,2,FALSE),0)</f>
        <v>4913.8558433452836</v>
      </c>
      <c r="X233" s="189">
        <f t="shared" si="65"/>
        <v>322979.31259127695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27042.987950784696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16142.992552429989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2076899.8417262346</v>
      </c>
      <c r="O236" s="191">
        <f t="shared" si="59"/>
        <v>2076899.8417262346</v>
      </c>
      <c r="P236" s="201">
        <f t="shared" si="63"/>
        <v>1268885.054531686</v>
      </c>
      <c r="Q236" s="188">
        <f>IFERROR(VLOOKUP(A236,[1]Energiindhold!$A$2:$C$11,3,FALSE),IFERROR(VLOOKUP(A236,[1]Biogasudbytte!$A$2:$B$18,2,FALSE)*[1]Energiindhold!$C$10,0))*O236</f>
        <v>1.0363937900198086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8">
        <f>IFERROR(VLOOKUP(A236,[1]Biogasudbytte!$A$2:$B$18,2,FALSE)*[1]Energiindhold!$C$10,0)*J236*IFERROR(VLOOKUP(A236,Biogasanlæg!$F$3:$G$8,2,FALSE),1)</f>
        <v>0.63318633106185673</v>
      </c>
      <c r="T236" s="189">
        <f t="shared" si="64"/>
        <v>1.0363937900198086</v>
      </c>
      <c r="U236" s="187">
        <f>O236*IFERROR(VLOOKUP(A236,[1]Tørstofindhold!A$2:B$24,2,FALSE),0)</f>
        <v>124613.99050357408</v>
      </c>
      <c r="V236" s="188">
        <f>IF(D236=År1,P236,SUM(O236,P236))*IFERROR(VLOOKUP(A236,[1]Tørstofindhold!A$2:B$24,2,FALSE),0)</f>
        <v>200747.09377547522</v>
      </c>
      <c r="W236" s="188">
        <f>J236*IFERROR(VLOOKUP(A236,[1]Tørstofindhold!A$2:B$24,2,FALSE),0)</f>
        <v>76133.103271901156</v>
      </c>
      <c r="X236" s="189">
        <f t="shared" si="65"/>
        <v>124613.99050357407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1389214.6969952502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8">
        <f>IFERROR(VLOOKUP(A237,[1]Biogasudbytte!$A$2:$B$18,2,FALSE)*[1]Energiindhold!$C$10,0)*J237*IFERROR(VLOOKUP(A237,Biogasanlæg!$F$3:$G$8,2,FALSE),1)</f>
        <v>0.59847369146555385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69460.734849762506</v>
      </c>
      <c r="W237" s="188">
        <f>J237*IFERROR(VLOOKUP(A237,[1]Tørstofindhold!A$2:B$24,2,FALSE),0)</f>
        <v>69460.734849762506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134077.69458441247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-8560.6825110208265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20373.026590064161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115646884.39712635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115646884.39712635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3840968.7851207014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430873.72492213314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140588.80847310851</v>
      </c>
      <c r="O249" s="191">
        <f t="shared" si="59"/>
        <v>140588.80847310851</v>
      </c>
      <c r="P249" s="201">
        <f t="shared" si="63"/>
        <v>226234.86420959991</v>
      </c>
      <c r="Q249" s="188">
        <f>IFERROR(VLOOKUP(A249,[1]Energiindhold!$A$2:$C$11,3,FALSE),IFERROR(VLOOKUP(A249,[1]Biogasudbytte!$A$2:$B$18,2,FALSE)*[1]Energiindhold!$C$10,0))*O249</f>
        <v>0.30282829345107576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8">
        <f>IFERROR(VLOOKUP(A249,[1]Biogasudbytte!$A$2:$B$18,2,FALSE)*[1]Energiindhold!$C$10,0)*J249*IFERROR(VLOOKUP(A249,Biogasanlæg!$F$3:$G$8,2,FALSE),1)</f>
        <v>0.48730989750747822</v>
      </c>
      <c r="T249" s="189">
        <f t="shared" si="64"/>
        <v>0.30282829345107576</v>
      </c>
      <c r="U249" s="187">
        <f>O249*IFERROR(VLOOKUP(A249,[1]Tørstofindhold!A$2:B$24,2,FALSE),0)</f>
        <v>42176.642541932553</v>
      </c>
      <c r="V249" s="188">
        <f>IF(D249=År1,P249,SUM(O249,P249))*IFERROR(VLOOKUP(A249,[1]Tørstofindhold!A$2:B$24,2,FALSE),0)</f>
        <v>110047.10180481253</v>
      </c>
      <c r="W249" s="188">
        <f>J249*IFERROR(VLOOKUP(A249,[1]Tørstofindhold!A$2:B$24,2,FALSE),0)</f>
        <v>67870.459262879973</v>
      </c>
      <c r="X249" s="189">
        <f t="shared" si="65"/>
        <v>42176.642541932553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433.85903842113186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8">
        <f>IFERROR(VLOOKUP(A251,[1]Biogasudbytte!$A$2:$B$18,2,FALSE)*[1]Energiindhold!$C$10,0)*J251*IFERROR(VLOOKUP(A251,Biogasanlæg!$F$3:$G$8,2,FALSE),1)</f>
        <v>2.040395671790741E-4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27.333119420531307</v>
      </c>
      <c r="W251" s="188">
        <f>J251*IFERROR(VLOOKUP(A251,[1]Tørstofindhold!A$2:B$24,2,FALSE),0)</f>
        <v>27.333119420531307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-14502.864317069379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508448.42578777694</v>
      </c>
      <c r="O256" s="191">
        <f t="shared" si="59"/>
        <v>508448.42578777694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0.93548154739628619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0.95415617988447865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0.93548154739628619</v>
      </c>
      <c r="U256" s="187">
        <f>O256*IFERROR(VLOOKUP(A256,[1]Tørstofindhold!A$2:B$24,2,FALSE),0)</f>
        <v>142365.55922057756</v>
      </c>
      <c r="V256" s="188">
        <f>IF(D256=År1,P256,SUM(O256,P256))*IFERROR(VLOOKUP(A256,[1]Tørstofindhold!A$2:B$24,2,FALSE),0)</f>
        <v>145207.54419058579</v>
      </c>
      <c r="W256" s="188">
        <f>J256*IFERROR(VLOOKUP(A256,[1]Tørstofindhold!A$2:B$24,2,FALSE),0)</f>
        <v>2841.9849700082277</v>
      </c>
      <c r="X256" s="189">
        <f t="shared" si="65"/>
        <v>142365.55922057756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680180.02066847181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88">
        <f>IFERROR(VLOOKUP(A259,[1]Biogasudbytte!$A$2:$B$18,2,FALSE)*[1]Energiindhold!$C$10,0)*J259*IFERROR(VLOOKUP(A259,Biogasanlæg!$F$3:$G$8,2,FALSE),1)</f>
        <v>0.14021411611026952</v>
      </c>
      <c r="T259" s="189">
        <f t="shared" si="64"/>
        <v>6.778849001338549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578153.01756820106</v>
      </c>
      <c r="W259" s="188">
        <f>J259*IFERROR(VLOOKUP(A259,[1]Tørstofindhold!A$2:B$24,2,FALSE),0)</f>
        <v>20671.437314410981</v>
      </c>
      <c r="X259" s="189">
        <f t="shared" si="65"/>
        <v>557481.58025379013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-711176.0717109855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19487.187141916074</v>
      </c>
      <c r="O262" s="191">
        <f t="shared" si="75"/>
        <v>19487.187141916074</v>
      </c>
      <c r="P262" s="201">
        <f t="shared" si="63"/>
        <v>191431.38976525888</v>
      </c>
      <c r="Q262" s="188">
        <f>IFERROR(VLOOKUP(A262,[1]Energiindhold!$A$2:$C$11,3,FALSE),IFERROR(VLOOKUP(A262,[1]Biogasudbytte!$A$2:$B$18,2,FALSE)*[1]Energiindhold!$C$10,0))*O262</f>
        <v>8.4440515220250811E-2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8">
        <f>IFERROR(VLOOKUP(A262,[1]Biogasudbytte!$A$2:$B$18,2,FALSE)*[1]Energiindhold!$C$10,0)*J262*IFERROR(VLOOKUP(A262,Biogasanlæg!$F$3:$G$8,2,FALSE),1)</f>
        <v>0.70507253324350583</v>
      </c>
      <c r="T262" s="189">
        <f t="shared" si="64"/>
        <v>8.4440515220250867E-2</v>
      </c>
      <c r="U262" s="187">
        <f>O262*IFERROR(VLOOKUP(A262,[1]Tørstofindhold!A$2:B$24,2,FALSE),0)</f>
        <v>8184.6185996047507</v>
      </c>
      <c r="V262" s="188">
        <f>IF(D262=År1,P262,SUM(O262,P262))*IFERROR(VLOOKUP(A262,[1]Tørstofindhold!A$2:B$24,2,FALSE),0)</f>
        <v>88585.802301013478</v>
      </c>
      <c r="W262" s="188">
        <f>J262*IFERROR(VLOOKUP(A262,[1]Tørstofindhold!A$2:B$24,2,FALSE),0)</f>
        <v>80401.183701408721</v>
      </c>
      <c r="X262" s="189">
        <f t="shared" si="65"/>
        <v>8184.618599604757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1396818.0331235491</v>
      </c>
      <c r="O265" s="191">
        <f t="shared" si="75"/>
        <v>1396818.0331235491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4.7839062089235194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4.7871949101150255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4.7839062089235194</v>
      </c>
      <c r="U265" s="187">
        <f>O265*IFERROR(VLOOKUP(A265,[1]Tørstofindhold!A$2:B$24,2,FALSE),0)</f>
        <v>433013.59026830021</v>
      </c>
      <c r="V265" s="188">
        <f>IF(D265=År1,P265,SUM(O265,P265))*IFERROR(VLOOKUP(A265,[1]Tørstofindhold!A$2:B$24,2,FALSE),0)</f>
        <v>433311.26590157195</v>
      </c>
      <c r="W265" s="188">
        <f>J265*IFERROR(VLOOKUP(A265,[1]Tørstofindhold!A$2:B$24,2,FALSE),0)</f>
        <v>297.67563327171541</v>
      </c>
      <c r="X265" s="189">
        <f t="shared" si="65"/>
        <v>433013.59026830026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331936.49185647361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-331936.49185647361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825502.64294003148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8">
        <f>IFERROR(VLOOKUP(A267,[1]Biogasudbytte!$A$2:$B$18,2,FALSE)*[1]Energiindhold!$C$10,0)*J267*IFERROR(VLOOKUP(A267,Biogasanlæg!$F$3:$G$8,2,FALSE),1)</f>
        <v>0.4178611828298146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62738.200863442391</v>
      </c>
      <c r="W267" s="188">
        <f>J267*IFERROR(VLOOKUP(A267,[1]Tørstofindhold!A$2:B$24,2,FALSE),0)</f>
        <v>62738.200863442391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-87564.031619411078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-437054.96143987071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-166413.24571892151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-45646.037466140195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0</v>
      </c>
      <c r="Z272" s="103">
        <f t="shared" si="77"/>
        <v>1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407677.27631652972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75292.741153201699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2343119.0442933971</v>
      </c>
      <c r="O281" s="191">
        <f t="shared" si="89"/>
        <v>1738095.5427716447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4.7172608269039547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4.7840558732560661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4.7172608269039547</v>
      </c>
      <c r="U281" s="187">
        <f>O281*IFERROR(VLOOKUP(A281,[1]Tørstofindhold!A$2:B$24,2,FALSE),0)</f>
        <v>347619.10855432897</v>
      </c>
      <c r="V281" s="188">
        <f>IF(D281=År1,P281,SUM(O281,P281))*IFERROR(VLOOKUP(A281,[1]Tørstofindhold!A$2:B$24,2,FALSE),0)</f>
        <v>352541.29439920309</v>
      </c>
      <c r="W281" s="188">
        <f>J281*IFERROR(VLOOKUP(A281,[1]Tørstofindhold!A$2:B$24,2,FALSE),0)</f>
        <v>4922.1858448741477</v>
      </c>
      <c r="X281" s="189">
        <f t="shared" si="65"/>
        <v>347619.10855432897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26273.975378565505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15537.409586870504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2173858.224266367</v>
      </c>
      <c r="O284" s="191">
        <f t="shared" si="89"/>
        <v>2173858.224266367</v>
      </c>
      <c r="P284" s="201">
        <f t="shared" si="94"/>
        <v>1328121.9228895183</v>
      </c>
      <c r="Q284" s="188">
        <f>IFERROR(VLOOKUP(A284,[1]Energiindhold!$A$2:$C$11,3,FALSE),IFERROR(VLOOKUP(A284,[1]Biogasudbytte!$A$2:$B$18,2,FALSE)*[1]Energiindhold!$C$10,0))*O284</f>
        <v>1.0847769924911599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8">
        <f>IFERROR(VLOOKUP(A284,[1]Biogasudbytte!$A$2:$B$18,2,FALSE)*[1]Energiindhold!$C$10,0)*J284*IFERROR(VLOOKUP(A284,Biogasanlæg!$F$3:$G$8,2,FALSE),1)</f>
        <v>0.66274612074109862</v>
      </c>
      <c r="T284" s="189">
        <f t="shared" si="95"/>
        <v>1.0847769924911597</v>
      </c>
      <c r="U284" s="187">
        <f>O284*IFERROR(VLOOKUP(A284,[1]Tørstofindhold!A$2:B$24,2,FALSE),0)</f>
        <v>130431.49345598201</v>
      </c>
      <c r="V284" s="188">
        <f>IF(D284=År1,P284,SUM(O284,P284))*IFERROR(VLOOKUP(A284,[1]Tørstofindhold!A$2:B$24,2,FALSE),0)</f>
        <v>210118.80882935313</v>
      </c>
      <c r="W284" s="188">
        <f>J284*IFERROR(VLOOKUP(A284,[1]Tørstofindhold!A$2:B$24,2,FALSE),0)</f>
        <v>79687.315373371093</v>
      </c>
      <c r="X284" s="189">
        <f t="shared" si="96"/>
        <v>130431.49345598204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1330001.5728813037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8">
        <f>IFERROR(VLOOKUP(A285,[1]Biogasudbytte!$A$2:$B$18,2,FALSE)*[1]Energiindhold!$C$10,0)*J285*IFERROR(VLOOKUP(A285,Biogasanlæg!$F$3:$G$8,2,FALSE),1)</f>
        <v>0.57296467759726577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66500.078644065186</v>
      </c>
      <c r="W285" s="188">
        <f>J285*IFERROR(VLOOKUP(A285,[1]Tørstofindhold!A$2:B$24,2,FALSE),0)</f>
        <v>66500.078644065186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122546.49715239737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15470.434908329586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2444653.9999999995</v>
      </c>
      <c r="Q5" s="238"/>
      <c r="R5" s="238">
        <v>11358</v>
      </c>
      <c r="S5" s="238">
        <v>29476235.766141955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8354441.8810100975</v>
      </c>
      <c r="AB5" s="238">
        <v>24400617.067250848</v>
      </c>
      <c r="AC5" s="238"/>
      <c r="AD5" s="238"/>
      <c r="AE5" s="238"/>
      <c r="AF5" s="238"/>
      <c r="AG5" s="238"/>
      <c r="AH5" s="238"/>
      <c r="AI5" s="238"/>
      <c r="AJ5" s="238"/>
      <c r="AK5" s="238">
        <v>72611686.206964582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5425.756836419002</v>
      </c>
      <c r="H7" s="238"/>
      <c r="I7" s="238"/>
      <c r="J7" s="238">
        <v>142742</v>
      </c>
      <c r="K7" s="238">
        <v>85677.000000000029</v>
      </c>
      <c r="L7" s="238"/>
      <c r="M7" s="238">
        <v>75934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12682532.726209817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2785221.7345641684</v>
      </c>
      <c r="AB7" s="238">
        <v>10976808.596855612</v>
      </c>
      <c r="AC7" s="238"/>
      <c r="AD7" s="238"/>
      <c r="AE7" s="238"/>
      <c r="AF7" s="238"/>
      <c r="AG7" s="238"/>
      <c r="AH7" s="238"/>
      <c r="AI7" s="238"/>
      <c r="AJ7" s="238"/>
      <c r="AK7" s="238">
        <v>30013428.371296629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5603.1780719105855</v>
      </c>
      <c r="H8" s="238"/>
      <c r="I8" s="238"/>
      <c r="J8" s="238">
        <v>142742</v>
      </c>
      <c r="K8" s="238">
        <v>85676.999999999985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12440193.373265471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2900386.1464459291</v>
      </c>
      <c r="AB8" s="238">
        <v>10508939.137061903</v>
      </c>
      <c r="AC8" s="238"/>
      <c r="AD8" s="238"/>
      <c r="AE8" s="238"/>
      <c r="AF8" s="238"/>
      <c r="AG8" s="238"/>
      <c r="AH8" s="238"/>
      <c r="AI8" s="238"/>
      <c r="AJ8" s="238"/>
      <c r="AK8" s="238">
        <v>29507840.33566796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4718411.2755084336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8445344.7369239964</v>
      </c>
      <c r="AF17" s="238"/>
      <c r="AG17" s="238">
        <v>577039.41724414949</v>
      </c>
      <c r="AH17" s="238"/>
      <c r="AI17" s="238"/>
      <c r="AJ17" s="238"/>
      <c r="AK17" s="238">
        <v>17341249.802182019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1462839.8903218857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5739163.5363731682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1361806.1726509859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2586353.261057131</v>
      </c>
      <c r="AF20" s="238"/>
      <c r="AG20" s="238">
        <v>236248.83758819452</v>
      </c>
      <c r="AH20" s="238"/>
      <c r="AI20" s="238"/>
      <c r="AJ20" s="238"/>
      <c r="AK20" s="238">
        <v>5392682.1127584707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15470.434908329586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17629982.785799213</v>
      </c>
      <c r="T25" s="238"/>
      <c r="U25" s="238"/>
      <c r="V25" s="238"/>
      <c r="W25" s="238"/>
      <c r="X25" s="238"/>
      <c r="Y25" s="238"/>
      <c r="Z25" s="238"/>
      <c r="AA25" s="238"/>
      <c r="AB25" s="238">
        <v>33795529.60051804</v>
      </c>
      <c r="AC25" s="238"/>
      <c r="AD25" s="238"/>
      <c r="AE25" s="238"/>
      <c r="AF25" s="238"/>
      <c r="AG25" s="238"/>
      <c r="AH25" s="238">
        <v>57572972.136355564</v>
      </c>
      <c r="AI25" s="238">
        <v>2253607.4203827991</v>
      </c>
      <c r="AJ25" s="238"/>
      <c r="AK25" s="238">
        <v>113491894.03550416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5425.756836419002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4005010.3345925738</v>
      </c>
      <c r="T27" s="238"/>
      <c r="U27" s="238"/>
      <c r="V27" s="238"/>
      <c r="W27" s="238"/>
      <c r="X27" s="238"/>
      <c r="Y27" s="238"/>
      <c r="Z27" s="238"/>
      <c r="AA27" s="238"/>
      <c r="AB27" s="238">
        <v>9734151.0198530871</v>
      </c>
      <c r="AC27" s="238"/>
      <c r="AD27" s="238"/>
      <c r="AE27" s="238"/>
      <c r="AF27" s="238"/>
      <c r="AG27" s="238"/>
      <c r="AH27" s="238">
        <v>24685936.556263804</v>
      </c>
      <c r="AI27" s="238">
        <v>667092.98344465159</v>
      </c>
      <c r="AJ27" s="238"/>
      <c r="AK27" s="238">
        <v>39781539.461790703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5603.1780719105855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3928482.1178733069</v>
      </c>
      <c r="T28" s="238"/>
      <c r="U28" s="238"/>
      <c r="V28" s="238"/>
      <c r="W28" s="238"/>
      <c r="X28" s="238"/>
      <c r="Y28" s="238"/>
      <c r="Z28" s="238"/>
      <c r="AA28" s="238"/>
      <c r="AB28" s="238">
        <v>9319247.9139982909</v>
      </c>
      <c r="AC28" s="238"/>
      <c r="AD28" s="238"/>
      <c r="AE28" s="238"/>
      <c r="AF28" s="238"/>
      <c r="AG28" s="238"/>
      <c r="AH28" s="238">
        <v>24083543.844583277</v>
      </c>
      <c r="AI28" s="238">
        <v>641699.34825806518</v>
      </c>
      <c r="AJ28" s="238"/>
      <c r="AK28" s="238">
        <v>38695220.256667748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30940.869816659171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7897329.4368713852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47106218.551941164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2128883.9311816138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58196146.667768888</v>
      </c>
      <c r="AC33" s="238">
        <v>682979.63888483576</v>
      </c>
      <c r="AD33" s="238">
        <v>652261.37250543782</v>
      </c>
      <c r="AE33" s="238">
        <v>8445344.7369239964</v>
      </c>
      <c r="AF33" s="238">
        <v>817284.77701708628</v>
      </c>
      <c r="AG33" s="238">
        <v>681242.85797811637</v>
      </c>
      <c r="AH33" s="238">
        <v>57572972.136355564</v>
      </c>
      <c r="AI33" s="238">
        <v>2253607.4203827991</v>
      </c>
      <c r="AJ33" s="238">
        <v>2323859.5027345954</v>
      </c>
      <c r="AK33" s="238">
        <v>339986678.26506972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283</v>
      </c>
      <c r="B2" s="78">
        <v>1</v>
      </c>
    </row>
    <row r="4" spans="1:9" x14ac:dyDescent="0.25">
      <c r="A4" s="77" t="s">
        <v>310</v>
      </c>
      <c r="B4" s="77" t="s">
        <v>62</v>
      </c>
    </row>
    <row r="5" spans="1:9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158</v>
      </c>
      <c r="G5" s="169" t="s">
        <v>54</v>
      </c>
      <c r="H5" s="169" t="s">
        <v>159</v>
      </c>
      <c r="I5" s="169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223376.70355809579</v>
      </c>
      <c r="D8" s="76">
        <v>0</v>
      </c>
      <c r="E8" s="76">
        <v>641699.34825806518</v>
      </c>
      <c r="F8" s="76">
        <v>142742</v>
      </c>
      <c r="G8" s="76">
        <v>456262.55953572609</v>
      </c>
      <c r="H8" s="76">
        <v>6505289.1185657317</v>
      </c>
      <c r="I8" s="76">
        <v>7969369.91480802</v>
      </c>
    </row>
    <row r="9" spans="1:9" x14ac:dyDescent="0.25">
      <c r="A9" s="78" t="s">
        <v>61</v>
      </c>
      <c r="B9" s="76">
        <v>370459.88762915425</v>
      </c>
      <c r="C9" s="76">
        <v>637991.68294847931</v>
      </c>
      <c r="D9" s="76">
        <v>282332.03034110228</v>
      </c>
      <c r="E9" s="76">
        <v>2253607.4203827991</v>
      </c>
      <c r="F9" s="76">
        <v>428226</v>
      </c>
      <c r="G9" s="76">
        <v>1314336.3276045257</v>
      </c>
      <c r="H9" s="76">
        <v>18431652.502602909</v>
      </c>
      <c r="I9" s="76">
        <v>23718605.851508968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8" width="9.85546875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32982207.122703724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222389.489994237</v>
      </c>
      <c r="D8" s="98">
        <v>3043013.7759962841</v>
      </c>
      <c r="E8" s="98">
        <v>1176377.6469398488</v>
      </c>
      <c r="F8" s="98">
        <v>157216.83755586346</v>
      </c>
      <c r="G8" s="98">
        <v>1633518.8473632084</v>
      </c>
      <c r="H8" s="98">
        <v>3019148.2239866257</v>
      </c>
      <c r="I8" s="98">
        <v>73602.662086251483</v>
      </c>
      <c r="J8" s="98">
        <v>2208063.52547062</v>
      </c>
      <c r="K8" s="98">
        <v>1482422.5612646407</v>
      </c>
      <c r="L8" s="98">
        <v>2639.1240738517372</v>
      </c>
      <c r="M8" s="98">
        <v>813064.48232254898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1738095.5427716447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989747.08638991043</v>
      </c>
      <c r="Y8" s="98">
        <v>2178741.0896790312</v>
      </c>
      <c r="Z8" s="98">
        <v>80685.358019641164</v>
      </c>
      <c r="AA8" s="98">
        <v>35192755.881839551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646873.25757851929</v>
      </c>
      <c r="D9" s="98">
        <v>9178950.99370699</v>
      </c>
      <c r="E9" s="98">
        <v>3651261.4001131607</v>
      </c>
      <c r="F9" s="98">
        <v>465884.75478506123</v>
      </c>
      <c r="G9" s="98">
        <v>4706234.0846063513</v>
      </c>
      <c r="H9" s="98">
        <v>9218121.5857941881</v>
      </c>
      <c r="I9" s="98">
        <v>147793.14554900059</v>
      </c>
      <c r="J9" s="98">
        <v>6383143.788157301</v>
      </c>
      <c r="K9" s="98">
        <v>4560458.7010569554</v>
      </c>
      <c r="L9" s="98">
        <v>95870.934950370865</v>
      </c>
      <c r="M9" s="98">
        <v>2499914.3941303086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5009356.7472289437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2856299.6938942028</v>
      </c>
      <c r="Y9" s="98">
        <v>6285147.1076456029</v>
      </c>
      <c r="Z9" s="98">
        <v>247157.18857372069</v>
      </c>
      <c r="AA9" s="98">
        <v>102800157.02605459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9.7215276245828761</v>
      </c>
      <c r="E7" s="236">
        <v>18.898503241211166</v>
      </c>
      <c r="F7" s="236">
        <v>0.14596282488120896</v>
      </c>
      <c r="G7" s="236">
        <v>2.4182220169495992</v>
      </c>
      <c r="H7" s="236">
        <v>0</v>
      </c>
      <c r="I7" s="236">
        <v>7.9766231601288453</v>
      </c>
      <c r="J7" s="236">
        <v>45.280222691386172</v>
      </c>
      <c r="K7" s="236">
        <v>104.58136901363305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13.191017657049301</v>
      </c>
      <c r="E8" s="236">
        <v>19.152454605131187</v>
      </c>
      <c r="F8" s="236">
        <v>0.23461711386879117</v>
      </c>
      <c r="G8" s="236">
        <v>2.5339174515084348</v>
      </c>
      <c r="H8" s="236">
        <v>0</v>
      </c>
      <c r="I8" s="236">
        <v>8.2687093155868077</v>
      </c>
      <c r="J8" s="236">
        <v>41.635477473780199</v>
      </c>
      <c r="K8" s="236">
        <v>105.24801739560768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15.042523814801294</v>
      </c>
      <c r="H11" s="236">
        <v>0</v>
      </c>
      <c r="I11" s="236">
        <v>0</v>
      </c>
      <c r="J11" s="236">
        <v>0</v>
      </c>
      <c r="K11" s="236">
        <v>24.386885636843161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14.90455589524715</v>
      </c>
      <c r="H12" s="236">
        <v>0</v>
      </c>
      <c r="I12" s="236">
        <v>0</v>
      </c>
      <c r="J12" s="236">
        <v>0</v>
      </c>
      <c r="K12" s="236">
        <v>24.315270904854131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22.912545281632177</v>
      </c>
      <c r="E13" s="236">
        <v>57.624548334899544</v>
      </c>
      <c r="F13" s="236">
        <v>0.38057993875000012</v>
      </c>
      <c r="G13" s="236">
        <v>4.952139468458034</v>
      </c>
      <c r="H13" s="236">
        <v>0</v>
      </c>
      <c r="I13" s="236">
        <v>20.196379603545232</v>
      </c>
      <c r="J13" s="236">
        <v>134.40479508950824</v>
      </c>
      <c r="K13" s="236">
        <v>298.38704947447167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35.039362668053442</v>
      </c>
      <c r="H14" s="236">
        <v>0</v>
      </c>
      <c r="I14" s="236">
        <v>0</v>
      </c>
      <c r="J14" s="236">
        <v>0</v>
      </c>
      <c r="K14" s="236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1160553.4746754284</v>
      </c>
      <c r="E4" s="237">
        <v>1651174.8680226803</v>
      </c>
      <c r="F4" s="237">
        <v>24394.90109435247</v>
      </c>
      <c r="G4" s="237">
        <v>2391831.0305737425</v>
      </c>
      <c r="H4" s="237">
        <v>1498974.2460576054</v>
      </c>
      <c r="I4" s="237">
        <v>8028867.0665645311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1565626.3159673489</v>
      </c>
      <c r="E5" s="237">
        <v>1682803.8007453769</v>
      </c>
      <c r="F5" s="237">
        <v>39211.773905647548</v>
      </c>
      <c r="G5" s="237">
        <v>2392074.3977685794</v>
      </c>
      <c r="H5" s="237">
        <v>1372767.4962379688</v>
      </c>
      <c r="I5" s="237">
        <v>8372781.1559869936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2854906.1506427773</v>
      </c>
      <c r="E6" s="237">
        <v>5009396.6594232842</v>
      </c>
      <c r="F6" s="237">
        <v>63606.675000000017</v>
      </c>
      <c r="G6" s="237">
        <v>5487921.5441756556</v>
      </c>
      <c r="H6" s="237">
        <v>4447615.2207267499</v>
      </c>
      <c r="I6" s="237">
        <v>21691454.907471262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14121203.716995481</v>
      </c>
      <c r="C4" s="98">
        <v>-24610.813181900667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28242407.433990959</v>
      </c>
    </row>
    <row r="5" spans="1:10" x14ac:dyDescent="0.25">
      <c r="A5" s="78">
        <v>2050</v>
      </c>
      <c r="B5" s="98">
        <v>13157363.441314612</v>
      </c>
      <c r="C5" s="98">
        <v>-40179.115818099352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26314726.882629231</v>
      </c>
    </row>
    <row r="6" spans="1:10" x14ac:dyDescent="0.25">
      <c r="A6" s="78" t="s">
        <v>61</v>
      </c>
      <c r="B6" s="98">
        <v>41190129.276587665</v>
      </c>
      <c r="C6" s="98">
        <v>-64948.366200000019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82380258.553175315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12276637.928740747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11469738.218466586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1844565.7882547341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1687625.2228480268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715516149997711</vt:r8>
  </property>
</Properties>
</file>