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0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1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05750D80-14A7-4558-90F0-86A57254ABF4}" xr6:coauthVersionLast="47" xr6:coauthVersionMax="47" xr10:uidLastSave="{00000000-0000-0000-0000-000000000000}"/>
  <bookViews>
    <workbookView xWindow="-120" yWindow="-120" windowWidth="29040" windowHeight="15840" tabRatio="945" firstSheet="8" activeTab="17" xr2:uid="{86D0E40E-C8C7-410E-B314-8472CCF1C330}"/>
  </bookViews>
  <sheets>
    <sheet name="Overblik" sheetId="1" r:id="rId1"/>
    <sheet name="Resume" sheetId="70" r:id="rId2"/>
    <sheet name="Arealanvendelse" sheetId="9" r:id="rId3"/>
    <sheet name="Landbrug" sheetId="17" r:id="rId4"/>
    <sheet name="Fodersammensætning" sheetId="34" r:id="rId5"/>
    <sheet name="Skovbrug" sheetId="26" r:id="rId6"/>
    <sheet name="Havbrug" sheetId="32" r:id="rId7"/>
    <sheet name="Adfærd" sheetId="6" r:id="rId8"/>
    <sheet name="Biogasanlæg" sheetId="39" r:id="rId9"/>
    <sheet name="Forbrug til andet" sheetId="8" r:id="rId10"/>
    <sheet name="Avanceret" sheetId="69" r:id="rId11"/>
    <sheet name="Direkte input" sheetId="35" r:id="rId12"/>
    <sheet name="Forbrug af biomasse" sheetId="38" r:id="rId13"/>
    <sheet name="Restprodukter" sheetId="53" r:id="rId14"/>
    <sheet name="Resultater - Vestdanmark" sheetId="37" r:id="rId15"/>
    <sheet name="Resultater - Østdanmark" sheetId="58" r:id="rId16"/>
    <sheet name="Resultater - Danmark" sheetId="41" r:id="rId17"/>
    <sheet name="Resultat-Produktion &amp; forbrug" sheetId="66" r:id="rId18"/>
    <sheet name="Landbrugsareal - resultat" sheetId="20" state="hidden" r:id="rId19"/>
    <sheet name="Pivot tabeller og data" sheetId="68" state="hidden" r:id="rId20"/>
    <sheet name="Resultat-Forbrug af biomasse" sheetId="56" state="hidden" r:id="rId21"/>
    <sheet name="Resultat-Import" sheetId="51" state="hidden" r:id="rId22"/>
    <sheet name="Resultat-Eksport" sheetId="71" state="hidden" r:id="rId23"/>
    <sheet name="Resultat-Potentiale til energi" sheetId="50" state="hidden" r:id="rId24"/>
    <sheet name="Resultat-Tørstof til energi" sheetId="67" state="hidden" r:id="rId25"/>
    <sheet name="CO2-pivot" sheetId="64" state="hidden" r:id="rId26"/>
    <sheet name="CO2-udledning" sheetId="63" state="hidden" r:id="rId27"/>
    <sheet name="Produktion afgrøder-pivot" sheetId="60" state="hidden" r:id="rId28"/>
    <sheet name="Produktion af afgrøder" sheetId="57" state="hidden" r:id="rId29"/>
    <sheet name="Produkt skovbrug" sheetId="62" state="hidden" r:id="rId30"/>
    <sheet name="Produkt havbrug" sheetId="61" state="hidden" r:id="rId31"/>
    <sheet name="Arealanvendelse - pivot" sheetId="23" state="hidden" r:id="rId32"/>
    <sheet name="Pivot chart - landbrug" sheetId="19" state="hidden" r:id="rId33"/>
    <sheet name="Arealanvendelsesresultater-big" sheetId="22" state="hidden" r:id="rId34"/>
    <sheet name="Landbrugsresultater - pivot" sheetId="18" state="hidden" r:id="rId35"/>
  </sheets>
  <externalReferences>
    <externalReference r:id="rId36"/>
  </externalReferences>
  <definedNames>
    <definedName name="_xlnm._FilterDatabase" localSheetId="11" hidden="1">'Direkte input'!$A$2:$I$230</definedName>
    <definedName name="_xlnm._FilterDatabase" localSheetId="12" hidden="1">'Forbrug af biomasse'!$A$1:$G$415</definedName>
    <definedName name="_xlnm._FilterDatabase" localSheetId="16" hidden="1">'Resultater - Danmark'!$A$2:$O$475</definedName>
    <definedName name="_xlnm._FilterDatabase" localSheetId="14" hidden="1">'Resultater - Vestdanmark'!$A$2:$U$475</definedName>
    <definedName name="_xlnm._FilterDatabase" localSheetId="17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20" r:id="rId37"/>
    <pivotCache cacheId="121" r:id="rId38"/>
    <pivotCache cacheId="122" r:id="rId39"/>
    <pivotCache cacheId="123" r:id="rId40"/>
    <pivotCache cacheId="124" r:id="rId41"/>
    <pivotCache cacheId="125" r:id="rId42"/>
    <pivotCache cacheId="126" r:id="rId43"/>
    <pivotCache cacheId="127" r:id="rId4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3" i="17" l="1"/>
  <c r="D33" i="17" s="1"/>
  <c r="E33" i="17" s="1"/>
  <c r="C34" i="17"/>
  <c r="D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E34" i="17" l="1"/>
  <c r="E35" i="17"/>
  <c r="E32" i="17"/>
  <c r="D46" i="17"/>
  <c r="E46" i="17" l="1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D15" i="34" s="1"/>
  <c r="A16" i="34"/>
  <c r="C201" i="38" s="1"/>
  <c r="B26" i="6"/>
  <c r="C198" i="38" l="1"/>
  <c r="C197" i="38"/>
  <c r="E15" i="34"/>
  <c r="E14" i="34" s="1"/>
  <c r="D14" i="34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2" i="63"/>
  <c r="E12" i="63"/>
  <c r="F12" i="63"/>
  <c r="F21" i="63" s="1"/>
  <c r="F30" i="63" s="1"/>
  <c r="F39" i="63" s="1"/>
  <c r="F48" i="63" s="1"/>
  <c r="G12" i="63"/>
  <c r="H12" i="63"/>
  <c r="I12" i="63"/>
  <c r="D13" i="63"/>
  <c r="E13" i="63"/>
  <c r="G13" i="63"/>
  <c r="H13" i="63"/>
  <c r="I13" i="63"/>
  <c r="I22" i="63" s="1"/>
  <c r="I31" i="63" s="1"/>
  <c r="I40" i="63" s="1"/>
  <c r="I49" i="63" s="1"/>
  <c r="D14" i="63"/>
  <c r="E14" i="63"/>
  <c r="G14" i="63"/>
  <c r="H14" i="63"/>
  <c r="I14" i="63"/>
  <c r="D15" i="63"/>
  <c r="E15" i="63"/>
  <c r="G15" i="63"/>
  <c r="H15" i="63"/>
  <c r="I15" i="63"/>
  <c r="I24" i="63" s="1"/>
  <c r="I33" i="63" s="1"/>
  <c r="I42" i="63" s="1"/>
  <c r="I51" i="63" s="1"/>
  <c r="D16" i="63"/>
  <c r="E16" i="63"/>
  <c r="F16" i="63"/>
  <c r="F25" i="63" s="1"/>
  <c r="F34" i="63" s="1"/>
  <c r="F43" i="63" s="1"/>
  <c r="F52" i="63" s="1"/>
  <c r="G16" i="63"/>
  <c r="H16" i="63"/>
  <c r="I16" i="63"/>
  <c r="D17" i="63"/>
  <c r="E17" i="63"/>
  <c r="F17" i="63"/>
  <c r="G17" i="63"/>
  <c r="H17" i="63"/>
  <c r="I17" i="63"/>
  <c r="I26" i="63" s="1"/>
  <c r="I35" i="63" s="1"/>
  <c r="I44" i="63" s="1"/>
  <c r="I53" i="63" s="1"/>
  <c r="D18" i="63"/>
  <c r="E18" i="63"/>
  <c r="F18" i="63"/>
  <c r="F27" i="63" s="1"/>
  <c r="F36" i="63" s="1"/>
  <c r="F45" i="63" s="1"/>
  <c r="F54" i="63" s="1"/>
  <c r="G18" i="63"/>
  <c r="H18" i="63"/>
  <c r="I18" i="63"/>
  <c r="D19" i="63"/>
  <c r="E19" i="63"/>
  <c r="F19" i="63"/>
  <c r="G19" i="63"/>
  <c r="H19" i="63"/>
  <c r="I19" i="63"/>
  <c r="I28" i="63" s="1"/>
  <c r="I37" i="63" s="1"/>
  <c r="I46" i="63" s="1"/>
  <c r="I55" i="63" s="1"/>
  <c r="D20" i="63"/>
  <c r="E20" i="63"/>
  <c r="F20" i="63"/>
  <c r="F29" i="63" s="1"/>
  <c r="F38" i="63" s="1"/>
  <c r="F47" i="63" s="1"/>
  <c r="G20" i="63"/>
  <c r="H20" i="63"/>
  <c r="I20" i="63"/>
  <c r="D21" i="63"/>
  <c r="E21" i="63"/>
  <c r="G21" i="63"/>
  <c r="H21" i="63"/>
  <c r="I21" i="63"/>
  <c r="I30" i="63" s="1"/>
  <c r="I39" i="63" s="1"/>
  <c r="I48" i="63" s="1"/>
  <c r="D22" i="63"/>
  <c r="E22" i="63"/>
  <c r="G22" i="63"/>
  <c r="G31" i="63" s="1"/>
  <c r="G40" i="63" s="1"/>
  <c r="G49" i="63" s="1"/>
  <c r="H22" i="63"/>
  <c r="D23" i="63"/>
  <c r="E23" i="63"/>
  <c r="G23" i="63"/>
  <c r="H23" i="63"/>
  <c r="I23" i="63"/>
  <c r="I32" i="63" s="1"/>
  <c r="I41" i="63" s="1"/>
  <c r="I50" i="63" s="1"/>
  <c r="D24" i="63"/>
  <c r="E24" i="63"/>
  <c r="G24" i="63"/>
  <c r="G33" i="63" s="1"/>
  <c r="G42" i="63" s="1"/>
  <c r="G51" i="63" s="1"/>
  <c r="H24" i="63"/>
  <c r="D25" i="63"/>
  <c r="E25" i="63"/>
  <c r="G25" i="63"/>
  <c r="H25" i="63"/>
  <c r="I25" i="63"/>
  <c r="I34" i="63" s="1"/>
  <c r="I43" i="63" s="1"/>
  <c r="I52" i="63" s="1"/>
  <c r="D26" i="63"/>
  <c r="E26" i="63"/>
  <c r="F26" i="63"/>
  <c r="F35" i="63" s="1"/>
  <c r="F44" i="63" s="1"/>
  <c r="F53" i="63" s="1"/>
  <c r="G26" i="63"/>
  <c r="G35" i="63" s="1"/>
  <c r="G44" i="63" s="1"/>
  <c r="G53" i="63" s="1"/>
  <c r="H26" i="63"/>
  <c r="D27" i="63"/>
  <c r="E27" i="63"/>
  <c r="G27" i="63"/>
  <c r="H27" i="63"/>
  <c r="I27" i="63"/>
  <c r="I36" i="63" s="1"/>
  <c r="I45" i="63" s="1"/>
  <c r="I54" i="63" s="1"/>
  <c r="D28" i="63"/>
  <c r="E28" i="63"/>
  <c r="F28" i="63"/>
  <c r="F37" i="63" s="1"/>
  <c r="F46" i="63" s="1"/>
  <c r="F55" i="63" s="1"/>
  <c r="G28" i="63"/>
  <c r="G37" i="63" s="1"/>
  <c r="G46" i="63" s="1"/>
  <c r="G55" i="63" s="1"/>
  <c r="H28" i="63"/>
  <c r="D29" i="63"/>
  <c r="E29" i="63"/>
  <c r="G29" i="63"/>
  <c r="H29" i="63"/>
  <c r="I29" i="63"/>
  <c r="I38" i="63" s="1"/>
  <c r="I47" i="63" s="1"/>
  <c r="D30" i="63"/>
  <c r="E30" i="63"/>
  <c r="G30" i="63"/>
  <c r="G39" i="63" s="1"/>
  <c r="G48" i="63" s="1"/>
  <c r="H30" i="63"/>
  <c r="D31" i="63"/>
  <c r="E31" i="63"/>
  <c r="H31" i="63"/>
  <c r="D32" i="63"/>
  <c r="E32" i="63"/>
  <c r="G32" i="63"/>
  <c r="G41" i="63" s="1"/>
  <c r="G50" i="63" s="1"/>
  <c r="H32" i="63"/>
  <c r="D33" i="63"/>
  <c r="E33" i="63"/>
  <c r="H33" i="63"/>
  <c r="D34" i="63"/>
  <c r="E34" i="63"/>
  <c r="G34" i="63"/>
  <c r="G43" i="63" s="1"/>
  <c r="G52" i="63" s="1"/>
  <c r="H34" i="63"/>
  <c r="D35" i="63"/>
  <c r="E35" i="63"/>
  <c r="H35" i="63"/>
  <c r="D36" i="63"/>
  <c r="E36" i="63"/>
  <c r="G36" i="63"/>
  <c r="G45" i="63" s="1"/>
  <c r="G54" i="63" s="1"/>
  <c r="H36" i="63"/>
  <c r="D37" i="63"/>
  <c r="E37" i="63"/>
  <c r="H37" i="63"/>
  <c r="D38" i="63"/>
  <c r="E38" i="63"/>
  <c r="G38" i="63"/>
  <c r="G47" i="63" s="1"/>
  <c r="H38" i="63"/>
  <c r="D39" i="63"/>
  <c r="E39" i="63"/>
  <c r="H39" i="63"/>
  <c r="D40" i="63"/>
  <c r="E40" i="63"/>
  <c r="H40" i="63"/>
  <c r="D41" i="63"/>
  <c r="E41" i="63"/>
  <c r="H41" i="63"/>
  <c r="D42" i="63"/>
  <c r="E42" i="63"/>
  <c r="H42" i="63"/>
  <c r="D43" i="63"/>
  <c r="E43" i="63"/>
  <c r="H43" i="63"/>
  <c r="D44" i="63"/>
  <c r="E44" i="63"/>
  <c r="H44" i="63"/>
  <c r="D45" i="63"/>
  <c r="E45" i="63"/>
  <c r="H45" i="63"/>
  <c r="D46" i="63"/>
  <c r="E46" i="63"/>
  <c r="H46" i="63"/>
  <c r="D47" i="63"/>
  <c r="E47" i="63"/>
  <c r="H47" i="63"/>
  <c r="D48" i="63"/>
  <c r="E48" i="63"/>
  <c r="H48" i="63"/>
  <c r="D49" i="63"/>
  <c r="E49" i="63"/>
  <c r="H49" i="63"/>
  <c r="D50" i="63"/>
  <c r="E50" i="63"/>
  <c r="H50" i="63"/>
  <c r="D51" i="63"/>
  <c r="E51" i="63"/>
  <c r="H51" i="63"/>
  <c r="D52" i="63"/>
  <c r="E52" i="63"/>
  <c r="H52" i="63"/>
  <c r="D53" i="63"/>
  <c r="E53" i="63"/>
  <c r="H53" i="63"/>
  <c r="D54" i="63"/>
  <c r="E54" i="63"/>
  <c r="H54" i="63"/>
  <c r="D55" i="63"/>
  <c r="E55" i="63"/>
  <c r="H55" i="63"/>
  <c r="E11" i="63"/>
  <c r="F11" i="63"/>
  <c r="G11" i="63"/>
  <c r="H11" i="63"/>
  <c r="I11" i="63"/>
  <c r="D11" i="63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73" i="58"/>
  <c r="B473" i="58"/>
  <c r="C473" i="58"/>
  <c r="D473" i="58"/>
  <c r="F473" i="58"/>
  <c r="A474" i="58"/>
  <c r="B474" i="58"/>
  <c r="C474" i="58"/>
  <c r="D474" i="58"/>
  <c r="F474" i="58"/>
  <c r="A475" i="58"/>
  <c r="B475" i="58"/>
  <c r="C475" i="58"/>
  <c r="D475" i="58"/>
  <c r="F475" i="58"/>
  <c r="A473" i="37"/>
  <c r="A473" i="41" s="1"/>
  <c r="B473" i="37"/>
  <c r="B473" i="41" s="1"/>
  <c r="C473" i="37"/>
  <c r="C473" i="41" s="1"/>
  <c r="D473" i="37"/>
  <c r="D473" i="41" s="1"/>
  <c r="F473" i="37"/>
  <c r="F473" i="41" s="1"/>
  <c r="A474" i="37"/>
  <c r="B474" i="37"/>
  <c r="B474" i="41" s="1"/>
  <c r="C474" i="37"/>
  <c r="C474" i="41" s="1"/>
  <c r="D474" i="37"/>
  <c r="D474" i="41" s="1"/>
  <c r="F474" i="37"/>
  <c r="F474" i="41" s="1"/>
  <c r="A475" i="37"/>
  <c r="B475" i="37"/>
  <c r="B475" i="41" s="1"/>
  <c r="C475" i="37"/>
  <c r="C475" i="41" s="1"/>
  <c r="D475" i="37"/>
  <c r="D475" i="41" s="1"/>
  <c r="F475" i="37"/>
  <c r="F475" i="41" s="1"/>
  <c r="A465" i="58"/>
  <c r="B465" i="58"/>
  <c r="C465" i="58"/>
  <c r="D465" i="58"/>
  <c r="F465" i="58"/>
  <c r="A466" i="58"/>
  <c r="B466" i="58"/>
  <c r="C466" i="58"/>
  <c r="D466" i="58"/>
  <c r="F466" i="58"/>
  <c r="A465" i="37"/>
  <c r="A465" i="41" s="1"/>
  <c r="B465" i="37"/>
  <c r="B465" i="41" s="1"/>
  <c r="C465" i="37"/>
  <c r="C465" i="41" s="1"/>
  <c r="D465" i="37"/>
  <c r="D465" i="41" s="1"/>
  <c r="F465" i="37"/>
  <c r="A466" i="37"/>
  <c r="A466" i="41" s="1"/>
  <c r="B466" i="37"/>
  <c r="B466" i="41" s="1"/>
  <c r="C466" i="37"/>
  <c r="C466" i="41" s="1"/>
  <c r="D466" i="37"/>
  <c r="D466" i="41" s="1"/>
  <c r="F466" i="37"/>
  <c r="F466" i="41" s="1"/>
  <c r="A275" i="66" l="1"/>
  <c r="H275" i="66" s="1"/>
  <c r="A475" i="41"/>
  <c r="A474" i="41"/>
  <c r="H276" i="66"/>
  <c r="H228" i="66"/>
  <c r="H84" i="66"/>
  <c r="A131" i="66"/>
  <c r="H132" i="66"/>
  <c r="F465" i="41"/>
  <c r="H131" i="66" l="1"/>
  <c r="C5" i="9" l="1"/>
  <c r="K5" i="9"/>
  <c r="L5" i="9"/>
  <c r="K7" i="9"/>
  <c r="L7" i="9"/>
  <c r="K9" i="9"/>
  <c r="L9" i="9"/>
  <c r="A437" i="58" l="1"/>
  <c r="B437" i="58"/>
  <c r="C437" i="58"/>
  <c r="D437" i="58"/>
  <c r="F437" i="58"/>
  <c r="A438" i="58"/>
  <c r="B438" i="58"/>
  <c r="C438" i="58"/>
  <c r="D438" i="58"/>
  <c r="F438" i="58"/>
  <c r="A439" i="58"/>
  <c r="B439" i="58"/>
  <c r="C439" i="58"/>
  <c r="D439" i="58"/>
  <c r="F439" i="58"/>
  <c r="A437" i="37"/>
  <c r="A437" i="41" s="1"/>
  <c r="B437" i="37"/>
  <c r="B437" i="41" s="1"/>
  <c r="C437" i="37"/>
  <c r="C437" i="41" s="1"/>
  <c r="D437" i="37"/>
  <c r="D437" i="41" s="1"/>
  <c r="F437" i="37"/>
  <c r="F437" i="41" s="1"/>
  <c r="A438" i="37"/>
  <c r="A438" i="41" s="1"/>
  <c r="B438" i="37"/>
  <c r="B438" i="41" s="1"/>
  <c r="C438" i="37"/>
  <c r="C438" i="41" s="1"/>
  <c r="D438" i="37"/>
  <c r="D438" i="41" s="1"/>
  <c r="F438" i="37"/>
  <c r="F438" i="41" s="1"/>
  <c r="A439" i="37"/>
  <c r="A439" i="41" s="1"/>
  <c r="B439" i="37"/>
  <c r="B439" i="41" s="1"/>
  <c r="C439" i="37"/>
  <c r="C439" i="41" s="1"/>
  <c r="D439" i="37"/>
  <c r="D439" i="41" s="1"/>
  <c r="F439" i="37"/>
  <c r="F439" i="41" s="1"/>
  <c r="N19" i="39" l="1"/>
  <c r="N18" i="39"/>
  <c r="A406" i="58"/>
  <c r="B406" i="58"/>
  <c r="C406" i="58"/>
  <c r="D406" i="58"/>
  <c r="F406" i="58"/>
  <c r="A406" i="37"/>
  <c r="B406" i="37"/>
  <c r="B406" i="41" s="1"/>
  <c r="C406" i="37"/>
  <c r="C406" i="41" s="1"/>
  <c r="D406" i="37"/>
  <c r="D406" i="41" s="1"/>
  <c r="F406" i="37"/>
  <c r="F406" i="41" s="1"/>
  <c r="A6" i="37"/>
  <c r="A6" i="41" s="1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406" i="41" l="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14" i="58"/>
  <c r="D14" i="58"/>
  <c r="B14" i="58"/>
  <c r="C14" i="58"/>
  <c r="F14" i="58"/>
  <c r="A15" i="58"/>
  <c r="D15" i="58"/>
  <c r="B15" i="58"/>
  <c r="C15" i="58"/>
  <c r="F15" i="58"/>
  <c r="A16" i="58"/>
  <c r="D16" i="58"/>
  <c r="B16" i="58"/>
  <c r="C16" i="58"/>
  <c r="F16" i="58"/>
  <c r="A17" i="58"/>
  <c r="D17" i="58"/>
  <c r="B17" i="58"/>
  <c r="C17" i="58"/>
  <c r="F17" i="58"/>
  <c r="A18" i="58"/>
  <c r="D18" i="58"/>
  <c r="B18" i="58"/>
  <c r="C18" i="58"/>
  <c r="F18" i="58"/>
  <c r="A19" i="58"/>
  <c r="D19" i="58"/>
  <c r="B19" i="58"/>
  <c r="C19" i="58"/>
  <c r="F19" i="58"/>
  <c r="A20" i="58"/>
  <c r="D20" i="58"/>
  <c r="B20" i="58"/>
  <c r="C20" i="58"/>
  <c r="F20" i="58"/>
  <c r="A21" i="58"/>
  <c r="D21" i="58"/>
  <c r="B21" i="58"/>
  <c r="C21" i="58"/>
  <c r="F21" i="58"/>
  <c r="A22" i="58"/>
  <c r="D22" i="58"/>
  <c r="B22" i="58"/>
  <c r="C22" i="58"/>
  <c r="F22" i="58"/>
  <c r="A23" i="58"/>
  <c r="D23" i="58"/>
  <c r="B23" i="58"/>
  <c r="C23" i="58"/>
  <c r="F23" i="58"/>
  <c r="A24" i="58"/>
  <c r="D24" i="58"/>
  <c r="B24" i="58"/>
  <c r="C24" i="58"/>
  <c r="F24" i="58"/>
  <c r="A25" i="58"/>
  <c r="D25" i="58"/>
  <c r="B25" i="58"/>
  <c r="C25" i="58"/>
  <c r="F25" i="58"/>
  <c r="A26" i="58"/>
  <c r="D26" i="58"/>
  <c r="B26" i="58"/>
  <c r="C26" i="58"/>
  <c r="F26" i="58"/>
  <c r="A27" i="58"/>
  <c r="D27" i="58"/>
  <c r="B27" i="58"/>
  <c r="C27" i="58"/>
  <c r="F27" i="58"/>
  <c r="A28" i="58"/>
  <c r="D28" i="58"/>
  <c r="B28" i="58"/>
  <c r="C28" i="58"/>
  <c r="F28" i="58"/>
  <c r="A29" i="58"/>
  <c r="D29" i="58"/>
  <c r="B29" i="58"/>
  <c r="C29" i="58"/>
  <c r="F29" i="58"/>
  <c r="A30" i="58"/>
  <c r="D30" i="58"/>
  <c r="B30" i="58"/>
  <c r="C30" i="58"/>
  <c r="F30" i="58"/>
  <c r="A31" i="58"/>
  <c r="D31" i="58"/>
  <c r="B31" i="58"/>
  <c r="C31" i="58"/>
  <c r="F31" i="58"/>
  <c r="A32" i="58"/>
  <c r="D32" i="58"/>
  <c r="B32" i="58"/>
  <c r="C32" i="58"/>
  <c r="F32" i="58"/>
  <c r="A33" i="58"/>
  <c r="D33" i="58"/>
  <c r="B33" i="58"/>
  <c r="C33" i="58"/>
  <c r="F33" i="58"/>
  <c r="A34" i="58"/>
  <c r="D34" i="58"/>
  <c r="B34" i="58"/>
  <c r="C34" i="58"/>
  <c r="F34" i="58"/>
  <c r="A35" i="58"/>
  <c r="D35" i="58"/>
  <c r="B35" i="58"/>
  <c r="C35" i="58"/>
  <c r="F35" i="58"/>
  <c r="A36" i="58"/>
  <c r="D36" i="58"/>
  <c r="B36" i="58"/>
  <c r="C36" i="58"/>
  <c r="F36" i="58"/>
  <c r="A37" i="58"/>
  <c r="D37" i="58"/>
  <c r="B37" i="58"/>
  <c r="C37" i="58"/>
  <c r="F37" i="58"/>
  <c r="A38" i="58"/>
  <c r="D38" i="58"/>
  <c r="B38" i="58"/>
  <c r="C38" i="58"/>
  <c r="F38" i="58"/>
  <c r="A39" i="58"/>
  <c r="D39" i="58"/>
  <c r="B39" i="58"/>
  <c r="C39" i="58"/>
  <c r="F39" i="58"/>
  <c r="A40" i="58"/>
  <c r="D40" i="58"/>
  <c r="B40" i="58"/>
  <c r="C40" i="58"/>
  <c r="F40" i="58"/>
  <c r="A41" i="58"/>
  <c r="D41" i="58"/>
  <c r="B41" i="58"/>
  <c r="C41" i="58"/>
  <c r="F41" i="58"/>
  <c r="A42" i="58"/>
  <c r="D42" i="58"/>
  <c r="B42" i="58"/>
  <c r="C42" i="58"/>
  <c r="F42" i="58"/>
  <c r="A43" i="58"/>
  <c r="D43" i="58"/>
  <c r="B43" i="58"/>
  <c r="C43" i="58"/>
  <c r="F43" i="58"/>
  <c r="A44" i="58"/>
  <c r="D44" i="58"/>
  <c r="B44" i="58"/>
  <c r="C44" i="58"/>
  <c r="F44" i="58"/>
  <c r="A45" i="58"/>
  <c r="D45" i="58"/>
  <c r="B45" i="58"/>
  <c r="C45" i="58"/>
  <c r="F45" i="58"/>
  <c r="A46" i="58"/>
  <c r="D46" i="58"/>
  <c r="B46" i="58"/>
  <c r="C46" i="58"/>
  <c r="F46" i="58"/>
  <c r="A47" i="58"/>
  <c r="D47" i="58"/>
  <c r="B47" i="58"/>
  <c r="C47" i="58"/>
  <c r="F47" i="58"/>
  <c r="A48" i="58"/>
  <c r="D48" i="58"/>
  <c r="B48" i="58"/>
  <c r="C48" i="58"/>
  <c r="F48" i="58"/>
  <c r="A49" i="58"/>
  <c r="D49" i="58"/>
  <c r="B49" i="58"/>
  <c r="C49" i="58"/>
  <c r="F49" i="58"/>
  <c r="A50" i="58"/>
  <c r="D50" i="58"/>
  <c r="B50" i="58"/>
  <c r="C50" i="58"/>
  <c r="F50" i="58"/>
  <c r="A51" i="58"/>
  <c r="D51" i="58"/>
  <c r="B51" i="58"/>
  <c r="C51" i="58"/>
  <c r="F51" i="58"/>
  <c r="A52" i="58"/>
  <c r="D52" i="58"/>
  <c r="B52" i="58"/>
  <c r="C52" i="58"/>
  <c r="F52" i="58"/>
  <c r="A53" i="58"/>
  <c r="D53" i="58"/>
  <c r="B53" i="58"/>
  <c r="C53" i="58"/>
  <c r="F53" i="58"/>
  <c r="A54" i="58"/>
  <c r="D54" i="58"/>
  <c r="B54" i="58"/>
  <c r="C54" i="58"/>
  <c r="F54" i="58"/>
  <c r="A55" i="58"/>
  <c r="D55" i="58"/>
  <c r="B55" i="58"/>
  <c r="C55" i="58"/>
  <c r="F55" i="58"/>
  <c r="A56" i="58"/>
  <c r="D56" i="58"/>
  <c r="B56" i="58"/>
  <c r="C56" i="58"/>
  <c r="F56" i="58"/>
  <c r="A57" i="58"/>
  <c r="D57" i="58"/>
  <c r="B57" i="58"/>
  <c r="C57" i="58"/>
  <c r="F57" i="58"/>
  <c r="A58" i="58"/>
  <c r="D58" i="58"/>
  <c r="B58" i="58"/>
  <c r="C58" i="58"/>
  <c r="F58" i="58"/>
  <c r="A59" i="58"/>
  <c r="D59" i="58"/>
  <c r="B59" i="58"/>
  <c r="C59" i="58"/>
  <c r="F59" i="58"/>
  <c r="A60" i="58"/>
  <c r="D60" i="58"/>
  <c r="B60" i="58"/>
  <c r="C60" i="58"/>
  <c r="F60" i="58"/>
  <c r="A61" i="58"/>
  <c r="D61" i="58"/>
  <c r="B61" i="58"/>
  <c r="C61" i="58"/>
  <c r="F61" i="58"/>
  <c r="A62" i="58"/>
  <c r="D62" i="58"/>
  <c r="B62" i="58"/>
  <c r="C62" i="58"/>
  <c r="F62" i="58"/>
  <c r="A63" i="58"/>
  <c r="D63" i="58"/>
  <c r="B63" i="58"/>
  <c r="C63" i="58"/>
  <c r="F63" i="58"/>
  <c r="A64" i="58"/>
  <c r="D64" i="58"/>
  <c r="B64" i="58"/>
  <c r="C64" i="58"/>
  <c r="F64" i="58"/>
  <c r="A65" i="58"/>
  <c r="D65" i="58"/>
  <c r="B65" i="58"/>
  <c r="C65" i="58"/>
  <c r="F65" i="58"/>
  <c r="A66" i="58"/>
  <c r="D66" i="58"/>
  <c r="B66" i="58"/>
  <c r="C66" i="58"/>
  <c r="F66" i="58"/>
  <c r="A67" i="58"/>
  <c r="D67" i="58"/>
  <c r="B67" i="58"/>
  <c r="C67" i="58"/>
  <c r="F67" i="58"/>
  <c r="A68" i="58"/>
  <c r="D68" i="58"/>
  <c r="B68" i="58"/>
  <c r="C68" i="58"/>
  <c r="F68" i="58"/>
  <c r="A69" i="58"/>
  <c r="D69" i="58"/>
  <c r="B69" i="58"/>
  <c r="C69" i="58"/>
  <c r="F69" i="58"/>
  <c r="A70" i="58"/>
  <c r="D70" i="58"/>
  <c r="B70" i="58"/>
  <c r="C70" i="58"/>
  <c r="F70" i="58"/>
  <c r="A71" i="58"/>
  <c r="D71" i="58"/>
  <c r="B71" i="58"/>
  <c r="C71" i="58"/>
  <c r="F71" i="58"/>
  <c r="A72" i="58"/>
  <c r="D72" i="58"/>
  <c r="B72" i="58"/>
  <c r="C72" i="58"/>
  <c r="F72" i="58"/>
  <c r="A73" i="58"/>
  <c r="D73" i="58"/>
  <c r="B73" i="58"/>
  <c r="C73" i="58"/>
  <c r="F73" i="58"/>
  <c r="A74" i="58"/>
  <c r="D74" i="58"/>
  <c r="B74" i="58"/>
  <c r="C74" i="58"/>
  <c r="F74" i="58"/>
  <c r="A75" i="58"/>
  <c r="D75" i="58"/>
  <c r="B75" i="58"/>
  <c r="C75" i="58"/>
  <c r="F75" i="58"/>
  <c r="A76" i="58"/>
  <c r="D76" i="58"/>
  <c r="B76" i="58"/>
  <c r="C76" i="58"/>
  <c r="F76" i="58"/>
  <c r="A77" i="58"/>
  <c r="D77" i="58"/>
  <c r="B77" i="58"/>
  <c r="C77" i="58"/>
  <c r="F77" i="58"/>
  <c r="A78" i="58"/>
  <c r="D78" i="58"/>
  <c r="B78" i="58"/>
  <c r="C78" i="58"/>
  <c r="F78" i="58"/>
  <c r="A79" i="58"/>
  <c r="D79" i="58"/>
  <c r="B79" i="58"/>
  <c r="C79" i="58"/>
  <c r="F79" i="58"/>
  <c r="A80" i="58"/>
  <c r="D80" i="58"/>
  <c r="B80" i="58"/>
  <c r="C80" i="58"/>
  <c r="F80" i="58"/>
  <c r="A81" i="58"/>
  <c r="D81" i="58"/>
  <c r="B81" i="58"/>
  <c r="C81" i="58"/>
  <c r="F81" i="58"/>
  <c r="A82" i="58"/>
  <c r="D82" i="58"/>
  <c r="B82" i="58"/>
  <c r="C82" i="58"/>
  <c r="F82" i="58"/>
  <c r="A83" i="58"/>
  <c r="D83" i="58"/>
  <c r="B83" i="58"/>
  <c r="C83" i="58"/>
  <c r="F83" i="58"/>
  <c r="A84" i="58"/>
  <c r="D84" i="58"/>
  <c r="B84" i="58"/>
  <c r="C84" i="58"/>
  <c r="F84" i="58"/>
  <c r="A85" i="58"/>
  <c r="D85" i="58"/>
  <c r="B85" i="58"/>
  <c r="C85" i="58"/>
  <c r="F85" i="58"/>
  <c r="A86" i="58"/>
  <c r="D86" i="58"/>
  <c r="B86" i="58"/>
  <c r="C86" i="58"/>
  <c r="F86" i="58"/>
  <c r="A87" i="58"/>
  <c r="D87" i="58"/>
  <c r="B87" i="58"/>
  <c r="C87" i="58"/>
  <c r="F87" i="58"/>
  <c r="A88" i="58"/>
  <c r="D88" i="58"/>
  <c r="B88" i="58"/>
  <c r="C88" i="58"/>
  <c r="F88" i="58"/>
  <c r="A89" i="58"/>
  <c r="D89" i="58"/>
  <c r="B89" i="58"/>
  <c r="C89" i="58"/>
  <c r="F89" i="58"/>
  <c r="A90" i="58"/>
  <c r="D90" i="58"/>
  <c r="B90" i="58"/>
  <c r="C90" i="58"/>
  <c r="F90" i="58"/>
  <c r="A91" i="58"/>
  <c r="D91" i="58"/>
  <c r="B91" i="58"/>
  <c r="C91" i="58"/>
  <c r="F91" i="58"/>
  <c r="A92" i="58"/>
  <c r="D92" i="58"/>
  <c r="B92" i="58"/>
  <c r="C92" i="58"/>
  <c r="F92" i="58"/>
  <c r="A93" i="58"/>
  <c r="D93" i="58"/>
  <c r="B93" i="58"/>
  <c r="C93" i="58"/>
  <c r="F93" i="58"/>
  <c r="A94" i="58"/>
  <c r="D94" i="58"/>
  <c r="B94" i="58"/>
  <c r="C94" i="58"/>
  <c r="F94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F120" i="58"/>
  <c r="A121" i="58"/>
  <c r="D121" i="58"/>
  <c r="B121" i="58"/>
  <c r="F121" i="58"/>
  <c r="A122" i="58"/>
  <c r="D122" i="58"/>
  <c r="B122" i="58"/>
  <c r="F122" i="58"/>
  <c r="A123" i="58"/>
  <c r="D123" i="58"/>
  <c r="B123" i="58"/>
  <c r="F123" i="58"/>
  <c r="A124" i="58"/>
  <c r="D124" i="58"/>
  <c r="B124" i="58"/>
  <c r="F124" i="58"/>
  <c r="A125" i="58"/>
  <c r="D125" i="58"/>
  <c r="B125" i="58"/>
  <c r="F125" i="58"/>
  <c r="A126" i="58"/>
  <c r="D126" i="58"/>
  <c r="B126" i="58"/>
  <c r="F126" i="58"/>
  <c r="A127" i="58"/>
  <c r="D127" i="58"/>
  <c r="B127" i="58"/>
  <c r="F127" i="58"/>
  <c r="A128" i="58"/>
  <c r="D128" i="58"/>
  <c r="B128" i="58"/>
  <c r="F128" i="58"/>
  <c r="A129" i="58"/>
  <c r="D129" i="58"/>
  <c r="B129" i="58"/>
  <c r="F129" i="58"/>
  <c r="A130" i="58"/>
  <c r="D130" i="58"/>
  <c r="B130" i="58"/>
  <c r="F130" i="58"/>
  <c r="A131" i="58"/>
  <c r="D131" i="58"/>
  <c r="B131" i="58"/>
  <c r="F131" i="58"/>
  <c r="A132" i="58"/>
  <c r="D132" i="58"/>
  <c r="B132" i="58"/>
  <c r="F132" i="58"/>
  <c r="A133" i="58"/>
  <c r="D133" i="58"/>
  <c r="B133" i="58"/>
  <c r="F133" i="58"/>
  <c r="A134" i="58"/>
  <c r="D134" i="58"/>
  <c r="B134" i="58"/>
  <c r="F134" i="58"/>
  <c r="A135" i="58"/>
  <c r="D135" i="58"/>
  <c r="B135" i="58"/>
  <c r="F135" i="58"/>
  <c r="A136" i="58"/>
  <c r="D136" i="58"/>
  <c r="B136" i="58"/>
  <c r="F136" i="58"/>
  <c r="A137" i="58"/>
  <c r="D137" i="58"/>
  <c r="B137" i="58"/>
  <c r="F137" i="58"/>
  <c r="A138" i="58"/>
  <c r="D138" i="58"/>
  <c r="B138" i="58"/>
  <c r="F138" i="58"/>
  <c r="A139" i="58"/>
  <c r="D139" i="58"/>
  <c r="B139" i="58"/>
  <c r="F139" i="58"/>
  <c r="A140" i="58"/>
  <c r="D140" i="58"/>
  <c r="B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C162" i="58"/>
  <c r="F162" i="58"/>
  <c r="A163" i="58"/>
  <c r="D163" i="58"/>
  <c r="B163" i="58"/>
  <c r="C163" i="58"/>
  <c r="F163" i="58"/>
  <c r="A164" i="58"/>
  <c r="D164" i="58"/>
  <c r="B164" i="58"/>
  <c r="C164" i="58"/>
  <c r="F164" i="58"/>
  <c r="A165" i="58"/>
  <c r="D165" i="58"/>
  <c r="B165" i="58"/>
  <c r="C165" i="58"/>
  <c r="F165" i="58"/>
  <c r="A166" i="58"/>
  <c r="D166" i="58"/>
  <c r="B166" i="58"/>
  <c r="C166" i="58"/>
  <c r="F166" i="58"/>
  <c r="A167" i="58"/>
  <c r="D167" i="58"/>
  <c r="B167" i="58"/>
  <c r="C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F183" i="58"/>
  <c r="A184" i="58"/>
  <c r="D184" i="58"/>
  <c r="B184" i="58"/>
  <c r="F184" i="58"/>
  <c r="A185" i="58"/>
  <c r="D185" i="58"/>
  <c r="B185" i="58"/>
  <c r="F185" i="58"/>
  <c r="A186" i="58"/>
  <c r="D186" i="58"/>
  <c r="B186" i="58"/>
  <c r="F186" i="58"/>
  <c r="A187" i="58"/>
  <c r="D187" i="58"/>
  <c r="B187" i="58"/>
  <c r="F187" i="58"/>
  <c r="A188" i="58"/>
  <c r="D188" i="58"/>
  <c r="B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F1" i="58"/>
  <c r="F2" i="58"/>
  <c r="F403" i="58"/>
  <c r="F404" i="58"/>
  <c r="F405" i="58"/>
  <c r="F407" i="58"/>
  <c r="F408" i="58"/>
  <c r="F409" i="58"/>
  <c r="F410" i="58"/>
  <c r="F411" i="58"/>
  <c r="F412" i="58"/>
  <c r="F413" i="58"/>
  <c r="F414" i="58"/>
  <c r="F415" i="58"/>
  <c r="F416" i="58"/>
  <c r="F417" i="58"/>
  <c r="F418" i="58"/>
  <c r="F419" i="58"/>
  <c r="F420" i="58"/>
  <c r="F421" i="58"/>
  <c r="F422" i="58"/>
  <c r="F423" i="58"/>
  <c r="F424" i="58"/>
  <c r="F425" i="58"/>
  <c r="F426" i="58"/>
  <c r="F427" i="58"/>
  <c r="F428" i="58"/>
  <c r="F429" i="58"/>
  <c r="F430" i="58"/>
  <c r="F431" i="58"/>
  <c r="F432" i="58"/>
  <c r="F433" i="58"/>
  <c r="F434" i="58"/>
  <c r="F435" i="58"/>
  <c r="F436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59" i="58"/>
  <c r="F460" i="58"/>
  <c r="F461" i="58"/>
  <c r="F462" i="58"/>
  <c r="F463" i="58"/>
  <c r="F464" i="58"/>
  <c r="F467" i="58"/>
  <c r="F468" i="58"/>
  <c r="F469" i="58"/>
  <c r="F470" i="58"/>
  <c r="F471" i="58"/>
  <c r="F472" i="58"/>
  <c r="A403" i="58"/>
  <c r="D403" i="58"/>
  <c r="F402" i="58"/>
  <c r="C403" i="58"/>
  <c r="A404" i="58"/>
  <c r="D404" i="58"/>
  <c r="C404" i="58"/>
  <c r="A405" i="58"/>
  <c r="D405" i="58"/>
  <c r="C405" i="58"/>
  <c r="A407" i="58"/>
  <c r="D407" i="58"/>
  <c r="C407" i="58"/>
  <c r="A408" i="58"/>
  <c r="D408" i="58"/>
  <c r="C408" i="58"/>
  <c r="A409" i="58"/>
  <c r="D409" i="58"/>
  <c r="C409" i="58"/>
  <c r="A410" i="58"/>
  <c r="D410" i="58"/>
  <c r="C410" i="58"/>
  <c r="A411" i="58"/>
  <c r="D411" i="58"/>
  <c r="C411" i="58"/>
  <c r="A412" i="58"/>
  <c r="D412" i="58"/>
  <c r="C412" i="58"/>
  <c r="A413" i="58"/>
  <c r="D413" i="58"/>
  <c r="C413" i="58"/>
  <c r="A414" i="58"/>
  <c r="D414" i="58"/>
  <c r="C414" i="58"/>
  <c r="A415" i="58"/>
  <c r="D415" i="58"/>
  <c r="C415" i="58"/>
  <c r="A416" i="58"/>
  <c r="D416" i="58"/>
  <c r="C416" i="58"/>
  <c r="A417" i="58"/>
  <c r="D417" i="58"/>
  <c r="C417" i="58"/>
  <c r="D418" i="58"/>
  <c r="C204" i="38"/>
  <c r="C219" i="38" s="1"/>
  <c r="C234" i="38" s="1"/>
  <c r="C249" i="38" s="1"/>
  <c r="C264" i="38" s="1"/>
  <c r="D62" i="38"/>
  <c r="D67" i="38"/>
  <c r="F3" i="37"/>
  <c r="F5" i="37"/>
  <c r="F5" i="41" s="1"/>
  <c r="F7" i="37"/>
  <c r="F7" i="41" s="1"/>
  <c r="F8" i="37"/>
  <c r="A3" i="37"/>
  <c r="A3" i="41" s="1"/>
  <c r="D3" i="37"/>
  <c r="D3" i="41" s="1"/>
  <c r="B3" i="37"/>
  <c r="B3" i="41" s="1"/>
  <c r="C3" i="37"/>
  <c r="C3" i="41" s="1"/>
  <c r="G183" i="35"/>
  <c r="G184" i="35"/>
  <c r="A5" i="37"/>
  <c r="A5" i="41" s="1"/>
  <c r="D5" i="37"/>
  <c r="D5" i="41" s="1"/>
  <c r="B5" i="37"/>
  <c r="B5" i="41" s="1"/>
  <c r="C5" i="37"/>
  <c r="C5" i="41" s="1"/>
  <c r="A7" i="37"/>
  <c r="A7" i="41" s="1"/>
  <c r="D7" i="37"/>
  <c r="D7" i="41" s="1"/>
  <c r="B7" i="37"/>
  <c r="B7" i="41" s="1"/>
  <c r="C7" i="37"/>
  <c r="C7" i="41" s="1"/>
  <c r="A8" i="37"/>
  <c r="A8" i="41" s="1"/>
  <c r="D8" i="37"/>
  <c r="D8" i="41" s="1"/>
  <c r="B8" i="37"/>
  <c r="B8" i="41" s="1"/>
  <c r="C8" i="37"/>
  <c r="C8" i="41" s="1"/>
  <c r="A9" i="37"/>
  <c r="A9" i="41" s="1"/>
  <c r="D9" i="37"/>
  <c r="D9" i="41" s="1"/>
  <c r="B9" i="37"/>
  <c r="B9" i="41" s="1"/>
  <c r="C9" i="37"/>
  <c r="C9" i="41" s="1"/>
  <c r="F9" i="37"/>
  <c r="F9" i="41" s="1"/>
  <c r="A10" i="37"/>
  <c r="A10" i="41" s="1"/>
  <c r="D10" i="37"/>
  <c r="D10" i="41" s="1"/>
  <c r="B10" i="37"/>
  <c r="B10" i="41" s="1"/>
  <c r="C10" i="37"/>
  <c r="C10" i="41" s="1"/>
  <c r="F10" i="37"/>
  <c r="F10" i="41" s="1"/>
  <c r="A11" i="37"/>
  <c r="A11" i="41" s="1"/>
  <c r="D11" i="37"/>
  <c r="D11" i="41" s="1"/>
  <c r="B11" i="37"/>
  <c r="B11" i="41" s="1"/>
  <c r="C11" i="37"/>
  <c r="C11" i="41" s="1"/>
  <c r="F11" i="37"/>
  <c r="F11" i="41" s="1"/>
  <c r="A12" i="37"/>
  <c r="A12" i="41" s="1"/>
  <c r="D12" i="37"/>
  <c r="D12" i="41" s="1"/>
  <c r="B12" i="37"/>
  <c r="B12" i="41" s="1"/>
  <c r="C12" i="37"/>
  <c r="C12" i="41" s="1"/>
  <c r="F12" i="37"/>
  <c r="F12" i="41" s="1"/>
  <c r="A13" i="37"/>
  <c r="A13" i="41" s="1"/>
  <c r="D13" i="37"/>
  <c r="D13" i="41" s="1"/>
  <c r="B13" i="37"/>
  <c r="B13" i="41" s="1"/>
  <c r="C13" i="37"/>
  <c r="C13" i="41" s="1"/>
  <c r="F13" i="37"/>
  <c r="F13" i="41" s="1"/>
  <c r="A14" i="37"/>
  <c r="A14" i="41" s="1"/>
  <c r="D14" i="37"/>
  <c r="D14" i="41" s="1"/>
  <c r="B14" i="37"/>
  <c r="B14" i="41" s="1"/>
  <c r="C14" i="37"/>
  <c r="C14" i="41" s="1"/>
  <c r="F14" i="37"/>
  <c r="F14" i="41" s="1"/>
  <c r="A15" i="37"/>
  <c r="A15" i="41" s="1"/>
  <c r="D15" i="37"/>
  <c r="D15" i="41" s="1"/>
  <c r="B15" i="37"/>
  <c r="B15" i="41" s="1"/>
  <c r="C15" i="37"/>
  <c r="C15" i="41" s="1"/>
  <c r="F15" i="37"/>
  <c r="F15" i="41" s="1"/>
  <c r="A16" i="37"/>
  <c r="A16" i="41" s="1"/>
  <c r="D16" i="37"/>
  <c r="D16" i="41" s="1"/>
  <c r="B16" i="37"/>
  <c r="B16" i="41" s="1"/>
  <c r="C16" i="37"/>
  <c r="C16" i="41" s="1"/>
  <c r="F16" i="37"/>
  <c r="F16" i="41" s="1"/>
  <c r="A17" i="37"/>
  <c r="A17" i="41" s="1"/>
  <c r="D17" i="37"/>
  <c r="D17" i="41" s="1"/>
  <c r="B17" i="37"/>
  <c r="B17" i="41" s="1"/>
  <c r="C17" i="37"/>
  <c r="C17" i="41" s="1"/>
  <c r="F17" i="37"/>
  <c r="F17" i="41" s="1"/>
  <c r="A18" i="37"/>
  <c r="A18" i="41" s="1"/>
  <c r="D18" i="37"/>
  <c r="D18" i="41" s="1"/>
  <c r="B18" i="37"/>
  <c r="B18" i="41" s="1"/>
  <c r="C18" i="37"/>
  <c r="C18" i="41" s="1"/>
  <c r="F18" i="37"/>
  <c r="F18" i="41" s="1"/>
  <c r="A19" i="37"/>
  <c r="A19" i="41" s="1"/>
  <c r="D19" i="37"/>
  <c r="D19" i="41" s="1"/>
  <c r="B19" i="37"/>
  <c r="B19" i="41" s="1"/>
  <c r="C19" i="37"/>
  <c r="C19" i="41" s="1"/>
  <c r="F19" i="37"/>
  <c r="F19" i="41" s="1"/>
  <c r="A20" i="37"/>
  <c r="A20" i="41" s="1"/>
  <c r="D20" i="37"/>
  <c r="D20" i="41" s="1"/>
  <c r="B20" i="37"/>
  <c r="B20" i="41" s="1"/>
  <c r="C20" i="37"/>
  <c r="C20" i="41" s="1"/>
  <c r="F20" i="37"/>
  <c r="F20" i="41" s="1"/>
  <c r="A21" i="37"/>
  <c r="A21" i="41" s="1"/>
  <c r="D21" i="37"/>
  <c r="D21" i="41" s="1"/>
  <c r="B21" i="37"/>
  <c r="B21" i="41" s="1"/>
  <c r="C21" i="37"/>
  <c r="C21" i="41" s="1"/>
  <c r="F21" i="37"/>
  <c r="F21" i="41" s="1"/>
  <c r="A22" i="37"/>
  <c r="A22" i="41" s="1"/>
  <c r="D22" i="37"/>
  <c r="D22" i="41" s="1"/>
  <c r="B22" i="37"/>
  <c r="B22" i="41" s="1"/>
  <c r="C22" i="37"/>
  <c r="C22" i="41" s="1"/>
  <c r="F22" i="37"/>
  <c r="F22" i="41" s="1"/>
  <c r="A23" i="37"/>
  <c r="A23" i="41" s="1"/>
  <c r="D23" i="37"/>
  <c r="D23" i="41" s="1"/>
  <c r="B23" i="37"/>
  <c r="B23" i="41" s="1"/>
  <c r="C23" i="37"/>
  <c r="C23" i="41" s="1"/>
  <c r="F23" i="37"/>
  <c r="F23" i="41" s="1"/>
  <c r="A24" i="37"/>
  <c r="A24" i="41" s="1"/>
  <c r="D24" i="37"/>
  <c r="D24" i="41" s="1"/>
  <c r="B24" i="37"/>
  <c r="B24" i="41" s="1"/>
  <c r="C24" i="37"/>
  <c r="C24" i="41" s="1"/>
  <c r="F24" i="37"/>
  <c r="F24" i="41" s="1"/>
  <c r="A25" i="37"/>
  <c r="A25" i="41" s="1"/>
  <c r="D25" i="37"/>
  <c r="D25" i="41" s="1"/>
  <c r="B25" i="37"/>
  <c r="B25" i="41" s="1"/>
  <c r="C25" i="37"/>
  <c r="C25" i="41" s="1"/>
  <c r="F25" i="37"/>
  <c r="F25" i="41" s="1"/>
  <c r="A26" i="37"/>
  <c r="A26" i="41" s="1"/>
  <c r="D26" i="37"/>
  <c r="D26" i="41" s="1"/>
  <c r="B26" i="37"/>
  <c r="B26" i="41" s="1"/>
  <c r="C26" i="37"/>
  <c r="C26" i="41" s="1"/>
  <c r="F26" i="37"/>
  <c r="F26" i="41" s="1"/>
  <c r="A27" i="37"/>
  <c r="A27" i="41" s="1"/>
  <c r="D27" i="37"/>
  <c r="D27" i="41" s="1"/>
  <c r="B27" i="37"/>
  <c r="B27" i="41" s="1"/>
  <c r="C27" i="37"/>
  <c r="C27" i="41" s="1"/>
  <c r="F27" i="37"/>
  <c r="F27" i="41" s="1"/>
  <c r="A28" i="37"/>
  <c r="A28" i="41" s="1"/>
  <c r="D28" i="37"/>
  <c r="D28" i="41" s="1"/>
  <c r="B28" i="37"/>
  <c r="B28" i="41" s="1"/>
  <c r="C28" i="37"/>
  <c r="C28" i="41" s="1"/>
  <c r="F28" i="37"/>
  <c r="F28" i="41" s="1"/>
  <c r="A29" i="37"/>
  <c r="A29" i="41" s="1"/>
  <c r="D29" i="37"/>
  <c r="D29" i="41" s="1"/>
  <c r="B29" i="37"/>
  <c r="B29" i="41" s="1"/>
  <c r="C29" i="37"/>
  <c r="C29" i="41" s="1"/>
  <c r="F29" i="37"/>
  <c r="F29" i="41" s="1"/>
  <c r="A30" i="37"/>
  <c r="A30" i="41" s="1"/>
  <c r="D30" i="37"/>
  <c r="D30" i="41" s="1"/>
  <c r="B30" i="37"/>
  <c r="B30" i="41" s="1"/>
  <c r="C30" i="37"/>
  <c r="C30" i="41" s="1"/>
  <c r="F30" i="37"/>
  <c r="F30" i="41" s="1"/>
  <c r="A31" i="37"/>
  <c r="A31" i="41" s="1"/>
  <c r="D31" i="37"/>
  <c r="D31" i="41" s="1"/>
  <c r="B31" i="37"/>
  <c r="B31" i="41" s="1"/>
  <c r="C31" i="37"/>
  <c r="C31" i="41" s="1"/>
  <c r="F31" i="37"/>
  <c r="F31" i="41" s="1"/>
  <c r="A32" i="37"/>
  <c r="A32" i="41" s="1"/>
  <c r="D32" i="37"/>
  <c r="D32" i="41" s="1"/>
  <c r="B32" i="37"/>
  <c r="B32" i="41" s="1"/>
  <c r="C32" i="37"/>
  <c r="C32" i="41" s="1"/>
  <c r="F32" i="37"/>
  <c r="F32" i="41" s="1"/>
  <c r="A33" i="37"/>
  <c r="A33" i="41" s="1"/>
  <c r="D33" i="37"/>
  <c r="D33" i="41" s="1"/>
  <c r="B33" i="37"/>
  <c r="B33" i="41" s="1"/>
  <c r="C33" i="37"/>
  <c r="C33" i="41" s="1"/>
  <c r="F33" i="37"/>
  <c r="F33" i="41" s="1"/>
  <c r="A34" i="37"/>
  <c r="A34" i="41" s="1"/>
  <c r="D34" i="37"/>
  <c r="D34" i="41" s="1"/>
  <c r="B34" i="37"/>
  <c r="B34" i="41" s="1"/>
  <c r="C34" i="37"/>
  <c r="C34" i="41" s="1"/>
  <c r="F34" i="37"/>
  <c r="F34" i="41" s="1"/>
  <c r="A35" i="37"/>
  <c r="A35" i="41" s="1"/>
  <c r="D35" i="37"/>
  <c r="D35" i="41" s="1"/>
  <c r="B35" i="37"/>
  <c r="B35" i="41" s="1"/>
  <c r="C35" i="37"/>
  <c r="C35" i="41" s="1"/>
  <c r="F35" i="37"/>
  <c r="F35" i="41" s="1"/>
  <c r="A36" i="37"/>
  <c r="A36" i="41" s="1"/>
  <c r="D36" i="37"/>
  <c r="D36" i="41" s="1"/>
  <c r="B36" i="37"/>
  <c r="B36" i="41" s="1"/>
  <c r="C36" i="37"/>
  <c r="C36" i="41" s="1"/>
  <c r="F36" i="37"/>
  <c r="F36" i="41" s="1"/>
  <c r="A37" i="37"/>
  <c r="A37" i="41" s="1"/>
  <c r="D37" i="37"/>
  <c r="D37" i="41" s="1"/>
  <c r="B37" i="37"/>
  <c r="B37" i="41" s="1"/>
  <c r="C37" i="37"/>
  <c r="C37" i="41" s="1"/>
  <c r="F37" i="37"/>
  <c r="F37" i="41" s="1"/>
  <c r="A38" i="37"/>
  <c r="A38" i="41" s="1"/>
  <c r="D38" i="37"/>
  <c r="D38" i="41" s="1"/>
  <c r="B38" i="37"/>
  <c r="B38" i="41" s="1"/>
  <c r="C38" i="37"/>
  <c r="C38" i="41" s="1"/>
  <c r="F38" i="37"/>
  <c r="F38" i="41" s="1"/>
  <c r="A39" i="37"/>
  <c r="A39" i="41" s="1"/>
  <c r="D39" i="37"/>
  <c r="D39" i="41" s="1"/>
  <c r="B39" i="37"/>
  <c r="B39" i="41" s="1"/>
  <c r="C39" i="37"/>
  <c r="C39" i="41" s="1"/>
  <c r="F39" i="37"/>
  <c r="F39" i="41" s="1"/>
  <c r="A40" i="37"/>
  <c r="A40" i="41" s="1"/>
  <c r="D40" i="37"/>
  <c r="D40" i="41" s="1"/>
  <c r="B40" i="37"/>
  <c r="B40" i="41" s="1"/>
  <c r="C40" i="37"/>
  <c r="C40" i="41" s="1"/>
  <c r="F40" i="37"/>
  <c r="F40" i="41" s="1"/>
  <c r="A41" i="37"/>
  <c r="A41" i="41" s="1"/>
  <c r="D41" i="37"/>
  <c r="D41" i="41" s="1"/>
  <c r="B41" i="37"/>
  <c r="B41" i="41" s="1"/>
  <c r="C41" i="37"/>
  <c r="C41" i="41" s="1"/>
  <c r="F41" i="37"/>
  <c r="F41" i="41" s="1"/>
  <c r="A42" i="37"/>
  <c r="A42" i="41" s="1"/>
  <c r="D42" i="37"/>
  <c r="D42" i="41" s="1"/>
  <c r="B42" i="37"/>
  <c r="B42" i="41" s="1"/>
  <c r="C42" i="37"/>
  <c r="C42" i="41" s="1"/>
  <c r="F42" i="37"/>
  <c r="F42" i="41" s="1"/>
  <c r="A43" i="37"/>
  <c r="A43" i="41" s="1"/>
  <c r="D43" i="37"/>
  <c r="D43" i="41" s="1"/>
  <c r="B43" i="37"/>
  <c r="B43" i="41" s="1"/>
  <c r="C43" i="37"/>
  <c r="C43" i="41" s="1"/>
  <c r="F43" i="37"/>
  <c r="F43" i="41" s="1"/>
  <c r="A44" i="37"/>
  <c r="A44" i="41" s="1"/>
  <c r="D44" i="37"/>
  <c r="D44" i="41" s="1"/>
  <c r="B44" i="37"/>
  <c r="B44" i="41" s="1"/>
  <c r="C44" i="37"/>
  <c r="C44" i="41" s="1"/>
  <c r="F44" i="37"/>
  <c r="F44" i="41" s="1"/>
  <c r="A45" i="37"/>
  <c r="A45" i="41" s="1"/>
  <c r="D45" i="37"/>
  <c r="D45" i="41" s="1"/>
  <c r="B45" i="37"/>
  <c r="B45" i="41" s="1"/>
  <c r="C45" i="37"/>
  <c r="C45" i="41" s="1"/>
  <c r="F45" i="37"/>
  <c r="F45" i="41" s="1"/>
  <c r="A46" i="37"/>
  <c r="A46" i="41" s="1"/>
  <c r="D46" i="37"/>
  <c r="D46" i="41" s="1"/>
  <c r="B46" i="37"/>
  <c r="B46" i="41" s="1"/>
  <c r="C46" i="37"/>
  <c r="C46" i="41" s="1"/>
  <c r="F46" i="37"/>
  <c r="F46" i="41" s="1"/>
  <c r="A47" i="37"/>
  <c r="A47" i="41" s="1"/>
  <c r="D47" i="37"/>
  <c r="D47" i="41" s="1"/>
  <c r="B47" i="37"/>
  <c r="B47" i="41" s="1"/>
  <c r="C47" i="37"/>
  <c r="C47" i="41" s="1"/>
  <c r="F47" i="37"/>
  <c r="F47" i="41" s="1"/>
  <c r="A48" i="37"/>
  <c r="A48" i="41" s="1"/>
  <c r="D48" i="37"/>
  <c r="D48" i="41" s="1"/>
  <c r="B48" i="37"/>
  <c r="B48" i="41" s="1"/>
  <c r="C48" i="37"/>
  <c r="C48" i="41" s="1"/>
  <c r="F48" i="37"/>
  <c r="F48" i="41" s="1"/>
  <c r="A49" i="37"/>
  <c r="A49" i="41" s="1"/>
  <c r="D49" i="37"/>
  <c r="D49" i="41" s="1"/>
  <c r="B49" i="37"/>
  <c r="B49" i="41" s="1"/>
  <c r="C49" i="37"/>
  <c r="C49" i="41" s="1"/>
  <c r="F49" i="37"/>
  <c r="F49" i="41" s="1"/>
  <c r="A50" i="37"/>
  <c r="A50" i="41" s="1"/>
  <c r="D50" i="37"/>
  <c r="D50" i="41" s="1"/>
  <c r="B50" i="37"/>
  <c r="B50" i="41" s="1"/>
  <c r="C50" i="37"/>
  <c r="C50" i="41" s="1"/>
  <c r="F50" i="37"/>
  <c r="F50" i="41" s="1"/>
  <c r="A51" i="37"/>
  <c r="A51" i="41" s="1"/>
  <c r="D51" i="37"/>
  <c r="D51" i="41" s="1"/>
  <c r="B51" i="37"/>
  <c r="B51" i="41" s="1"/>
  <c r="C51" i="37"/>
  <c r="C51" i="41" s="1"/>
  <c r="F51" i="37"/>
  <c r="F51" i="41" s="1"/>
  <c r="A52" i="37"/>
  <c r="A52" i="41" s="1"/>
  <c r="D52" i="37"/>
  <c r="D52" i="41" s="1"/>
  <c r="B52" i="37"/>
  <c r="B52" i="41" s="1"/>
  <c r="C52" i="37"/>
  <c r="C52" i="41" s="1"/>
  <c r="F52" i="37"/>
  <c r="F52" i="41" s="1"/>
  <c r="A53" i="37"/>
  <c r="A53" i="41" s="1"/>
  <c r="D53" i="37"/>
  <c r="D53" i="41" s="1"/>
  <c r="B53" i="37"/>
  <c r="B53" i="41" s="1"/>
  <c r="C53" i="37"/>
  <c r="C53" i="41" s="1"/>
  <c r="F53" i="37"/>
  <c r="F53" i="41" s="1"/>
  <c r="A54" i="37"/>
  <c r="A54" i="41" s="1"/>
  <c r="D54" i="37"/>
  <c r="D54" i="41" s="1"/>
  <c r="B54" i="37"/>
  <c r="B54" i="41" s="1"/>
  <c r="C54" i="37"/>
  <c r="C54" i="41" s="1"/>
  <c r="F54" i="37"/>
  <c r="F54" i="41" s="1"/>
  <c r="A55" i="37"/>
  <c r="A55" i="41" s="1"/>
  <c r="D55" i="37"/>
  <c r="D55" i="41" s="1"/>
  <c r="B55" i="37"/>
  <c r="B55" i="41" s="1"/>
  <c r="C55" i="37"/>
  <c r="C55" i="41" s="1"/>
  <c r="F55" i="37"/>
  <c r="F55" i="41" s="1"/>
  <c r="A56" i="37"/>
  <c r="A56" i="41" s="1"/>
  <c r="D56" i="37"/>
  <c r="D56" i="41" s="1"/>
  <c r="B56" i="37"/>
  <c r="B56" i="41" s="1"/>
  <c r="C56" i="37"/>
  <c r="C56" i="41" s="1"/>
  <c r="F56" i="37"/>
  <c r="F56" i="41" s="1"/>
  <c r="A57" i="37"/>
  <c r="A57" i="41" s="1"/>
  <c r="D57" i="37"/>
  <c r="D57" i="41" s="1"/>
  <c r="B57" i="37"/>
  <c r="B57" i="41" s="1"/>
  <c r="C57" i="37"/>
  <c r="C57" i="41" s="1"/>
  <c r="F57" i="37"/>
  <c r="F57" i="41" s="1"/>
  <c r="A58" i="37"/>
  <c r="A58" i="41" s="1"/>
  <c r="D58" i="37"/>
  <c r="D58" i="41" s="1"/>
  <c r="B58" i="37"/>
  <c r="B58" i="41" s="1"/>
  <c r="C58" i="37"/>
  <c r="C58" i="41" s="1"/>
  <c r="F58" i="37"/>
  <c r="F58" i="41" s="1"/>
  <c r="A59" i="37"/>
  <c r="A59" i="41" s="1"/>
  <c r="D59" i="37"/>
  <c r="D59" i="41" s="1"/>
  <c r="B59" i="37"/>
  <c r="B59" i="41" s="1"/>
  <c r="C59" i="37"/>
  <c r="C59" i="41" s="1"/>
  <c r="F59" i="37"/>
  <c r="F59" i="41" s="1"/>
  <c r="A60" i="37"/>
  <c r="A60" i="41" s="1"/>
  <c r="D60" i="37"/>
  <c r="D60" i="41" s="1"/>
  <c r="B60" i="37"/>
  <c r="B60" i="41" s="1"/>
  <c r="C60" i="37"/>
  <c r="C60" i="41" s="1"/>
  <c r="F60" i="37"/>
  <c r="F60" i="41" s="1"/>
  <c r="A61" i="37"/>
  <c r="A61" i="41" s="1"/>
  <c r="D61" i="37"/>
  <c r="D61" i="41" s="1"/>
  <c r="B61" i="37"/>
  <c r="B61" i="41" s="1"/>
  <c r="C61" i="37"/>
  <c r="C61" i="41" s="1"/>
  <c r="F61" i="37"/>
  <c r="F61" i="41" s="1"/>
  <c r="A62" i="37"/>
  <c r="A62" i="41" s="1"/>
  <c r="D62" i="37"/>
  <c r="D62" i="41" s="1"/>
  <c r="B62" i="37"/>
  <c r="B62" i="41" s="1"/>
  <c r="C62" i="37"/>
  <c r="C62" i="41" s="1"/>
  <c r="F62" i="37"/>
  <c r="F62" i="41" s="1"/>
  <c r="A63" i="37"/>
  <c r="A63" i="41" s="1"/>
  <c r="D63" i="37"/>
  <c r="D63" i="41" s="1"/>
  <c r="B63" i="37"/>
  <c r="B63" i="41" s="1"/>
  <c r="C63" i="37"/>
  <c r="C63" i="41" s="1"/>
  <c r="F63" i="37"/>
  <c r="F63" i="41" s="1"/>
  <c r="A64" i="37"/>
  <c r="A64" i="41" s="1"/>
  <c r="D64" i="37"/>
  <c r="D64" i="41" s="1"/>
  <c r="B64" i="37"/>
  <c r="B64" i="41" s="1"/>
  <c r="C64" i="37"/>
  <c r="C64" i="41" s="1"/>
  <c r="F64" i="37"/>
  <c r="F64" i="41" s="1"/>
  <c r="A65" i="37"/>
  <c r="A65" i="41" s="1"/>
  <c r="D65" i="37"/>
  <c r="D65" i="41" s="1"/>
  <c r="B65" i="37"/>
  <c r="B65" i="41" s="1"/>
  <c r="C65" i="37"/>
  <c r="C65" i="41" s="1"/>
  <c r="F65" i="37"/>
  <c r="F65" i="41" s="1"/>
  <c r="A66" i="37"/>
  <c r="A66" i="41" s="1"/>
  <c r="D66" i="37"/>
  <c r="D66" i="41" s="1"/>
  <c r="B66" i="37"/>
  <c r="B66" i="41" s="1"/>
  <c r="C66" i="37"/>
  <c r="C66" i="41" s="1"/>
  <c r="F66" i="37"/>
  <c r="F66" i="41" s="1"/>
  <c r="A67" i="37"/>
  <c r="A67" i="41" s="1"/>
  <c r="D67" i="37"/>
  <c r="D67" i="41" s="1"/>
  <c r="B67" i="37"/>
  <c r="B67" i="41" s="1"/>
  <c r="C67" i="37"/>
  <c r="C67" i="41" s="1"/>
  <c r="F67" i="37"/>
  <c r="F67" i="41" s="1"/>
  <c r="A68" i="37"/>
  <c r="A68" i="41" s="1"/>
  <c r="D68" i="37"/>
  <c r="D68" i="41" s="1"/>
  <c r="B68" i="37"/>
  <c r="B68" i="41" s="1"/>
  <c r="C68" i="37"/>
  <c r="C68" i="41" s="1"/>
  <c r="F68" i="37"/>
  <c r="F68" i="41" s="1"/>
  <c r="A69" i="37"/>
  <c r="A69" i="41" s="1"/>
  <c r="D69" i="37"/>
  <c r="D69" i="41" s="1"/>
  <c r="B69" i="37"/>
  <c r="B69" i="41" s="1"/>
  <c r="C69" i="37"/>
  <c r="C69" i="41" s="1"/>
  <c r="F69" i="37"/>
  <c r="F69" i="41" s="1"/>
  <c r="A70" i="37"/>
  <c r="A70" i="41" s="1"/>
  <c r="D70" i="37"/>
  <c r="D70" i="41" s="1"/>
  <c r="B70" i="37"/>
  <c r="B70" i="41" s="1"/>
  <c r="C70" i="37"/>
  <c r="C70" i="41" s="1"/>
  <c r="F70" i="37"/>
  <c r="F70" i="41" s="1"/>
  <c r="A71" i="37"/>
  <c r="A71" i="41" s="1"/>
  <c r="D71" i="37"/>
  <c r="D71" i="41" s="1"/>
  <c r="B71" i="37"/>
  <c r="B71" i="41" s="1"/>
  <c r="C71" i="37"/>
  <c r="C71" i="41" s="1"/>
  <c r="F71" i="37"/>
  <c r="F71" i="41" s="1"/>
  <c r="A72" i="37"/>
  <c r="A72" i="41" s="1"/>
  <c r="D72" i="37"/>
  <c r="D72" i="41" s="1"/>
  <c r="B72" i="37"/>
  <c r="B72" i="41" s="1"/>
  <c r="C72" i="37"/>
  <c r="C72" i="41" s="1"/>
  <c r="F72" i="37"/>
  <c r="F72" i="41" s="1"/>
  <c r="A73" i="37"/>
  <c r="A73" i="41" s="1"/>
  <c r="D73" i="37"/>
  <c r="D73" i="41" s="1"/>
  <c r="B73" i="37"/>
  <c r="B73" i="41" s="1"/>
  <c r="C73" i="37"/>
  <c r="C73" i="41" s="1"/>
  <c r="F73" i="37"/>
  <c r="F73" i="41" s="1"/>
  <c r="A74" i="37"/>
  <c r="A74" i="41" s="1"/>
  <c r="D74" i="37"/>
  <c r="D74" i="41" s="1"/>
  <c r="B74" i="37"/>
  <c r="B74" i="41" s="1"/>
  <c r="C74" i="37"/>
  <c r="C74" i="41" s="1"/>
  <c r="F74" i="37"/>
  <c r="F74" i="41" s="1"/>
  <c r="A75" i="37"/>
  <c r="A75" i="41" s="1"/>
  <c r="D75" i="37"/>
  <c r="D75" i="41" s="1"/>
  <c r="B75" i="37"/>
  <c r="B75" i="41" s="1"/>
  <c r="C75" i="37"/>
  <c r="C75" i="41" s="1"/>
  <c r="F75" i="37"/>
  <c r="F75" i="41" s="1"/>
  <c r="A76" i="37"/>
  <c r="A76" i="41" s="1"/>
  <c r="D76" i="37"/>
  <c r="D76" i="41" s="1"/>
  <c r="B76" i="37"/>
  <c r="B76" i="41" s="1"/>
  <c r="C76" i="37"/>
  <c r="C76" i="41" s="1"/>
  <c r="F76" i="37"/>
  <c r="F76" i="41" s="1"/>
  <c r="A77" i="37"/>
  <c r="A77" i="41" s="1"/>
  <c r="D77" i="37"/>
  <c r="D77" i="41" s="1"/>
  <c r="B77" i="37"/>
  <c r="B77" i="41" s="1"/>
  <c r="C77" i="37"/>
  <c r="C77" i="41" s="1"/>
  <c r="F77" i="37"/>
  <c r="F77" i="41" s="1"/>
  <c r="A78" i="37"/>
  <c r="A78" i="41" s="1"/>
  <c r="D78" i="37"/>
  <c r="D78" i="41" s="1"/>
  <c r="B78" i="37"/>
  <c r="B78" i="41" s="1"/>
  <c r="C78" i="37"/>
  <c r="C78" i="41" s="1"/>
  <c r="F78" i="37"/>
  <c r="F78" i="41" s="1"/>
  <c r="A79" i="37"/>
  <c r="A79" i="41" s="1"/>
  <c r="D79" i="37"/>
  <c r="D79" i="41" s="1"/>
  <c r="B79" i="37"/>
  <c r="B79" i="41" s="1"/>
  <c r="C79" i="37"/>
  <c r="C79" i="41" s="1"/>
  <c r="F79" i="37"/>
  <c r="F79" i="41" s="1"/>
  <c r="A80" i="37"/>
  <c r="A80" i="41" s="1"/>
  <c r="D80" i="37"/>
  <c r="D80" i="41" s="1"/>
  <c r="B80" i="37"/>
  <c r="B80" i="41" s="1"/>
  <c r="C80" i="37"/>
  <c r="C80" i="41" s="1"/>
  <c r="F80" i="37"/>
  <c r="F80" i="41" s="1"/>
  <c r="A81" i="37"/>
  <c r="A81" i="41" s="1"/>
  <c r="D81" i="37"/>
  <c r="D81" i="41" s="1"/>
  <c r="B81" i="37"/>
  <c r="B81" i="41" s="1"/>
  <c r="C81" i="37"/>
  <c r="C81" i="41" s="1"/>
  <c r="F81" i="37"/>
  <c r="F81" i="41" s="1"/>
  <c r="A82" i="37"/>
  <c r="A82" i="41" s="1"/>
  <c r="D82" i="37"/>
  <c r="D82" i="41" s="1"/>
  <c r="B82" i="37"/>
  <c r="B82" i="41" s="1"/>
  <c r="C82" i="37"/>
  <c r="C82" i="41" s="1"/>
  <c r="F82" i="37"/>
  <c r="F82" i="41" s="1"/>
  <c r="A83" i="37"/>
  <c r="A83" i="41" s="1"/>
  <c r="D83" i="37"/>
  <c r="D83" i="41" s="1"/>
  <c r="B83" i="37"/>
  <c r="B83" i="41" s="1"/>
  <c r="C83" i="37"/>
  <c r="C83" i="41" s="1"/>
  <c r="F83" i="37"/>
  <c r="F83" i="41" s="1"/>
  <c r="A84" i="37"/>
  <c r="A84" i="41" s="1"/>
  <c r="D84" i="37"/>
  <c r="D84" i="41" s="1"/>
  <c r="B84" i="37"/>
  <c r="B84" i="41" s="1"/>
  <c r="C84" i="37"/>
  <c r="C84" i="41" s="1"/>
  <c r="F84" i="37"/>
  <c r="F84" i="41" s="1"/>
  <c r="A85" i="37"/>
  <c r="A85" i="41" s="1"/>
  <c r="D85" i="37"/>
  <c r="D85" i="41" s="1"/>
  <c r="B85" i="37"/>
  <c r="B85" i="41" s="1"/>
  <c r="C85" i="37"/>
  <c r="C85" i="41" s="1"/>
  <c r="F85" i="37"/>
  <c r="F85" i="41" s="1"/>
  <c r="A86" i="37"/>
  <c r="A86" i="41" s="1"/>
  <c r="D86" i="37"/>
  <c r="D86" i="41" s="1"/>
  <c r="B86" i="37"/>
  <c r="B86" i="41" s="1"/>
  <c r="C86" i="37"/>
  <c r="C86" i="41" s="1"/>
  <c r="F86" i="37"/>
  <c r="F86" i="41" s="1"/>
  <c r="A87" i="37"/>
  <c r="A87" i="41" s="1"/>
  <c r="D87" i="37"/>
  <c r="D87" i="41" s="1"/>
  <c r="B87" i="37"/>
  <c r="B87" i="41" s="1"/>
  <c r="C87" i="37"/>
  <c r="C87" i="41" s="1"/>
  <c r="F87" i="37"/>
  <c r="F87" i="41" s="1"/>
  <c r="A88" i="37"/>
  <c r="A88" i="41" s="1"/>
  <c r="D88" i="37"/>
  <c r="D88" i="41" s="1"/>
  <c r="B88" i="37"/>
  <c r="B88" i="41" s="1"/>
  <c r="C88" i="37"/>
  <c r="C88" i="41" s="1"/>
  <c r="F88" i="37"/>
  <c r="F88" i="41" s="1"/>
  <c r="A89" i="37"/>
  <c r="A89" i="41" s="1"/>
  <c r="D89" i="37"/>
  <c r="D89" i="41" s="1"/>
  <c r="B89" i="37"/>
  <c r="B89" i="41" s="1"/>
  <c r="C89" i="37"/>
  <c r="C89" i="41" s="1"/>
  <c r="F89" i="37"/>
  <c r="F89" i="41" s="1"/>
  <c r="A90" i="37"/>
  <c r="A90" i="41" s="1"/>
  <c r="D90" i="37"/>
  <c r="D90" i="41" s="1"/>
  <c r="B90" i="37"/>
  <c r="B90" i="41" s="1"/>
  <c r="C90" i="37"/>
  <c r="C90" i="41" s="1"/>
  <c r="F90" i="37"/>
  <c r="F90" i="41" s="1"/>
  <c r="A91" i="37"/>
  <c r="A91" i="41" s="1"/>
  <c r="D91" i="37"/>
  <c r="D91" i="41" s="1"/>
  <c r="B91" i="37"/>
  <c r="B91" i="41" s="1"/>
  <c r="C91" i="37"/>
  <c r="C91" i="41" s="1"/>
  <c r="F91" i="37"/>
  <c r="F91" i="41" s="1"/>
  <c r="A92" i="37"/>
  <c r="A92" i="41" s="1"/>
  <c r="D92" i="37"/>
  <c r="D92" i="41" s="1"/>
  <c r="B92" i="37"/>
  <c r="B92" i="41" s="1"/>
  <c r="C92" i="37"/>
  <c r="C92" i="41" s="1"/>
  <c r="F92" i="37"/>
  <c r="F92" i="41" s="1"/>
  <c r="A93" i="37"/>
  <c r="A93" i="41" s="1"/>
  <c r="D93" i="37"/>
  <c r="D93" i="41" s="1"/>
  <c r="B93" i="37"/>
  <c r="B93" i="41" s="1"/>
  <c r="C93" i="37"/>
  <c r="C93" i="41" s="1"/>
  <c r="F93" i="37"/>
  <c r="F93" i="41" s="1"/>
  <c r="A94" i="37"/>
  <c r="A94" i="41" s="1"/>
  <c r="D94" i="37"/>
  <c r="D94" i="41" s="1"/>
  <c r="B94" i="37"/>
  <c r="B94" i="41" s="1"/>
  <c r="C94" i="37"/>
  <c r="C94" i="41" s="1"/>
  <c r="F94" i="37"/>
  <c r="F94" i="41" s="1"/>
  <c r="A95" i="37"/>
  <c r="A95" i="41" s="1"/>
  <c r="D95" i="37"/>
  <c r="D95" i="41" s="1"/>
  <c r="B95" i="37"/>
  <c r="B95" i="41" s="1"/>
  <c r="C95" i="37"/>
  <c r="C95" i="41" s="1"/>
  <c r="F95" i="37"/>
  <c r="F95" i="41" s="1"/>
  <c r="A96" i="37"/>
  <c r="A96" i="41" s="1"/>
  <c r="D96" i="37"/>
  <c r="D96" i="41" s="1"/>
  <c r="B96" i="37"/>
  <c r="B96" i="41" s="1"/>
  <c r="C96" i="37"/>
  <c r="C96" i="41" s="1"/>
  <c r="F96" i="37"/>
  <c r="F96" i="41" s="1"/>
  <c r="A97" i="37"/>
  <c r="A97" i="41" s="1"/>
  <c r="D97" i="37"/>
  <c r="D97" i="41" s="1"/>
  <c r="B97" i="37"/>
  <c r="B97" i="41" s="1"/>
  <c r="C97" i="37"/>
  <c r="C97" i="41" s="1"/>
  <c r="F97" i="37"/>
  <c r="F97" i="41" s="1"/>
  <c r="A98" i="37"/>
  <c r="A98" i="41" s="1"/>
  <c r="D98" i="37"/>
  <c r="D98" i="41" s="1"/>
  <c r="B98" i="37"/>
  <c r="B98" i="41" s="1"/>
  <c r="C98" i="37"/>
  <c r="C98" i="41" s="1"/>
  <c r="F98" i="37"/>
  <c r="F98" i="41" s="1"/>
  <c r="A99" i="37"/>
  <c r="A99" i="41" s="1"/>
  <c r="D99" i="37"/>
  <c r="D99" i="41" s="1"/>
  <c r="B99" i="37"/>
  <c r="B99" i="41" s="1"/>
  <c r="C99" i="37"/>
  <c r="C99" i="41" s="1"/>
  <c r="F99" i="37"/>
  <c r="F99" i="41" s="1"/>
  <c r="A100" i="37"/>
  <c r="A100" i="41" s="1"/>
  <c r="D100" i="37"/>
  <c r="D100" i="41" s="1"/>
  <c r="B100" i="37"/>
  <c r="B100" i="41" s="1"/>
  <c r="C100" i="37"/>
  <c r="C100" i="41" s="1"/>
  <c r="F100" i="37"/>
  <c r="F100" i="41" s="1"/>
  <c r="A101" i="37"/>
  <c r="A101" i="41" s="1"/>
  <c r="D101" i="37"/>
  <c r="D101" i="41" s="1"/>
  <c r="B101" i="37"/>
  <c r="B101" i="41" s="1"/>
  <c r="C101" i="37"/>
  <c r="C101" i="41" s="1"/>
  <c r="F101" i="37"/>
  <c r="F101" i="41" s="1"/>
  <c r="A102" i="37"/>
  <c r="A102" i="41" s="1"/>
  <c r="D102" i="37"/>
  <c r="D102" i="41" s="1"/>
  <c r="B102" i="37"/>
  <c r="B102" i="41" s="1"/>
  <c r="C102" i="37"/>
  <c r="C102" i="41" s="1"/>
  <c r="F102" i="37"/>
  <c r="F102" i="41" s="1"/>
  <c r="A103" i="37"/>
  <c r="A103" i="41" s="1"/>
  <c r="D103" i="37"/>
  <c r="D103" i="41" s="1"/>
  <c r="B103" i="37"/>
  <c r="B103" i="41" s="1"/>
  <c r="C103" i="37"/>
  <c r="C103" i="41" s="1"/>
  <c r="F103" i="37"/>
  <c r="F103" i="41" s="1"/>
  <c r="A104" i="37"/>
  <c r="A104" i="41" s="1"/>
  <c r="D104" i="37"/>
  <c r="D104" i="41" s="1"/>
  <c r="B104" i="37"/>
  <c r="B104" i="41" s="1"/>
  <c r="C104" i="37"/>
  <c r="C104" i="41" s="1"/>
  <c r="F104" i="37"/>
  <c r="F104" i="41" s="1"/>
  <c r="A105" i="37"/>
  <c r="A105" i="41" s="1"/>
  <c r="D105" i="37"/>
  <c r="D105" i="41" s="1"/>
  <c r="B105" i="37"/>
  <c r="B105" i="41" s="1"/>
  <c r="C105" i="37"/>
  <c r="C105" i="41" s="1"/>
  <c r="F105" i="37"/>
  <c r="F105" i="41" s="1"/>
  <c r="A106" i="37"/>
  <c r="A106" i="41" s="1"/>
  <c r="D106" i="37"/>
  <c r="D106" i="41" s="1"/>
  <c r="B106" i="37"/>
  <c r="B106" i="41" s="1"/>
  <c r="C106" i="37"/>
  <c r="C106" i="41" s="1"/>
  <c r="F106" i="37"/>
  <c r="F106" i="41" s="1"/>
  <c r="A107" i="37"/>
  <c r="A107" i="41" s="1"/>
  <c r="D107" i="37"/>
  <c r="D107" i="41" s="1"/>
  <c r="B107" i="37"/>
  <c r="B107" i="41" s="1"/>
  <c r="C107" i="37"/>
  <c r="C107" i="41" s="1"/>
  <c r="F107" i="37"/>
  <c r="F107" i="41" s="1"/>
  <c r="A108" i="37"/>
  <c r="A108" i="41" s="1"/>
  <c r="D108" i="37"/>
  <c r="D108" i="41" s="1"/>
  <c r="B108" i="37"/>
  <c r="B108" i="41" s="1"/>
  <c r="C108" i="37"/>
  <c r="C108" i="41" s="1"/>
  <c r="F108" i="37"/>
  <c r="F108" i="41" s="1"/>
  <c r="A109" i="37"/>
  <c r="A109" i="41" s="1"/>
  <c r="D109" i="37"/>
  <c r="D109" i="41" s="1"/>
  <c r="B109" i="37"/>
  <c r="B109" i="41" s="1"/>
  <c r="C109" i="37"/>
  <c r="C109" i="41" s="1"/>
  <c r="F109" i="37"/>
  <c r="F109" i="41" s="1"/>
  <c r="A110" i="37"/>
  <c r="A110" i="41" s="1"/>
  <c r="D110" i="37"/>
  <c r="D110" i="41" s="1"/>
  <c r="B110" i="37"/>
  <c r="B110" i="41" s="1"/>
  <c r="C110" i="37"/>
  <c r="C110" i="41" s="1"/>
  <c r="F110" i="37"/>
  <c r="F110" i="41" s="1"/>
  <c r="A111" i="37"/>
  <c r="A111" i="41" s="1"/>
  <c r="D111" i="37"/>
  <c r="D111" i="41" s="1"/>
  <c r="B111" i="37"/>
  <c r="B111" i="41" s="1"/>
  <c r="C111" i="37"/>
  <c r="C111" i="41" s="1"/>
  <c r="F111" i="37"/>
  <c r="F111" i="41" s="1"/>
  <c r="A112" i="37"/>
  <c r="A112" i="41" s="1"/>
  <c r="D112" i="37"/>
  <c r="D112" i="41" s="1"/>
  <c r="B112" i="37"/>
  <c r="B112" i="41" s="1"/>
  <c r="C112" i="37"/>
  <c r="C112" i="41" s="1"/>
  <c r="F112" i="37"/>
  <c r="F112" i="41" s="1"/>
  <c r="A113" i="37"/>
  <c r="A113" i="41" s="1"/>
  <c r="D113" i="37"/>
  <c r="D113" i="41" s="1"/>
  <c r="B113" i="37"/>
  <c r="B113" i="41" s="1"/>
  <c r="C113" i="37"/>
  <c r="C113" i="41" s="1"/>
  <c r="F113" i="37"/>
  <c r="F113" i="41" s="1"/>
  <c r="A114" i="37"/>
  <c r="A114" i="41" s="1"/>
  <c r="D114" i="37"/>
  <c r="D114" i="41" s="1"/>
  <c r="B114" i="37"/>
  <c r="B114" i="41" s="1"/>
  <c r="C114" i="37"/>
  <c r="C114" i="41" s="1"/>
  <c r="F114" i="37"/>
  <c r="F114" i="41" s="1"/>
  <c r="A115" i="37"/>
  <c r="A115" i="41" s="1"/>
  <c r="D115" i="37"/>
  <c r="D115" i="41" s="1"/>
  <c r="B115" i="37"/>
  <c r="B115" i="41" s="1"/>
  <c r="C115" i="37"/>
  <c r="C115" i="41" s="1"/>
  <c r="F115" i="37"/>
  <c r="F115" i="41" s="1"/>
  <c r="A116" i="37"/>
  <c r="A116" i="41" s="1"/>
  <c r="D116" i="37"/>
  <c r="D116" i="41" s="1"/>
  <c r="B116" i="37"/>
  <c r="B116" i="41" s="1"/>
  <c r="C116" i="37"/>
  <c r="C116" i="41" s="1"/>
  <c r="F116" i="37"/>
  <c r="F116" i="41" s="1"/>
  <c r="A117" i="37"/>
  <c r="A117" i="41" s="1"/>
  <c r="D117" i="37"/>
  <c r="D117" i="41" s="1"/>
  <c r="B117" i="37"/>
  <c r="B117" i="41" s="1"/>
  <c r="C117" i="37"/>
  <c r="C117" i="41" s="1"/>
  <c r="F117" i="37"/>
  <c r="F117" i="41" s="1"/>
  <c r="A118" i="37"/>
  <c r="A118" i="41" s="1"/>
  <c r="D118" i="37"/>
  <c r="D118" i="41" s="1"/>
  <c r="B118" i="37"/>
  <c r="B118" i="41" s="1"/>
  <c r="C118" i="37"/>
  <c r="C118" i="41" s="1"/>
  <c r="F118" i="37"/>
  <c r="F118" i="41" s="1"/>
  <c r="A119" i="37"/>
  <c r="A119" i="41" s="1"/>
  <c r="D119" i="37"/>
  <c r="D119" i="41" s="1"/>
  <c r="B119" i="37"/>
  <c r="B119" i="41" s="1"/>
  <c r="C119" i="37"/>
  <c r="C119" i="41" s="1"/>
  <c r="F119" i="37"/>
  <c r="F119" i="41" s="1"/>
  <c r="A120" i="37"/>
  <c r="A120" i="41" s="1"/>
  <c r="D120" i="37"/>
  <c r="D120" i="41" s="1"/>
  <c r="B120" i="37"/>
  <c r="B120" i="41" s="1"/>
  <c r="F120" i="37"/>
  <c r="F120" i="41" s="1"/>
  <c r="A121" i="37"/>
  <c r="A121" i="41" s="1"/>
  <c r="D121" i="37"/>
  <c r="D121" i="41" s="1"/>
  <c r="B121" i="37"/>
  <c r="B121" i="41" s="1"/>
  <c r="F121" i="37"/>
  <c r="F121" i="41" s="1"/>
  <c r="A122" i="37"/>
  <c r="A122" i="41" s="1"/>
  <c r="D122" i="37"/>
  <c r="D122" i="41" s="1"/>
  <c r="B122" i="37"/>
  <c r="B122" i="41" s="1"/>
  <c r="F122" i="37"/>
  <c r="F122" i="41" s="1"/>
  <c r="A123" i="37"/>
  <c r="A123" i="41" s="1"/>
  <c r="D123" i="37"/>
  <c r="D123" i="41" s="1"/>
  <c r="B123" i="37"/>
  <c r="B123" i="41" s="1"/>
  <c r="F123" i="37"/>
  <c r="F123" i="41" s="1"/>
  <c r="A124" i="37"/>
  <c r="A124" i="41" s="1"/>
  <c r="D124" i="37"/>
  <c r="D124" i="41" s="1"/>
  <c r="B124" i="37"/>
  <c r="B124" i="41" s="1"/>
  <c r="F124" i="37"/>
  <c r="F124" i="41" s="1"/>
  <c r="A125" i="37"/>
  <c r="A125" i="41" s="1"/>
  <c r="D125" i="37"/>
  <c r="D125" i="41" s="1"/>
  <c r="B125" i="37"/>
  <c r="B125" i="41" s="1"/>
  <c r="F125" i="37"/>
  <c r="F125" i="41" s="1"/>
  <c r="A126" i="37"/>
  <c r="A126" i="41" s="1"/>
  <c r="D126" i="37"/>
  <c r="D126" i="41" s="1"/>
  <c r="B126" i="37"/>
  <c r="B126" i="41" s="1"/>
  <c r="F126" i="37"/>
  <c r="F126" i="41" s="1"/>
  <c r="A127" i="37"/>
  <c r="A127" i="41" s="1"/>
  <c r="D127" i="37"/>
  <c r="D127" i="41" s="1"/>
  <c r="B127" i="37"/>
  <c r="B127" i="41" s="1"/>
  <c r="F127" i="37"/>
  <c r="F127" i="41" s="1"/>
  <c r="A128" i="37"/>
  <c r="A128" i="41" s="1"/>
  <c r="D128" i="37"/>
  <c r="D128" i="41" s="1"/>
  <c r="B128" i="37"/>
  <c r="B128" i="41" s="1"/>
  <c r="F128" i="37"/>
  <c r="F128" i="41" s="1"/>
  <c r="A129" i="37"/>
  <c r="A129" i="41" s="1"/>
  <c r="D129" i="37"/>
  <c r="D129" i="41" s="1"/>
  <c r="B129" i="37"/>
  <c r="B129" i="41" s="1"/>
  <c r="F129" i="37"/>
  <c r="F129" i="41" s="1"/>
  <c r="A130" i="37"/>
  <c r="A130" i="41" s="1"/>
  <c r="D130" i="37"/>
  <c r="D130" i="41" s="1"/>
  <c r="B130" i="37"/>
  <c r="B130" i="41" s="1"/>
  <c r="F130" i="37"/>
  <c r="F130" i="41" s="1"/>
  <c r="A131" i="37"/>
  <c r="A131" i="41" s="1"/>
  <c r="D131" i="37"/>
  <c r="D131" i="41" s="1"/>
  <c r="B131" i="37"/>
  <c r="B131" i="41" s="1"/>
  <c r="F131" i="37"/>
  <c r="F131" i="41" s="1"/>
  <c r="A132" i="37"/>
  <c r="A132" i="41" s="1"/>
  <c r="D132" i="37"/>
  <c r="D132" i="41" s="1"/>
  <c r="B132" i="37"/>
  <c r="B132" i="41" s="1"/>
  <c r="F132" i="37"/>
  <c r="F132" i="41" s="1"/>
  <c r="A133" i="37"/>
  <c r="A133" i="41" s="1"/>
  <c r="D133" i="37"/>
  <c r="D133" i="41" s="1"/>
  <c r="B133" i="37"/>
  <c r="B133" i="41" s="1"/>
  <c r="F133" i="37"/>
  <c r="F133" i="41" s="1"/>
  <c r="A134" i="37"/>
  <c r="A134" i="41" s="1"/>
  <c r="D134" i="37"/>
  <c r="D134" i="41" s="1"/>
  <c r="B134" i="37"/>
  <c r="B134" i="41" s="1"/>
  <c r="F134" i="37"/>
  <c r="F134" i="41" s="1"/>
  <c r="A135" i="37"/>
  <c r="A135" i="41" s="1"/>
  <c r="D135" i="37"/>
  <c r="D135" i="41" s="1"/>
  <c r="B135" i="37"/>
  <c r="B135" i="41" s="1"/>
  <c r="F135" i="37"/>
  <c r="F135" i="41" s="1"/>
  <c r="A136" i="37"/>
  <c r="A136" i="41" s="1"/>
  <c r="D136" i="37"/>
  <c r="D136" i="41" s="1"/>
  <c r="B136" i="37"/>
  <c r="B136" i="41" s="1"/>
  <c r="F136" i="37"/>
  <c r="F136" i="41" s="1"/>
  <c r="A137" i="37"/>
  <c r="A137" i="41" s="1"/>
  <c r="D137" i="37"/>
  <c r="D137" i="41" s="1"/>
  <c r="B137" i="37"/>
  <c r="B137" i="41" s="1"/>
  <c r="F137" i="37"/>
  <c r="F137" i="41" s="1"/>
  <c r="A138" i="37"/>
  <c r="A138" i="41" s="1"/>
  <c r="D138" i="37"/>
  <c r="D138" i="41" s="1"/>
  <c r="B138" i="37"/>
  <c r="B138" i="41" s="1"/>
  <c r="F138" i="37"/>
  <c r="F138" i="41" s="1"/>
  <c r="A139" i="37"/>
  <c r="A139" i="41" s="1"/>
  <c r="D139" i="37"/>
  <c r="D139" i="41" s="1"/>
  <c r="B139" i="37"/>
  <c r="B139" i="41" s="1"/>
  <c r="F139" i="37"/>
  <c r="F139" i="41" s="1"/>
  <c r="A140" i="37"/>
  <c r="A140" i="41" s="1"/>
  <c r="D140" i="37"/>
  <c r="D140" i="41" s="1"/>
  <c r="B140" i="37"/>
  <c r="B140" i="41" s="1"/>
  <c r="F140" i="37"/>
  <c r="F140" i="41" s="1"/>
  <c r="A141" i="37"/>
  <c r="A141" i="41" s="1"/>
  <c r="D141" i="37"/>
  <c r="D141" i="41" s="1"/>
  <c r="B141" i="37"/>
  <c r="B141" i="41" s="1"/>
  <c r="F141" i="37"/>
  <c r="F141" i="41" s="1"/>
  <c r="A142" i="37"/>
  <c r="A142" i="41" s="1"/>
  <c r="D142" i="37"/>
  <c r="D142" i="41" s="1"/>
  <c r="B142" i="37"/>
  <c r="B142" i="41" s="1"/>
  <c r="F142" i="37"/>
  <c r="F142" i="41" s="1"/>
  <c r="A143" i="37"/>
  <c r="A143" i="41" s="1"/>
  <c r="D143" i="37"/>
  <c r="D143" i="41" s="1"/>
  <c r="B143" i="37"/>
  <c r="B143" i="41" s="1"/>
  <c r="F143" i="37"/>
  <c r="F143" i="41" s="1"/>
  <c r="A144" i="37"/>
  <c r="A144" i="41" s="1"/>
  <c r="D144" i="37"/>
  <c r="D144" i="41" s="1"/>
  <c r="B144" i="37"/>
  <c r="B144" i="41" s="1"/>
  <c r="F144" i="37"/>
  <c r="F144" i="41" s="1"/>
  <c r="A145" i="37"/>
  <c r="A145" i="41" s="1"/>
  <c r="D145" i="37"/>
  <c r="D145" i="41" s="1"/>
  <c r="B145" i="37"/>
  <c r="B145" i="41" s="1"/>
  <c r="F145" i="37"/>
  <c r="F145" i="41" s="1"/>
  <c r="A146" i="37"/>
  <c r="A146" i="41" s="1"/>
  <c r="D146" i="37"/>
  <c r="D146" i="41" s="1"/>
  <c r="B146" i="37"/>
  <c r="B146" i="41" s="1"/>
  <c r="F146" i="37"/>
  <c r="F146" i="41" s="1"/>
  <c r="A147" i="37"/>
  <c r="A147" i="41" s="1"/>
  <c r="D147" i="37"/>
  <c r="D147" i="41" s="1"/>
  <c r="B147" i="37"/>
  <c r="B147" i="41" s="1"/>
  <c r="F147" i="37"/>
  <c r="F147" i="41" s="1"/>
  <c r="A148" i="37"/>
  <c r="A148" i="41" s="1"/>
  <c r="D148" i="37"/>
  <c r="D148" i="41" s="1"/>
  <c r="B148" i="37"/>
  <c r="B148" i="41" s="1"/>
  <c r="F148" i="37"/>
  <c r="F148" i="41" s="1"/>
  <c r="A149" i="37"/>
  <c r="A149" i="41" s="1"/>
  <c r="D149" i="37"/>
  <c r="D149" i="41" s="1"/>
  <c r="B149" i="37"/>
  <c r="B149" i="41" s="1"/>
  <c r="F149" i="37"/>
  <c r="F149" i="41" s="1"/>
  <c r="A150" i="37"/>
  <c r="A150" i="41" s="1"/>
  <c r="D150" i="37"/>
  <c r="D150" i="41" s="1"/>
  <c r="B150" i="37"/>
  <c r="B150" i="41" s="1"/>
  <c r="F150" i="37"/>
  <c r="F150" i="41" s="1"/>
  <c r="A151" i="37"/>
  <c r="A151" i="41" s="1"/>
  <c r="D151" i="37"/>
  <c r="D151" i="41" s="1"/>
  <c r="B151" i="37"/>
  <c r="B151" i="41" s="1"/>
  <c r="F151" i="37"/>
  <c r="F151" i="41" s="1"/>
  <c r="A152" i="37"/>
  <c r="A152" i="41" s="1"/>
  <c r="D152" i="37"/>
  <c r="D152" i="41" s="1"/>
  <c r="B152" i="37"/>
  <c r="B152" i="41" s="1"/>
  <c r="F152" i="37"/>
  <c r="F152" i="41" s="1"/>
  <c r="A153" i="37"/>
  <c r="A153" i="41" s="1"/>
  <c r="D153" i="37"/>
  <c r="D153" i="41" s="1"/>
  <c r="B153" i="37"/>
  <c r="B153" i="41" s="1"/>
  <c r="F153" i="37"/>
  <c r="F153" i="41" s="1"/>
  <c r="A154" i="37"/>
  <c r="A154" i="41" s="1"/>
  <c r="D154" i="37"/>
  <c r="D154" i="41" s="1"/>
  <c r="B154" i="37"/>
  <c r="B154" i="41" s="1"/>
  <c r="F154" i="37"/>
  <c r="F154" i="41" s="1"/>
  <c r="A155" i="37"/>
  <c r="A155" i="41" s="1"/>
  <c r="D155" i="37"/>
  <c r="D155" i="41" s="1"/>
  <c r="B155" i="37"/>
  <c r="B155" i="41" s="1"/>
  <c r="F155" i="37"/>
  <c r="F155" i="41" s="1"/>
  <c r="A156" i="37"/>
  <c r="A156" i="41" s="1"/>
  <c r="D156" i="37"/>
  <c r="D156" i="41" s="1"/>
  <c r="B156" i="37"/>
  <c r="B156" i="41" s="1"/>
  <c r="F156" i="37"/>
  <c r="F156" i="41" s="1"/>
  <c r="A157" i="37"/>
  <c r="A157" i="41" s="1"/>
  <c r="D157" i="37"/>
  <c r="D157" i="41" s="1"/>
  <c r="B157" i="37"/>
  <c r="B157" i="41" s="1"/>
  <c r="F157" i="37"/>
  <c r="F157" i="41" s="1"/>
  <c r="A158" i="37"/>
  <c r="A158" i="41" s="1"/>
  <c r="D158" i="37"/>
  <c r="D158" i="41" s="1"/>
  <c r="B158" i="37"/>
  <c r="B158" i="41" s="1"/>
  <c r="F158" i="37"/>
  <c r="F158" i="41" s="1"/>
  <c r="A159" i="37"/>
  <c r="A159" i="41" s="1"/>
  <c r="D159" i="37"/>
  <c r="D159" i="41" s="1"/>
  <c r="B159" i="37"/>
  <c r="B159" i="41" s="1"/>
  <c r="F159" i="37"/>
  <c r="F159" i="41" s="1"/>
  <c r="A160" i="37"/>
  <c r="A160" i="41" s="1"/>
  <c r="D160" i="37"/>
  <c r="D160" i="41" s="1"/>
  <c r="B160" i="37"/>
  <c r="B160" i="41" s="1"/>
  <c r="F160" i="37"/>
  <c r="F160" i="41" s="1"/>
  <c r="A161" i="37"/>
  <c r="A161" i="41" s="1"/>
  <c r="D161" i="37"/>
  <c r="D161" i="41" s="1"/>
  <c r="B161" i="37"/>
  <c r="B161" i="41" s="1"/>
  <c r="F161" i="37"/>
  <c r="F161" i="41" s="1"/>
  <c r="A162" i="37"/>
  <c r="A162" i="41" s="1"/>
  <c r="D162" i="37"/>
  <c r="D162" i="41" s="1"/>
  <c r="B162" i="37"/>
  <c r="B162" i="41" s="1"/>
  <c r="C162" i="37"/>
  <c r="C162" i="41" s="1"/>
  <c r="F162" i="37"/>
  <c r="F162" i="41" s="1"/>
  <c r="A163" i="37"/>
  <c r="A163" i="41" s="1"/>
  <c r="D163" i="37"/>
  <c r="D163" i="41" s="1"/>
  <c r="B163" i="37"/>
  <c r="B163" i="41" s="1"/>
  <c r="C163" i="37"/>
  <c r="C163" i="41" s="1"/>
  <c r="F163" i="37"/>
  <c r="F163" i="41" s="1"/>
  <c r="A164" i="37"/>
  <c r="A164" i="41" s="1"/>
  <c r="D164" i="37"/>
  <c r="D164" i="41" s="1"/>
  <c r="B164" i="37"/>
  <c r="B164" i="41" s="1"/>
  <c r="C164" i="37"/>
  <c r="C164" i="41" s="1"/>
  <c r="F164" i="37"/>
  <c r="F164" i="41" s="1"/>
  <c r="A165" i="37"/>
  <c r="A165" i="41" s="1"/>
  <c r="D165" i="37"/>
  <c r="D165" i="41" s="1"/>
  <c r="B165" i="37"/>
  <c r="B165" i="41" s="1"/>
  <c r="C165" i="37"/>
  <c r="C165" i="41" s="1"/>
  <c r="F165" i="37"/>
  <c r="F165" i="41" s="1"/>
  <c r="A166" i="37"/>
  <c r="A166" i="41" s="1"/>
  <c r="D166" i="37"/>
  <c r="D166" i="41" s="1"/>
  <c r="B166" i="37"/>
  <c r="B166" i="41" s="1"/>
  <c r="C166" i="37"/>
  <c r="C166" i="41" s="1"/>
  <c r="F166" i="37"/>
  <c r="F166" i="41" s="1"/>
  <c r="A167" i="37"/>
  <c r="A167" i="41" s="1"/>
  <c r="D167" i="37"/>
  <c r="D167" i="41" s="1"/>
  <c r="B167" i="37"/>
  <c r="B167" i="41" s="1"/>
  <c r="C167" i="37"/>
  <c r="C167" i="41" s="1"/>
  <c r="F167" i="37"/>
  <c r="F167" i="41" s="1"/>
  <c r="A168" i="37"/>
  <c r="A168" i="41" s="1"/>
  <c r="D168" i="37"/>
  <c r="D168" i="41" s="1"/>
  <c r="B168" i="37"/>
  <c r="B168" i="41" s="1"/>
  <c r="F168" i="37"/>
  <c r="F168" i="41" s="1"/>
  <c r="A169" i="37"/>
  <c r="A169" i="41" s="1"/>
  <c r="D169" i="37"/>
  <c r="D169" i="41" s="1"/>
  <c r="B169" i="37"/>
  <c r="B169" i="41" s="1"/>
  <c r="F169" i="37"/>
  <c r="F169" i="41" s="1"/>
  <c r="A170" i="37"/>
  <c r="A170" i="41" s="1"/>
  <c r="D170" i="37"/>
  <c r="D170" i="41" s="1"/>
  <c r="B170" i="37"/>
  <c r="B170" i="41" s="1"/>
  <c r="F170" i="37"/>
  <c r="F170" i="41" s="1"/>
  <c r="A171" i="37"/>
  <c r="A171" i="41" s="1"/>
  <c r="D171" i="37"/>
  <c r="D171" i="41" s="1"/>
  <c r="B171" i="37"/>
  <c r="B171" i="41" s="1"/>
  <c r="F171" i="37"/>
  <c r="F171" i="41" s="1"/>
  <c r="A172" i="37"/>
  <c r="A172" i="41" s="1"/>
  <c r="D172" i="37"/>
  <c r="D172" i="41" s="1"/>
  <c r="B172" i="37"/>
  <c r="B172" i="41" s="1"/>
  <c r="F172" i="37"/>
  <c r="F172" i="41" s="1"/>
  <c r="A173" i="37"/>
  <c r="A173" i="41" s="1"/>
  <c r="D173" i="37"/>
  <c r="D173" i="41" s="1"/>
  <c r="B173" i="37"/>
  <c r="B173" i="41" s="1"/>
  <c r="F173" i="37"/>
  <c r="F173" i="41" s="1"/>
  <c r="A174" i="37"/>
  <c r="A174" i="41" s="1"/>
  <c r="D174" i="37"/>
  <c r="D174" i="41" s="1"/>
  <c r="B174" i="37"/>
  <c r="B174" i="41" s="1"/>
  <c r="F174" i="37"/>
  <c r="F174" i="41" s="1"/>
  <c r="A175" i="37"/>
  <c r="A175" i="41" s="1"/>
  <c r="D175" i="37"/>
  <c r="D175" i="41" s="1"/>
  <c r="B175" i="37"/>
  <c r="B175" i="41" s="1"/>
  <c r="F175" i="37"/>
  <c r="F175" i="41" s="1"/>
  <c r="A176" i="37"/>
  <c r="A176" i="41" s="1"/>
  <c r="D176" i="37"/>
  <c r="D176" i="41" s="1"/>
  <c r="B176" i="37"/>
  <c r="B176" i="41" s="1"/>
  <c r="F176" i="37"/>
  <c r="F176" i="41" s="1"/>
  <c r="A177" i="37"/>
  <c r="A177" i="41" s="1"/>
  <c r="D177" i="37"/>
  <c r="D177" i="41" s="1"/>
  <c r="B177" i="37"/>
  <c r="B177" i="41" s="1"/>
  <c r="F177" i="37"/>
  <c r="F177" i="41" s="1"/>
  <c r="A178" i="37"/>
  <c r="A178" i="41" s="1"/>
  <c r="D178" i="37"/>
  <c r="D178" i="41" s="1"/>
  <c r="B178" i="37"/>
  <c r="B178" i="41" s="1"/>
  <c r="F178" i="37"/>
  <c r="F178" i="41" s="1"/>
  <c r="A179" i="37"/>
  <c r="A179" i="41" s="1"/>
  <c r="D179" i="37"/>
  <c r="D179" i="41" s="1"/>
  <c r="B179" i="37"/>
  <c r="B179" i="41" s="1"/>
  <c r="F179" i="37"/>
  <c r="F179" i="41" s="1"/>
  <c r="A180" i="37"/>
  <c r="A180" i="41" s="1"/>
  <c r="D180" i="37"/>
  <c r="D180" i="41" s="1"/>
  <c r="B180" i="37"/>
  <c r="B180" i="41" s="1"/>
  <c r="F180" i="37"/>
  <c r="F180" i="41" s="1"/>
  <c r="A181" i="37"/>
  <c r="A181" i="41" s="1"/>
  <c r="D181" i="37"/>
  <c r="D181" i="41" s="1"/>
  <c r="B181" i="37"/>
  <c r="B181" i="41" s="1"/>
  <c r="F181" i="37"/>
  <c r="F181" i="41" s="1"/>
  <c r="A182" i="37"/>
  <c r="A182" i="41" s="1"/>
  <c r="D182" i="37"/>
  <c r="D182" i="41" s="1"/>
  <c r="B182" i="37"/>
  <c r="B182" i="41" s="1"/>
  <c r="F182" i="37"/>
  <c r="F182" i="41" s="1"/>
  <c r="A183" i="37"/>
  <c r="A183" i="41" s="1"/>
  <c r="D183" i="37"/>
  <c r="D183" i="41" s="1"/>
  <c r="B183" i="37"/>
  <c r="B183" i="41" s="1"/>
  <c r="F183" i="37"/>
  <c r="F183" i="41" s="1"/>
  <c r="A184" i="37"/>
  <c r="A184" i="41" s="1"/>
  <c r="D184" i="37"/>
  <c r="D184" i="41" s="1"/>
  <c r="B184" i="37"/>
  <c r="B184" i="41" s="1"/>
  <c r="F184" i="37"/>
  <c r="F184" i="41" s="1"/>
  <c r="A185" i="37"/>
  <c r="A185" i="41" s="1"/>
  <c r="D185" i="37"/>
  <c r="D185" i="41" s="1"/>
  <c r="B185" i="37"/>
  <c r="B185" i="41" s="1"/>
  <c r="F185" i="37"/>
  <c r="F185" i="41" s="1"/>
  <c r="A186" i="37"/>
  <c r="A186" i="41" s="1"/>
  <c r="D186" i="37"/>
  <c r="D186" i="41" s="1"/>
  <c r="B186" i="37"/>
  <c r="B186" i="41" s="1"/>
  <c r="F186" i="37"/>
  <c r="F186" i="41" s="1"/>
  <c r="A187" i="37"/>
  <c r="A187" i="41" s="1"/>
  <c r="D187" i="37"/>
  <c r="D187" i="41" s="1"/>
  <c r="B187" i="37"/>
  <c r="B187" i="41" s="1"/>
  <c r="F187" i="37"/>
  <c r="F187" i="41" s="1"/>
  <c r="A188" i="37"/>
  <c r="A188" i="41" s="1"/>
  <c r="D188" i="37"/>
  <c r="D188" i="41" s="1"/>
  <c r="B188" i="37"/>
  <c r="B188" i="41" s="1"/>
  <c r="F188" i="37"/>
  <c r="F188" i="41" s="1"/>
  <c r="A189" i="37"/>
  <c r="A189" i="41" s="1"/>
  <c r="D189" i="37"/>
  <c r="D189" i="41" s="1"/>
  <c r="B189" i="37"/>
  <c r="B189" i="41" s="1"/>
  <c r="F189" i="37"/>
  <c r="F189" i="41" s="1"/>
  <c r="A190" i="37"/>
  <c r="A190" i="41" s="1"/>
  <c r="D190" i="37"/>
  <c r="D190" i="41" s="1"/>
  <c r="B190" i="37"/>
  <c r="B190" i="41" s="1"/>
  <c r="F190" i="37"/>
  <c r="F190" i="41" s="1"/>
  <c r="A191" i="37"/>
  <c r="A191" i="41" s="1"/>
  <c r="D191" i="37"/>
  <c r="D191" i="41" s="1"/>
  <c r="B191" i="37"/>
  <c r="B191" i="41" s="1"/>
  <c r="F191" i="37"/>
  <c r="F191" i="41" s="1"/>
  <c r="A192" i="37"/>
  <c r="A192" i="41" s="1"/>
  <c r="D192" i="37"/>
  <c r="D192" i="41" s="1"/>
  <c r="B192" i="37"/>
  <c r="B192" i="41" s="1"/>
  <c r="F192" i="37"/>
  <c r="F192" i="41" s="1"/>
  <c r="A193" i="37"/>
  <c r="A193" i="41" s="1"/>
  <c r="D193" i="37"/>
  <c r="D193" i="41" s="1"/>
  <c r="B193" i="37"/>
  <c r="B193" i="41" s="1"/>
  <c r="F193" i="37"/>
  <c r="F193" i="41" s="1"/>
  <c r="A194" i="37"/>
  <c r="A194" i="41" s="1"/>
  <c r="D194" i="37"/>
  <c r="D194" i="41" s="1"/>
  <c r="B194" i="37"/>
  <c r="B194" i="41" s="1"/>
  <c r="F194" i="37"/>
  <c r="F194" i="41" s="1"/>
  <c r="A195" i="37"/>
  <c r="A195" i="41" s="1"/>
  <c r="D195" i="37"/>
  <c r="D195" i="41" s="1"/>
  <c r="B195" i="37"/>
  <c r="B195" i="41" s="1"/>
  <c r="F195" i="37"/>
  <c r="F195" i="41" s="1"/>
  <c r="A196" i="37"/>
  <c r="A196" i="41" s="1"/>
  <c r="D196" i="37"/>
  <c r="D196" i="41" s="1"/>
  <c r="B196" i="37"/>
  <c r="B196" i="41" s="1"/>
  <c r="F196" i="37"/>
  <c r="F196" i="41" s="1"/>
  <c r="A197" i="37"/>
  <c r="A197" i="41" s="1"/>
  <c r="D197" i="37"/>
  <c r="D197" i="41" s="1"/>
  <c r="B197" i="37"/>
  <c r="B197" i="41" s="1"/>
  <c r="F197" i="37"/>
  <c r="F197" i="41" s="1"/>
  <c r="A198" i="37"/>
  <c r="A198" i="41" s="1"/>
  <c r="D198" i="37"/>
  <c r="D198" i="41" s="1"/>
  <c r="B198" i="37"/>
  <c r="B198" i="41" s="1"/>
  <c r="F198" i="37"/>
  <c r="F198" i="41" s="1"/>
  <c r="A199" i="37"/>
  <c r="A199" i="41" s="1"/>
  <c r="D199" i="37"/>
  <c r="D199" i="41" s="1"/>
  <c r="B199" i="37"/>
  <c r="B199" i="41" s="1"/>
  <c r="F199" i="37"/>
  <c r="F199" i="41" s="1"/>
  <c r="A200" i="37"/>
  <c r="A200" i="41" s="1"/>
  <c r="D200" i="37"/>
  <c r="D200" i="41" s="1"/>
  <c r="B200" i="37"/>
  <c r="B200" i="41" s="1"/>
  <c r="F200" i="37"/>
  <c r="F200" i="41" s="1"/>
  <c r="A201" i="37"/>
  <c r="A201" i="41" s="1"/>
  <c r="D201" i="37"/>
  <c r="D201" i="41" s="1"/>
  <c r="B201" i="37"/>
  <c r="B201" i="41" s="1"/>
  <c r="F201" i="37"/>
  <c r="F201" i="41" s="1"/>
  <c r="A202" i="37"/>
  <c r="A202" i="41" s="1"/>
  <c r="D202" i="37"/>
  <c r="D202" i="41" s="1"/>
  <c r="B202" i="37"/>
  <c r="B202" i="41" s="1"/>
  <c r="F202" i="37"/>
  <c r="F202" i="41" s="1"/>
  <c r="A203" i="37"/>
  <c r="A203" i="41" s="1"/>
  <c r="D203" i="37"/>
  <c r="D203" i="41" s="1"/>
  <c r="B203" i="37"/>
  <c r="B203" i="41" s="1"/>
  <c r="F203" i="37"/>
  <c r="F203" i="41" s="1"/>
  <c r="A204" i="37"/>
  <c r="A204" i="41" s="1"/>
  <c r="D204" i="37"/>
  <c r="D204" i="41" s="1"/>
  <c r="B204" i="37"/>
  <c r="B204" i="41" s="1"/>
  <c r="F204" i="37"/>
  <c r="F204" i="41" s="1"/>
  <c r="A205" i="37"/>
  <c r="A205" i="41" s="1"/>
  <c r="D205" i="37"/>
  <c r="D205" i="41" s="1"/>
  <c r="B205" i="37"/>
  <c r="B205" i="41" s="1"/>
  <c r="F205" i="37"/>
  <c r="F205" i="41" s="1"/>
  <c r="A206" i="37"/>
  <c r="A206" i="41" s="1"/>
  <c r="D206" i="37"/>
  <c r="D206" i="41" s="1"/>
  <c r="B206" i="37"/>
  <c r="B206" i="41" s="1"/>
  <c r="F206" i="37"/>
  <c r="F206" i="41" s="1"/>
  <c r="A207" i="37"/>
  <c r="A207" i="41" s="1"/>
  <c r="D207" i="37"/>
  <c r="D207" i="41" s="1"/>
  <c r="B207" i="37"/>
  <c r="B207" i="41" s="1"/>
  <c r="F207" i="37"/>
  <c r="F207" i="41" s="1"/>
  <c r="A208" i="37"/>
  <c r="A208" i="41" s="1"/>
  <c r="D208" i="37"/>
  <c r="D208" i="41" s="1"/>
  <c r="B208" i="37"/>
  <c r="B208" i="41" s="1"/>
  <c r="F208" i="37"/>
  <c r="F208" i="41" s="1"/>
  <c r="A209" i="37"/>
  <c r="A209" i="41" s="1"/>
  <c r="D209" i="37"/>
  <c r="D209" i="41" s="1"/>
  <c r="B209" i="37"/>
  <c r="B209" i="41" s="1"/>
  <c r="F209" i="37"/>
  <c r="F209" i="41" s="1"/>
  <c r="A210" i="37"/>
  <c r="A210" i="41" s="1"/>
  <c r="D210" i="37"/>
  <c r="D210" i="41" s="1"/>
  <c r="B210" i="37"/>
  <c r="B210" i="41" s="1"/>
  <c r="F210" i="37"/>
  <c r="F210" i="41" s="1"/>
  <c r="A211" i="37"/>
  <c r="A211" i="41" s="1"/>
  <c r="D211" i="37"/>
  <c r="D211" i="41" s="1"/>
  <c r="B211" i="37"/>
  <c r="B211" i="41" s="1"/>
  <c r="F211" i="37"/>
  <c r="F211" i="41" s="1"/>
  <c r="A212" i="37"/>
  <c r="A212" i="41" s="1"/>
  <c r="D212" i="37"/>
  <c r="D212" i="41" s="1"/>
  <c r="B212" i="37"/>
  <c r="B212" i="41" s="1"/>
  <c r="F212" i="37"/>
  <c r="F212" i="41" s="1"/>
  <c r="A213" i="37"/>
  <c r="A213" i="41" s="1"/>
  <c r="D213" i="37"/>
  <c r="D213" i="41" s="1"/>
  <c r="B213" i="37"/>
  <c r="B213" i="41" s="1"/>
  <c r="F213" i="37"/>
  <c r="F213" i="41" s="1"/>
  <c r="A214" i="37"/>
  <c r="A214" i="41" s="1"/>
  <c r="D214" i="37"/>
  <c r="D214" i="41" s="1"/>
  <c r="B214" i="37"/>
  <c r="B214" i="41" s="1"/>
  <c r="F214" i="37"/>
  <c r="F214" i="41" s="1"/>
  <c r="A215" i="37"/>
  <c r="A215" i="41" s="1"/>
  <c r="D215" i="37"/>
  <c r="D215" i="41" s="1"/>
  <c r="B215" i="37"/>
  <c r="B215" i="41" s="1"/>
  <c r="F215" i="37"/>
  <c r="F215" i="41" s="1"/>
  <c r="A216" i="37"/>
  <c r="A216" i="41" s="1"/>
  <c r="D216" i="37"/>
  <c r="D216" i="41" s="1"/>
  <c r="B216" i="37"/>
  <c r="B216" i="41" s="1"/>
  <c r="F216" i="37"/>
  <c r="F216" i="41" s="1"/>
  <c r="A217" i="37"/>
  <c r="A217" i="41" s="1"/>
  <c r="D217" i="37"/>
  <c r="D217" i="41" s="1"/>
  <c r="B217" i="37"/>
  <c r="B217" i="41" s="1"/>
  <c r="F217" i="37"/>
  <c r="F217" i="41" s="1"/>
  <c r="A218" i="37"/>
  <c r="A218" i="41" s="1"/>
  <c r="D218" i="37"/>
  <c r="D218" i="41" s="1"/>
  <c r="B218" i="37"/>
  <c r="B218" i="41" s="1"/>
  <c r="F218" i="37"/>
  <c r="F218" i="41" s="1"/>
  <c r="A219" i="37"/>
  <c r="A219" i="41" s="1"/>
  <c r="D219" i="37"/>
  <c r="D219" i="41" s="1"/>
  <c r="B219" i="37"/>
  <c r="B219" i="41" s="1"/>
  <c r="F219" i="37"/>
  <c r="F219" i="41" s="1"/>
  <c r="A220" i="37"/>
  <c r="A220" i="41" s="1"/>
  <c r="D220" i="37"/>
  <c r="D220" i="41" s="1"/>
  <c r="B220" i="37"/>
  <c r="B220" i="41" s="1"/>
  <c r="F220" i="37"/>
  <c r="F220" i="41" s="1"/>
  <c r="A221" i="37"/>
  <c r="A221" i="41" s="1"/>
  <c r="D221" i="37"/>
  <c r="D221" i="41" s="1"/>
  <c r="B221" i="37"/>
  <c r="B221" i="41" s="1"/>
  <c r="F221" i="37"/>
  <c r="F221" i="41" s="1"/>
  <c r="A222" i="37"/>
  <c r="A222" i="41" s="1"/>
  <c r="D222" i="37"/>
  <c r="D222" i="41" s="1"/>
  <c r="B222" i="37"/>
  <c r="B222" i="41" s="1"/>
  <c r="F222" i="37"/>
  <c r="F222" i="41" s="1"/>
  <c r="A223" i="37"/>
  <c r="A223" i="41" s="1"/>
  <c r="D223" i="37"/>
  <c r="D223" i="41" s="1"/>
  <c r="B223" i="37"/>
  <c r="B223" i="41" s="1"/>
  <c r="F223" i="37"/>
  <c r="F223" i="41" s="1"/>
  <c r="A224" i="37"/>
  <c r="A224" i="41" s="1"/>
  <c r="D224" i="37"/>
  <c r="D224" i="41" s="1"/>
  <c r="B224" i="37"/>
  <c r="B224" i="41" s="1"/>
  <c r="F224" i="37"/>
  <c r="F224" i="41" s="1"/>
  <c r="A225" i="37"/>
  <c r="A225" i="41" s="1"/>
  <c r="D225" i="37"/>
  <c r="D225" i="41" s="1"/>
  <c r="B225" i="37"/>
  <c r="B225" i="41" s="1"/>
  <c r="F225" i="37"/>
  <c r="F225" i="41" s="1"/>
  <c r="A226" i="37"/>
  <c r="A226" i="41" s="1"/>
  <c r="D226" i="37"/>
  <c r="D226" i="41" s="1"/>
  <c r="B226" i="37"/>
  <c r="B226" i="41" s="1"/>
  <c r="F226" i="37"/>
  <c r="F226" i="41" s="1"/>
  <c r="A227" i="37"/>
  <c r="A227" i="41" s="1"/>
  <c r="D227" i="37"/>
  <c r="D227" i="41" s="1"/>
  <c r="B227" i="37"/>
  <c r="B227" i="41" s="1"/>
  <c r="F227" i="37"/>
  <c r="F227" i="41" s="1"/>
  <c r="A228" i="37"/>
  <c r="A228" i="41" s="1"/>
  <c r="D228" i="37"/>
  <c r="D228" i="41" s="1"/>
  <c r="B228" i="37"/>
  <c r="B228" i="41" s="1"/>
  <c r="F228" i="37"/>
  <c r="F228" i="41" s="1"/>
  <c r="A229" i="37"/>
  <c r="A229" i="41" s="1"/>
  <c r="D229" i="37"/>
  <c r="D229" i="41" s="1"/>
  <c r="B229" i="37"/>
  <c r="B229" i="41" s="1"/>
  <c r="F229" i="37"/>
  <c r="F229" i="41" s="1"/>
  <c r="A230" i="37"/>
  <c r="A230" i="41" s="1"/>
  <c r="D230" i="37"/>
  <c r="D230" i="41" s="1"/>
  <c r="B230" i="37"/>
  <c r="B230" i="41" s="1"/>
  <c r="F230" i="37"/>
  <c r="F230" i="41" s="1"/>
  <c r="A231" i="37"/>
  <c r="A231" i="41" s="1"/>
  <c r="D231" i="37"/>
  <c r="D231" i="41" s="1"/>
  <c r="B231" i="37"/>
  <c r="B231" i="41" s="1"/>
  <c r="F231" i="37"/>
  <c r="F231" i="41" s="1"/>
  <c r="A232" i="37"/>
  <c r="A232" i="41" s="1"/>
  <c r="D232" i="37"/>
  <c r="D232" i="41" s="1"/>
  <c r="B232" i="37"/>
  <c r="B232" i="41" s="1"/>
  <c r="F232" i="37"/>
  <c r="F232" i="41" s="1"/>
  <c r="A233" i="37"/>
  <c r="A233" i="41" s="1"/>
  <c r="D233" i="37"/>
  <c r="D233" i="41" s="1"/>
  <c r="B233" i="37"/>
  <c r="B233" i="41" s="1"/>
  <c r="F233" i="37"/>
  <c r="F233" i="41" s="1"/>
  <c r="A234" i="37"/>
  <c r="A234" i="41" s="1"/>
  <c r="D234" i="37"/>
  <c r="D234" i="41" s="1"/>
  <c r="B234" i="37"/>
  <c r="B234" i="41" s="1"/>
  <c r="F234" i="37"/>
  <c r="F234" i="41" s="1"/>
  <c r="A235" i="37"/>
  <c r="A235" i="41" s="1"/>
  <c r="D235" i="37"/>
  <c r="D235" i="41" s="1"/>
  <c r="B235" i="37"/>
  <c r="B235" i="41" s="1"/>
  <c r="F235" i="37"/>
  <c r="F235" i="41" s="1"/>
  <c r="A236" i="37"/>
  <c r="A236" i="41" s="1"/>
  <c r="D236" i="37"/>
  <c r="D236" i="41" s="1"/>
  <c r="B236" i="37"/>
  <c r="B236" i="41" s="1"/>
  <c r="F236" i="37"/>
  <c r="F236" i="41" s="1"/>
  <c r="A237" i="37"/>
  <c r="A237" i="41" s="1"/>
  <c r="D237" i="37"/>
  <c r="D237" i="41" s="1"/>
  <c r="B237" i="37"/>
  <c r="B237" i="41" s="1"/>
  <c r="F237" i="37"/>
  <c r="F237" i="41" s="1"/>
  <c r="A238" i="37"/>
  <c r="A238" i="41" s="1"/>
  <c r="D238" i="37"/>
  <c r="D238" i="41" s="1"/>
  <c r="B238" i="37"/>
  <c r="B238" i="41" s="1"/>
  <c r="F238" i="37"/>
  <c r="F238" i="41" s="1"/>
  <c r="A239" i="37"/>
  <c r="A239" i="41" s="1"/>
  <c r="D239" i="37"/>
  <c r="D239" i="41" s="1"/>
  <c r="B239" i="37"/>
  <c r="B239" i="41" s="1"/>
  <c r="F239" i="37"/>
  <c r="F239" i="41" s="1"/>
  <c r="A240" i="37"/>
  <c r="A240" i="41" s="1"/>
  <c r="D240" i="37"/>
  <c r="D240" i="41" s="1"/>
  <c r="B240" i="37"/>
  <c r="B240" i="41" s="1"/>
  <c r="F240" i="37"/>
  <c r="F240" i="41" s="1"/>
  <c r="A241" i="37"/>
  <c r="A241" i="41" s="1"/>
  <c r="D241" i="37"/>
  <c r="D241" i="41" s="1"/>
  <c r="B241" i="37"/>
  <c r="B241" i="41" s="1"/>
  <c r="F241" i="37"/>
  <c r="F241" i="41" s="1"/>
  <c r="A242" i="37"/>
  <c r="A242" i="41" s="1"/>
  <c r="D242" i="37"/>
  <c r="D242" i="41" s="1"/>
  <c r="B242" i="37"/>
  <c r="B242" i="41" s="1"/>
  <c r="F242" i="37"/>
  <c r="F242" i="41" s="1"/>
  <c r="A243" i="37"/>
  <c r="A243" i="41" s="1"/>
  <c r="D243" i="37"/>
  <c r="D243" i="41" s="1"/>
  <c r="B243" i="37"/>
  <c r="B243" i="41" s="1"/>
  <c r="F243" i="37"/>
  <c r="F243" i="41" s="1"/>
  <c r="A244" i="37"/>
  <c r="A244" i="41" s="1"/>
  <c r="D244" i="37"/>
  <c r="D244" i="41" s="1"/>
  <c r="B244" i="37"/>
  <c r="B244" i="41" s="1"/>
  <c r="F244" i="37"/>
  <c r="F244" i="41" s="1"/>
  <c r="A245" i="37"/>
  <c r="A245" i="41" s="1"/>
  <c r="D245" i="37"/>
  <c r="D245" i="41" s="1"/>
  <c r="B245" i="37"/>
  <c r="B245" i="41" s="1"/>
  <c r="F245" i="37"/>
  <c r="F245" i="41" s="1"/>
  <c r="A246" i="37"/>
  <c r="A246" i="41" s="1"/>
  <c r="D246" i="37"/>
  <c r="D246" i="41" s="1"/>
  <c r="B246" i="37"/>
  <c r="B246" i="41" s="1"/>
  <c r="F246" i="37"/>
  <c r="F246" i="41" s="1"/>
  <c r="A247" i="37"/>
  <c r="A247" i="41" s="1"/>
  <c r="D247" i="37"/>
  <c r="D247" i="41" s="1"/>
  <c r="B247" i="37"/>
  <c r="B247" i="41" s="1"/>
  <c r="F247" i="37"/>
  <c r="F247" i="41" s="1"/>
  <c r="A248" i="37"/>
  <c r="A248" i="41" s="1"/>
  <c r="D248" i="37"/>
  <c r="D248" i="41" s="1"/>
  <c r="B248" i="37"/>
  <c r="B248" i="41" s="1"/>
  <c r="F248" i="37"/>
  <c r="F248" i="41" s="1"/>
  <c r="A249" i="37"/>
  <c r="A249" i="41" s="1"/>
  <c r="D249" i="37"/>
  <c r="D249" i="41" s="1"/>
  <c r="B249" i="37"/>
  <c r="B249" i="41" s="1"/>
  <c r="F249" i="37"/>
  <c r="F249" i="41" s="1"/>
  <c r="A250" i="37"/>
  <c r="A250" i="41" s="1"/>
  <c r="D250" i="37"/>
  <c r="D250" i="41" s="1"/>
  <c r="B250" i="37"/>
  <c r="B250" i="41" s="1"/>
  <c r="F250" i="37"/>
  <c r="F250" i="41" s="1"/>
  <c r="A251" i="37"/>
  <c r="A251" i="41" s="1"/>
  <c r="D251" i="37"/>
  <c r="D251" i="41" s="1"/>
  <c r="B251" i="37"/>
  <c r="B251" i="41" s="1"/>
  <c r="F251" i="37"/>
  <c r="F251" i="41" s="1"/>
  <c r="A252" i="37"/>
  <c r="A252" i="41" s="1"/>
  <c r="D252" i="37"/>
  <c r="D252" i="41" s="1"/>
  <c r="B252" i="37"/>
  <c r="B252" i="41" s="1"/>
  <c r="F252" i="37"/>
  <c r="F252" i="41" s="1"/>
  <c r="A253" i="37"/>
  <c r="A253" i="41" s="1"/>
  <c r="D253" i="37"/>
  <c r="D253" i="41" s="1"/>
  <c r="B253" i="37"/>
  <c r="B253" i="41" s="1"/>
  <c r="F253" i="37"/>
  <c r="F253" i="41" s="1"/>
  <c r="A254" i="37"/>
  <c r="A254" i="41" s="1"/>
  <c r="D254" i="37"/>
  <c r="D254" i="41" s="1"/>
  <c r="B254" i="37"/>
  <c r="B254" i="41" s="1"/>
  <c r="F254" i="37"/>
  <c r="F254" i="41" s="1"/>
  <c r="A255" i="37"/>
  <c r="A255" i="41" s="1"/>
  <c r="D255" i="37"/>
  <c r="D255" i="41" s="1"/>
  <c r="B255" i="37"/>
  <c r="B255" i="41" s="1"/>
  <c r="F255" i="37"/>
  <c r="F255" i="41" s="1"/>
  <c r="A256" i="37"/>
  <c r="A256" i="41" s="1"/>
  <c r="D256" i="37"/>
  <c r="D256" i="41" s="1"/>
  <c r="B256" i="37"/>
  <c r="B256" i="41" s="1"/>
  <c r="F256" i="37"/>
  <c r="F256" i="41" s="1"/>
  <c r="A257" i="37"/>
  <c r="A257" i="41" s="1"/>
  <c r="D257" i="37"/>
  <c r="D257" i="41" s="1"/>
  <c r="B257" i="37"/>
  <c r="B257" i="41" s="1"/>
  <c r="F257" i="37"/>
  <c r="F257" i="41" s="1"/>
  <c r="A258" i="37"/>
  <c r="A258" i="41" s="1"/>
  <c r="D258" i="37"/>
  <c r="D258" i="41" s="1"/>
  <c r="B258" i="37"/>
  <c r="B258" i="41" s="1"/>
  <c r="F258" i="37"/>
  <c r="F258" i="41" s="1"/>
  <c r="A259" i="37"/>
  <c r="A259" i="41" s="1"/>
  <c r="D259" i="37"/>
  <c r="D259" i="41" s="1"/>
  <c r="B259" i="37"/>
  <c r="B259" i="41" s="1"/>
  <c r="F259" i="37"/>
  <c r="F259" i="41" s="1"/>
  <c r="A260" i="37"/>
  <c r="A260" i="41" s="1"/>
  <c r="D260" i="37"/>
  <c r="D260" i="41" s="1"/>
  <c r="B260" i="37"/>
  <c r="B260" i="41" s="1"/>
  <c r="F260" i="37"/>
  <c r="F260" i="41" s="1"/>
  <c r="A261" i="37"/>
  <c r="A261" i="41" s="1"/>
  <c r="D261" i="37"/>
  <c r="D261" i="41" s="1"/>
  <c r="B261" i="37"/>
  <c r="B261" i="41" s="1"/>
  <c r="F261" i="37"/>
  <c r="F261" i="41" s="1"/>
  <c r="A262" i="37"/>
  <c r="A262" i="41" s="1"/>
  <c r="D262" i="37"/>
  <c r="D262" i="41" s="1"/>
  <c r="B262" i="37"/>
  <c r="B262" i="41" s="1"/>
  <c r="F262" i="37"/>
  <c r="F262" i="41" s="1"/>
  <c r="A263" i="37"/>
  <c r="A263" i="41" s="1"/>
  <c r="D263" i="37"/>
  <c r="D263" i="41" s="1"/>
  <c r="B263" i="37"/>
  <c r="B263" i="41" s="1"/>
  <c r="F263" i="37"/>
  <c r="F263" i="41" s="1"/>
  <c r="A264" i="37"/>
  <c r="A264" i="41" s="1"/>
  <c r="D264" i="37"/>
  <c r="D264" i="41" s="1"/>
  <c r="B264" i="37"/>
  <c r="B264" i="41" s="1"/>
  <c r="F264" i="37"/>
  <c r="F264" i="41" s="1"/>
  <c r="A265" i="37"/>
  <c r="A265" i="41" s="1"/>
  <c r="D265" i="37"/>
  <c r="D265" i="41" s="1"/>
  <c r="B265" i="37"/>
  <c r="B265" i="41" s="1"/>
  <c r="F265" i="37"/>
  <c r="F265" i="41" s="1"/>
  <c r="A266" i="37"/>
  <c r="A266" i="41" s="1"/>
  <c r="D266" i="37"/>
  <c r="D266" i="41" s="1"/>
  <c r="B266" i="37"/>
  <c r="B266" i="41" s="1"/>
  <c r="F266" i="37"/>
  <c r="F266" i="41" s="1"/>
  <c r="A267" i="37"/>
  <c r="A267" i="41" s="1"/>
  <c r="D267" i="37"/>
  <c r="D267" i="41" s="1"/>
  <c r="B267" i="37"/>
  <c r="B267" i="41" s="1"/>
  <c r="F267" i="37"/>
  <c r="F267" i="41" s="1"/>
  <c r="A268" i="37"/>
  <c r="A268" i="41" s="1"/>
  <c r="D268" i="37"/>
  <c r="D268" i="41" s="1"/>
  <c r="B268" i="37"/>
  <c r="B268" i="41" s="1"/>
  <c r="F268" i="37"/>
  <c r="F268" i="41" s="1"/>
  <c r="A269" i="37"/>
  <c r="A269" i="41" s="1"/>
  <c r="D269" i="37"/>
  <c r="D269" i="41" s="1"/>
  <c r="B269" i="37"/>
  <c r="B269" i="41" s="1"/>
  <c r="F269" i="37"/>
  <c r="F269" i="41" s="1"/>
  <c r="A270" i="37"/>
  <c r="A270" i="41" s="1"/>
  <c r="D270" i="37"/>
  <c r="D270" i="41" s="1"/>
  <c r="B270" i="37"/>
  <c r="B270" i="41" s="1"/>
  <c r="F270" i="37"/>
  <c r="F270" i="41" s="1"/>
  <c r="A271" i="37"/>
  <c r="A271" i="41" s="1"/>
  <c r="D271" i="37"/>
  <c r="D271" i="41" s="1"/>
  <c r="B271" i="37"/>
  <c r="B271" i="41" s="1"/>
  <c r="F271" i="37"/>
  <c r="F271" i="41" s="1"/>
  <c r="A272" i="37"/>
  <c r="A272" i="41" s="1"/>
  <c r="D272" i="37"/>
  <c r="D272" i="41" s="1"/>
  <c r="B272" i="37"/>
  <c r="B272" i="41" s="1"/>
  <c r="F272" i="37"/>
  <c r="F272" i="41" s="1"/>
  <c r="A273" i="37"/>
  <c r="A273" i="41" s="1"/>
  <c r="D273" i="37"/>
  <c r="D273" i="41" s="1"/>
  <c r="B273" i="37"/>
  <c r="B273" i="41" s="1"/>
  <c r="F273" i="37"/>
  <c r="F273" i="41" s="1"/>
  <c r="A274" i="37"/>
  <c r="A274" i="41" s="1"/>
  <c r="D274" i="37"/>
  <c r="D274" i="41" s="1"/>
  <c r="B274" i="37"/>
  <c r="B274" i="41" s="1"/>
  <c r="F274" i="37"/>
  <c r="F274" i="41" s="1"/>
  <c r="A275" i="37"/>
  <c r="A275" i="41" s="1"/>
  <c r="D275" i="37"/>
  <c r="D275" i="41" s="1"/>
  <c r="B275" i="37"/>
  <c r="B275" i="41" s="1"/>
  <c r="F275" i="37"/>
  <c r="F275" i="41" s="1"/>
  <c r="A276" i="37"/>
  <c r="A276" i="41" s="1"/>
  <c r="D276" i="37"/>
  <c r="D276" i="41" s="1"/>
  <c r="B276" i="37"/>
  <c r="B276" i="41" s="1"/>
  <c r="F276" i="37"/>
  <c r="F276" i="41" s="1"/>
  <c r="A277" i="37"/>
  <c r="A277" i="41" s="1"/>
  <c r="D277" i="37"/>
  <c r="D277" i="41" s="1"/>
  <c r="B277" i="37"/>
  <c r="B277" i="41" s="1"/>
  <c r="F277" i="37"/>
  <c r="F277" i="41" s="1"/>
  <c r="A278" i="37"/>
  <c r="A278" i="41" s="1"/>
  <c r="D278" i="37"/>
  <c r="D278" i="41" s="1"/>
  <c r="B278" i="37"/>
  <c r="B278" i="41" s="1"/>
  <c r="F278" i="37"/>
  <c r="F278" i="41" s="1"/>
  <c r="A279" i="37"/>
  <c r="A279" i="41" s="1"/>
  <c r="D279" i="37"/>
  <c r="D279" i="41" s="1"/>
  <c r="B279" i="37"/>
  <c r="B279" i="41" s="1"/>
  <c r="F279" i="37"/>
  <c r="F279" i="41" s="1"/>
  <c r="A280" i="37"/>
  <c r="A280" i="41" s="1"/>
  <c r="D280" i="37"/>
  <c r="D280" i="41" s="1"/>
  <c r="B280" i="37"/>
  <c r="B280" i="41" s="1"/>
  <c r="F280" i="37"/>
  <c r="F280" i="41" s="1"/>
  <c r="A281" i="37"/>
  <c r="A281" i="41" s="1"/>
  <c r="D281" i="37"/>
  <c r="D281" i="41" s="1"/>
  <c r="B281" i="37"/>
  <c r="B281" i="41" s="1"/>
  <c r="F281" i="37"/>
  <c r="F281" i="41" s="1"/>
  <c r="A282" i="37"/>
  <c r="A282" i="41" s="1"/>
  <c r="D282" i="37"/>
  <c r="D282" i="41" s="1"/>
  <c r="B282" i="37"/>
  <c r="B282" i="41" s="1"/>
  <c r="F282" i="37"/>
  <c r="F282" i="41" s="1"/>
  <c r="A283" i="37"/>
  <c r="A283" i="41" s="1"/>
  <c r="D283" i="37"/>
  <c r="D283" i="41" s="1"/>
  <c r="B283" i="37"/>
  <c r="B283" i="41" s="1"/>
  <c r="F283" i="37"/>
  <c r="F283" i="41" s="1"/>
  <c r="A284" i="37"/>
  <c r="A284" i="41" s="1"/>
  <c r="D284" i="37"/>
  <c r="D284" i="41" s="1"/>
  <c r="B284" i="37"/>
  <c r="B284" i="41" s="1"/>
  <c r="F284" i="37"/>
  <c r="F284" i="41" s="1"/>
  <c r="A285" i="37"/>
  <c r="A285" i="41" s="1"/>
  <c r="D285" i="37"/>
  <c r="D285" i="41" s="1"/>
  <c r="B285" i="37"/>
  <c r="B285" i="41" s="1"/>
  <c r="F285" i="37"/>
  <c r="F285" i="41" s="1"/>
  <c r="A286" i="37"/>
  <c r="A286" i="41" s="1"/>
  <c r="D286" i="37"/>
  <c r="D286" i="41" s="1"/>
  <c r="B286" i="37"/>
  <c r="B286" i="41" s="1"/>
  <c r="F286" i="37"/>
  <c r="F286" i="41" s="1"/>
  <c r="A287" i="37"/>
  <c r="A287" i="41" s="1"/>
  <c r="D287" i="37"/>
  <c r="D287" i="41" s="1"/>
  <c r="B287" i="37"/>
  <c r="B287" i="41" s="1"/>
  <c r="F287" i="37"/>
  <c r="F287" i="41" s="1"/>
  <c r="A288" i="37"/>
  <c r="A288" i="41" s="1"/>
  <c r="D288" i="37"/>
  <c r="D288" i="41" s="1"/>
  <c r="B288" i="37"/>
  <c r="B288" i="41" s="1"/>
  <c r="F288" i="37"/>
  <c r="F288" i="41" s="1"/>
  <c r="A289" i="37"/>
  <c r="A289" i="41" s="1"/>
  <c r="D289" i="37"/>
  <c r="D289" i="41" s="1"/>
  <c r="B289" i="37"/>
  <c r="B289" i="41" s="1"/>
  <c r="F289" i="37"/>
  <c r="F289" i="41" s="1"/>
  <c r="A290" i="37"/>
  <c r="A290" i="41" s="1"/>
  <c r="D290" i="37"/>
  <c r="D290" i="41" s="1"/>
  <c r="B290" i="37"/>
  <c r="B290" i="41" s="1"/>
  <c r="F290" i="37"/>
  <c r="F290" i="41" s="1"/>
  <c r="A291" i="37"/>
  <c r="A291" i="41" s="1"/>
  <c r="D291" i="37"/>
  <c r="D291" i="41" s="1"/>
  <c r="B291" i="37"/>
  <c r="B291" i="41" s="1"/>
  <c r="F291" i="37"/>
  <c r="F291" i="41" s="1"/>
  <c r="A292" i="37"/>
  <c r="A292" i="41" s="1"/>
  <c r="D292" i="37"/>
  <c r="D292" i="41" s="1"/>
  <c r="B292" i="37"/>
  <c r="B292" i="41" s="1"/>
  <c r="F292" i="37"/>
  <c r="F292" i="41" s="1"/>
  <c r="A293" i="37"/>
  <c r="A293" i="41" s="1"/>
  <c r="D293" i="37"/>
  <c r="D293" i="41" s="1"/>
  <c r="B293" i="37"/>
  <c r="B293" i="41" s="1"/>
  <c r="F293" i="37"/>
  <c r="F293" i="41" s="1"/>
  <c r="A294" i="37"/>
  <c r="A294" i="41" s="1"/>
  <c r="D294" i="37"/>
  <c r="D294" i="41" s="1"/>
  <c r="B294" i="37"/>
  <c r="B294" i="41" s="1"/>
  <c r="F294" i="37"/>
  <c r="F294" i="41" s="1"/>
  <c r="A295" i="37"/>
  <c r="A295" i="41" s="1"/>
  <c r="D295" i="37"/>
  <c r="D295" i="41" s="1"/>
  <c r="B295" i="37"/>
  <c r="B295" i="41" s="1"/>
  <c r="F295" i="37"/>
  <c r="F295" i="41" s="1"/>
  <c r="A296" i="37"/>
  <c r="A296" i="41" s="1"/>
  <c r="D296" i="37"/>
  <c r="D296" i="41" s="1"/>
  <c r="B296" i="37"/>
  <c r="B296" i="41" s="1"/>
  <c r="F296" i="37"/>
  <c r="F296" i="41" s="1"/>
  <c r="A297" i="37"/>
  <c r="A297" i="41" s="1"/>
  <c r="D297" i="37"/>
  <c r="D297" i="41" s="1"/>
  <c r="B297" i="37"/>
  <c r="B297" i="41" s="1"/>
  <c r="F297" i="37"/>
  <c r="F297" i="41" s="1"/>
  <c r="A298" i="37"/>
  <c r="A298" i="41" s="1"/>
  <c r="D298" i="37"/>
  <c r="D298" i="41" s="1"/>
  <c r="B298" i="37"/>
  <c r="B298" i="41" s="1"/>
  <c r="F298" i="37"/>
  <c r="F298" i="41" s="1"/>
  <c r="A299" i="37"/>
  <c r="A299" i="41" s="1"/>
  <c r="D299" i="37"/>
  <c r="D299" i="41" s="1"/>
  <c r="B299" i="37"/>
  <c r="B299" i="41" s="1"/>
  <c r="F299" i="37"/>
  <c r="F299" i="41" s="1"/>
  <c r="A300" i="37"/>
  <c r="A300" i="41" s="1"/>
  <c r="D300" i="37"/>
  <c r="D300" i="41" s="1"/>
  <c r="B300" i="37"/>
  <c r="B300" i="41" s="1"/>
  <c r="F300" i="37"/>
  <c r="F300" i="41" s="1"/>
  <c r="A301" i="37"/>
  <c r="A301" i="41" s="1"/>
  <c r="D301" i="37"/>
  <c r="D301" i="41" s="1"/>
  <c r="B301" i="37"/>
  <c r="B301" i="41" s="1"/>
  <c r="F301" i="37"/>
  <c r="F301" i="41" s="1"/>
  <c r="A302" i="37"/>
  <c r="A302" i="41" s="1"/>
  <c r="D302" i="37"/>
  <c r="D302" i="41" s="1"/>
  <c r="B302" i="37"/>
  <c r="B302" i="41" s="1"/>
  <c r="F302" i="37"/>
  <c r="F302" i="41" s="1"/>
  <c r="A303" i="37"/>
  <c r="A303" i="41" s="1"/>
  <c r="D303" i="37"/>
  <c r="D303" i="41" s="1"/>
  <c r="B303" i="37"/>
  <c r="B303" i="41" s="1"/>
  <c r="F303" i="37"/>
  <c r="F303" i="41" s="1"/>
  <c r="A304" i="37"/>
  <c r="A304" i="41" s="1"/>
  <c r="D304" i="37"/>
  <c r="D304" i="41" s="1"/>
  <c r="B304" i="37"/>
  <c r="B304" i="41" s="1"/>
  <c r="F304" i="37"/>
  <c r="F304" i="41" s="1"/>
  <c r="A305" i="37"/>
  <c r="A305" i="41" s="1"/>
  <c r="D305" i="37"/>
  <c r="D305" i="41" s="1"/>
  <c r="B305" i="37"/>
  <c r="B305" i="41" s="1"/>
  <c r="F305" i="37"/>
  <c r="F305" i="41" s="1"/>
  <c r="A306" i="37"/>
  <c r="A306" i="41" s="1"/>
  <c r="D306" i="37"/>
  <c r="D306" i="41" s="1"/>
  <c r="B306" i="37"/>
  <c r="B306" i="41" s="1"/>
  <c r="F306" i="37"/>
  <c r="F306" i="41" s="1"/>
  <c r="A307" i="37"/>
  <c r="A307" i="41" s="1"/>
  <c r="D307" i="37"/>
  <c r="D307" i="41" s="1"/>
  <c r="B307" i="37"/>
  <c r="B307" i="41" s="1"/>
  <c r="F307" i="37"/>
  <c r="F307" i="41" s="1"/>
  <c r="A308" i="37"/>
  <c r="A308" i="41" s="1"/>
  <c r="D308" i="37"/>
  <c r="D308" i="41" s="1"/>
  <c r="B308" i="37"/>
  <c r="B308" i="41" s="1"/>
  <c r="F308" i="37"/>
  <c r="F308" i="41" s="1"/>
  <c r="A309" i="37"/>
  <c r="A309" i="41" s="1"/>
  <c r="D309" i="37"/>
  <c r="D309" i="41" s="1"/>
  <c r="B309" i="37"/>
  <c r="B309" i="41" s="1"/>
  <c r="F309" i="37"/>
  <c r="F309" i="41" s="1"/>
  <c r="A310" i="37"/>
  <c r="A310" i="41" s="1"/>
  <c r="D310" i="37"/>
  <c r="D310" i="41" s="1"/>
  <c r="B310" i="37"/>
  <c r="B310" i="41" s="1"/>
  <c r="F310" i="37"/>
  <c r="F310" i="41" s="1"/>
  <c r="A311" i="37"/>
  <c r="A311" i="41" s="1"/>
  <c r="D311" i="37"/>
  <c r="D311" i="41" s="1"/>
  <c r="B311" i="37"/>
  <c r="B311" i="41" s="1"/>
  <c r="F311" i="37"/>
  <c r="F311" i="41" s="1"/>
  <c r="A312" i="37"/>
  <c r="A312" i="41" s="1"/>
  <c r="D312" i="37"/>
  <c r="D312" i="41" s="1"/>
  <c r="B312" i="37"/>
  <c r="B312" i="41" s="1"/>
  <c r="F312" i="37"/>
  <c r="F312" i="41" s="1"/>
  <c r="A313" i="37"/>
  <c r="A313" i="41" s="1"/>
  <c r="D313" i="37"/>
  <c r="D313" i="41" s="1"/>
  <c r="B313" i="37"/>
  <c r="B313" i="41" s="1"/>
  <c r="F313" i="37"/>
  <c r="F313" i="41" s="1"/>
  <c r="A314" i="37"/>
  <c r="A314" i="41" s="1"/>
  <c r="D314" i="37"/>
  <c r="D314" i="41" s="1"/>
  <c r="B314" i="37"/>
  <c r="B314" i="41" s="1"/>
  <c r="F314" i="37"/>
  <c r="F314" i="41" s="1"/>
  <c r="A315" i="37"/>
  <c r="A315" i="41" s="1"/>
  <c r="D315" i="37"/>
  <c r="D315" i="41" s="1"/>
  <c r="B315" i="37"/>
  <c r="B315" i="41" s="1"/>
  <c r="F315" i="37"/>
  <c r="F315" i="41" s="1"/>
  <c r="A316" i="37"/>
  <c r="A316" i="41" s="1"/>
  <c r="D316" i="37"/>
  <c r="D316" i="41" s="1"/>
  <c r="B316" i="37"/>
  <c r="B316" i="41" s="1"/>
  <c r="F316" i="37"/>
  <c r="F316" i="41" s="1"/>
  <c r="A317" i="37"/>
  <c r="A317" i="41" s="1"/>
  <c r="D317" i="37"/>
  <c r="D317" i="41" s="1"/>
  <c r="B317" i="37"/>
  <c r="B317" i="41" s="1"/>
  <c r="F317" i="37"/>
  <c r="F317" i="41" s="1"/>
  <c r="A318" i="37"/>
  <c r="A318" i="41" s="1"/>
  <c r="D318" i="37"/>
  <c r="D318" i="41" s="1"/>
  <c r="B318" i="37"/>
  <c r="B318" i="41" s="1"/>
  <c r="F318" i="37"/>
  <c r="F318" i="41" s="1"/>
  <c r="A319" i="37"/>
  <c r="A319" i="41" s="1"/>
  <c r="D319" i="37"/>
  <c r="D319" i="41" s="1"/>
  <c r="B319" i="37"/>
  <c r="B319" i="41" s="1"/>
  <c r="F319" i="37"/>
  <c r="F319" i="41" s="1"/>
  <c r="A320" i="37"/>
  <c r="A320" i="41" s="1"/>
  <c r="D320" i="37"/>
  <c r="D320" i="41" s="1"/>
  <c r="B320" i="37"/>
  <c r="B320" i="41" s="1"/>
  <c r="F320" i="37"/>
  <c r="F320" i="41" s="1"/>
  <c r="A321" i="37"/>
  <c r="A321" i="41" s="1"/>
  <c r="D321" i="37"/>
  <c r="D321" i="41" s="1"/>
  <c r="B321" i="37"/>
  <c r="B321" i="41" s="1"/>
  <c r="F321" i="37"/>
  <c r="F321" i="41" s="1"/>
  <c r="A322" i="37"/>
  <c r="A322" i="41" s="1"/>
  <c r="D322" i="37"/>
  <c r="D322" i="41" s="1"/>
  <c r="B322" i="37"/>
  <c r="B322" i="41" s="1"/>
  <c r="F322" i="37"/>
  <c r="F322" i="41" s="1"/>
  <c r="A323" i="37"/>
  <c r="A323" i="41" s="1"/>
  <c r="D323" i="37"/>
  <c r="D323" i="41" s="1"/>
  <c r="B323" i="37"/>
  <c r="B323" i="41" s="1"/>
  <c r="F323" i="37"/>
  <c r="F323" i="41" s="1"/>
  <c r="A324" i="37"/>
  <c r="A324" i="41" s="1"/>
  <c r="D324" i="37"/>
  <c r="D324" i="41" s="1"/>
  <c r="B324" i="37"/>
  <c r="B324" i="41" s="1"/>
  <c r="F324" i="37"/>
  <c r="F324" i="41" s="1"/>
  <c r="A325" i="37"/>
  <c r="A325" i="41" s="1"/>
  <c r="D325" i="37"/>
  <c r="D325" i="41" s="1"/>
  <c r="B325" i="37"/>
  <c r="B325" i="41" s="1"/>
  <c r="F325" i="37"/>
  <c r="F325" i="41" s="1"/>
  <c r="A326" i="37"/>
  <c r="A326" i="41" s="1"/>
  <c r="D326" i="37"/>
  <c r="D326" i="41" s="1"/>
  <c r="B326" i="37"/>
  <c r="B326" i="41" s="1"/>
  <c r="F326" i="37"/>
  <c r="F326" i="41" s="1"/>
  <c r="A327" i="37"/>
  <c r="A327" i="41" s="1"/>
  <c r="D327" i="37"/>
  <c r="D327" i="41" s="1"/>
  <c r="B327" i="37"/>
  <c r="B327" i="41" s="1"/>
  <c r="F327" i="37"/>
  <c r="F327" i="41" s="1"/>
  <c r="A328" i="37"/>
  <c r="A328" i="41" s="1"/>
  <c r="D328" i="37"/>
  <c r="D328" i="41" s="1"/>
  <c r="B328" i="37"/>
  <c r="B328" i="41" s="1"/>
  <c r="F328" i="37"/>
  <c r="F328" i="41" s="1"/>
  <c r="A329" i="37"/>
  <c r="A329" i="41" s="1"/>
  <c r="D329" i="37"/>
  <c r="D329" i="41" s="1"/>
  <c r="B329" i="37"/>
  <c r="B329" i="41" s="1"/>
  <c r="F329" i="37"/>
  <c r="F329" i="41" s="1"/>
  <c r="A330" i="37"/>
  <c r="A330" i="41" s="1"/>
  <c r="D330" i="37"/>
  <c r="D330" i="41" s="1"/>
  <c r="B330" i="37"/>
  <c r="B330" i="41" s="1"/>
  <c r="F330" i="37"/>
  <c r="F330" i="41" s="1"/>
  <c r="A331" i="37"/>
  <c r="A331" i="41" s="1"/>
  <c r="D331" i="37"/>
  <c r="D331" i="41" s="1"/>
  <c r="B331" i="37"/>
  <c r="B331" i="41" s="1"/>
  <c r="F331" i="37"/>
  <c r="F331" i="41" s="1"/>
  <c r="A332" i="37"/>
  <c r="A332" i="41" s="1"/>
  <c r="D332" i="37"/>
  <c r="D332" i="41" s="1"/>
  <c r="B332" i="37"/>
  <c r="B332" i="41" s="1"/>
  <c r="F332" i="37"/>
  <c r="F332" i="41" s="1"/>
  <c r="A333" i="37"/>
  <c r="A333" i="41" s="1"/>
  <c r="D333" i="37"/>
  <c r="D333" i="41" s="1"/>
  <c r="B333" i="37"/>
  <c r="B333" i="41" s="1"/>
  <c r="F333" i="37"/>
  <c r="F333" i="41" s="1"/>
  <c r="A334" i="37"/>
  <c r="A334" i="41" s="1"/>
  <c r="D334" i="37"/>
  <c r="D334" i="41" s="1"/>
  <c r="B334" i="37"/>
  <c r="B334" i="41" s="1"/>
  <c r="F334" i="37"/>
  <c r="F334" i="41" s="1"/>
  <c r="A335" i="37"/>
  <c r="A335" i="41" s="1"/>
  <c r="D335" i="37"/>
  <c r="D335" i="41" s="1"/>
  <c r="B335" i="37"/>
  <c r="B335" i="41" s="1"/>
  <c r="F335" i="37"/>
  <c r="F335" i="41" s="1"/>
  <c r="A336" i="37"/>
  <c r="A336" i="41" s="1"/>
  <c r="D336" i="37"/>
  <c r="D336" i="41" s="1"/>
  <c r="B336" i="37"/>
  <c r="B336" i="41" s="1"/>
  <c r="F336" i="37"/>
  <c r="F336" i="41" s="1"/>
  <c r="A337" i="37"/>
  <c r="A337" i="41" s="1"/>
  <c r="D337" i="37"/>
  <c r="D337" i="41" s="1"/>
  <c r="B337" i="37"/>
  <c r="B337" i="41" s="1"/>
  <c r="F337" i="37"/>
  <c r="F337" i="41" s="1"/>
  <c r="A338" i="37"/>
  <c r="A338" i="41" s="1"/>
  <c r="D338" i="37"/>
  <c r="D338" i="41" s="1"/>
  <c r="B338" i="37"/>
  <c r="B338" i="41" s="1"/>
  <c r="F338" i="37"/>
  <c r="F338" i="41" s="1"/>
  <c r="A339" i="37"/>
  <c r="A339" i="41" s="1"/>
  <c r="D339" i="37"/>
  <c r="D339" i="41" s="1"/>
  <c r="B339" i="37"/>
  <c r="B339" i="41" s="1"/>
  <c r="F339" i="37"/>
  <c r="F339" i="41" s="1"/>
  <c r="A340" i="37"/>
  <c r="A340" i="41" s="1"/>
  <c r="D340" i="37"/>
  <c r="D340" i="41" s="1"/>
  <c r="B340" i="37"/>
  <c r="B340" i="41" s="1"/>
  <c r="F340" i="37"/>
  <c r="F340" i="41" s="1"/>
  <c r="A341" i="37"/>
  <c r="A341" i="41" s="1"/>
  <c r="D341" i="37"/>
  <c r="D341" i="41" s="1"/>
  <c r="B341" i="37"/>
  <c r="B341" i="41" s="1"/>
  <c r="F341" i="37"/>
  <c r="F341" i="41" s="1"/>
  <c r="A342" i="37"/>
  <c r="A342" i="41" s="1"/>
  <c r="D342" i="37"/>
  <c r="D342" i="41" s="1"/>
  <c r="B342" i="37"/>
  <c r="B342" i="41" s="1"/>
  <c r="F342" i="37"/>
  <c r="F342" i="41" s="1"/>
  <c r="A343" i="37"/>
  <c r="A343" i="41" s="1"/>
  <c r="D343" i="37"/>
  <c r="D343" i="41" s="1"/>
  <c r="B343" i="37"/>
  <c r="B343" i="41" s="1"/>
  <c r="F343" i="37"/>
  <c r="F343" i="41" s="1"/>
  <c r="A344" i="37"/>
  <c r="A344" i="41" s="1"/>
  <c r="D344" i="37"/>
  <c r="D344" i="41" s="1"/>
  <c r="B344" i="37"/>
  <c r="B344" i="41" s="1"/>
  <c r="F344" i="37"/>
  <c r="F344" i="41" s="1"/>
  <c r="A345" i="37"/>
  <c r="A345" i="41" s="1"/>
  <c r="D345" i="37"/>
  <c r="D345" i="41" s="1"/>
  <c r="B345" i="37"/>
  <c r="B345" i="41" s="1"/>
  <c r="F345" i="37"/>
  <c r="F345" i="41" s="1"/>
  <c r="A346" i="37"/>
  <c r="A346" i="41" s="1"/>
  <c r="D346" i="37"/>
  <c r="D346" i="41" s="1"/>
  <c r="B346" i="37"/>
  <c r="B346" i="41" s="1"/>
  <c r="F346" i="37"/>
  <c r="F346" i="41" s="1"/>
  <c r="A347" i="37"/>
  <c r="A347" i="41" s="1"/>
  <c r="D347" i="37"/>
  <c r="D347" i="41" s="1"/>
  <c r="B347" i="37"/>
  <c r="B347" i="41" s="1"/>
  <c r="F347" i="37"/>
  <c r="F347" i="41" s="1"/>
  <c r="A348" i="37"/>
  <c r="A348" i="41" s="1"/>
  <c r="D348" i="37"/>
  <c r="D348" i="41" s="1"/>
  <c r="B348" i="37"/>
  <c r="B348" i="41" s="1"/>
  <c r="F348" i="37"/>
  <c r="F348" i="41" s="1"/>
  <c r="A349" i="37"/>
  <c r="A349" i="41" s="1"/>
  <c r="D349" i="37"/>
  <c r="D349" i="41" s="1"/>
  <c r="B349" i="37"/>
  <c r="B349" i="41" s="1"/>
  <c r="F349" i="37"/>
  <c r="F349" i="41" s="1"/>
  <c r="A350" i="37"/>
  <c r="A350" i="41" s="1"/>
  <c r="D350" i="37"/>
  <c r="D350" i="41" s="1"/>
  <c r="B350" i="37"/>
  <c r="B350" i="41" s="1"/>
  <c r="F350" i="37"/>
  <c r="F350" i="41" s="1"/>
  <c r="A351" i="37"/>
  <c r="A351" i="41" s="1"/>
  <c r="D351" i="37"/>
  <c r="D351" i="41" s="1"/>
  <c r="B351" i="37"/>
  <c r="B351" i="41" s="1"/>
  <c r="F351" i="37"/>
  <c r="F351" i="41" s="1"/>
  <c r="A352" i="37"/>
  <c r="A352" i="41" s="1"/>
  <c r="D352" i="37"/>
  <c r="D352" i="41" s="1"/>
  <c r="B352" i="37"/>
  <c r="B352" i="41" s="1"/>
  <c r="F352" i="37"/>
  <c r="F352" i="41" s="1"/>
  <c r="A353" i="37"/>
  <c r="A353" i="41" s="1"/>
  <c r="D353" i="37"/>
  <c r="D353" i="41" s="1"/>
  <c r="B353" i="37"/>
  <c r="B353" i="41" s="1"/>
  <c r="F353" i="37"/>
  <c r="F353" i="41" s="1"/>
  <c r="A354" i="37"/>
  <c r="A354" i="41" s="1"/>
  <c r="D354" i="37"/>
  <c r="D354" i="41" s="1"/>
  <c r="B354" i="37"/>
  <c r="B354" i="41" s="1"/>
  <c r="F354" i="37"/>
  <c r="F354" i="41" s="1"/>
  <c r="A355" i="37"/>
  <c r="A355" i="41" s="1"/>
  <c r="D355" i="37"/>
  <c r="D355" i="41" s="1"/>
  <c r="B355" i="37"/>
  <c r="B355" i="41" s="1"/>
  <c r="F355" i="37"/>
  <c r="F355" i="41" s="1"/>
  <c r="A356" i="37"/>
  <c r="A356" i="41" s="1"/>
  <c r="D356" i="37"/>
  <c r="D356" i="41" s="1"/>
  <c r="B356" i="37"/>
  <c r="B356" i="41" s="1"/>
  <c r="F356" i="37"/>
  <c r="F356" i="41" s="1"/>
  <c r="A357" i="37"/>
  <c r="A357" i="41" s="1"/>
  <c r="D357" i="37"/>
  <c r="D357" i="41" s="1"/>
  <c r="B357" i="37"/>
  <c r="B357" i="41" s="1"/>
  <c r="F357" i="37"/>
  <c r="F357" i="41" s="1"/>
  <c r="A358" i="37"/>
  <c r="A358" i="41" s="1"/>
  <c r="D358" i="37"/>
  <c r="D358" i="41" s="1"/>
  <c r="B358" i="37"/>
  <c r="B358" i="41" s="1"/>
  <c r="F358" i="37"/>
  <c r="F358" i="41" s="1"/>
  <c r="A359" i="37"/>
  <c r="A359" i="41" s="1"/>
  <c r="D359" i="37"/>
  <c r="D359" i="41" s="1"/>
  <c r="B359" i="37"/>
  <c r="B359" i="41" s="1"/>
  <c r="F359" i="37"/>
  <c r="F359" i="41" s="1"/>
  <c r="A360" i="37"/>
  <c r="A360" i="41" s="1"/>
  <c r="D360" i="37"/>
  <c r="D360" i="41" s="1"/>
  <c r="B360" i="37"/>
  <c r="B360" i="41" s="1"/>
  <c r="F360" i="37"/>
  <c r="F360" i="41" s="1"/>
  <c r="A361" i="37"/>
  <c r="A361" i="41" s="1"/>
  <c r="D361" i="37"/>
  <c r="D361" i="41" s="1"/>
  <c r="B361" i="37"/>
  <c r="B361" i="41" s="1"/>
  <c r="F361" i="37"/>
  <c r="F361" i="41" s="1"/>
  <c r="A362" i="37"/>
  <c r="A362" i="41" s="1"/>
  <c r="D362" i="37"/>
  <c r="D362" i="41" s="1"/>
  <c r="B362" i="37"/>
  <c r="B362" i="41" s="1"/>
  <c r="F362" i="37"/>
  <c r="F362" i="41" s="1"/>
  <c r="A363" i="37"/>
  <c r="A363" i="41" s="1"/>
  <c r="D363" i="37"/>
  <c r="D363" i="41" s="1"/>
  <c r="B363" i="37"/>
  <c r="B363" i="41" s="1"/>
  <c r="F363" i="37"/>
  <c r="F363" i="41" s="1"/>
  <c r="A364" i="37"/>
  <c r="A364" i="41" s="1"/>
  <c r="D364" i="37"/>
  <c r="D364" i="41" s="1"/>
  <c r="B364" i="37"/>
  <c r="B364" i="41" s="1"/>
  <c r="F364" i="37"/>
  <c r="F364" i="41" s="1"/>
  <c r="A365" i="37"/>
  <c r="A365" i="41" s="1"/>
  <c r="D365" i="37"/>
  <c r="D365" i="41" s="1"/>
  <c r="B365" i="37"/>
  <c r="B365" i="41" s="1"/>
  <c r="F365" i="37"/>
  <c r="F365" i="41" s="1"/>
  <c r="A366" i="37"/>
  <c r="A366" i="41" s="1"/>
  <c r="D366" i="37"/>
  <c r="D366" i="41" s="1"/>
  <c r="B366" i="37"/>
  <c r="B366" i="41" s="1"/>
  <c r="F366" i="37"/>
  <c r="F366" i="41" s="1"/>
  <c r="A367" i="37"/>
  <c r="A367" i="41" s="1"/>
  <c r="D367" i="37"/>
  <c r="D367" i="41" s="1"/>
  <c r="B367" i="37"/>
  <c r="B367" i="41" s="1"/>
  <c r="F367" i="37"/>
  <c r="F367" i="41" s="1"/>
  <c r="A368" i="37"/>
  <c r="A368" i="41" s="1"/>
  <c r="D368" i="37"/>
  <c r="D368" i="41" s="1"/>
  <c r="B368" i="37"/>
  <c r="B368" i="41" s="1"/>
  <c r="F368" i="37"/>
  <c r="F368" i="41" s="1"/>
  <c r="A369" i="37"/>
  <c r="A369" i="41" s="1"/>
  <c r="D369" i="37"/>
  <c r="D369" i="41" s="1"/>
  <c r="B369" i="37"/>
  <c r="B369" i="41" s="1"/>
  <c r="F369" i="37"/>
  <c r="F369" i="41" s="1"/>
  <c r="A370" i="37"/>
  <c r="A370" i="41" s="1"/>
  <c r="D370" i="37"/>
  <c r="D370" i="41" s="1"/>
  <c r="B370" i="37"/>
  <c r="B370" i="41" s="1"/>
  <c r="F370" i="37"/>
  <c r="F370" i="41" s="1"/>
  <c r="A371" i="37"/>
  <c r="A371" i="41" s="1"/>
  <c r="D371" i="37"/>
  <c r="D371" i="41" s="1"/>
  <c r="B371" i="37"/>
  <c r="B371" i="41" s="1"/>
  <c r="F371" i="37"/>
  <c r="F371" i="41" s="1"/>
  <c r="A372" i="37"/>
  <c r="A372" i="41" s="1"/>
  <c r="D372" i="37"/>
  <c r="D372" i="41" s="1"/>
  <c r="B372" i="37"/>
  <c r="B372" i="41" s="1"/>
  <c r="F372" i="37"/>
  <c r="F372" i="41" s="1"/>
  <c r="A373" i="37"/>
  <c r="A373" i="41" s="1"/>
  <c r="D373" i="37"/>
  <c r="D373" i="41" s="1"/>
  <c r="B373" i="37"/>
  <c r="B373" i="41" s="1"/>
  <c r="F373" i="37"/>
  <c r="F373" i="41" s="1"/>
  <c r="A374" i="37"/>
  <c r="A374" i="41" s="1"/>
  <c r="D374" i="37"/>
  <c r="D374" i="41" s="1"/>
  <c r="B374" i="37"/>
  <c r="B374" i="41" s="1"/>
  <c r="F374" i="37"/>
  <c r="F374" i="41" s="1"/>
  <c r="A375" i="37"/>
  <c r="A375" i="41" s="1"/>
  <c r="D375" i="37"/>
  <c r="D375" i="41" s="1"/>
  <c r="B375" i="37"/>
  <c r="B375" i="41" s="1"/>
  <c r="F375" i="37"/>
  <c r="F375" i="41" s="1"/>
  <c r="A376" i="37"/>
  <c r="A376" i="41" s="1"/>
  <c r="D376" i="37"/>
  <c r="D376" i="41" s="1"/>
  <c r="B376" i="37"/>
  <c r="B376" i="41" s="1"/>
  <c r="F376" i="37"/>
  <c r="F376" i="41" s="1"/>
  <c r="A377" i="37"/>
  <c r="A377" i="41" s="1"/>
  <c r="D377" i="37"/>
  <c r="D377" i="41" s="1"/>
  <c r="B377" i="37"/>
  <c r="B377" i="41" s="1"/>
  <c r="F377" i="37"/>
  <c r="F377" i="41" s="1"/>
  <c r="A378" i="37"/>
  <c r="A378" i="41" s="1"/>
  <c r="D378" i="37"/>
  <c r="D378" i="41" s="1"/>
  <c r="B378" i="37"/>
  <c r="B378" i="41" s="1"/>
  <c r="F378" i="37"/>
  <c r="F378" i="41" s="1"/>
  <c r="A379" i="37"/>
  <c r="A379" i="41" s="1"/>
  <c r="D379" i="37"/>
  <c r="D379" i="41" s="1"/>
  <c r="B379" i="37"/>
  <c r="B379" i="41" s="1"/>
  <c r="F379" i="37"/>
  <c r="F379" i="41" s="1"/>
  <c r="A380" i="37"/>
  <c r="A380" i="41" s="1"/>
  <c r="D380" i="37"/>
  <c r="D380" i="41" s="1"/>
  <c r="B380" i="37"/>
  <c r="B380" i="41" s="1"/>
  <c r="F380" i="37"/>
  <c r="F380" i="41" s="1"/>
  <c r="A381" i="37"/>
  <c r="A381" i="41" s="1"/>
  <c r="D381" i="37"/>
  <c r="D381" i="41" s="1"/>
  <c r="B381" i="37"/>
  <c r="B381" i="41" s="1"/>
  <c r="F381" i="37"/>
  <c r="F381" i="41" s="1"/>
  <c r="A382" i="37"/>
  <c r="A382" i="41" s="1"/>
  <c r="D382" i="37"/>
  <c r="D382" i="41" s="1"/>
  <c r="B382" i="37"/>
  <c r="B382" i="41" s="1"/>
  <c r="F382" i="37"/>
  <c r="F382" i="41" s="1"/>
  <c r="A383" i="37"/>
  <c r="A383" i="41" s="1"/>
  <c r="D383" i="37"/>
  <c r="D383" i="41" s="1"/>
  <c r="B383" i="37"/>
  <c r="B383" i="41" s="1"/>
  <c r="F383" i="37"/>
  <c r="F383" i="41" s="1"/>
  <c r="A384" i="37"/>
  <c r="A384" i="41" s="1"/>
  <c r="D384" i="37"/>
  <c r="D384" i="41" s="1"/>
  <c r="B384" i="37"/>
  <c r="B384" i="41" s="1"/>
  <c r="F384" i="37"/>
  <c r="F384" i="41" s="1"/>
  <c r="A385" i="37"/>
  <c r="A385" i="41" s="1"/>
  <c r="D385" i="37"/>
  <c r="D385" i="41" s="1"/>
  <c r="B385" i="37"/>
  <c r="B385" i="41" s="1"/>
  <c r="F385" i="37"/>
  <c r="F385" i="41" s="1"/>
  <c r="A386" i="37"/>
  <c r="A386" i="41" s="1"/>
  <c r="D386" i="37"/>
  <c r="D386" i="41" s="1"/>
  <c r="B386" i="37"/>
  <c r="B386" i="41" s="1"/>
  <c r="F386" i="37"/>
  <c r="F386" i="41" s="1"/>
  <c r="A387" i="37"/>
  <c r="A387" i="41" s="1"/>
  <c r="D387" i="37"/>
  <c r="D387" i="41" s="1"/>
  <c r="B387" i="37"/>
  <c r="B387" i="41" s="1"/>
  <c r="F387" i="37"/>
  <c r="F387" i="41" s="1"/>
  <c r="A388" i="37"/>
  <c r="A388" i="41" s="1"/>
  <c r="D388" i="37"/>
  <c r="D388" i="41" s="1"/>
  <c r="B388" i="37"/>
  <c r="B388" i="41" s="1"/>
  <c r="F388" i="37"/>
  <c r="F388" i="41" s="1"/>
  <c r="A389" i="37"/>
  <c r="A389" i="41" s="1"/>
  <c r="D389" i="37"/>
  <c r="D389" i="41" s="1"/>
  <c r="B389" i="37"/>
  <c r="B389" i="41" s="1"/>
  <c r="F389" i="37"/>
  <c r="F389" i="41" s="1"/>
  <c r="A390" i="37"/>
  <c r="A390" i="41" s="1"/>
  <c r="D390" i="37"/>
  <c r="D390" i="41" s="1"/>
  <c r="B390" i="37"/>
  <c r="B390" i="41" s="1"/>
  <c r="F390" i="37"/>
  <c r="F390" i="41" s="1"/>
  <c r="A391" i="37"/>
  <c r="A391" i="41" s="1"/>
  <c r="D391" i="37"/>
  <c r="D391" i="41" s="1"/>
  <c r="B391" i="37"/>
  <c r="B391" i="41" s="1"/>
  <c r="F391" i="37"/>
  <c r="F391" i="41" s="1"/>
  <c r="A392" i="37"/>
  <c r="A392" i="41" s="1"/>
  <c r="D392" i="37"/>
  <c r="D392" i="41" s="1"/>
  <c r="B392" i="37"/>
  <c r="B392" i="41" s="1"/>
  <c r="F392" i="37"/>
  <c r="F392" i="41" s="1"/>
  <c r="A393" i="37"/>
  <c r="A393" i="41" s="1"/>
  <c r="D393" i="37"/>
  <c r="D393" i="41" s="1"/>
  <c r="B393" i="37"/>
  <c r="B393" i="41" s="1"/>
  <c r="F393" i="37"/>
  <c r="F393" i="41" s="1"/>
  <c r="A394" i="37"/>
  <c r="A394" i="41" s="1"/>
  <c r="D394" i="37"/>
  <c r="D394" i="41" s="1"/>
  <c r="B394" i="37"/>
  <c r="B394" i="41" s="1"/>
  <c r="F394" i="37"/>
  <c r="F394" i="41" s="1"/>
  <c r="A395" i="37"/>
  <c r="A395" i="41" s="1"/>
  <c r="D395" i="37"/>
  <c r="D395" i="41" s="1"/>
  <c r="B395" i="37"/>
  <c r="B395" i="41" s="1"/>
  <c r="F395" i="37"/>
  <c r="F395" i="41" s="1"/>
  <c r="A396" i="37"/>
  <c r="A396" i="41" s="1"/>
  <c r="D396" i="37"/>
  <c r="D396" i="41" s="1"/>
  <c r="B396" i="37"/>
  <c r="B396" i="41" s="1"/>
  <c r="F396" i="37"/>
  <c r="F396" i="41" s="1"/>
  <c r="A397" i="37"/>
  <c r="A397" i="41" s="1"/>
  <c r="D397" i="37"/>
  <c r="D397" i="41" s="1"/>
  <c r="B397" i="37"/>
  <c r="B397" i="41" s="1"/>
  <c r="F397" i="37"/>
  <c r="F397" i="41" s="1"/>
  <c r="A398" i="37"/>
  <c r="A398" i="41" s="1"/>
  <c r="D398" i="37"/>
  <c r="D398" i="41" s="1"/>
  <c r="B398" i="37"/>
  <c r="B398" i="41" s="1"/>
  <c r="F398" i="37"/>
  <c r="F398" i="41" s="1"/>
  <c r="A399" i="37"/>
  <c r="A399" i="41" s="1"/>
  <c r="D399" i="37"/>
  <c r="D399" i="41" s="1"/>
  <c r="B399" i="37"/>
  <c r="B399" i="41" s="1"/>
  <c r="F399" i="37"/>
  <c r="F399" i="41" s="1"/>
  <c r="A400" i="37"/>
  <c r="A400" i="41" s="1"/>
  <c r="D400" i="37"/>
  <c r="D400" i="41" s="1"/>
  <c r="B400" i="37"/>
  <c r="B400" i="41" s="1"/>
  <c r="F400" i="37"/>
  <c r="F400" i="41" s="1"/>
  <c r="A401" i="37"/>
  <c r="A401" i="41" s="1"/>
  <c r="D401" i="37"/>
  <c r="D401" i="41" s="1"/>
  <c r="B401" i="37"/>
  <c r="B401" i="41" s="1"/>
  <c r="F401" i="37"/>
  <c r="F401" i="41" s="1"/>
  <c r="A402" i="37"/>
  <c r="A402" i="41" s="1"/>
  <c r="D402" i="37"/>
  <c r="D402" i="41" s="1"/>
  <c r="F1" i="37"/>
  <c r="F2" i="37"/>
  <c r="F2" i="41" s="1"/>
  <c r="F403" i="37"/>
  <c r="F403" i="41" s="1"/>
  <c r="F404" i="37"/>
  <c r="F404" i="41" s="1"/>
  <c r="F405" i="37"/>
  <c r="F405" i="41" s="1"/>
  <c r="F407" i="37"/>
  <c r="F407" i="41" s="1"/>
  <c r="F408" i="37"/>
  <c r="F408" i="41" s="1"/>
  <c r="F409" i="37"/>
  <c r="F409" i="41" s="1"/>
  <c r="F410" i="37"/>
  <c r="F410" i="41" s="1"/>
  <c r="F411" i="37"/>
  <c r="F411" i="41" s="1"/>
  <c r="F412" i="37"/>
  <c r="F412" i="41" s="1"/>
  <c r="F413" i="37"/>
  <c r="F413" i="41" s="1"/>
  <c r="F414" i="37"/>
  <c r="F414" i="41" s="1"/>
  <c r="F415" i="37"/>
  <c r="F415" i="41" s="1"/>
  <c r="F416" i="37"/>
  <c r="F416" i="41" s="1"/>
  <c r="F417" i="37"/>
  <c r="F417" i="41" s="1"/>
  <c r="F418" i="37"/>
  <c r="F418" i="41" s="1"/>
  <c r="F419" i="37"/>
  <c r="F419" i="41" s="1"/>
  <c r="F420" i="37"/>
  <c r="F420" i="41" s="1"/>
  <c r="F421" i="37"/>
  <c r="F421" i="41" s="1"/>
  <c r="F422" i="37"/>
  <c r="F422" i="41" s="1"/>
  <c r="F423" i="37"/>
  <c r="F423" i="41" s="1"/>
  <c r="F424" i="37"/>
  <c r="F424" i="41" s="1"/>
  <c r="F425" i="37"/>
  <c r="F425" i="41" s="1"/>
  <c r="F426" i="37"/>
  <c r="F426" i="41" s="1"/>
  <c r="F427" i="37"/>
  <c r="F427" i="41" s="1"/>
  <c r="F428" i="37"/>
  <c r="F428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59" i="37"/>
  <c r="F459" i="41" s="1"/>
  <c r="F460" i="37"/>
  <c r="F460" i="41" s="1"/>
  <c r="F461" i="37"/>
  <c r="F461" i="41" s="1"/>
  <c r="F462" i="37"/>
  <c r="F462" i="41" s="1"/>
  <c r="F463" i="37"/>
  <c r="F463" i="41" s="1"/>
  <c r="F464" i="37"/>
  <c r="F464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A403" i="37"/>
  <c r="A403" i="41" s="1"/>
  <c r="D403" i="37"/>
  <c r="D403" i="41" s="1"/>
  <c r="F402" i="37"/>
  <c r="F402" i="41" s="1"/>
  <c r="C403" i="37"/>
  <c r="C403" i="41" s="1"/>
  <c r="A404" i="37"/>
  <c r="A404" i="41" s="1"/>
  <c r="D404" i="37"/>
  <c r="D404" i="41" s="1"/>
  <c r="C404" i="37"/>
  <c r="C404" i="41" s="1"/>
  <c r="A405" i="37"/>
  <c r="A405" i="41" s="1"/>
  <c r="D405" i="37"/>
  <c r="D405" i="41" s="1"/>
  <c r="C405" i="37"/>
  <c r="C405" i="41" s="1"/>
  <c r="A407" i="37"/>
  <c r="A407" i="41" s="1"/>
  <c r="D407" i="37"/>
  <c r="D407" i="41" s="1"/>
  <c r="C407" i="37"/>
  <c r="C407" i="41" s="1"/>
  <c r="A408" i="37"/>
  <c r="A408" i="41" s="1"/>
  <c r="D408" i="37"/>
  <c r="D408" i="41" s="1"/>
  <c r="C408" i="37"/>
  <c r="C408" i="41" s="1"/>
  <c r="A409" i="37"/>
  <c r="A409" i="41" s="1"/>
  <c r="D409" i="37"/>
  <c r="D409" i="41" s="1"/>
  <c r="C409" i="37"/>
  <c r="C409" i="41" s="1"/>
  <c r="A410" i="37"/>
  <c r="A410" i="41" s="1"/>
  <c r="D410" i="37"/>
  <c r="D410" i="41" s="1"/>
  <c r="C410" i="37"/>
  <c r="C410" i="41" s="1"/>
  <c r="A411" i="37"/>
  <c r="A411" i="41" s="1"/>
  <c r="D411" i="37"/>
  <c r="D411" i="41" s="1"/>
  <c r="C411" i="37"/>
  <c r="C411" i="41" s="1"/>
  <c r="A412" i="37"/>
  <c r="A412" i="41" s="1"/>
  <c r="D412" i="37"/>
  <c r="D412" i="41" s="1"/>
  <c r="C412" i="37"/>
  <c r="C412" i="41" s="1"/>
  <c r="A413" i="37"/>
  <c r="A413" i="41" s="1"/>
  <c r="D413" i="37"/>
  <c r="D413" i="41" s="1"/>
  <c r="C413" i="37"/>
  <c r="C413" i="41" s="1"/>
  <c r="A414" i="37"/>
  <c r="A414" i="41" s="1"/>
  <c r="D414" i="37"/>
  <c r="D414" i="41" s="1"/>
  <c r="C414" i="37"/>
  <c r="C414" i="41" s="1"/>
  <c r="A415" i="37"/>
  <c r="A415" i="41" s="1"/>
  <c r="D415" i="37"/>
  <c r="D415" i="41" s="1"/>
  <c r="C415" i="37"/>
  <c r="C415" i="41" s="1"/>
  <c r="A416" i="37"/>
  <c r="A416" i="41" s="1"/>
  <c r="D416" i="37"/>
  <c r="D416" i="41" s="1"/>
  <c r="C416" i="37"/>
  <c r="C416" i="41" s="1"/>
  <c r="A417" i="37"/>
  <c r="A417" i="41" s="1"/>
  <c r="D417" i="37"/>
  <c r="D417" i="41" s="1"/>
  <c r="C417" i="37"/>
  <c r="C417" i="41" s="1"/>
  <c r="D418" i="37"/>
  <c r="D418" i="41" s="1"/>
  <c r="A418" i="37"/>
  <c r="A418" i="41" s="1"/>
  <c r="A419" i="37"/>
  <c r="A419" i="41" s="1"/>
  <c r="D419" i="37"/>
  <c r="D419" i="41" s="1"/>
  <c r="A420" i="37"/>
  <c r="A420" i="41" s="1"/>
  <c r="A421" i="37"/>
  <c r="A421" i="41" s="1"/>
  <c r="A422" i="37"/>
  <c r="A422" i="41" s="1"/>
  <c r="D420" i="37"/>
  <c r="D420" i="41" s="1"/>
  <c r="A423" i="37"/>
  <c r="A423" i="41" s="1"/>
  <c r="A424" i="37"/>
  <c r="A424" i="41" s="1"/>
  <c r="A425" i="37"/>
  <c r="A425" i="41" s="1"/>
  <c r="D421" i="37"/>
  <c r="D421" i="41" s="1"/>
  <c r="A426" i="37"/>
  <c r="A426" i="41" s="1"/>
  <c r="A427" i="37"/>
  <c r="A427" i="41" s="1"/>
  <c r="A428" i="37"/>
  <c r="A428" i="41" s="1"/>
  <c r="D422" i="37"/>
  <c r="D422" i="41" s="1"/>
  <c r="C207" i="38"/>
  <c r="C222" i="38" s="1"/>
  <c r="C237" i="38" s="1"/>
  <c r="A429" i="37"/>
  <c r="A429" i="41" s="1"/>
  <c r="A430" i="37"/>
  <c r="A430" i="41" s="1"/>
  <c r="A431" i="37"/>
  <c r="A431" i="41" s="1"/>
  <c r="D423" i="37"/>
  <c r="D423" i="41" s="1"/>
  <c r="A432" i="37"/>
  <c r="A432" i="41" s="1"/>
  <c r="D424" i="37"/>
  <c r="D424" i="41" s="1"/>
  <c r="D425" i="37"/>
  <c r="D425" i="41" s="1"/>
  <c r="D426" i="37"/>
  <c r="D426" i="41" s="1"/>
  <c r="C211" i="38"/>
  <c r="C226" i="38" s="1"/>
  <c r="C241" i="38" s="1"/>
  <c r="D427" i="37"/>
  <c r="D427" i="41" s="1"/>
  <c r="C212" i="38"/>
  <c r="C227" i="38" s="1"/>
  <c r="C242" i="38" s="1"/>
  <c r="C257" i="38" s="1"/>
  <c r="C272" i="38" s="1"/>
  <c r="D428" i="37"/>
  <c r="D428" i="41" s="1"/>
  <c r="C213" i="38"/>
  <c r="C228" i="38" s="1"/>
  <c r="C243" i="38" s="1"/>
  <c r="C258" i="38" s="1"/>
  <c r="A470" i="37"/>
  <c r="A470" i="41" s="1"/>
  <c r="C470" i="37"/>
  <c r="C470" i="41" s="1"/>
  <c r="D429" i="37"/>
  <c r="D429" i="41" s="1"/>
  <c r="D430" i="37"/>
  <c r="D430" i="41" s="1"/>
  <c r="D431" i="37"/>
  <c r="D431" i="41" s="1"/>
  <c r="C216" i="38"/>
  <c r="C231" i="38" s="1"/>
  <c r="C246" i="38" s="1"/>
  <c r="C261" i="38" s="1"/>
  <c r="D432" i="37"/>
  <c r="D432" i="41" s="1"/>
  <c r="D433" i="37"/>
  <c r="D433" i="41" s="1"/>
  <c r="D434" i="37"/>
  <c r="D434" i="41" s="1"/>
  <c r="D435" i="37"/>
  <c r="D435" i="41" s="1"/>
  <c r="D436" i="37"/>
  <c r="D436" i="41" s="1"/>
  <c r="D440" i="37"/>
  <c r="D440" i="41" s="1"/>
  <c r="D440" i="58"/>
  <c r="D441" i="37"/>
  <c r="D441" i="41" s="1"/>
  <c r="D442" i="37"/>
  <c r="D442" i="41" s="1"/>
  <c r="D443" i="37"/>
  <c r="D443" i="41" s="1"/>
  <c r="D444" i="37"/>
  <c r="D444" i="41" s="1"/>
  <c r="D445" i="37"/>
  <c r="D445" i="41" s="1"/>
  <c r="D446" i="37"/>
  <c r="D446" i="41" s="1"/>
  <c r="D447" i="37"/>
  <c r="D447" i="41" s="1"/>
  <c r="D448" i="37"/>
  <c r="D448" i="41" s="1"/>
  <c r="D449" i="37"/>
  <c r="D449" i="41" s="1"/>
  <c r="D449" i="58"/>
  <c r="A470" i="58"/>
  <c r="C470" i="58"/>
  <c r="D103" i="38"/>
  <c r="D106" i="38"/>
  <c r="H183" i="35"/>
  <c r="C11" i="6"/>
  <c r="H184" i="35"/>
  <c r="H4" i="20"/>
  <c r="C402" i="37"/>
  <c r="C402" i="41" s="1"/>
  <c r="C402" i="58"/>
  <c r="D2" i="34"/>
  <c r="D204" i="38"/>
  <c r="D109" i="38"/>
  <c r="D206" i="38"/>
  <c r="D208" i="38"/>
  <c r="D116" i="38"/>
  <c r="D117" i="38"/>
  <c r="D212" i="38"/>
  <c r="D224" i="38"/>
  <c r="D450" i="37"/>
  <c r="D450" i="41" s="1"/>
  <c r="D450" i="58"/>
  <c r="D168" i="38"/>
  <c r="D451" i="37"/>
  <c r="D451" i="41" s="1"/>
  <c r="D453" i="37"/>
  <c r="D453" i="41" s="1"/>
  <c r="D454" i="37"/>
  <c r="D454" i="41" s="1"/>
  <c r="D455" i="37"/>
  <c r="D455" i="41" s="1"/>
  <c r="D455" i="58"/>
  <c r="D456" i="37"/>
  <c r="D456" i="41" s="1"/>
  <c r="A453" i="37"/>
  <c r="A453" i="41" s="1"/>
  <c r="A454" i="37"/>
  <c r="A454" i="41" s="1"/>
  <c r="A455" i="37"/>
  <c r="A455" i="41" s="1"/>
  <c r="A456" i="37"/>
  <c r="A456" i="41" s="1"/>
  <c r="D459" i="37"/>
  <c r="D459" i="41" s="1"/>
  <c r="A9" i="8"/>
  <c r="A17" i="8" s="1"/>
  <c r="D460" i="37"/>
  <c r="D460" i="41" s="1"/>
  <c r="A10" i="8"/>
  <c r="A18" i="8" s="1"/>
  <c r="A472" i="37"/>
  <c r="A472" i="41" s="1"/>
  <c r="D472" i="37"/>
  <c r="D472" i="41" s="1"/>
  <c r="C472" i="37"/>
  <c r="C472" i="41" s="1"/>
  <c r="A11" i="8"/>
  <c r="C280" i="38" s="1"/>
  <c r="C286" i="38" s="1"/>
  <c r="C292" i="38" s="1"/>
  <c r="A12" i="8"/>
  <c r="A5" i="53" s="1"/>
  <c r="A13" i="8"/>
  <c r="C282" i="38" s="1"/>
  <c r="C288" i="38" s="1"/>
  <c r="C294" i="38" s="1"/>
  <c r="C300" i="38" s="1"/>
  <c r="C306" i="38" s="1"/>
  <c r="C312" i="38" s="1"/>
  <c r="C318" i="38" s="1"/>
  <c r="C324" i="38" s="1"/>
  <c r="C330" i="38" s="1"/>
  <c r="C336" i="38" s="1"/>
  <c r="C342" i="38" s="1"/>
  <c r="C348" i="38" s="1"/>
  <c r="A14" i="8"/>
  <c r="D461" i="37"/>
  <c r="D461" i="41" s="1"/>
  <c r="A472" i="58"/>
  <c r="D472" i="58"/>
  <c r="C472" i="58"/>
  <c r="D462" i="37"/>
  <c r="D462" i="41" s="1"/>
  <c r="D463" i="37"/>
  <c r="D463" i="41" s="1"/>
  <c r="D464" i="37"/>
  <c r="D464" i="41" s="1"/>
  <c r="A468" i="37"/>
  <c r="A468" i="41" s="1"/>
  <c r="C468" i="37"/>
  <c r="C468" i="41" s="1"/>
  <c r="A468" i="58"/>
  <c r="C468" i="58"/>
  <c r="A469" i="37"/>
  <c r="A469" i="41" s="1"/>
  <c r="C469" i="37"/>
  <c r="C469" i="41" s="1"/>
  <c r="A469" i="58"/>
  <c r="C469" i="58"/>
  <c r="A471" i="37"/>
  <c r="A471" i="41" s="1"/>
  <c r="D471" i="37"/>
  <c r="D471" i="41" s="1"/>
  <c r="C471" i="37"/>
  <c r="C471" i="41" s="1"/>
  <c r="A471" i="58"/>
  <c r="D471" i="58"/>
  <c r="C471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33" i="37"/>
  <c r="A433" i="41" s="1"/>
  <c r="A434" i="37"/>
  <c r="A434" i="41" s="1"/>
  <c r="A435" i="37"/>
  <c r="A435" i="41" s="1"/>
  <c r="A436" i="37"/>
  <c r="A436" i="41" s="1"/>
  <c r="A440" i="37"/>
  <c r="A440" i="41" s="1"/>
  <c r="A441" i="37"/>
  <c r="A441" i="41" s="1"/>
  <c r="A442" i="37"/>
  <c r="A442" i="41" s="1"/>
  <c r="A443" i="37"/>
  <c r="A443" i="41" s="1"/>
  <c r="A444" i="37"/>
  <c r="A444" i="41" s="1"/>
  <c r="A445" i="37"/>
  <c r="A445" i="41" s="1"/>
  <c r="A446" i="37"/>
  <c r="A446" i="41" s="1"/>
  <c r="A447" i="37"/>
  <c r="A447" i="41" s="1"/>
  <c r="A448" i="37"/>
  <c r="A448" i="41" s="1"/>
  <c r="A449" i="37"/>
  <c r="A449" i="41" s="1"/>
  <c r="A450" i="37"/>
  <c r="A450" i="41" s="1"/>
  <c r="A451" i="37"/>
  <c r="A451" i="41" s="1"/>
  <c r="A452" i="37"/>
  <c r="A452" i="41" s="1"/>
  <c r="A457" i="37"/>
  <c r="A457" i="41" s="1"/>
  <c r="A458" i="37"/>
  <c r="A458" i="41" s="1"/>
  <c r="A459" i="37"/>
  <c r="A459" i="41" s="1"/>
  <c r="A460" i="37"/>
  <c r="A460" i="41" s="1"/>
  <c r="A461" i="37"/>
  <c r="A461" i="41" s="1"/>
  <c r="A462" i="37"/>
  <c r="A462" i="41" s="1"/>
  <c r="A463" i="37"/>
  <c r="A463" i="41" s="1"/>
  <c r="A464" i="37"/>
  <c r="A464" i="41" s="1"/>
  <c r="A467" i="37"/>
  <c r="A467" i="41" s="1"/>
  <c r="D303" i="38"/>
  <c r="D305" i="38"/>
  <c r="D306" i="38"/>
  <c r="D307" i="38"/>
  <c r="D311" i="38"/>
  <c r="D316" i="38"/>
  <c r="D318" i="38"/>
  <c r="D319" i="38"/>
  <c r="D323" i="38"/>
  <c r="D326" i="38"/>
  <c r="D452" i="37"/>
  <c r="D452" i="41" s="1"/>
  <c r="D457" i="37"/>
  <c r="D457" i="41" s="1"/>
  <c r="D458" i="37"/>
  <c r="D458" i="41" s="1"/>
  <c r="D467" i="37"/>
  <c r="D467" i="41" s="1"/>
  <c r="D468" i="37"/>
  <c r="D468" i="41" s="1"/>
  <c r="D469" i="37"/>
  <c r="D469" i="41" s="1"/>
  <c r="D470" i="37"/>
  <c r="D470" i="41" s="1"/>
  <c r="D357" i="38"/>
  <c r="D358" i="38"/>
  <c r="D359" i="38"/>
  <c r="D360" i="38"/>
  <c r="D453" i="58"/>
  <c r="D454" i="58"/>
  <c r="D456" i="58"/>
  <c r="A453" i="58"/>
  <c r="A454" i="58"/>
  <c r="A455" i="58"/>
  <c r="A456" i="58"/>
  <c r="D419" i="58"/>
  <c r="D420" i="58"/>
  <c r="D421" i="58"/>
  <c r="D422" i="58"/>
  <c r="D423" i="58"/>
  <c r="D424" i="58"/>
  <c r="D425" i="58"/>
  <c r="D426" i="58"/>
  <c r="D427" i="58"/>
  <c r="D428" i="58"/>
  <c r="D429" i="58"/>
  <c r="D430" i="58"/>
  <c r="D431" i="58"/>
  <c r="D432" i="58"/>
  <c r="D433" i="58"/>
  <c r="D434" i="58"/>
  <c r="D435" i="58"/>
  <c r="D436" i="58"/>
  <c r="D441" i="58"/>
  <c r="D442" i="58"/>
  <c r="D443" i="58"/>
  <c r="D444" i="58"/>
  <c r="D445" i="58"/>
  <c r="D446" i="58"/>
  <c r="D447" i="58"/>
  <c r="D448" i="58"/>
  <c r="D451" i="58"/>
  <c r="D459" i="58"/>
  <c r="D460" i="58"/>
  <c r="D461" i="58"/>
  <c r="D462" i="58"/>
  <c r="D463" i="58"/>
  <c r="D464" i="58"/>
  <c r="A418" i="58"/>
  <c r="A419" i="58"/>
  <c r="A420" i="58"/>
  <c r="A421" i="58"/>
  <c r="A422" i="58"/>
  <c r="A423" i="58"/>
  <c r="A424" i="58"/>
  <c r="A425" i="58"/>
  <c r="A426" i="58"/>
  <c r="A427" i="58"/>
  <c r="A428" i="58"/>
  <c r="A429" i="58"/>
  <c r="A430" i="58"/>
  <c r="A431" i="58"/>
  <c r="A432" i="58"/>
  <c r="A433" i="58"/>
  <c r="A434" i="58"/>
  <c r="A435" i="58"/>
  <c r="A43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7" i="58"/>
  <c r="A458" i="58"/>
  <c r="A459" i="58"/>
  <c r="A460" i="58"/>
  <c r="A461" i="58"/>
  <c r="A462" i="58"/>
  <c r="A463" i="58"/>
  <c r="A464" i="58"/>
  <c r="A467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70" i="58"/>
  <c r="D468" i="58"/>
  <c r="D469" i="58"/>
  <c r="D4" i="17"/>
  <c r="C16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71" i="58"/>
  <c r="B472" i="58"/>
  <c r="B471" i="37"/>
  <c r="B471" i="41" s="1"/>
  <c r="B472" i="37"/>
  <c r="B472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29" i="58"/>
  <c r="C429" i="58"/>
  <c r="B429" i="37"/>
  <c r="B429" i="41" s="1"/>
  <c r="C429" i="37"/>
  <c r="C429" i="41" s="1"/>
  <c r="H17" i="39"/>
  <c r="B449" i="58"/>
  <c r="C449" i="58"/>
  <c r="B449" i="37"/>
  <c r="B449" i="41" s="1"/>
  <c r="C449" i="37"/>
  <c r="C449" i="41" s="1"/>
  <c r="F6" i="6"/>
  <c r="F7" i="6"/>
  <c r="F5" i="6"/>
  <c r="B467" i="58"/>
  <c r="C467" i="58"/>
  <c r="D467" i="58"/>
  <c r="B468" i="58"/>
  <c r="B469" i="58"/>
  <c r="B470" i="58"/>
  <c r="B467" i="37"/>
  <c r="B467" i="41" s="1"/>
  <c r="C467" i="37"/>
  <c r="C467" i="41" s="1"/>
  <c r="B468" i="37"/>
  <c r="B468" i="41" s="1"/>
  <c r="B469" i="37"/>
  <c r="B469" i="41" s="1"/>
  <c r="B470" i="37"/>
  <c r="B470" i="41" s="1"/>
  <c r="E49" i="26"/>
  <c r="E50" i="26"/>
  <c r="E51" i="26"/>
  <c r="E52" i="26"/>
  <c r="E53" i="26"/>
  <c r="B49" i="26"/>
  <c r="B50" i="26"/>
  <c r="B51" i="26"/>
  <c r="B52" i="26"/>
  <c r="B53" i="26"/>
  <c r="D18" i="26"/>
  <c r="C18" i="26"/>
  <c r="O20" i="39"/>
  <c r="O23" i="39"/>
  <c r="O24" i="39"/>
  <c r="O26" i="39"/>
  <c r="O27" i="39"/>
  <c r="O28" i="39"/>
  <c r="C464" i="58"/>
  <c r="B464" i="58"/>
  <c r="C463" i="58"/>
  <c r="B463" i="58"/>
  <c r="C462" i="58"/>
  <c r="B462" i="58"/>
  <c r="C461" i="58"/>
  <c r="B461" i="58"/>
  <c r="C460" i="58"/>
  <c r="B460" i="58"/>
  <c r="C459" i="58"/>
  <c r="B459" i="58"/>
  <c r="D458" i="58"/>
  <c r="C458" i="58"/>
  <c r="B458" i="58"/>
  <c r="D457" i="58"/>
  <c r="C457" i="58"/>
  <c r="B457" i="58"/>
  <c r="C456" i="58"/>
  <c r="B456" i="58"/>
  <c r="C455" i="58"/>
  <c r="B455" i="58"/>
  <c r="C454" i="58"/>
  <c r="B454" i="58"/>
  <c r="C453" i="58"/>
  <c r="B453" i="58"/>
  <c r="D452" i="58"/>
  <c r="C452" i="58"/>
  <c r="B452" i="58"/>
  <c r="C451" i="58"/>
  <c r="B451" i="58"/>
  <c r="C450" i="58"/>
  <c r="B450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C436" i="58"/>
  <c r="B436" i="58"/>
  <c r="C435" i="58"/>
  <c r="B435" i="58"/>
  <c r="C434" i="58"/>
  <c r="B434" i="58"/>
  <c r="C433" i="58"/>
  <c r="B433" i="58"/>
  <c r="C432" i="58"/>
  <c r="B432" i="58"/>
  <c r="C431" i="58"/>
  <c r="B431" i="58"/>
  <c r="C430" i="58"/>
  <c r="B430" i="58"/>
  <c r="C428" i="58"/>
  <c r="B428" i="58"/>
  <c r="C427" i="58"/>
  <c r="B427" i="58"/>
  <c r="C426" i="58"/>
  <c r="B426" i="58"/>
  <c r="C425" i="58"/>
  <c r="B425" i="58"/>
  <c r="C424" i="58"/>
  <c r="B424" i="58"/>
  <c r="C423" i="58"/>
  <c r="B423" i="58"/>
  <c r="C422" i="58"/>
  <c r="B422" i="58"/>
  <c r="C421" i="58"/>
  <c r="B421" i="58"/>
  <c r="C420" i="58"/>
  <c r="B420" i="58"/>
  <c r="C419" i="58"/>
  <c r="B419" i="58"/>
  <c r="C418" i="58"/>
  <c r="B418" i="58"/>
  <c r="B417" i="58"/>
  <c r="B416" i="58"/>
  <c r="B415" i="58"/>
  <c r="B414" i="58"/>
  <c r="B413" i="58"/>
  <c r="B412" i="58"/>
  <c r="B411" i="58"/>
  <c r="B410" i="58"/>
  <c r="B409" i="58"/>
  <c r="B408" i="58"/>
  <c r="B407" i="58"/>
  <c r="B405" i="58"/>
  <c r="B404" i="58"/>
  <c r="B403" i="58"/>
  <c r="B402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02" i="37"/>
  <c r="B402" i="41" s="1"/>
  <c r="B403" i="37"/>
  <c r="B403" i="41" s="1"/>
  <c r="B404" i="37"/>
  <c r="B404" i="41" s="1"/>
  <c r="B405" i="37"/>
  <c r="B405" i="41" s="1"/>
  <c r="B407" i="37"/>
  <c r="B407" i="41" s="1"/>
  <c r="B408" i="37"/>
  <c r="B408" i="41" s="1"/>
  <c r="B409" i="37"/>
  <c r="B409" i="41" s="1"/>
  <c r="B410" i="37"/>
  <c r="B410" i="41" s="1"/>
  <c r="B411" i="37"/>
  <c r="B411" i="41" s="1"/>
  <c r="B412" i="37"/>
  <c r="B412" i="41" s="1"/>
  <c r="B413" i="37"/>
  <c r="B413" i="41" s="1"/>
  <c r="B414" i="37"/>
  <c r="B414" i="41" s="1"/>
  <c r="B415" i="37"/>
  <c r="B415" i="41" s="1"/>
  <c r="B416" i="37"/>
  <c r="B416" i="41" s="1"/>
  <c r="B417" i="37"/>
  <c r="B417" i="41" s="1"/>
  <c r="B418" i="37"/>
  <c r="B418" i="41" s="1"/>
  <c r="C418" i="37"/>
  <c r="C418" i="41" s="1"/>
  <c r="B419" i="37"/>
  <c r="B419" i="41" s="1"/>
  <c r="C419" i="37"/>
  <c r="C419" i="41" s="1"/>
  <c r="B420" i="37"/>
  <c r="B420" i="41" s="1"/>
  <c r="C420" i="37"/>
  <c r="C420" i="41" s="1"/>
  <c r="B421" i="37"/>
  <c r="B421" i="41" s="1"/>
  <c r="C421" i="37"/>
  <c r="C421" i="41" s="1"/>
  <c r="B422" i="37"/>
  <c r="B422" i="41" s="1"/>
  <c r="C422" i="37"/>
  <c r="C422" i="41" s="1"/>
  <c r="B423" i="37"/>
  <c r="B423" i="41" s="1"/>
  <c r="C423" i="37"/>
  <c r="C423" i="41" s="1"/>
  <c r="B424" i="37"/>
  <c r="B424" i="41" s="1"/>
  <c r="C424" i="37"/>
  <c r="C424" i="41" s="1"/>
  <c r="B425" i="37"/>
  <c r="B425" i="41" s="1"/>
  <c r="C425" i="37"/>
  <c r="C425" i="41" s="1"/>
  <c r="B426" i="37"/>
  <c r="B426" i="41" s="1"/>
  <c r="C426" i="37"/>
  <c r="C426" i="41" s="1"/>
  <c r="B427" i="37"/>
  <c r="B427" i="41" s="1"/>
  <c r="C427" i="37"/>
  <c r="C427" i="41" s="1"/>
  <c r="B428" i="37"/>
  <c r="B428" i="41" s="1"/>
  <c r="C428" i="37"/>
  <c r="C428" i="41" s="1"/>
  <c r="B430" i="37"/>
  <c r="B430" i="41" s="1"/>
  <c r="C430" i="37"/>
  <c r="C430" i="41" s="1"/>
  <c r="B431" i="37"/>
  <c r="B431" i="41" s="1"/>
  <c r="C431" i="37"/>
  <c r="C431" i="41" s="1"/>
  <c r="B432" i="37"/>
  <c r="B432" i="41" s="1"/>
  <c r="C432" i="37"/>
  <c r="C432" i="41" s="1"/>
  <c r="B433" i="37"/>
  <c r="B433" i="41" s="1"/>
  <c r="C433" i="37"/>
  <c r="C433" i="41" s="1"/>
  <c r="B434" i="37"/>
  <c r="B434" i="41" s="1"/>
  <c r="C434" i="37"/>
  <c r="C434" i="41" s="1"/>
  <c r="B435" i="37"/>
  <c r="B435" i="41" s="1"/>
  <c r="C435" i="37"/>
  <c r="C435" i="41" s="1"/>
  <c r="B436" i="37"/>
  <c r="B436" i="41" s="1"/>
  <c r="C436" i="37"/>
  <c r="C436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50" i="37"/>
  <c r="B450" i="41" s="1"/>
  <c r="C450" i="37"/>
  <c r="C450" i="41" s="1"/>
  <c r="B451" i="37"/>
  <c r="B451" i="41" s="1"/>
  <c r="C451" i="37"/>
  <c r="C451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59" i="37"/>
  <c r="B459" i="41" s="1"/>
  <c r="C459" i="37"/>
  <c r="C459" i="41" s="1"/>
  <c r="B460" i="37"/>
  <c r="B460" i="41" s="1"/>
  <c r="C460" i="37"/>
  <c r="C460" i="41" s="1"/>
  <c r="B461" i="37"/>
  <c r="B461" i="41" s="1"/>
  <c r="C461" i="37"/>
  <c r="C461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7" i="26"/>
  <c r="C47" i="26"/>
  <c r="F11" i="32"/>
  <c r="E23" i="17" l="1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6" i="63"/>
  <c r="D290" i="66"/>
  <c r="D256" i="66"/>
  <c r="D143" i="66"/>
  <c r="D109" i="66"/>
  <c r="C74" i="57"/>
  <c r="C36" i="57"/>
  <c r="D173" i="38"/>
  <c r="D47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C66" i="66"/>
  <c r="O66" i="66" s="1"/>
  <c r="B34" i="63"/>
  <c r="B29" i="63"/>
  <c r="B7" i="63"/>
  <c r="B32" i="63"/>
  <c r="B4" i="63"/>
  <c r="B37" i="63"/>
  <c r="B30" i="63"/>
  <c r="B6" i="63"/>
  <c r="B8" i="63"/>
  <c r="B9" i="63"/>
  <c r="B3" i="63"/>
  <c r="B31" i="63"/>
  <c r="B10" i="63"/>
  <c r="B2" i="63"/>
  <c r="D411" i="38"/>
  <c r="B36" i="63"/>
  <c r="D410" i="38"/>
  <c r="B33" i="63"/>
  <c r="B5" i="63"/>
  <c r="B35" i="63"/>
  <c r="D405" i="38"/>
  <c r="D404" i="38"/>
  <c r="B55" i="63"/>
  <c r="B48" i="63"/>
  <c r="B54" i="63"/>
  <c r="B28" i="63"/>
  <c r="D414" i="38"/>
  <c r="B53" i="63"/>
  <c r="B47" i="63"/>
  <c r="B52" i="63"/>
  <c r="B51" i="63"/>
  <c r="B50" i="63"/>
  <c r="D409" i="38"/>
  <c r="D408" i="38"/>
  <c r="B49" i="63"/>
  <c r="D415" i="38"/>
  <c r="B11" i="63"/>
  <c r="B46" i="63"/>
  <c r="B45" i="63"/>
  <c r="B43" i="63"/>
  <c r="B12" i="63"/>
  <c r="B41" i="63"/>
  <c r="B14" i="63"/>
  <c r="B40" i="63"/>
  <c r="B15" i="63"/>
  <c r="D413" i="38"/>
  <c r="D407" i="38"/>
  <c r="D406" i="38"/>
  <c r="B44" i="63"/>
  <c r="B39" i="63"/>
  <c r="B16" i="63"/>
  <c r="D412" i="38"/>
  <c r="B38" i="63"/>
  <c r="B18" i="63"/>
  <c r="B17" i="63"/>
  <c r="B19" i="63"/>
  <c r="B42" i="63"/>
  <c r="B13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37" i="66"/>
  <c r="O37" i="66" s="1"/>
  <c r="C169" i="66"/>
  <c r="C11" i="66"/>
  <c r="C23" i="66"/>
  <c r="O23" i="66" s="1"/>
  <c r="C35" i="66"/>
  <c r="C47" i="66"/>
  <c r="C155" i="66"/>
  <c r="C167" i="66"/>
  <c r="O167" i="66" s="1"/>
  <c r="C181" i="66"/>
  <c r="O181" i="66" s="1"/>
  <c r="U181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C85" i="66"/>
  <c r="O85" i="66" s="1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C229" i="66"/>
  <c r="O229" i="66" s="1"/>
  <c r="U229" i="66" s="1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C133" i="66"/>
  <c r="O133" i="66" s="1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0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27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X3" i="20"/>
  <c r="P29" i="18"/>
  <c r="X6" i="20"/>
  <c r="D11" i="32"/>
  <c r="Q33" i="9"/>
  <c r="AC2" i="39"/>
  <c r="D248" i="66"/>
  <c r="D105" i="66"/>
  <c r="C75" i="57"/>
  <c r="C38" i="57"/>
  <c r="D16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5" i="63"/>
  <c r="G47" i="26"/>
  <c r="R33" i="9"/>
  <c r="R31" i="20"/>
  <c r="D247" i="66"/>
  <c r="D104" i="66"/>
  <c r="C72" i="57"/>
  <c r="C35" i="57"/>
  <c r="D347" i="38"/>
  <c r="D335" i="38"/>
  <c r="C28" i="53"/>
  <c r="D268" i="38"/>
  <c r="D184" i="38"/>
  <c r="D172" i="38"/>
  <c r="D132" i="38"/>
  <c r="D218" i="38"/>
  <c r="D127" i="38"/>
  <c r="D82" i="38"/>
  <c r="D42" i="38"/>
  <c r="D16" i="6"/>
  <c r="B20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4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3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2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0" i="26"/>
  <c r="B21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3" i="63" s="1"/>
  <c r="F22" i="63" s="1"/>
  <c r="F31" i="63" s="1"/>
  <c r="F40" i="63" s="1"/>
  <c r="F49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4" i="63" s="1"/>
  <c r="F23" i="63" s="1"/>
  <c r="F32" i="63" s="1"/>
  <c r="F41" i="63" s="1"/>
  <c r="F50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0" i="26"/>
  <c r="D7" i="38"/>
  <c r="D57" i="38"/>
  <c r="D93" i="38"/>
  <c r="K38" i="39"/>
  <c r="D101" i="38"/>
  <c r="D280" i="38"/>
  <c r="C11" i="53"/>
  <c r="D153" i="38"/>
  <c r="D234" i="38"/>
  <c r="D246" i="38"/>
  <c r="D293" i="38"/>
  <c r="B16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87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7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299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7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5" i="63" s="1"/>
  <c r="F24" i="63" s="1"/>
  <c r="F33" i="63" s="1"/>
  <c r="F42" i="63" s="1"/>
  <c r="F51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9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21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78" i="66"/>
  <c r="O39" i="66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C289" i="38" s="1"/>
  <c r="C295" i="38" s="1"/>
  <c r="C301" i="38" s="1"/>
  <c r="C307" i="38" s="1"/>
  <c r="C313" i="38" s="1"/>
  <c r="C319" i="38" s="1"/>
  <c r="C325" i="38" s="1"/>
  <c r="C331" i="38" s="1"/>
  <c r="C337" i="38" s="1"/>
  <c r="C343" i="38" s="1"/>
  <c r="C349" i="38" s="1"/>
  <c r="A22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0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C285" i="38" s="1"/>
  <c r="C291" i="38" s="1"/>
  <c r="C297" i="38" s="1"/>
  <c r="C303" i="38" s="1"/>
  <c r="C309" i="38" s="1"/>
  <c r="D170" i="35"/>
  <c r="D76" i="35"/>
  <c r="D39" i="35"/>
  <c r="C8" i="17"/>
  <c r="D8" i="17" s="1"/>
  <c r="E8" i="17" s="1"/>
  <c r="D120" i="35"/>
  <c r="D84" i="35"/>
  <c r="T4" i="20"/>
  <c r="H20" i="26"/>
  <c r="D75" i="38"/>
  <c r="D121" i="38"/>
  <c r="D125" i="38"/>
  <c r="D133" i="38"/>
  <c r="A20" i="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C298" i="38"/>
  <c r="G45" i="39"/>
  <c r="C278" i="38"/>
  <c r="A2" i="53"/>
  <c r="C273" i="38"/>
  <c r="C281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C6" i="17"/>
  <c r="D6" i="17" s="1"/>
  <c r="E6" i="17" s="1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0" i="26"/>
  <c r="C21" i="17"/>
  <c r="E22" i="17" l="1"/>
  <c r="D24" i="20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D5" i="9"/>
  <c r="G32" i="26"/>
  <c r="H217" i="35" s="1"/>
  <c r="A10" i="53"/>
  <c r="A9" i="53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L53" i="39"/>
  <c r="E168" i="38" s="1"/>
  <c r="E16" i="38"/>
  <c r="G214" i="35"/>
  <c r="G225" i="35"/>
  <c r="G217" i="35"/>
  <c r="E33" i="38"/>
  <c r="G28" i="26"/>
  <c r="H213" i="35" s="1"/>
  <c r="G40" i="26"/>
  <c r="H225" i="35" s="1"/>
  <c r="G33" i="26"/>
  <c r="H218" i="35" s="1"/>
  <c r="D32" i="26"/>
  <c r="H196" i="35" s="1"/>
  <c r="D33" i="26"/>
  <c r="H197" i="35" s="1"/>
  <c r="D24" i="26"/>
  <c r="H188" i="35" s="1"/>
  <c r="D36" i="26"/>
  <c r="H200" i="35" s="1"/>
  <c r="D25" i="26"/>
  <c r="H189" i="35" s="1"/>
  <c r="D37" i="26"/>
  <c r="H201" i="35" s="1"/>
  <c r="D28" i="26"/>
  <c r="H192" i="35" s="1"/>
  <c r="D40" i="26"/>
  <c r="H204" i="35" s="1"/>
  <c r="D29" i="26"/>
  <c r="H193" i="35" s="1"/>
  <c r="D41" i="26"/>
  <c r="H205" i="35" s="1"/>
  <c r="E4" i="22"/>
  <c r="C21" i="26"/>
  <c r="D21" i="26" s="1"/>
  <c r="E21" i="26" s="1"/>
  <c r="G29" i="26"/>
  <c r="H214" i="35" s="1"/>
  <c r="G41" i="26"/>
  <c r="H226" i="35" s="1"/>
  <c r="G24" i="26"/>
  <c r="H209" i="35" s="1"/>
  <c r="G36" i="26"/>
  <c r="H221" i="35" s="1"/>
  <c r="G37" i="26"/>
  <c r="H222" i="35" s="1"/>
  <c r="G25" i="26"/>
  <c r="H210" i="35" s="1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211" i="35"/>
  <c r="G189" i="35"/>
  <c r="G222" i="35"/>
  <c r="G190" i="35"/>
  <c r="G196" i="35"/>
  <c r="G224" i="35"/>
  <c r="G210" i="35"/>
  <c r="G193" i="35"/>
  <c r="G213" i="35"/>
  <c r="G188" i="35"/>
  <c r="G198" i="35"/>
  <c r="G195" i="35"/>
  <c r="G215" i="35"/>
  <c r="G223" i="35"/>
  <c r="G205" i="35"/>
  <c r="G221" i="35"/>
  <c r="G186" i="35"/>
  <c r="G212" i="35"/>
  <c r="G187" i="35"/>
  <c r="G209" i="35"/>
  <c r="G194" i="35"/>
  <c r="G220" i="35"/>
  <c r="G197" i="35"/>
  <c r="G207" i="35"/>
  <c r="G199" i="35"/>
  <c r="G202" i="35"/>
  <c r="G226" i="35"/>
  <c r="G203" i="35"/>
  <c r="G216" i="35"/>
  <c r="E117" i="38"/>
  <c r="G208" i="35"/>
  <c r="G218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G219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133" i="66"/>
  <c r="U250" i="66"/>
  <c r="U170" i="66"/>
  <c r="U78" i="66"/>
  <c r="U37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A16" i="53"/>
  <c r="H10" i="58"/>
  <c r="I10" i="37"/>
  <c r="I10" i="58"/>
  <c r="J10" i="37"/>
  <c r="H10" i="37"/>
  <c r="C267" i="38"/>
  <c r="J10" i="58"/>
  <c r="J29" i="9"/>
  <c r="F21" i="26"/>
  <c r="G21" i="26" s="1"/>
  <c r="H21" i="26" s="1"/>
  <c r="E49" i="22"/>
  <c r="G52" i="20"/>
  <c r="I7" i="17"/>
  <c r="G51" i="20"/>
  <c r="D51" i="20" s="1"/>
  <c r="C205" i="38"/>
  <c r="C284" i="38"/>
  <c r="U55" i="66"/>
  <c r="A23" i="53"/>
  <c r="C304" i="38"/>
  <c r="J39" i="9"/>
  <c r="A12" i="53"/>
  <c r="C274" i="38"/>
  <c r="U51" i="66"/>
  <c r="C271" i="38"/>
  <c r="A15" i="53"/>
  <c r="E2" i="22"/>
  <c r="C315" i="38"/>
  <c r="C254" i="38"/>
  <c r="C287" i="38"/>
  <c r="A8" i="53"/>
  <c r="J35" i="9"/>
  <c r="J5" i="9" s="1"/>
  <c r="E73" i="38" l="1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B48" i="26"/>
  <c r="H10" i="41"/>
  <c r="D53" i="20"/>
  <c r="P34" i="18"/>
  <c r="G26" i="20"/>
  <c r="D26" i="20"/>
  <c r="P7" i="18" s="1"/>
  <c r="C293" i="38"/>
  <c r="C321" i="38"/>
  <c r="E47" i="22"/>
  <c r="C269" i="38"/>
  <c r="D52" i="20"/>
  <c r="P24" i="18" s="1"/>
  <c r="P33" i="18"/>
  <c r="C290" i="38"/>
  <c r="A14" i="53"/>
  <c r="A21" i="53"/>
  <c r="E51" i="22"/>
  <c r="P23" i="18"/>
  <c r="P32" i="18"/>
  <c r="A18" i="53"/>
  <c r="C310" i="38"/>
  <c r="G24" i="20"/>
  <c r="A29" i="53"/>
  <c r="D25" i="20"/>
  <c r="G25" i="20"/>
  <c r="E48" i="26"/>
  <c r="G206" i="35"/>
  <c r="C220" i="38"/>
  <c r="E6" i="22"/>
  <c r="A22" i="53"/>
  <c r="C230" i="38"/>
  <c r="H185" i="35"/>
  <c r="C48" i="26"/>
  <c r="I10" i="41"/>
  <c r="C223" i="38"/>
  <c r="J10" i="41"/>
  <c r="D29" i="53" l="1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327" i="38"/>
  <c r="C235" i="38"/>
  <c r="C245" i="38"/>
  <c r="H25" i="20"/>
  <c r="E25" i="20"/>
  <c r="H52" i="20"/>
  <c r="C299" i="38"/>
  <c r="H206" i="35"/>
  <c r="F48" i="26"/>
  <c r="C316" i="38"/>
  <c r="C296" i="38"/>
  <c r="D48" i="26"/>
  <c r="I185" i="35"/>
  <c r="A28" i="53"/>
  <c r="D28" i="53" s="1"/>
  <c r="Y3" i="20"/>
  <c r="P5" i="18"/>
  <c r="Y6" i="20"/>
  <c r="P14" i="18"/>
  <c r="A24" i="53"/>
  <c r="A20" i="53"/>
  <c r="C238" i="38"/>
  <c r="A27" i="53"/>
  <c r="D27" i="53" s="1"/>
  <c r="E53" i="20" l="1"/>
  <c r="P37" i="18"/>
  <c r="Z8" i="20"/>
  <c r="P19" i="18"/>
  <c r="A26" i="53"/>
  <c r="C253" i="38"/>
  <c r="C322" i="38"/>
  <c r="A33" i="53"/>
  <c r="A30" i="53"/>
  <c r="C260" i="38"/>
  <c r="C333" i="38"/>
  <c r="C302" i="38"/>
  <c r="P9" i="18"/>
  <c r="P8" i="18"/>
  <c r="Z7" i="20"/>
  <c r="P18" i="18"/>
  <c r="Z6" i="20"/>
  <c r="P17" i="18"/>
  <c r="C305" i="38"/>
  <c r="A34" i="53"/>
  <c r="C250" i="38"/>
  <c r="G48" i="26"/>
  <c r="I206" i="35"/>
  <c r="E52" i="20"/>
  <c r="P27" i="18" s="1"/>
  <c r="P36" i="18"/>
  <c r="E51" i="20"/>
  <c r="P35" i="18"/>
  <c r="Z5" i="20" l="1"/>
  <c r="P28" i="18"/>
  <c r="P26" i="18"/>
  <c r="Z3" i="20"/>
  <c r="Z4" i="20"/>
  <c r="C265" i="38"/>
  <c r="C308" i="38"/>
  <c r="C339" i="38"/>
  <c r="C311" i="38"/>
  <c r="C268" i="38"/>
  <c r="D10" i="53" s="1"/>
  <c r="A32" i="53"/>
  <c r="A36" i="53"/>
  <c r="C275" i="38"/>
  <c r="C328" i="38"/>
  <c r="D11" i="53" l="1"/>
  <c r="D34" i="53"/>
  <c r="D9" i="53"/>
  <c r="D23" i="53"/>
  <c r="D22" i="53"/>
  <c r="D35" i="53"/>
  <c r="D33" i="53"/>
  <c r="D21" i="53"/>
  <c r="C314" i="38"/>
  <c r="C334" i="38"/>
  <c r="C317" i="38"/>
  <c r="C345" i="38"/>
  <c r="C323" i="38" l="1"/>
  <c r="C340" i="38"/>
  <c r="C320" i="38"/>
  <c r="C329" i="38" l="1"/>
  <c r="C326" i="38"/>
  <c r="C346" i="38"/>
  <c r="C332" i="38" l="1"/>
  <c r="C335" i="38"/>
  <c r="C341" i="38" l="1"/>
  <c r="C338" i="38"/>
  <c r="C344" i="38" l="1"/>
  <c r="C347" i="38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242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98" i="66"/>
  <c r="M113" i="66"/>
  <c r="M268" i="66"/>
  <c r="M90" i="66"/>
  <c r="M109" i="66"/>
  <c r="M290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50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46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194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290" i="66"/>
  <c r="L63" i="66"/>
  <c r="I80" i="66"/>
  <c r="K66" i="66"/>
  <c r="I260" i="66"/>
  <c r="I135" i="66"/>
  <c r="L182" i="66"/>
  <c r="G92" i="66"/>
  <c r="L98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L146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L194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L24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G26" i="39" l="1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P98" i="66"/>
  <c r="V98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42" i="66"/>
  <c r="V242" i="66" s="1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290" i="66"/>
  <c r="V290" i="66" s="1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P146" i="66"/>
  <c r="V146" i="66" s="1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P194" i="66"/>
  <c r="V194" i="66" s="1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98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290" i="66"/>
  <c r="X69" i="66"/>
  <c r="X194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46" i="66"/>
  <c r="X162" i="66"/>
  <c r="X24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W88" i="66" l="1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I175" i="35" l="1"/>
  <c r="H175" i="35"/>
  <c r="I177" i="35"/>
  <c r="H177" i="35"/>
  <c r="H181" i="35"/>
  <c r="I181" i="35"/>
  <c r="H179" i="35"/>
  <c r="I179" i="35"/>
  <c r="H182" i="35"/>
  <c r="H180" i="35"/>
  <c r="I180" i="35"/>
  <c r="J109" i="58" s="1"/>
  <c r="I182" i="35"/>
  <c r="H178" i="35"/>
  <c r="H176" i="35"/>
  <c r="I176" i="35"/>
  <c r="I178" i="35"/>
  <c r="I171" i="35"/>
  <c r="H171" i="35"/>
  <c r="I173" i="35"/>
  <c r="H173" i="35"/>
  <c r="H172" i="35"/>
  <c r="I172" i="35"/>
  <c r="H174" i="35"/>
  <c r="I82" i="58" s="1"/>
  <c r="I174" i="35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R146" i="66" s="1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R290" i="66" s="1"/>
  <c r="Q129" i="66"/>
  <c r="R129" i="66" s="1"/>
  <c r="Q126" i="66"/>
  <c r="R126" i="66" s="1"/>
  <c r="Q216" i="66"/>
  <c r="R216" i="66" s="1"/>
  <c r="Q242" i="66"/>
  <c r="R242" i="66" s="1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R98" i="66" s="1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R194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37"/>
  <c r="H7" i="58"/>
  <c r="J114" i="37"/>
  <c r="J114" i="58"/>
  <c r="J81" i="58"/>
  <c r="J81" i="37"/>
  <c r="H118" i="58"/>
  <c r="H118" i="37"/>
  <c r="H93" i="37"/>
  <c r="H93" i="58"/>
  <c r="I116" i="37"/>
  <c r="I116" i="58"/>
  <c r="I99" i="58"/>
  <c r="I99" i="37"/>
  <c r="I102" i="37"/>
  <c r="I102" i="58"/>
  <c r="C399" i="58"/>
  <c r="C399" i="37"/>
  <c r="C388" i="37"/>
  <c r="C388" i="58"/>
  <c r="C376" i="58"/>
  <c r="C376" i="37"/>
  <c r="C366" i="58"/>
  <c r="C366" i="37"/>
  <c r="C354" i="58"/>
  <c r="C354" i="37"/>
  <c r="C343" i="58"/>
  <c r="C343" i="37"/>
  <c r="C331" i="58"/>
  <c r="C331" i="37"/>
  <c r="C320" i="37"/>
  <c r="C320" i="58"/>
  <c r="C308" i="58"/>
  <c r="C308" i="37"/>
  <c r="C298" i="58"/>
  <c r="C298" i="37"/>
  <c r="C275" i="58"/>
  <c r="C275" i="37"/>
  <c r="C265" i="58"/>
  <c r="C265" i="37"/>
  <c r="C254" i="58"/>
  <c r="C254" i="37"/>
  <c r="C244" i="58"/>
  <c r="C244" i="37"/>
  <c r="C222" i="37"/>
  <c r="C222" i="58"/>
  <c r="C199" i="58"/>
  <c r="C199" i="37"/>
  <c r="C188" i="37"/>
  <c r="C188" i="58"/>
  <c r="C176" i="58"/>
  <c r="C176" i="37"/>
  <c r="C150" i="58"/>
  <c r="C150" i="37"/>
  <c r="C139" i="58"/>
  <c r="C139" i="37"/>
  <c r="C128" i="58"/>
  <c r="C128" i="37"/>
  <c r="J9" i="58"/>
  <c r="J9" i="37"/>
  <c r="C400" i="58"/>
  <c r="C400" i="37"/>
  <c r="C309" i="58"/>
  <c r="C309" i="37"/>
  <c r="C200" i="58"/>
  <c r="C200" i="37"/>
  <c r="I7" i="58"/>
  <c r="I7" i="37"/>
  <c r="J113" i="58"/>
  <c r="J113" i="37"/>
  <c r="J80" i="58"/>
  <c r="J80" i="37"/>
  <c r="H117" i="58"/>
  <c r="H117" i="37"/>
  <c r="H85" i="37"/>
  <c r="H85" i="58"/>
  <c r="I115" i="37"/>
  <c r="I115" i="58"/>
  <c r="I85" i="37"/>
  <c r="I94" i="37"/>
  <c r="I94" i="58"/>
  <c r="C398" i="37"/>
  <c r="C398" i="58"/>
  <c r="C387" i="37"/>
  <c r="C387" i="58"/>
  <c r="C375" i="58"/>
  <c r="C375" i="37"/>
  <c r="C365" i="58"/>
  <c r="C365" i="37"/>
  <c r="C353" i="37"/>
  <c r="C353" i="58"/>
  <c r="C342" i="58"/>
  <c r="C342" i="37"/>
  <c r="C319" i="58"/>
  <c r="C319" i="37"/>
  <c r="C307" i="58"/>
  <c r="C307" i="37"/>
  <c r="C297" i="58"/>
  <c r="C297" i="37"/>
  <c r="C286" i="58"/>
  <c r="C286" i="37"/>
  <c r="C274" i="58"/>
  <c r="C274" i="37"/>
  <c r="C253" i="58"/>
  <c r="C253" i="37"/>
  <c r="C243" i="58"/>
  <c r="C243" i="37"/>
  <c r="C232" i="58"/>
  <c r="C232" i="37"/>
  <c r="C221" i="37"/>
  <c r="C221" i="58"/>
  <c r="C210" i="58"/>
  <c r="C210" i="37"/>
  <c r="C198" i="58"/>
  <c r="C198" i="37"/>
  <c r="C187" i="58"/>
  <c r="C187" i="37"/>
  <c r="C175" i="58"/>
  <c r="C175" i="37"/>
  <c r="C161" i="58"/>
  <c r="C161" i="37"/>
  <c r="C149" i="37"/>
  <c r="C149" i="58"/>
  <c r="C138" i="58"/>
  <c r="C138" i="37"/>
  <c r="C122" i="58"/>
  <c r="C122" i="37"/>
  <c r="C377" i="58"/>
  <c r="C377" i="37"/>
  <c r="C276" i="58"/>
  <c r="C276" i="37"/>
  <c r="C140" i="58"/>
  <c r="C140" i="37"/>
  <c r="C129" i="58"/>
  <c r="C129" i="37"/>
  <c r="J7" i="58"/>
  <c r="F271" i="66" s="1"/>
  <c r="J7" i="37"/>
  <c r="J112" i="58"/>
  <c r="J112" i="37"/>
  <c r="J78" i="37"/>
  <c r="J78" i="58"/>
  <c r="H115" i="58"/>
  <c r="H115" i="37"/>
  <c r="H82" i="58"/>
  <c r="H82" i="37"/>
  <c r="H114" i="58"/>
  <c r="H114" i="37"/>
  <c r="I98" i="37"/>
  <c r="I98" i="58"/>
  <c r="H86" i="58"/>
  <c r="H86" i="37"/>
  <c r="J2" i="58"/>
  <c r="J2" i="37"/>
  <c r="C397" i="58"/>
  <c r="C397" i="37"/>
  <c r="C386" i="58"/>
  <c r="C386" i="37"/>
  <c r="C374" i="58"/>
  <c r="C374" i="37"/>
  <c r="C364" i="58"/>
  <c r="C364" i="37"/>
  <c r="C341" i="37"/>
  <c r="C341" i="58"/>
  <c r="C330" i="58"/>
  <c r="C330" i="37"/>
  <c r="C318" i="58"/>
  <c r="C318" i="37"/>
  <c r="C296" i="58"/>
  <c r="C296" i="37"/>
  <c r="C285" i="58"/>
  <c r="C285" i="37"/>
  <c r="C273" i="37"/>
  <c r="C273" i="58"/>
  <c r="C264" i="37"/>
  <c r="C264" i="58"/>
  <c r="C252" i="37"/>
  <c r="C252" i="58"/>
  <c r="C242" i="58"/>
  <c r="C242" i="37"/>
  <c r="C231" i="58"/>
  <c r="C231" i="37"/>
  <c r="C220" i="58"/>
  <c r="C220" i="37"/>
  <c r="C209" i="37"/>
  <c r="C209" i="58"/>
  <c r="C197" i="37"/>
  <c r="C197" i="58"/>
  <c r="C186" i="37"/>
  <c r="C186" i="58"/>
  <c r="C174" i="58"/>
  <c r="C174" i="37"/>
  <c r="C160" i="58"/>
  <c r="C160" i="37"/>
  <c r="C137" i="37"/>
  <c r="C137" i="58"/>
  <c r="C127" i="58"/>
  <c r="C127" i="37"/>
  <c r="C255" i="58"/>
  <c r="C255" i="37"/>
  <c r="J109" i="37"/>
  <c r="J86" i="58"/>
  <c r="J86" i="37"/>
  <c r="H113" i="37"/>
  <c r="H113" i="58"/>
  <c r="H81" i="58"/>
  <c r="H81" i="37"/>
  <c r="I113" i="37"/>
  <c r="I113" i="58"/>
  <c r="H83" i="58"/>
  <c r="H83" i="37"/>
  <c r="J79" i="58"/>
  <c r="J79" i="37"/>
  <c r="C396" i="37"/>
  <c r="C396" i="58"/>
  <c r="C385" i="58"/>
  <c r="C385" i="37"/>
  <c r="C373" i="58"/>
  <c r="C373" i="37"/>
  <c r="C363" i="58"/>
  <c r="C363" i="37"/>
  <c r="C352" i="58"/>
  <c r="C352" i="37"/>
  <c r="C340" i="58"/>
  <c r="C340" i="37"/>
  <c r="C329" i="58"/>
  <c r="C329" i="37"/>
  <c r="C317" i="58"/>
  <c r="C317" i="37"/>
  <c r="C306" i="58"/>
  <c r="C306" i="37"/>
  <c r="C295" i="37"/>
  <c r="C295" i="58"/>
  <c r="C284" i="58"/>
  <c r="C284" i="37"/>
  <c r="C272" i="37"/>
  <c r="C272" i="58"/>
  <c r="C263" i="58"/>
  <c r="C263" i="37"/>
  <c r="C251" i="58"/>
  <c r="C251" i="37"/>
  <c r="C241" i="58"/>
  <c r="C241" i="37"/>
  <c r="C230" i="58"/>
  <c r="C230" i="37"/>
  <c r="C219" i="58"/>
  <c r="C219" i="37"/>
  <c r="C208" i="58"/>
  <c r="C208" i="37"/>
  <c r="C196" i="37"/>
  <c r="C196" i="58"/>
  <c r="C185" i="37"/>
  <c r="C185" i="58"/>
  <c r="C173" i="37"/>
  <c r="C173" i="58"/>
  <c r="C159" i="37"/>
  <c r="C159" i="58"/>
  <c r="C148" i="58"/>
  <c r="C148" i="37"/>
  <c r="C136" i="37"/>
  <c r="C136" i="58"/>
  <c r="C121" i="37"/>
  <c r="C121" i="58"/>
  <c r="C344" i="58"/>
  <c r="C344" i="37"/>
  <c r="C189" i="58"/>
  <c r="C189" i="37"/>
  <c r="J3" i="58"/>
  <c r="J3" i="37"/>
  <c r="I3" i="58"/>
  <c r="I3" i="37"/>
  <c r="J101" i="37"/>
  <c r="J101" i="58"/>
  <c r="H112" i="37"/>
  <c r="H112" i="58"/>
  <c r="H80" i="58"/>
  <c r="H80" i="37"/>
  <c r="I97" i="58"/>
  <c r="I97" i="37"/>
  <c r="I81" i="37"/>
  <c r="I2" i="58"/>
  <c r="I2" i="37"/>
  <c r="C395" i="58"/>
  <c r="C395" i="37"/>
  <c r="C384" i="58"/>
  <c r="C384" i="37"/>
  <c r="C372" i="37"/>
  <c r="C372" i="58"/>
  <c r="C362" i="37"/>
  <c r="C362" i="58"/>
  <c r="C351" i="58"/>
  <c r="C351" i="37"/>
  <c r="C339" i="37"/>
  <c r="C339" i="58"/>
  <c r="C328" i="37"/>
  <c r="C328" i="58"/>
  <c r="C316" i="58"/>
  <c r="C316" i="37"/>
  <c r="C305" i="58"/>
  <c r="C305" i="37"/>
  <c r="C294" i="37"/>
  <c r="C294" i="58"/>
  <c r="C283" i="37"/>
  <c r="C283" i="58"/>
  <c r="C271" i="58"/>
  <c r="C271" i="37"/>
  <c r="C262" i="58"/>
  <c r="C262" i="37"/>
  <c r="C240" i="58"/>
  <c r="C240" i="37"/>
  <c r="C229" i="58"/>
  <c r="C229" i="37"/>
  <c r="C218" i="37"/>
  <c r="C218" i="58"/>
  <c r="C207" i="58"/>
  <c r="C207" i="37"/>
  <c r="C195" i="58"/>
  <c r="C195" i="37"/>
  <c r="C184" i="58"/>
  <c r="C184" i="37"/>
  <c r="C158" i="58"/>
  <c r="C158" i="37"/>
  <c r="C147" i="58"/>
  <c r="C147" i="37"/>
  <c r="C135" i="37"/>
  <c r="C135" i="58"/>
  <c r="C126" i="58"/>
  <c r="C126" i="37"/>
  <c r="C299" i="58"/>
  <c r="C299" i="37"/>
  <c r="J99" i="37"/>
  <c r="J99" i="58"/>
  <c r="H110" i="37"/>
  <c r="H110" i="58"/>
  <c r="H78" i="37"/>
  <c r="H78" i="58"/>
  <c r="I112" i="37"/>
  <c r="I112" i="58"/>
  <c r="I80" i="58"/>
  <c r="I80" i="37"/>
  <c r="C394" i="58"/>
  <c r="C394" i="37"/>
  <c r="C383" i="37"/>
  <c r="C383" i="58"/>
  <c r="C371" i="37"/>
  <c r="C371" i="58"/>
  <c r="C361" i="37"/>
  <c r="C361" i="58"/>
  <c r="C350" i="58"/>
  <c r="C350" i="37"/>
  <c r="C338" i="37"/>
  <c r="C338" i="58"/>
  <c r="C327" i="37"/>
  <c r="C327" i="58"/>
  <c r="C315" i="58"/>
  <c r="C315" i="37"/>
  <c r="C304" i="37"/>
  <c r="C304" i="58"/>
  <c r="C293" i="58"/>
  <c r="C293" i="37"/>
  <c r="C282" i="58"/>
  <c r="C282" i="37"/>
  <c r="C270" i="58"/>
  <c r="C270" i="37"/>
  <c r="C261" i="58"/>
  <c r="C261" i="37"/>
  <c r="C250" i="58"/>
  <c r="C250" i="37"/>
  <c r="C239" i="37"/>
  <c r="C239" i="58"/>
  <c r="C217" i="37"/>
  <c r="C217" i="58"/>
  <c r="C206" i="58"/>
  <c r="C206" i="37"/>
  <c r="C194" i="37"/>
  <c r="C194" i="58"/>
  <c r="C183" i="58"/>
  <c r="C183" i="37"/>
  <c r="C172" i="37"/>
  <c r="C172" i="58"/>
  <c r="C157" i="58"/>
  <c r="C157" i="37"/>
  <c r="C146" i="37"/>
  <c r="C146" i="58"/>
  <c r="C134" i="58"/>
  <c r="C134" i="37"/>
  <c r="C125" i="58"/>
  <c r="C125" i="37"/>
  <c r="C120" i="58"/>
  <c r="C120" i="37"/>
  <c r="C355" i="37"/>
  <c r="C355" i="58"/>
  <c r="C287" i="58"/>
  <c r="C287" i="37"/>
  <c r="C245" i="58"/>
  <c r="C245" i="37"/>
  <c r="C223" i="58"/>
  <c r="C223" i="37"/>
  <c r="C177" i="58"/>
  <c r="C177" i="37"/>
  <c r="C151" i="58"/>
  <c r="C151" i="37"/>
  <c r="C123" i="37"/>
  <c r="C123" i="58"/>
  <c r="J98" i="58"/>
  <c r="J98" i="37"/>
  <c r="H108" i="58"/>
  <c r="H108" i="37"/>
  <c r="I96" i="58"/>
  <c r="I96" i="37"/>
  <c r="I78" i="58"/>
  <c r="I78" i="37"/>
  <c r="C393" i="58"/>
  <c r="C393" i="37"/>
  <c r="C382" i="37"/>
  <c r="C382" i="58"/>
  <c r="C360" i="37"/>
  <c r="C360" i="58"/>
  <c r="C349" i="37"/>
  <c r="C349" i="58"/>
  <c r="C337" i="37"/>
  <c r="C337" i="58"/>
  <c r="C326" i="58"/>
  <c r="C326" i="37"/>
  <c r="C314" i="58"/>
  <c r="C314" i="37"/>
  <c r="C303" i="37"/>
  <c r="C303" i="58"/>
  <c r="C292" i="37"/>
  <c r="C292" i="58"/>
  <c r="C281" i="58"/>
  <c r="C281" i="37"/>
  <c r="C269" i="58"/>
  <c r="C269" i="37"/>
  <c r="C260" i="37"/>
  <c r="C260" i="58"/>
  <c r="C249" i="37"/>
  <c r="C249" i="58"/>
  <c r="C238" i="58"/>
  <c r="C238" i="37"/>
  <c r="C228" i="37"/>
  <c r="C228" i="58"/>
  <c r="C216" i="37"/>
  <c r="C216" i="58"/>
  <c r="C205" i="37"/>
  <c r="C205" i="58"/>
  <c r="C193" i="58"/>
  <c r="C193" i="37"/>
  <c r="C182" i="58"/>
  <c r="C182" i="37"/>
  <c r="C171" i="58"/>
  <c r="C171" i="37"/>
  <c r="C156" i="37"/>
  <c r="C156" i="58"/>
  <c r="C145" i="58"/>
  <c r="C145" i="37"/>
  <c r="C133" i="37"/>
  <c r="C133" i="58"/>
  <c r="C124" i="37"/>
  <c r="C124" i="58"/>
  <c r="J117" i="58"/>
  <c r="J117" i="37"/>
  <c r="J97" i="37"/>
  <c r="J97" i="58"/>
  <c r="H101" i="58"/>
  <c r="H101" i="37"/>
  <c r="J111" i="37"/>
  <c r="C392" i="58"/>
  <c r="C392" i="37"/>
  <c r="C381" i="58"/>
  <c r="C381" i="37"/>
  <c r="C370" i="37"/>
  <c r="C370" i="58"/>
  <c r="C359" i="58"/>
  <c r="C359" i="37"/>
  <c r="C348" i="58"/>
  <c r="C348" i="37"/>
  <c r="C336" i="37"/>
  <c r="C336" i="58"/>
  <c r="C325" i="37"/>
  <c r="C325" i="58"/>
  <c r="C313" i="37"/>
  <c r="C313" i="58"/>
  <c r="C302" i="37"/>
  <c r="C302" i="58"/>
  <c r="C291" i="37"/>
  <c r="C291" i="58"/>
  <c r="C280" i="58"/>
  <c r="C280" i="37"/>
  <c r="C259" i="58"/>
  <c r="C259" i="37"/>
  <c r="C237" i="58"/>
  <c r="C237" i="37"/>
  <c r="C227" i="58"/>
  <c r="C227" i="37"/>
  <c r="C215" i="58"/>
  <c r="C215" i="37"/>
  <c r="C204" i="58"/>
  <c r="C204" i="37"/>
  <c r="C192" i="58"/>
  <c r="C192" i="37"/>
  <c r="C181" i="58"/>
  <c r="C181" i="37"/>
  <c r="C170" i="37"/>
  <c r="C170" i="58"/>
  <c r="C155" i="37"/>
  <c r="C155" i="58"/>
  <c r="C144" i="37"/>
  <c r="C144" i="58"/>
  <c r="C132" i="37"/>
  <c r="C132" i="58"/>
  <c r="J83" i="58"/>
  <c r="J83" i="37"/>
  <c r="H96" i="58"/>
  <c r="H96" i="37"/>
  <c r="I101" i="37"/>
  <c r="I101" i="58"/>
  <c r="C321" i="58"/>
  <c r="C321" i="37"/>
  <c r="C211" i="58"/>
  <c r="C211" i="37"/>
  <c r="H9" i="58"/>
  <c r="H9" i="37"/>
  <c r="J96" i="58"/>
  <c r="J96" i="37"/>
  <c r="H99" i="58"/>
  <c r="H99" i="37"/>
  <c r="I118" i="37"/>
  <c r="I118" i="58"/>
  <c r="I110" i="58"/>
  <c r="I110" i="37"/>
  <c r="I93" i="58"/>
  <c r="I93" i="37"/>
  <c r="I82" i="37"/>
  <c r="C391" i="37"/>
  <c r="C391" i="58"/>
  <c r="C380" i="58"/>
  <c r="C380" i="37"/>
  <c r="C369" i="37"/>
  <c r="C369" i="58"/>
  <c r="C358" i="58"/>
  <c r="C358" i="37"/>
  <c r="C347" i="58"/>
  <c r="C347" i="37"/>
  <c r="C335" i="58"/>
  <c r="C335" i="37"/>
  <c r="C324" i="58"/>
  <c r="C324" i="37"/>
  <c r="C312" i="37"/>
  <c r="C312" i="58"/>
  <c r="C290" i="58"/>
  <c r="C290" i="37"/>
  <c r="C279" i="58"/>
  <c r="C279" i="37"/>
  <c r="C268" i="37"/>
  <c r="C268" i="58"/>
  <c r="C258" i="58"/>
  <c r="C258" i="37"/>
  <c r="C248" i="37"/>
  <c r="C248" i="58"/>
  <c r="C236" i="58"/>
  <c r="C236" i="37"/>
  <c r="C226" i="37"/>
  <c r="C226" i="58"/>
  <c r="C214" i="58"/>
  <c r="C214" i="37"/>
  <c r="C203" i="58"/>
  <c r="C203" i="37"/>
  <c r="C191" i="58"/>
  <c r="C191" i="37"/>
  <c r="C180" i="58"/>
  <c r="C180" i="37"/>
  <c r="C169" i="58"/>
  <c r="C169" i="37"/>
  <c r="C154" i="37"/>
  <c r="C154" i="58"/>
  <c r="C143" i="37"/>
  <c r="C143" i="58"/>
  <c r="C332" i="37"/>
  <c r="C332" i="58"/>
  <c r="C233" i="37"/>
  <c r="C233" i="58"/>
  <c r="J93" i="37"/>
  <c r="J93" i="58"/>
  <c r="H98" i="37"/>
  <c r="H98" i="58"/>
  <c r="H109" i="37"/>
  <c r="H109" i="58"/>
  <c r="H2" i="58"/>
  <c r="H2" i="37"/>
  <c r="C390" i="58"/>
  <c r="C390" i="37"/>
  <c r="C379" i="58"/>
  <c r="C379" i="37"/>
  <c r="C368" i="37"/>
  <c r="C368" i="58"/>
  <c r="C357" i="58"/>
  <c r="C357" i="37"/>
  <c r="C346" i="37"/>
  <c r="C346" i="58"/>
  <c r="C334" i="37"/>
  <c r="C334" i="58"/>
  <c r="C323" i="58"/>
  <c r="C323" i="37"/>
  <c r="C311" i="37"/>
  <c r="C311" i="58"/>
  <c r="C301" i="58"/>
  <c r="C301" i="37"/>
  <c r="C289" i="58"/>
  <c r="C289" i="37"/>
  <c r="C278" i="37"/>
  <c r="C278" i="58"/>
  <c r="C267" i="37"/>
  <c r="C267" i="58"/>
  <c r="C257" i="58"/>
  <c r="C257" i="37"/>
  <c r="C247" i="58"/>
  <c r="C247" i="37"/>
  <c r="C235" i="37"/>
  <c r="C235" i="58"/>
  <c r="C225" i="58"/>
  <c r="C225" i="37"/>
  <c r="C213" i="37"/>
  <c r="C213" i="58"/>
  <c r="C202" i="58"/>
  <c r="C202" i="37"/>
  <c r="C179" i="58"/>
  <c r="C179" i="37"/>
  <c r="C153" i="58"/>
  <c r="C153" i="37"/>
  <c r="C142" i="37"/>
  <c r="C142" i="58"/>
  <c r="C131" i="58"/>
  <c r="C131" i="37"/>
  <c r="I9" i="58"/>
  <c r="I9" i="37"/>
  <c r="J118" i="37"/>
  <c r="J118" i="58"/>
  <c r="J85" i="37"/>
  <c r="J85" i="58"/>
  <c r="H97" i="37"/>
  <c r="H97" i="58"/>
  <c r="I117" i="37"/>
  <c r="I117" i="58"/>
  <c r="J108" i="37"/>
  <c r="C401" i="58"/>
  <c r="C401" i="37"/>
  <c r="C389" i="58"/>
  <c r="C389" i="37"/>
  <c r="C378" i="58"/>
  <c r="C378" i="37"/>
  <c r="C367" i="58"/>
  <c r="C367" i="37"/>
  <c r="C356" i="58"/>
  <c r="C356" i="37"/>
  <c r="C345" i="58"/>
  <c r="C345" i="37"/>
  <c r="C333" i="58"/>
  <c r="C333" i="37"/>
  <c r="C322" i="37"/>
  <c r="C322" i="58"/>
  <c r="C310" i="58"/>
  <c r="C310" i="37"/>
  <c r="C300" i="58"/>
  <c r="C300" i="37"/>
  <c r="C288" i="58"/>
  <c r="C288" i="37"/>
  <c r="C277" i="37"/>
  <c r="C277" i="58"/>
  <c r="C266" i="58"/>
  <c r="C266" i="37"/>
  <c r="C256" i="58"/>
  <c r="C256" i="37"/>
  <c r="C246" i="58"/>
  <c r="C246" i="37"/>
  <c r="C234" i="58"/>
  <c r="C234" i="37"/>
  <c r="C224" i="58"/>
  <c r="C224" i="37"/>
  <c r="C212" i="37"/>
  <c r="C212" i="58"/>
  <c r="C201" i="58"/>
  <c r="C201" i="37"/>
  <c r="C190" i="58"/>
  <c r="C190" i="37"/>
  <c r="C178" i="37"/>
  <c r="C178" i="58"/>
  <c r="C168" i="58"/>
  <c r="C168" i="37"/>
  <c r="C152" i="58"/>
  <c r="C152" i="37"/>
  <c r="C141" i="58"/>
  <c r="C141" i="37"/>
  <c r="C130" i="58"/>
  <c r="C130" i="37"/>
  <c r="I81" i="58" l="1"/>
  <c r="I85" i="58"/>
  <c r="J108" i="58"/>
  <c r="J111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I102" i="41"/>
  <c r="J114" i="41"/>
  <c r="I116" i="41"/>
  <c r="H93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290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194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46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98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242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I101" i="41"/>
  <c r="H86" i="41"/>
  <c r="H114" i="41"/>
  <c r="H82" i="41"/>
  <c r="H115" i="41"/>
  <c r="J112" i="41"/>
  <c r="J83" i="41"/>
  <c r="I85" i="41"/>
  <c r="H117" i="41"/>
  <c r="J113" i="41"/>
  <c r="H109" i="41"/>
  <c r="H98" i="41"/>
  <c r="J93" i="41"/>
  <c r="I82" i="41"/>
  <c r="I118" i="41"/>
  <c r="I112" i="41"/>
  <c r="H110" i="41"/>
  <c r="J99" i="41"/>
  <c r="J97" i="41"/>
  <c r="I113" i="41"/>
  <c r="H113" i="41"/>
  <c r="J109" i="41"/>
  <c r="I96" i="41"/>
  <c r="H108" i="41"/>
  <c r="J98" i="41"/>
  <c r="I81" i="41"/>
  <c r="I97" i="41"/>
  <c r="H80" i="41"/>
  <c r="I111" i="37"/>
  <c r="I111" i="58"/>
  <c r="H111" i="58"/>
  <c r="H111" i="37"/>
  <c r="C211" i="41"/>
  <c r="C321" i="41"/>
  <c r="H96" i="41"/>
  <c r="H119" i="37"/>
  <c r="H119" i="58"/>
  <c r="J110" i="37"/>
  <c r="J110" i="58"/>
  <c r="J82" i="58"/>
  <c r="J82" i="37"/>
  <c r="H95" i="37"/>
  <c r="H95" i="58"/>
  <c r="H94" i="37"/>
  <c r="H94" i="58"/>
  <c r="J119" i="37"/>
  <c r="J119" i="58"/>
  <c r="J115" i="37"/>
  <c r="J115" i="58"/>
  <c r="I119" i="58"/>
  <c r="I119" i="37"/>
  <c r="H74" i="58"/>
  <c r="H74" i="37"/>
  <c r="I79" i="58"/>
  <c r="I79" i="37"/>
  <c r="I74" i="58"/>
  <c r="I74" i="37"/>
  <c r="C130" i="41"/>
  <c r="C141" i="41"/>
  <c r="C152" i="41"/>
  <c r="C168" i="41"/>
  <c r="C190" i="41"/>
  <c r="C201" i="41"/>
  <c r="C224" i="41"/>
  <c r="C234" i="41"/>
  <c r="C246" i="41"/>
  <c r="C256" i="41"/>
  <c r="C266" i="41"/>
  <c r="C288" i="41"/>
  <c r="C300" i="41"/>
  <c r="C310" i="41"/>
  <c r="C333" i="41"/>
  <c r="C345" i="41"/>
  <c r="C356" i="41"/>
  <c r="C367" i="41"/>
  <c r="C378" i="41"/>
  <c r="C389" i="41"/>
  <c r="C401" i="41"/>
  <c r="I114" i="37"/>
  <c r="I114" i="58"/>
  <c r="I83" i="37"/>
  <c r="I83" i="58"/>
  <c r="J74" i="58"/>
  <c r="J74" i="37"/>
  <c r="C178" i="41"/>
  <c r="C212" i="41"/>
  <c r="C277" i="41"/>
  <c r="C322" i="41"/>
  <c r="J108" i="41"/>
  <c r="I117" i="41"/>
  <c r="H97" i="41"/>
  <c r="J85" i="41"/>
  <c r="J118" i="41"/>
  <c r="F95" i="66"/>
  <c r="I9" i="41"/>
  <c r="D55" i="39" s="1"/>
  <c r="E119" i="38" s="1"/>
  <c r="J95" i="66" s="1"/>
  <c r="C131" i="41"/>
  <c r="C153" i="41"/>
  <c r="C179" i="41"/>
  <c r="C202" i="41"/>
  <c r="C225" i="41"/>
  <c r="C247" i="41"/>
  <c r="C257" i="41"/>
  <c r="C289" i="41"/>
  <c r="C301" i="41"/>
  <c r="C323" i="41"/>
  <c r="C357" i="41"/>
  <c r="C379" i="41"/>
  <c r="C390" i="41"/>
  <c r="H2" i="41"/>
  <c r="J94" i="37"/>
  <c r="J94" i="58"/>
  <c r="I108" i="37"/>
  <c r="I108" i="58"/>
  <c r="I95" i="37"/>
  <c r="I95" i="58"/>
  <c r="F239" i="66"/>
  <c r="C142" i="41"/>
  <c r="C213" i="41"/>
  <c r="C235" i="41"/>
  <c r="C267" i="41"/>
  <c r="C278" i="41"/>
  <c r="C311" i="41"/>
  <c r="C334" i="41"/>
  <c r="C346" i="41"/>
  <c r="C368" i="41"/>
  <c r="C233" i="41"/>
  <c r="C332" i="41"/>
  <c r="C169" i="41"/>
  <c r="C180" i="41"/>
  <c r="C191" i="41"/>
  <c r="C203" i="41"/>
  <c r="C214" i="41"/>
  <c r="C236" i="41"/>
  <c r="C258" i="41"/>
  <c r="C279" i="41"/>
  <c r="C290" i="41"/>
  <c r="C324" i="41"/>
  <c r="C335" i="41"/>
  <c r="C347" i="41"/>
  <c r="C358" i="41"/>
  <c r="C380" i="41"/>
  <c r="I93" i="41"/>
  <c r="I110" i="41"/>
  <c r="H99" i="41"/>
  <c r="J96" i="41"/>
  <c r="H9" i="41"/>
  <c r="C55" i="39" s="1"/>
  <c r="E102" i="38" s="1"/>
  <c r="F47" i="66"/>
  <c r="C143" i="41"/>
  <c r="C154" i="41"/>
  <c r="C226" i="41"/>
  <c r="C248" i="41"/>
  <c r="C268" i="41"/>
  <c r="C312" i="41"/>
  <c r="C369" i="41"/>
  <c r="C391" i="41"/>
  <c r="F191" i="66"/>
  <c r="I87" i="37"/>
  <c r="I87" i="58"/>
  <c r="J102" i="37"/>
  <c r="J102" i="58"/>
  <c r="J87" i="58"/>
  <c r="J87" i="37"/>
  <c r="I86" i="58"/>
  <c r="I86" i="37"/>
  <c r="J116" i="37"/>
  <c r="J116" i="58"/>
  <c r="H87" i="58"/>
  <c r="H87" i="37"/>
  <c r="I109" i="58"/>
  <c r="I109" i="37"/>
  <c r="H116" i="37"/>
  <c r="H116" i="58"/>
  <c r="J95" i="37"/>
  <c r="J95" i="58"/>
  <c r="H102" i="58"/>
  <c r="H102" i="37"/>
  <c r="H79" i="37"/>
  <c r="H79" i="58"/>
  <c r="C132" i="41"/>
  <c r="C144" i="41"/>
  <c r="C155" i="41"/>
  <c r="C170" i="41"/>
  <c r="C291" i="41"/>
  <c r="C302" i="41"/>
  <c r="C313" i="41"/>
  <c r="C325" i="41"/>
  <c r="C336" i="41"/>
  <c r="C370" i="41"/>
  <c r="H112" i="41"/>
  <c r="J101" i="41"/>
  <c r="C121" i="41"/>
  <c r="C136" i="41"/>
  <c r="C159" i="41"/>
  <c r="C173" i="41"/>
  <c r="C185" i="41"/>
  <c r="C196" i="41"/>
  <c r="C272" i="41"/>
  <c r="C295" i="41"/>
  <c r="C396" i="41"/>
  <c r="I99" i="41"/>
  <c r="H118" i="41"/>
  <c r="J81" i="41"/>
  <c r="F175" i="66"/>
  <c r="H7" i="41"/>
  <c r="C54" i="39" s="1"/>
  <c r="E101" i="38" s="1"/>
  <c r="F31" i="66"/>
  <c r="C127" i="41"/>
  <c r="C160" i="41"/>
  <c r="C174" i="41"/>
  <c r="C220" i="41"/>
  <c r="C231" i="41"/>
  <c r="C242" i="41"/>
  <c r="C285" i="41"/>
  <c r="C296" i="41"/>
  <c r="C318" i="41"/>
  <c r="C330" i="41"/>
  <c r="C364" i="41"/>
  <c r="C374" i="41"/>
  <c r="C386" i="41"/>
  <c r="C397" i="41"/>
  <c r="J2" i="41"/>
  <c r="C137" i="41"/>
  <c r="C186" i="41"/>
  <c r="C197" i="41"/>
  <c r="C209" i="41"/>
  <c r="C252" i="41"/>
  <c r="C264" i="41"/>
  <c r="C273" i="41"/>
  <c r="C341" i="41"/>
  <c r="C129" i="41"/>
  <c r="C140" i="41"/>
  <c r="C276" i="41"/>
  <c r="C377" i="41"/>
  <c r="J111" i="41"/>
  <c r="H101" i="41"/>
  <c r="J117" i="41"/>
  <c r="C126" i="41"/>
  <c r="C147" i="41"/>
  <c r="C158" i="41"/>
  <c r="C184" i="41"/>
  <c r="C195" i="41"/>
  <c r="C207" i="41"/>
  <c r="C229" i="41"/>
  <c r="C240" i="41"/>
  <c r="C262" i="41"/>
  <c r="C271" i="41"/>
  <c r="C305" i="41"/>
  <c r="C316" i="41"/>
  <c r="C351" i="41"/>
  <c r="C384" i="41"/>
  <c r="C395" i="41"/>
  <c r="I2" i="41"/>
  <c r="J79" i="41"/>
  <c r="H83" i="41"/>
  <c r="H81" i="41"/>
  <c r="J86" i="41"/>
  <c r="C255" i="41"/>
  <c r="C122" i="41"/>
  <c r="C138" i="41"/>
  <c r="C161" i="41"/>
  <c r="C175" i="41"/>
  <c r="C187" i="41"/>
  <c r="C198" i="41"/>
  <c r="C210" i="41"/>
  <c r="C232" i="41"/>
  <c r="C243" i="41"/>
  <c r="C253" i="41"/>
  <c r="C274" i="41"/>
  <c r="C286" i="41"/>
  <c r="C297" i="41"/>
  <c r="C307" i="41"/>
  <c r="C319" i="41"/>
  <c r="C342" i="41"/>
  <c r="C365" i="41"/>
  <c r="C375" i="41"/>
  <c r="J80" i="41"/>
  <c r="I7" i="41"/>
  <c r="D54" i="39" s="1"/>
  <c r="E118" i="38" s="1"/>
  <c r="J79" i="66" s="1"/>
  <c r="F79" i="66"/>
  <c r="C200" i="41"/>
  <c r="C309" i="41"/>
  <c r="C400" i="41"/>
  <c r="J9" i="41"/>
  <c r="E55" i="39" s="1"/>
  <c r="E136" i="38" s="1"/>
  <c r="J143" i="66" s="1"/>
  <c r="F143" i="66"/>
  <c r="C120" i="41"/>
  <c r="C125" i="41"/>
  <c r="C134" i="41"/>
  <c r="C157" i="41"/>
  <c r="C183" i="41"/>
  <c r="C206" i="41"/>
  <c r="C250" i="41"/>
  <c r="C261" i="41"/>
  <c r="C270" i="41"/>
  <c r="C282" i="41"/>
  <c r="C293" i="41"/>
  <c r="C315" i="41"/>
  <c r="C350" i="41"/>
  <c r="C394" i="41"/>
  <c r="I80" i="41"/>
  <c r="C299" i="41"/>
  <c r="C135" i="41"/>
  <c r="C218" i="41"/>
  <c r="C283" i="41"/>
  <c r="C294" i="41"/>
  <c r="C328" i="41"/>
  <c r="C339" i="41"/>
  <c r="C362" i="41"/>
  <c r="C372" i="41"/>
  <c r="C149" i="41"/>
  <c r="C221" i="41"/>
  <c r="C353" i="41"/>
  <c r="C387" i="41"/>
  <c r="C398" i="41"/>
  <c r="I94" i="41"/>
  <c r="I115" i="41"/>
  <c r="H85" i="41"/>
  <c r="F223" i="66"/>
  <c r="F287" i="66"/>
  <c r="C128" i="41"/>
  <c r="C139" i="41"/>
  <c r="C150" i="41"/>
  <c r="C176" i="41"/>
  <c r="C199" i="41"/>
  <c r="C244" i="41"/>
  <c r="C254" i="41"/>
  <c r="C265" i="41"/>
  <c r="C275" i="41"/>
  <c r="C298" i="41"/>
  <c r="C308" i="41"/>
  <c r="C331" i="41"/>
  <c r="C343" i="41"/>
  <c r="C354" i="41"/>
  <c r="C366" i="41"/>
  <c r="C376" i="41"/>
  <c r="C399" i="41"/>
  <c r="C146" i="41"/>
  <c r="C172" i="41"/>
  <c r="C194" i="41"/>
  <c r="C217" i="41"/>
  <c r="C239" i="41"/>
  <c r="C304" i="41"/>
  <c r="C327" i="41"/>
  <c r="C338" i="41"/>
  <c r="C361" i="41"/>
  <c r="C371" i="41"/>
  <c r="C383" i="41"/>
  <c r="H78" i="41"/>
  <c r="C188" i="41"/>
  <c r="C222" i="41"/>
  <c r="C320" i="41"/>
  <c r="C388" i="41"/>
  <c r="C145" i="41"/>
  <c r="C171" i="41"/>
  <c r="C182" i="41"/>
  <c r="C193" i="41"/>
  <c r="C238" i="41"/>
  <c r="C269" i="41"/>
  <c r="C281" i="41"/>
  <c r="C314" i="41"/>
  <c r="C326" i="41"/>
  <c r="C393" i="41"/>
  <c r="I78" i="41"/>
  <c r="C151" i="41"/>
  <c r="C177" i="41"/>
  <c r="C223" i="41"/>
  <c r="C245" i="41"/>
  <c r="C287" i="41"/>
  <c r="F127" i="66"/>
  <c r="J7" i="41"/>
  <c r="M54" i="39" s="1"/>
  <c r="E186" i="38" s="1"/>
  <c r="C124" i="41"/>
  <c r="C133" i="41"/>
  <c r="C156" i="41"/>
  <c r="C205" i="41"/>
  <c r="C216" i="41"/>
  <c r="C228" i="41"/>
  <c r="C249" i="41"/>
  <c r="C260" i="41"/>
  <c r="C292" i="41"/>
  <c r="C303" i="41"/>
  <c r="C337" i="41"/>
  <c r="C349" i="41"/>
  <c r="C360" i="41"/>
  <c r="C382" i="41"/>
  <c r="C123" i="41"/>
  <c r="C355" i="41"/>
  <c r="I98" i="41"/>
  <c r="J78" i="41"/>
  <c r="C181" i="41"/>
  <c r="C192" i="41"/>
  <c r="C204" i="41"/>
  <c r="C215" i="41"/>
  <c r="C227" i="41"/>
  <c r="C237" i="41"/>
  <c r="C259" i="41"/>
  <c r="C280" i="41"/>
  <c r="C348" i="41"/>
  <c r="C359" i="41"/>
  <c r="C381" i="41"/>
  <c r="C392" i="41"/>
  <c r="I3" i="41"/>
  <c r="J3" i="41"/>
  <c r="C189" i="41"/>
  <c r="C344" i="41"/>
  <c r="C148" i="41"/>
  <c r="C208" i="41"/>
  <c r="C219" i="41"/>
  <c r="C230" i="41"/>
  <c r="C241" i="41"/>
  <c r="C251" i="41"/>
  <c r="C263" i="41"/>
  <c r="C284" i="41"/>
  <c r="C306" i="41"/>
  <c r="C317" i="41"/>
  <c r="C329" i="41"/>
  <c r="C340" i="41"/>
  <c r="C352" i="41"/>
  <c r="C363" i="41"/>
  <c r="C373" i="41"/>
  <c r="C385" i="41"/>
  <c r="I111" i="41" l="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09" i="41"/>
  <c r="H87" i="41"/>
  <c r="M4" i="41" s="1"/>
  <c r="K55" i="39"/>
  <c r="E153" i="38" s="1"/>
  <c r="J191" i="66" s="1"/>
  <c r="J95" i="41"/>
  <c r="I95" i="41"/>
  <c r="I108" i="41"/>
  <c r="J94" i="41"/>
  <c r="I83" i="41"/>
  <c r="I114" i="41"/>
  <c r="J110" i="41"/>
  <c r="H119" i="41"/>
  <c r="I103" i="37"/>
  <c r="I103" i="58"/>
  <c r="C39" i="63" s="1"/>
  <c r="J271" i="66"/>
  <c r="J107" i="37"/>
  <c r="J107" i="58"/>
  <c r="F243" i="66" s="1"/>
  <c r="N243" i="66" s="1"/>
  <c r="J77" i="37"/>
  <c r="J77" i="58"/>
  <c r="J103" i="37"/>
  <c r="J103" i="58"/>
  <c r="H77" i="58"/>
  <c r="H77" i="37"/>
  <c r="I77" i="58"/>
  <c r="I77" i="37"/>
  <c r="I107" i="37"/>
  <c r="I107" i="58"/>
  <c r="F195" i="66" s="1"/>
  <c r="N195" i="66" s="1"/>
  <c r="H76" i="58"/>
  <c r="H76" i="37"/>
  <c r="H103" i="58"/>
  <c r="C30" i="63" s="1"/>
  <c r="H103" i="37"/>
  <c r="H105" i="58"/>
  <c r="H105" i="37"/>
  <c r="J76" i="58"/>
  <c r="J76" i="37"/>
  <c r="J75" i="37"/>
  <c r="J75" i="58"/>
  <c r="I76" i="58"/>
  <c r="I76" i="37"/>
  <c r="I105" i="37"/>
  <c r="I105" i="58"/>
  <c r="I75" i="58"/>
  <c r="I75" i="37"/>
  <c r="J105" i="37"/>
  <c r="J105" i="58"/>
  <c r="H107" i="58"/>
  <c r="F147" i="66" s="1"/>
  <c r="N147" i="66" s="1"/>
  <c r="H107" i="37"/>
  <c r="H75" i="58"/>
  <c r="H75" i="37"/>
  <c r="P79" i="66"/>
  <c r="S79" i="66"/>
  <c r="S143" i="66"/>
  <c r="P143" i="66"/>
  <c r="K54" i="39"/>
  <c r="E152" i="38" s="1"/>
  <c r="J31" i="66"/>
  <c r="J116" i="41"/>
  <c r="J47" i="66"/>
  <c r="J102" i="41"/>
  <c r="I87" i="41"/>
  <c r="N4" i="41" s="1"/>
  <c r="I86" i="41"/>
  <c r="J87" i="41"/>
  <c r="O4" i="41" s="1"/>
  <c r="H102" i="41"/>
  <c r="H116" i="41"/>
  <c r="H79" i="41"/>
  <c r="J410" i="58"/>
  <c r="J408" i="58"/>
  <c r="F286" i="66" s="1"/>
  <c r="N286" i="66" s="1"/>
  <c r="J411" i="58"/>
  <c r="J409" i="58"/>
  <c r="I410" i="37"/>
  <c r="I408" i="37"/>
  <c r="I411" i="37"/>
  <c r="I74" i="41"/>
  <c r="I409" i="37"/>
  <c r="I79" i="41"/>
  <c r="H111" i="41"/>
  <c r="I410" i="58"/>
  <c r="I411" i="58"/>
  <c r="I409" i="58"/>
  <c r="I408" i="58"/>
  <c r="F238" i="66" s="1"/>
  <c r="N238" i="66" s="1"/>
  <c r="H410" i="37"/>
  <c r="H408" i="37"/>
  <c r="H411" i="37"/>
  <c r="H74" i="41"/>
  <c r="J82" i="41"/>
  <c r="H410" i="58"/>
  <c r="H408" i="58"/>
  <c r="F190" i="66" s="1"/>
  <c r="N190" i="66" s="1"/>
  <c r="H411" i="58"/>
  <c r="I119" i="41"/>
  <c r="J115" i="41"/>
  <c r="J119" i="41"/>
  <c r="O6" i="41" s="1"/>
  <c r="H94" i="41"/>
  <c r="H95" i="41"/>
  <c r="P95" i="66"/>
  <c r="S95" i="66"/>
  <c r="J410" i="37"/>
  <c r="J411" i="37"/>
  <c r="J74" i="41"/>
  <c r="J408" i="37"/>
  <c r="J409" i="37"/>
  <c r="S223" i="66" l="1"/>
  <c r="M6" i="41"/>
  <c r="N6" i="41"/>
  <c r="J239" i="66"/>
  <c r="I409" i="41"/>
  <c r="H106" i="37"/>
  <c r="H106" i="58"/>
  <c r="J88" i="58"/>
  <c r="J88" i="37"/>
  <c r="J91" i="37"/>
  <c r="J91" i="58"/>
  <c r="J106" i="37"/>
  <c r="J106" i="58"/>
  <c r="H84" i="37"/>
  <c r="H84" i="58"/>
  <c r="J104" i="58"/>
  <c r="J104" i="37"/>
  <c r="J84" i="58"/>
  <c r="J84" i="37"/>
  <c r="H410" i="41"/>
  <c r="P127" i="66"/>
  <c r="S127" i="66"/>
  <c r="H411" i="41"/>
  <c r="I89" i="37"/>
  <c r="I89" i="58"/>
  <c r="I410" i="41"/>
  <c r="K41" i="39"/>
  <c r="E139" i="38" s="1"/>
  <c r="F155" i="66"/>
  <c r="H455" i="58"/>
  <c r="E370" i="38" s="1"/>
  <c r="K155" i="66" s="1"/>
  <c r="I104" i="58"/>
  <c r="I104" i="37"/>
  <c r="I408" i="41"/>
  <c r="F94" i="66"/>
  <c r="N94" i="66" s="1"/>
  <c r="J92" i="58"/>
  <c r="J92" i="37"/>
  <c r="J89" i="58"/>
  <c r="J89" i="37"/>
  <c r="H92" i="58"/>
  <c r="H92" i="37"/>
  <c r="I90" i="37"/>
  <c r="I90" i="58"/>
  <c r="J409" i="41"/>
  <c r="H104" i="37"/>
  <c r="H104" i="58"/>
  <c r="H89" i="58"/>
  <c r="H89" i="37"/>
  <c r="I411" i="41"/>
  <c r="H90" i="58"/>
  <c r="H90" i="37"/>
  <c r="F142" i="66"/>
  <c r="N142" i="66" s="1"/>
  <c r="J408" i="41"/>
  <c r="S47" i="66"/>
  <c r="P47" i="66"/>
  <c r="R47" i="66"/>
  <c r="H75" i="41"/>
  <c r="F45" i="66"/>
  <c r="J76" i="41"/>
  <c r="H88" i="37"/>
  <c r="H88" i="58"/>
  <c r="I91" i="37"/>
  <c r="I91" i="58"/>
  <c r="J411" i="41"/>
  <c r="F189" i="66"/>
  <c r="I92" i="37"/>
  <c r="I92" i="58"/>
  <c r="J90" i="58"/>
  <c r="J90" i="37"/>
  <c r="I88" i="58"/>
  <c r="I88" i="37"/>
  <c r="H91" i="37"/>
  <c r="H91" i="58"/>
  <c r="J410" i="41"/>
  <c r="J175" i="66"/>
  <c r="I75" i="41"/>
  <c r="D12" i="39" s="1"/>
  <c r="F93" i="66"/>
  <c r="D39" i="39"/>
  <c r="E103" i="38" s="1"/>
  <c r="R191" i="66"/>
  <c r="P191" i="66"/>
  <c r="S191" i="66"/>
  <c r="F237" i="66"/>
  <c r="L39" i="39"/>
  <c r="E154" i="38" s="1"/>
  <c r="I106" i="37"/>
  <c r="I106" i="58"/>
  <c r="I84" i="58"/>
  <c r="I84" i="37"/>
  <c r="F46" i="66"/>
  <c r="N46" i="66" s="1"/>
  <c r="H408" i="41"/>
  <c r="R31" i="66"/>
  <c r="P31" i="66"/>
  <c r="S31" i="66"/>
  <c r="P287" i="66"/>
  <c r="S287" i="66"/>
  <c r="C48" i="63"/>
  <c r="H77" i="41"/>
  <c r="J103" i="41"/>
  <c r="O5" i="41" s="1"/>
  <c r="C21" i="63"/>
  <c r="J77" i="41"/>
  <c r="S271" i="66"/>
  <c r="P271" i="66"/>
  <c r="I76" i="41"/>
  <c r="M41" i="39"/>
  <c r="E173" i="38" s="1"/>
  <c r="F251" i="66"/>
  <c r="E41" i="39"/>
  <c r="E122" i="38" s="1"/>
  <c r="J105" i="41"/>
  <c r="E14" i="39" s="1"/>
  <c r="F107" i="66"/>
  <c r="F203" i="66"/>
  <c r="L41" i="39"/>
  <c r="E156" i="38" s="1"/>
  <c r="H107" i="41"/>
  <c r="F3" i="66"/>
  <c r="N3" i="66" s="1"/>
  <c r="I105" i="41"/>
  <c r="D14" i="39" s="1"/>
  <c r="D41" i="39"/>
  <c r="E105" i="38" s="1"/>
  <c r="F59" i="66"/>
  <c r="H76" i="41"/>
  <c r="I107" i="41"/>
  <c r="F51" i="66"/>
  <c r="N51" i="66" s="1"/>
  <c r="I77" i="41"/>
  <c r="J107" i="41"/>
  <c r="F99" i="66"/>
  <c r="N99" i="66" s="1"/>
  <c r="I103" i="41"/>
  <c r="C12" i="63"/>
  <c r="F285" i="66"/>
  <c r="M39" i="39"/>
  <c r="E171" i="38" s="1"/>
  <c r="C3" i="63"/>
  <c r="H103" i="41"/>
  <c r="M5" i="41" s="1"/>
  <c r="E39" i="39"/>
  <c r="E120" i="38" s="1"/>
  <c r="J75" i="41"/>
  <c r="E12" i="39" s="1"/>
  <c r="F141" i="66"/>
  <c r="H105" i="41"/>
  <c r="C14" i="39" s="1"/>
  <c r="C41" i="39"/>
  <c r="E88" i="38" s="1"/>
  <c r="F11" i="66"/>
  <c r="H455" i="37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90" i="41"/>
  <c r="H84" i="41"/>
  <c r="J106" i="41"/>
  <c r="P239" i="66"/>
  <c r="S239" i="66"/>
  <c r="I84" i="41"/>
  <c r="I106" i="41"/>
  <c r="H90" i="41"/>
  <c r="T191" i="66"/>
  <c r="J90" i="41"/>
  <c r="I92" i="41"/>
  <c r="J92" i="41"/>
  <c r="I100" i="58"/>
  <c r="I100" i="37"/>
  <c r="O14" i="39"/>
  <c r="P14" i="39"/>
  <c r="Q14" i="39" s="1"/>
  <c r="M40" i="39"/>
  <c r="E172" i="38" s="1"/>
  <c r="F267" i="66"/>
  <c r="I104" i="41"/>
  <c r="I416" i="37"/>
  <c r="I417" i="37"/>
  <c r="T31" i="66"/>
  <c r="H405" i="58"/>
  <c r="F181" i="66"/>
  <c r="N181" i="66" s="1"/>
  <c r="H406" i="58"/>
  <c r="H407" i="58"/>
  <c r="F172" i="66" s="1"/>
  <c r="I412" i="37"/>
  <c r="I415" i="37"/>
  <c r="I414" i="37"/>
  <c r="I88" i="41"/>
  <c r="I413" i="37"/>
  <c r="I417" i="58"/>
  <c r="I416" i="58"/>
  <c r="F204" i="66" s="1"/>
  <c r="N204" i="66" s="1"/>
  <c r="I89" i="41"/>
  <c r="D13" i="39" s="1"/>
  <c r="L40" i="39"/>
  <c r="E155" i="38" s="1"/>
  <c r="F219" i="66"/>
  <c r="J84" i="41"/>
  <c r="J104" i="41"/>
  <c r="J416" i="37"/>
  <c r="J417" i="37"/>
  <c r="J11" i="66"/>
  <c r="Y51" i="66"/>
  <c r="Y195" i="66"/>
  <c r="Z51" i="66"/>
  <c r="Z195" i="66"/>
  <c r="J251" i="66"/>
  <c r="F37" i="66"/>
  <c r="N37" i="66" s="1"/>
  <c r="H406" i="37"/>
  <c r="H91" i="41"/>
  <c r="H407" i="37"/>
  <c r="H405" i="37"/>
  <c r="I412" i="58"/>
  <c r="F224" i="66" s="1"/>
  <c r="N224" i="66" s="1"/>
  <c r="I414" i="58"/>
  <c r="F235" i="66" s="1"/>
  <c r="I413" i="58"/>
  <c r="I415" i="58"/>
  <c r="F234" i="66" s="1"/>
  <c r="N234" i="66" s="1"/>
  <c r="D40" i="39"/>
  <c r="E104" i="38" s="1"/>
  <c r="F75" i="66"/>
  <c r="J416" i="58"/>
  <c r="F252" i="66" s="1"/>
  <c r="N252" i="66" s="1"/>
  <c r="J417" i="58"/>
  <c r="H100" i="37"/>
  <c r="H100" i="58"/>
  <c r="J437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91" i="41"/>
  <c r="J406" i="58"/>
  <c r="F277" i="66"/>
  <c r="N277" i="66" s="1"/>
  <c r="J407" i="58"/>
  <c r="F268" i="66" s="1"/>
  <c r="J405" i="58"/>
  <c r="J88" i="41"/>
  <c r="J415" i="37"/>
  <c r="J414" i="37"/>
  <c r="J412" i="37"/>
  <c r="J413" i="37"/>
  <c r="J437" i="37"/>
  <c r="J141" i="66"/>
  <c r="J203" i="66"/>
  <c r="T47" i="66"/>
  <c r="J405" i="37"/>
  <c r="J406" i="37"/>
  <c r="F133" i="66"/>
  <c r="N133" i="66" s="1"/>
  <c r="J407" i="37"/>
  <c r="J413" i="58"/>
  <c r="J414" i="58"/>
  <c r="F283" i="66" s="1"/>
  <c r="J415" i="58"/>
  <c r="F282" i="66" s="1"/>
  <c r="N282" i="66" s="1"/>
  <c r="J412" i="58"/>
  <c r="F272" i="66" s="1"/>
  <c r="N272" i="66" s="1"/>
  <c r="H106" i="41"/>
  <c r="Y3" i="66"/>
  <c r="Y147" i="66"/>
  <c r="Z147" i="66"/>
  <c r="Z3" i="66"/>
  <c r="J107" i="66"/>
  <c r="I405" i="58"/>
  <c r="I406" i="58"/>
  <c r="I407" i="58"/>
  <c r="F220" i="66" s="1"/>
  <c r="F229" i="66"/>
  <c r="N229" i="66" s="1"/>
  <c r="H414" i="58"/>
  <c r="F187" i="66" s="1"/>
  <c r="H415" i="58"/>
  <c r="F186" i="66" s="1"/>
  <c r="N186" i="66" s="1"/>
  <c r="H412" i="58"/>
  <c r="F176" i="66" s="1"/>
  <c r="N176" i="66" s="1"/>
  <c r="B3" i="39"/>
  <c r="C12" i="39" s="1"/>
  <c r="I437" i="37"/>
  <c r="J93" i="66"/>
  <c r="I91" i="41"/>
  <c r="I406" i="37"/>
  <c r="I407" i="37"/>
  <c r="F85" i="66"/>
  <c r="N85" i="66" s="1"/>
  <c r="I405" i="37"/>
  <c r="H412" i="37"/>
  <c r="H88" i="41"/>
  <c r="H415" i="37"/>
  <c r="H414" i="37"/>
  <c r="E43" i="39"/>
  <c r="E126" i="38" s="1"/>
  <c r="H89" i="41"/>
  <c r="B4" i="39" s="1"/>
  <c r="K40" i="39" s="1"/>
  <c r="E138" i="38" s="1"/>
  <c r="F27" i="66"/>
  <c r="H416" i="58"/>
  <c r="F156" i="66" s="1"/>
  <c r="N156" i="66" s="1"/>
  <c r="H92" i="41"/>
  <c r="E40" i="39"/>
  <c r="E121" i="38" s="1"/>
  <c r="J89" i="41"/>
  <c r="E13" i="39" s="1"/>
  <c r="F123" i="66"/>
  <c r="N5" i="41"/>
  <c r="Z46" i="66"/>
  <c r="Z190" i="66"/>
  <c r="Y46" i="66"/>
  <c r="Y190" i="66"/>
  <c r="F105" i="66"/>
  <c r="F171" i="66"/>
  <c r="H416" i="37"/>
  <c r="H104" i="41"/>
  <c r="H455" i="41"/>
  <c r="E352" i="38"/>
  <c r="K11" i="66" s="1"/>
  <c r="J59" i="66"/>
  <c r="I437" i="58"/>
  <c r="J237" i="66"/>
  <c r="J100" i="58"/>
  <c r="J100" i="37"/>
  <c r="R175" i="66"/>
  <c r="S175" i="66"/>
  <c r="P175" i="66"/>
  <c r="E16" i="39" l="1"/>
  <c r="J249" i="66"/>
  <c r="J201" i="66"/>
  <c r="D16" i="39"/>
  <c r="B7" i="39"/>
  <c r="H456" i="37" s="1"/>
  <c r="H406" i="41"/>
  <c r="T175" i="66"/>
  <c r="J100" i="41"/>
  <c r="I406" i="41"/>
  <c r="J417" i="41"/>
  <c r="H439" i="58"/>
  <c r="J171" i="66"/>
  <c r="O12" i="39"/>
  <c r="P12" i="39"/>
  <c r="J414" i="41"/>
  <c r="F139" i="66"/>
  <c r="I439" i="37"/>
  <c r="C18" i="63" s="1"/>
  <c r="J75" i="66"/>
  <c r="P59" i="66"/>
  <c r="S59" i="66"/>
  <c r="J439" i="37"/>
  <c r="C27" i="63" s="1"/>
  <c r="J123" i="66"/>
  <c r="H412" i="41"/>
  <c r="F32" i="66"/>
  <c r="N32" i="66" s="1"/>
  <c r="S251" i="66"/>
  <c r="P251" i="66"/>
  <c r="I414" i="41"/>
  <c r="F91" i="66"/>
  <c r="Z277" i="66"/>
  <c r="Y277" i="66"/>
  <c r="Z133" i="66"/>
  <c r="S203" i="66"/>
  <c r="P203" i="66"/>
  <c r="I405" i="41"/>
  <c r="D15" i="39" s="1"/>
  <c r="D42" i="39"/>
  <c r="E106" i="38" s="1"/>
  <c r="F92" i="66"/>
  <c r="Y133" i="66"/>
  <c r="I415" i="41"/>
  <c r="F90" i="66"/>
  <c r="N90" i="66" s="1"/>
  <c r="P57" i="66"/>
  <c r="S57" i="66"/>
  <c r="J439" i="58"/>
  <c r="C54" i="63" s="1"/>
  <c r="J267" i="66"/>
  <c r="H414" i="41"/>
  <c r="F43" i="66"/>
  <c r="F108" i="66"/>
  <c r="N108" i="66" s="1"/>
  <c r="J416" i="41"/>
  <c r="H416" i="41"/>
  <c r="F12" i="66"/>
  <c r="N12" i="66" s="1"/>
  <c r="Y229" i="66"/>
  <c r="Z229" i="66"/>
  <c r="Y85" i="66"/>
  <c r="Z85" i="66"/>
  <c r="J406" i="41"/>
  <c r="H405" i="41"/>
  <c r="I412" i="41"/>
  <c r="F80" i="66"/>
  <c r="N80" i="66" s="1"/>
  <c r="I100" i="41"/>
  <c r="I407" i="41"/>
  <c r="F76" i="66"/>
  <c r="J105" i="66"/>
  <c r="F236" i="66"/>
  <c r="L42" i="39"/>
  <c r="E157" i="38" s="1"/>
  <c r="C13" i="39"/>
  <c r="H454" i="37"/>
  <c r="H454" i="58"/>
  <c r="E369" i="38" s="1"/>
  <c r="K171" i="66" s="1"/>
  <c r="I437" i="41"/>
  <c r="R155" i="66"/>
  <c r="S155" i="66"/>
  <c r="P155" i="66"/>
  <c r="H100" i="41"/>
  <c r="P237" i="66"/>
  <c r="S237" i="66"/>
  <c r="F28" i="66"/>
  <c r="H407" i="41"/>
  <c r="I439" i="58"/>
  <c r="J219" i="66"/>
  <c r="J415" i="41"/>
  <c r="F138" i="66"/>
  <c r="N138" i="66" s="1"/>
  <c r="C40" i="39"/>
  <c r="E87" i="38" s="1"/>
  <c r="C39" i="39"/>
  <c r="E86" i="38" s="1"/>
  <c r="H453" i="37"/>
  <c r="H453" i="58"/>
  <c r="E368" i="38" s="1"/>
  <c r="K189" i="66" s="1"/>
  <c r="K39" i="39"/>
  <c r="E137" i="38" s="1"/>
  <c r="J413" i="41"/>
  <c r="S285" i="66"/>
  <c r="P285" i="66"/>
  <c r="P11" i="66"/>
  <c r="R11" i="66"/>
  <c r="S11" i="66"/>
  <c r="I417" i="41"/>
  <c r="F124" i="66"/>
  <c r="J407" i="41"/>
  <c r="J412" i="41"/>
  <c r="F128" i="66"/>
  <c r="N128" i="66" s="1"/>
  <c r="Z37" i="66"/>
  <c r="Z181" i="66"/>
  <c r="Y37" i="66"/>
  <c r="Y181" i="66"/>
  <c r="I416" i="41"/>
  <c r="F60" i="66"/>
  <c r="N60" i="66" s="1"/>
  <c r="P93" i="66"/>
  <c r="S93" i="66"/>
  <c r="H415" i="41"/>
  <c r="F42" i="66"/>
  <c r="N42" i="66" s="1"/>
  <c r="S141" i="66"/>
  <c r="P141" i="66"/>
  <c r="S107" i="66"/>
  <c r="P107" i="66"/>
  <c r="J405" i="41"/>
  <c r="E15" i="39" s="1"/>
  <c r="F140" i="66"/>
  <c r="E42" i="39"/>
  <c r="E123" i="38" s="1"/>
  <c r="J437" i="41"/>
  <c r="I413" i="41"/>
  <c r="F284" i="66"/>
  <c r="M42" i="39"/>
  <c r="E174" i="38" s="1"/>
  <c r="P249" i="66" l="1"/>
  <c r="S249" i="66"/>
  <c r="C16" i="39"/>
  <c r="O16" i="39" s="1"/>
  <c r="K43" i="39"/>
  <c r="E143" i="38" s="1"/>
  <c r="C43" i="39"/>
  <c r="E92" i="38" s="1"/>
  <c r="J9" i="66" s="1"/>
  <c r="H456" i="58"/>
  <c r="E371" i="38" s="1"/>
  <c r="K153" i="66" s="1"/>
  <c r="S201" i="66"/>
  <c r="P201" i="66"/>
  <c r="I439" i="41"/>
  <c r="AB3" i="39"/>
  <c r="T11" i="66"/>
  <c r="C45" i="63"/>
  <c r="T155" i="66"/>
  <c r="J284" i="66"/>
  <c r="N284" i="66" s="1"/>
  <c r="E351" i="38"/>
  <c r="K27" i="66" s="1"/>
  <c r="H454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39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39" i="37"/>
  <c r="J27" i="66"/>
  <c r="J92" i="66"/>
  <c r="N92" i="66" s="1"/>
  <c r="J236" i="66"/>
  <c r="N236" i="66" s="1"/>
  <c r="Z282" i="66"/>
  <c r="Z138" i="66"/>
  <c r="Y138" i="66"/>
  <c r="Y282" i="66"/>
  <c r="J189" i="66"/>
  <c r="H437" i="58"/>
  <c r="R171" i="66"/>
  <c r="S171" i="66"/>
  <c r="P171" i="66"/>
  <c r="J140" i="66"/>
  <c r="N140" i="66" s="1"/>
  <c r="S105" i="66"/>
  <c r="P105" i="66"/>
  <c r="E353" i="38"/>
  <c r="K9" i="66" s="1"/>
  <c r="E350" i="38"/>
  <c r="K45" i="66" s="1"/>
  <c r="H453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37" i="37"/>
  <c r="G15" i="39" l="1"/>
  <c r="F15" i="39"/>
  <c r="J153" i="66"/>
  <c r="R153" i="66" s="1"/>
  <c r="P16" i="39"/>
  <c r="Q16" i="39" s="1"/>
  <c r="H456" i="41"/>
  <c r="H437" i="41"/>
  <c r="C36" i="63"/>
  <c r="T171" i="66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9" i="63"/>
  <c r="H439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H3" i="37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H3" i="41" l="1"/>
  <c r="B6" i="39" s="1"/>
  <c r="C15" i="39" s="1"/>
  <c r="F44" i="66"/>
  <c r="F188" i="66"/>
  <c r="P25" i="9" a="1"/>
  <c r="P25" i="9" s="1"/>
  <c r="P5" i="9" s="1"/>
  <c r="Q27" i="9" a="1"/>
  <c r="Q27" i="9" s="1"/>
  <c r="E30" i="26" s="1"/>
  <c r="P29" i="9" a="1"/>
  <c r="P29" i="9" s="1"/>
  <c r="E36" i="22" s="1"/>
  <c r="R27" i="9" a="1"/>
  <c r="R27" i="9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R7" i="9"/>
  <c r="E44" i="22"/>
  <c r="D23" i="26"/>
  <c r="D31" i="26"/>
  <c r="D35" i="26"/>
  <c r="D39" i="26"/>
  <c r="D38" i="26"/>
  <c r="D30" i="26"/>
  <c r="D34" i="26"/>
  <c r="E19" i="22"/>
  <c r="D26" i="26"/>
  <c r="M7" i="9"/>
  <c r="D22" i="26"/>
  <c r="D27" i="26"/>
  <c r="H39" i="26"/>
  <c r="I224" i="35" s="1"/>
  <c r="H26" i="26"/>
  <c r="H30" i="26"/>
  <c r="H27" i="26"/>
  <c r="I212" i="35" s="1"/>
  <c r="H31" i="26"/>
  <c r="I216" i="35" s="1"/>
  <c r="H35" i="26"/>
  <c r="I220" i="35" s="1"/>
  <c r="H23" i="26"/>
  <c r="I208" i="35" s="1"/>
  <c r="H34" i="26"/>
  <c r="H22" i="26"/>
  <c r="H38" i="26"/>
  <c r="E79" i="22"/>
  <c r="G39" i="26"/>
  <c r="G27" i="26"/>
  <c r="G31" i="26"/>
  <c r="G30" i="26"/>
  <c r="G26" i="26"/>
  <c r="G22" i="26"/>
  <c r="G23" i="26"/>
  <c r="E64" i="22"/>
  <c r="G34" i="26"/>
  <c r="G35" i="26"/>
  <c r="G38" i="26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E32" i="22" l="1"/>
  <c r="E34" i="26"/>
  <c r="R40" i="9"/>
  <c r="E38" i="26"/>
  <c r="E22" i="26"/>
  <c r="O40" i="9"/>
  <c r="O30" i="9"/>
  <c r="E35" i="26"/>
  <c r="I199" i="35" s="1"/>
  <c r="E39" i="22"/>
  <c r="P9" i="9"/>
  <c r="K42" i="39"/>
  <c r="E140" i="38" s="1"/>
  <c r="C42" i="39"/>
  <c r="E89" i="38" s="1"/>
  <c r="P15" i="39"/>
  <c r="O15" i="39"/>
  <c r="AA3" i="39"/>
  <c r="Q7" i="9"/>
  <c r="E39" i="26"/>
  <c r="I203" i="35" s="1"/>
  <c r="E23" i="26"/>
  <c r="I187" i="35" s="1"/>
  <c r="E27" i="26"/>
  <c r="I191" i="35" s="1"/>
  <c r="E26" i="26"/>
  <c r="I190" i="35" s="1"/>
  <c r="E31" i="26"/>
  <c r="I195" i="35" s="1"/>
  <c r="R30" i="9"/>
  <c r="N30" i="9"/>
  <c r="K10" i="9"/>
  <c r="H24" i="26"/>
  <c r="I209" i="35" s="1"/>
  <c r="H207" i="35"/>
  <c r="F49" i="26"/>
  <c r="I207" i="35"/>
  <c r="E40" i="26"/>
  <c r="I204" i="35" s="1"/>
  <c r="H202" i="35"/>
  <c r="C53" i="26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I223" i="35"/>
  <c r="H28" i="26"/>
  <c r="I213" i="35" s="1"/>
  <c r="H211" i="35"/>
  <c r="F50" i="26"/>
  <c r="I219" i="35"/>
  <c r="E29" i="26"/>
  <c r="I193" i="35" s="1"/>
  <c r="H191" i="35"/>
  <c r="E41" i="26"/>
  <c r="I205" i="35" s="1"/>
  <c r="H203" i="35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I211" i="35"/>
  <c r="H32" i="26"/>
  <c r="I217" i="35" s="1"/>
  <c r="H215" i="35"/>
  <c r="F51" i="26"/>
  <c r="E24" i="26"/>
  <c r="I188" i="35" s="1"/>
  <c r="H186" i="35"/>
  <c r="C49" i="26"/>
  <c r="E37" i="26"/>
  <c r="I201" i="35" s="1"/>
  <c r="H199" i="35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H33" i="26"/>
  <c r="I218" i="35" s="1"/>
  <c r="H216" i="35"/>
  <c r="E33" i="26"/>
  <c r="I197" i="35" s="1"/>
  <c r="H195" i="35"/>
  <c r="I198" i="35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H37" i="26"/>
  <c r="I222" i="35" s="1"/>
  <c r="H220" i="35"/>
  <c r="H29" i="26"/>
  <c r="I214" i="35" s="1"/>
  <c r="H212" i="35"/>
  <c r="E28" i="26"/>
  <c r="I192" i="35" s="1"/>
  <c r="H190" i="35"/>
  <c r="C50" i="26"/>
  <c r="E25" i="26"/>
  <c r="I189" i="35" s="1"/>
  <c r="H187" i="35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I186" i="35"/>
  <c r="I202" i="35"/>
  <c r="H40" i="26"/>
  <c r="I225" i="35" s="1"/>
  <c r="F53" i="26"/>
  <c r="H223" i="35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H36" i="26"/>
  <c r="I221" i="35" s="1"/>
  <c r="F52" i="26"/>
  <c r="H219" i="35"/>
  <c r="H41" i="26"/>
  <c r="I226" i="35" s="1"/>
  <c r="H224" i="35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I215" i="35"/>
  <c r="E36" i="26"/>
  <c r="I200" i="35" s="1"/>
  <c r="H198" i="35"/>
  <c r="C52" i="26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H25" i="26"/>
  <c r="I210" i="35" s="1"/>
  <c r="H208" i="35"/>
  <c r="E32" i="26"/>
  <c r="I196" i="35" s="1"/>
  <c r="C51" i="26"/>
  <c r="H194" i="35"/>
  <c r="E30" i="22"/>
  <c r="O8" i="9"/>
  <c r="O10" i="9" s="1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I194" i="35"/>
  <c r="E26" i="17" l="1"/>
  <c r="E24" i="17"/>
  <c r="E28" i="17" s="1"/>
  <c r="D26" i="17"/>
  <c r="D24" i="17"/>
  <c r="E27" i="17"/>
  <c r="E25" i="17"/>
  <c r="D27" i="17"/>
  <c r="D25" i="17"/>
  <c r="Q10" i="9"/>
  <c r="D53" i="26"/>
  <c r="D50" i="26"/>
  <c r="D51" i="26"/>
  <c r="G51" i="26"/>
  <c r="Q15" i="39"/>
  <c r="J44" i="66"/>
  <c r="J188" i="66"/>
  <c r="D49" i="2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G53" i="26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E18" i="22"/>
  <c r="M30" i="9"/>
  <c r="I431" i="18"/>
  <c r="H431" i="18"/>
  <c r="D52" i="26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G49" i="26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52" i="26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G50" i="26"/>
  <c r="I176" i="18"/>
  <c r="H176" i="18"/>
  <c r="I181" i="18"/>
  <c r="H181" i="18"/>
  <c r="I175" i="18"/>
  <c r="H175" i="18"/>
  <c r="I131" i="18"/>
  <c r="H131" i="18"/>
  <c r="H133" i="18"/>
  <c r="I133" i="18"/>
  <c r="D28" i="17" l="1"/>
  <c r="E48" i="17"/>
  <c r="E47" i="17" a="1"/>
  <c r="E47" i="17" s="1"/>
  <c r="D48" i="17"/>
  <c r="D47" i="17" a="1"/>
  <c r="D47" i="17" s="1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O33" i="20" l="1"/>
  <c r="O34" i="20" s="1"/>
  <c r="O35" i="20" s="1"/>
  <c r="O36" i="20" s="1"/>
  <c r="O37" i="20" s="1"/>
  <c r="O38" i="20" s="1"/>
  <c r="O39" i="20" s="1"/>
  <c r="O40" i="20" s="1"/>
  <c r="O41" i="20" s="1"/>
  <c r="O42" i="20" s="1"/>
  <c r="O43" i="20" s="1"/>
  <c r="O44" i="20" s="1"/>
  <c r="O45" i="20" s="1"/>
  <c r="O46" i="20" s="1"/>
  <c r="F33" i="20"/>
  <c r="F34" i="20" s="1"/>
  <c r="F35" i="20" s="1"/>
  <c r="F36" i="20" s="1"/>
  <c r="F37" i="20" s="1"/>
  <c r="F38" i="20" s="1"/>
  <c r="F39" i="20" s="1"/>
  <c r="F40" i="20" s="1"/>
  <c r="F41" i="20" s="1"/>
  <c r="F42" i="20" s="1"/>
  <c r="F43" i="20" s="1"/>
  <c r="F44" i="20" s="1"/>
  <c r="F45" i="20" s="1"/>
  <c r="F46" i="20" s="1"/>
  <c r="O6" i="20"/>
  <c r="O7" i="20"/>
  <c r="F6" i="20"/>
  <c r="F8" i="20" s="1"/>
  <c r="F7" i="20"/>
  <c r="F9" i="20" s="1"/>
  <c r="R33" i="20"/>
  <c r="R34" i="20" s="1"/>
  <c r="R35" i="20" s="1"/>
  <c r="R36" i="20" s="1"/>
  <c r="R37" i="20" s="1"/>
  <c r="R38" i="20" s="1"/>
  <c r="R39" i="20" s="1"/>
  <c r="R40" i="20" s="1"/>
  <c r="R41" i="20" s="1"/>
  <c r="R42" i="20" s="1"/>
  <c r="R43" i="20" s="1"/>
  <c r="R44" i="20" s="1"/>
  <c r="R45" i="20" s="1"/>
  <c r="R46" i="20" s="1"/>
  <c r="I7" i="20"/>
  <c r="I9" i="20" s="1"/>
  <c r="R11" i="20" s="1"/>
  <c r="R6" i="20"/>
  <c r="I33" i="20"/>
  <c r="I34" i="20" s="1"/>
  <c r="I35" i="20" s="1"/>
  <c r="I36" i="20" s="1"/>
  <c r="I37" i="20" s="1"/>
  <c r="I38" i="20" s="1"/>
  <c r="I39" i="20" s="1"/>
  <c r="I40" i="20" s="1"/>
  <c r="I41" i="20" s="1"/>
  <c r="I42" i="20" s="1"/>
  <c r="I43" i="20" s="1"/>
  <c r="I44" i="20" s="1"/>
  <c r="I45" i="20" s="1"/>
  <c r="I46" i="20" s="1"/>
  <c r="I6" i="20"/>
  <c r="R8" i="20" s="1"/>
  <c r="R7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R9" i="20" l="1"/>
  <c r="O8" i="20"/>
  <c r="F11" i="20"/>
  <c r="O11" i="20"/>
  <c r="O10" i="20"/>
  <c r="F10" i="20"/>
  <c r="I11" i="20"/>
  <c r="I8" i="20"/>
  <c r="O9" i="20"/>
  <c r="Q44" i="66"/>
  <c r="I10" i="20" l="1"/>
  <c r="R10" i="20"/>
  <c r="R13" i="20"/>
  <c r="I13" i="20"/>
  <c r="F12" i="20"/>
  <c r="O12" i="20"/>
  <c r="O13" i="20"/>
  <c r="F13" i="20"/>
  <c r="E466" i="58"/>
  <c r="E466" i="37"/>
  <c r="E466" i="41" s="1"/>
  <c r="E465" i="37"/>
  <c r="E465" i="41" s="1"/>
  <c r="E465" i="58"/>
  <c r="G466" i="37"/>
  <c r="G466" i="41" s="1"/>
  <c r="G466" i="58"/>
  <c r="G465" i="37"/>
  <c r="G465" i="41" s="1"/>
  <c r="G465" i="58"/>
  <c r="R15" i="20" l="1"/>
  <c r="I15" i="20"/>
  <c r="O15" i="20"/>
  <c r="F15" i="20"/>
  <c r="O14" i="20"/>
  <c r="F14" i="20"/>
  <c r="R12" i="20"/>
  <c r="I12" i="20"/>
  <c r="G473" i="58"/>
  <c r="G473" i="37"/>
  <c r="G473" i="41" s="1"/>
  <c r="E474" i="58"/>
  <c r="E474" i="37"/>
  <c r="E474" i="41" s="1"/>
  <c r="G474" i="58"/>
  <c r="G474" i="37"/>
  <c r="G474" i="41" s="1"/>
  <c r="E475" i="37"/>
  <c r="E475" i="41" s="1"/>
  <c r="E475" i="58"/>
  <c r="G475" i="58"/>
  <c r="G475" i="37"/>
  <c r="G475" i="41" s="1"/>
  <c r="E473" i="58"/>
  <c r="E473" i="37"/>
  <c r="E473" i="41" s="1"/>
  <c r="O16" i="20" l="1"/>
  <c r="F16" i="20"/>
  <c r="O17" i="20"/>
  <c r="F17" i="20"/>
  <c r="I14" i="20"/>
  <c r="R14" i="20"/>
  <c r="I17" i="20"/>
  <c r="R17" i="20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37" i="37"/>
  <c r="E437" i="41" s="1"/>
  <c r="E437" i="58"/>
  <c r="G439" i="37"/>
  <c r="G439" i="41" s="1"/>
  <c r="G439" i="58"/>
  <c r="E439" i="37"/>
  <c r="E439" i="41" s="1"/>
  <c r="E439" i="58"/>
  <c r="G437" i="37"/>
  <c r="G437" i="41" s="1"/>
  <c r="G437" i="58"/>
  <c r="I16" i="20" l="1"/>
  <c r="R16" i="20"/>
  <c r="O19" i="20"/>
  <c r="F19" i="20"/>
  <c r="I19" i="20"/>
  <c r="R19" i="20"/>
  <c r="F18" i="20"/>
  <c r="O18" i="20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15" i="35" a="1"/>
  <c r="H15" i="35" s="1"/>
  <c r="H283" i="18"/>
  <c r="I283" i="18"/>
  <c r="I278" i="18"/>
  <c r="H278" i="18"/>
  <c r="I269" i="18"/>
  <c r="H269" i="18"/>
  <c r="H55" i="35" a="1"/>
  <c r="H55" i="35" s="1"/>
  <c r="G69" i="18" a="1"/>
  <c r="G69" i="18" s="1"/>
  <c r="H49" i="35" a="1"/>
  <c r="H49" i="35" s="1"/>
  <c r="G64" i="18" a="1"/>
  <c r="G64" i="18" s="1"/>
  <c r="H57" i="35" a="1"/>
  <c r="H57" i="35" s="1"/>
  <c r="G62" i="18" a="1"/>
  <c r="G62" i="18" s="1"/>
  <c r="G61" i="18" a="1"/>
  <c r="G61" i="18" s="1"/>
  <c r="H6" i="35" a="1"/>
  <c r="H6" i="35" s="1"/>
  <c r="R47" i="20"/>
  <c r="I284" i="18"/>
  <c r="H284" i="18"/>
  <c r="H310" i="18"/>
  <c r="I310" i="18"/>
  <c r="G70" i="18" a="1"/>
  <c r="G70" i="18" s="1"/>
  <c r="H132" i="35" a="1"/>
  <c r="H132" i="35" s="1"/>
  <c r="H290" i="18"/>
  <c r="I290" i="18"/>
  <c r="I321" i="18"/>
  <c r="H321" i="18"/>
  <c r="G63" i="18" a="1"/>
  <c r="G63" i="18" s="1"/>
  <c r="G68" i="18" a="1"/>
  <c r="G68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06" i="58"/>
  <c r="E406" i="37"/>
  <c r="E406" i="41" s="1"/>
  <c r="G406" i="58"/>
  <c r="G406" i="37"/>
  <c r="G406" i="41" s="1"/>
  <c r="H413" i="37"/>
  <c r="H413" i="58"/>
  <c r="G6" i="58"/>
  <c r="G6" i="37"/>
  <c r="G6" i="41" s="1"/>
  <c r="H417" i="58"/>
  <c r="H417" i="37"/>
  <c r="H409" i="58"/>
  <c r="H409" i="37"/>
  <c r="O20" i="20" l="1"/>
  <c r="G16" i="18" a="1"/>
  <c r="G16" i="18" s="1"/>
  <c r="H48" i="35" a="1"/>
  <c r="H48" i="35" s="1"/>
  <c r="I288" i="18"/>
  <c r="J288" i="18" s="1"/>
  <c r="G58" i="18" a="1"/>
  <c r="G58" i="18" s="1"/>
  <c r="I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R18" i="20"/>
  <c r="G82" i="18" s="1" a="1"/>
  <c r="G82" i="18" s="1"/>
  <c r="I18" i="20"/>
  <c r="I7" i="35" s="1" a="1"/>
  <c r="I7" i="35" s="1"/>
  <c r="G29" i="18" a="1"/>
  <c r="G29" i="18" s="1"/>
  <c r="I287" i="18"/>
  <c r="J287" i="18" s="1"/>
  <c r="H280" i="18"/>
  <c r="J280" i="18" s="1"/>
  <c r="H323" i="18"/>
  <c r="J323" i="18" s="1"/>
  <c r="I28" i="18"/>
  <c r="F28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I25" i="18"/>
  <c r="J25" i="18" s="1"/>
  <c r="H289" i="18"/>
  <c r="J289" i="18" s="1"/>
  <c r="I322" i="18"/>
  <c r="H322" i="18"/>
  <c r="H318" i="18"/>
  <c r="I318" i="18"/>
  <c r="J317" i="18"/>
  <c r="F317" i="18"/>
  <c r="H311" i="18"/>
  <c r="I311" i="18"/>
  <c r="H68" i="18"/>
  <c r="I68" i="18"/>
  <c r="J328" i="18"/>
  <c r="F323" i="18"/>
  <c r="H58" i="18"/>
  <c r="J335" i="18"/>
  <c r="F335" i="18"/>
  <c r="F280" i="18"/>
  <c r="F279" i="18"/>
  <c r="F288" i="18"/>
  <c r="I61" i="18"/>
  <c r="H61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H59" i="18"/>
  <c r="I59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60" i="18"/>
  <c r="I325" i="18"/>
  <c r="H325" i="18"/>
  <c r="I330" i="18"/>
  <c r="H330" i="18"/>
  <c r="H291" i="18"/>
  <c r="I291" i="18"/>
  <c r="I70" i="18"/>
  <c r="H70" i="18"/>
  <c r="H16" i="18"/>
  <c r="I16" i="18"/>
  <c r="I332" i="18"/>
  <c r="H332" i="18"/>
  <c r="F268" i="18"/>
  <c r="J268" i="18"/>
  <c r="H281" i="18"/>
  <c r="I281" i="18"/>
  <c r="H69" i="18"/>
  <c r="I69" i="18"/>
  <c r="I331" i="18"/>
  <c r="H331" i="18"/>
  <c r="J314" i="18"/>
  <c r="F314" i="18"/>
  <c r="H417" i="41"/>
  <c r="H409" i="41"/>
  <c r="H413" i="41"/>
  <c r="I27" i="18" l="1"/>
  <c r="I18" i="18"/>
  <c r="J18" i="18" s="1"/>
  <c r="I71" i="18"/>
  <c r="J71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18" i="18"/>
  <c r="F327" i="18"/>
  <c r="J28" i="18"/>
  <c r="J324" i="18"/>
  <c r="F275" i="18"/>
  <c r="F337" i="18"/>
  <c r="F25" i="18"/>
  <c r="F17" i="18"/>
  <c r="F332" i="18"/>
  <c r="J332" i="18"/>
  <c r="J291" i="18"/>
  <c r="F291" i="18"/>
  <c r="F64" i="18"/>
  <c r="J64" i="18"/>
  <c r="J27" i="18"/>
  <c r="F27" i="18"/>
  <c r="F316" i="18"/>
  <c r="J316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F59" i="18"/>
  <c r="J59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J58" i="18"/>
  <c r="F58" i="18"/>
  <c r="F318" i="18"/>
  <c r="J318" i="18"/>
  <c r="J70" i="18"/>
  <c r="F70" i="18"/>
  <c r="J334" i="18"/>
  <c r="F334" i="18"/>
  <c r="F331" i="18"/>
  <c r="J331" i="18"/>
  <c r="F60" i="18"/>
  <c r="J60" i="18"/>
  <c r="F322" i="18"/>
  <c r="J322" i="18"/>
  <c r="I429" i="41"/>
  <c r="F71" i="18" l="1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62" i="58"/>
  <c r="G162" i="37"/>
  <c r="G162" i="41" s="1"/>
  <c r="G270" i="58"/>
  <c r="G270" i="37"/>
  <c r="G270" i="41" s="1"/>
  <c r="G220" i="58"/>
  <c r="G220" i="37"/>
  <c r="G220" i="41" s="1"/>
  <c r="G176" i="58"/>
  <c r="G176" i="37"/>
  <c r="G176" i="41" s="1"/>
  <c r="E446" i="37"/>
  <c r="E446" i="41" s="1"/>
  <c r="E446" i="58"/>
  <c r="E377" i="37"/>
  <c r="E377" i="41" s="1"/>
  <c r="E377" i="58"/>
  <c r="E305" i="37"/>
  <c r="E305" i="41" s="1"/>
  <c r="E305" i="58"/>
  <c r="E241" i="58"/>
  <c r="E241" i="37"/>
  <c r="E241" i="41" s="1"/>
  <c r="E195" i="58"/>
  <c r="E195" i="37"/>
  <c r="E195" i="41" s="1"/>
  <c r="E75" i="58"/>
  <c r="E75" i="37"/>
  <c r="E75" i="41" s="1"/>
  <c r="G91" i="37"/>
  <c r="G91" i="41" s="1"/>
  <c r="G91" i="58"/>
  <c r="G167" i="58"/>
  <c r="G167" i="37"/>
  <c r="G167" i="41" s="1"/>
  <c r="G414" i="58"/>
  <c r="G414" i="37"/>
  <c r="G414" i="41" s="1"/>
  <c r="G432" i="37"/>
  <c r="G432" i="41" s="1"/>
  <c r="G432" i="58"/>
  <c r="G459" i="37"/>
  <c r="G459" i="41" s="1"/>
  <c r="G459" i="58"/>
  <c r="G389" i="58"/>
  <c r="G389" i="37"/>
  <c r="G389" i="41" s="1"/>
  <c r="G365" i="37"/>
  <c r="G365" i="41" s="1"/>
  <c r="G365" i="58"/>
  <c r="G339" i="37"/>
  <c r="G339" i="41" s="1"/>
  <c r="G339" i="58"/>
  <c r="G318" i="58"/>
  <c r="G318" i="37"/>
  <c r="G318" i="41" s="1"/>
  <c r="G297" i="37"/>
  <c r="G297" i="41" s="1"/>
  <c r="G297" i="58"/>
  <c r="G265" i="58"/>
  <c r="G265" i="37"/>
  <c r="G265" i="41" s="1"/>
  <c r="G257" i="37"/>
  <c r="G257" i="41" s="1"/>
  <c r="G257" i="58"/>
  <c r="G233" i="58"/>
  <c r="G233" i="37"/>
  <c r="G233" i="41" s="1"/>
  <c r="G203" i="37"/>
  <c r="G203" i="41" s="1"/>
  <c r="G203" i="58"/>
  <c r="G171" i="58"/>
  <c r="G171" i="37"/>
  <c r="G171" i="41" s="1"/>
  <c r="G140" i="37"/>
  <c r="G140" i="41" s="1"/>
  <c r="G140" i="58"/>
  <c r="E450" i="58"/>
  <c r="E450" i="37"/>
  <c r="E450" i="41" s="1"/>
  <c r="E413" i="58"/>
  <c r="E413" i="37"/>
  <c r="E413" i="41" s="1"/>
  <c r="E388" i="37"/>
  <c r="E388" i="41" s="1"/>
  <c r="E388" i="58"/>
  <c r="E364" i="58"/>
  <c r="E364" i="37"/>
  <c r="E364" i="41" s="1"/>
  <c r="E332" i="37"/>
  <c r="E332" i="41" s="1"/>
  <c r="E332" i="58"/>
  <c r="E308" i="58"/>
  <c r="E308" i="37"/>
  <c r="E308" i="41" s="1"/>
  <c r="E276" i="37"/>
  <c r="E276" i="41" s="1"/>
  <c r="E276" i="58"/>
  <c r="E252" i="37"/>
  <c r="E252" i="41" s="1"/>
  <c r="E252" i="58"/>
  <c r="E228" i="58"/>
  <c r="E228" i="37"/>
  <c r="E228" i="41" s="1"/>
  <c r="E198" i="58"/>
  <c r="E198" i="37"/>
  <c r="E198" i="41" s="1"/>
  <c r="E174" i="58"/>
  <c r="E174" i="37"/>
  <c r="E174" i="41" s="1"/>
  <c r="E150" i="37"/>
  <c r="E150" i="41" s="1"/>
  <c r="E150" i="58"/>
  <c r="E126" i="58"/>
  <c r="E126" i="37"/>
  <c r="E126" i="41" s="1"/>
  <c r="E110" i="58"/>
  <c r="E110" i="37"/>
  <c r="E110" i="41" s="1"/>
  <c r="E78" i="58"/>
  <c r="E78" i="37"/>
  <c r="E78" i="41" s="1"/>
  <c r="E8" i="58"/>
  <c r="E8" i="37"/>
  <c r="E8" i="41" s="1"/>
  <c r="E64" i="37"/>
  <c r="E64" i="41" s="1"/>
  <c r="E64" i="58"/>
  <c r="E60" i="37"/>
  <c r="E60" i="41" s="1"/>
  <c r="E60" i="58"/>
  <c r="E56" i="37"/>
  <c r="E56" i="41" s="1"/>
  <c r="E56" i="58"/>
  <c r="E52" i="58"/>
  <c r="E52" i="37"/>
  <c r="E52" i="41" s="1"/>
  <c r="E48" i="37"/>
  <c r="E48" i="41" s="1"/>
  <c r="E48" i="58"/>
  <c r="E44" i="58"/>
  <c r="E44" i="37"/>
  <c r="E44" i="41" s="1"/>
  <c r="E40" i="37"/>
  <c r="E40" i="41" s="1"/>
  <c r="E40" i="58"/>
  <c r="E36" i="58"/>
  <c r="E36" i="37"/>
  <c r="E36" i="41" s="1"/>
  <c r="E32" i="58"/>
  <c r="E32" i="37"/>
  <c r="E32" i="41" s="1"/>
  <c r="E28" i="37"/>
  <c r="E28" i="41" s="1"/>
  <c r="E28" i="58"/>
  <c r="E24" i="58"/>
  <c r="E24" i="37"/>
  <c r="E24" i="41" s="1"/>
  <c r="E20" i="37"/>
  <c r="E20" i="41" s="1"/>
  <c r="E20" i="58"/>
  <c r="E16" i="37"/>
  <c r="E16" i="41" s="1"/>
  <c r="E16" i="58"/>
  <c r="E12" i="37"/>
  <c r="E12" i="41" s="1"/>
  <c r="E12" i="58"/>
  <c r="G469" i="37"/>
  <c r="G469" i="41" s="1"/>
  <c r="G469" i="58"/>
  <c r="G449" i="58"/>
  <c r="G449" i="37"/>
  <c r="G449" i="41" s="1"/>
  <c r="E217" i="58"/>
  <c r="E217" i="37"/>
  <c r="E217" i="41" s="1"/>
  <c r="E472" i="37"/>
  <c r="E472" i="41" s="1"/>
  <c r="E472" i="58"/>
  <c r="I451" i="37"/>
  <c r="I451" i="58"/>
  <c r="J451" i="58"/>
  <c r="J451" i="37"/>
  <c r="E232" i="38"/>
  <c r="E277" i="38"/>
  <c r="E224" i="38"/>
  <c r="G107" i="66" s="1"/>
  <c r="G14" i="39" s="1"/>
  <c r="E269" i="38"/>
  <c r="G251" i="66" s="1"/>
  <c r="H438" i="58"/>
  <c r="H438" i="37"/>
  <c r="E242" i="38"/>
  <c r="E234" i="38"/>
  <c r="I440" i="37"/>
  <c r="I440" i="58"/>
  <c r="E261" i="38"/>
  <c r="E216" i="38"/>
  <c r="E255" i="38"/>
  <c r="G201" i="66" s="1"/>
  <c r="E210" i="38"/>
  <c r="J163" i="37"/>
  <c r="J163" i="58"/>
  <c r="G86" i="58"/>
  <c r="G86" i="37"/>
  <c r="G86" i="41" s="1"/>
  <c r="G341" i="37"/>
  <c r="G341" i="41" s="1"/>
  <c r="G341" i="58"/>
  <c r="G435" i="58"/>
  <c r="G435" i="37"/>
  <c r="G435" i="41" s="1"/>
  <c r="G362" i="37"/>
  <c r="G362" i="41" s="1"/>
  <c r="G362" i="58"/>
  <c r="G294" i="58"/>
  <c r="G294" i="37"/>
  <c r="G294" i="41" s="1"/>
  <c r="G238" i="58"/>
  <c r="G238" i="37"/>
  <c r="G238" i="41" s="1"/>
  <c r="G184" i="58"/>
  <c r="G184" i="37"/>
  <c r="G184" i="41" s="1"/>
  <c r="E436" i="37"/>
  <c r="E436" i="41" s="1"/>
  <c r="E436" i="58"/>
  <c r="E401" i="58"/>
  <c r="E401" i="37"/>
  <c r="E401" i="41" s="1"/>
  <c r="E353" i="37"/>
  <c r="E353" i="41" s="1"/>
  <c r="E353" i="58"/>
  <c r="E313" i="37"/>
  <c r="E313" i="41" s="1"/>
  <c r="E313" i="58"/>
  <c r="E249" i="37"/>
  <c r="E249" i="41" s="1"/>
  <c r="E249" i="58"/>
  <c r="E203" i="58"/>
  <c r="E203" i="37"/>
  <c r="E203" i="41" s="1"/>
  <c r="E115" i="37"/>
  <c r="E115" i="41" s="1"/>
  <c r="E115" i="58"/>
  <c r="G3" i="37"/>
  <c r="G3" i="41" s="1"/>
  <c r="G3" i="58"/>
  <c r="G99" i="58"/>
  <c r="G99" i="37"/>
  <c r="G99" i="41" s="1"/>
  <c r="G107" i="58"/>
  <c r="G107" i="37"/>
  <c r="G107" i="41" s="1"/>
  <c r="G115" i="37"/>
  <c r="G115" i="41" s="1"/>
  <c r="G115" i="58"/>
  <c r="G405" i="37"/>
  <c r="G405" i="41" s="1"/>
  <c r="G405" i="58"/>
  <c r="G442" i="37"/>
  <c r="G442" i="41" s="1"/>
  <c r="G442" i="58"/>
  <c r="G397" i="37"/>
  <c r="G397" i="41" s="1"/>
  <c r="G397" i="58"/>
  <c r="G373" i="58"/>
  <c r="G373" i="37"/>
  <c r="G373" i="41" s="1"/>
  <c r="G349" i="37"/>
  <c r="G349" i="41" s="1"/>
  <c r="G349" i="58"/>
  <c r="G273" i="58"/>
  <c r="G273" i="37"/>
  <c r="G273" i="41" s="1"/>
  <c r="G249" i="37"/>
  <c r="G249" i="41" s="1"/>
  <c r="G249" i="58"/>
  <c r="G214" i="58"/>
  <c r="G214" i="37"/>
  <c r="G214" i="41" s="1"/>
  <c r="G187" i="58"/>
  <c r="G187" i="37"/>
  <c r="G187" i="41" s="1"/>
  <c r="G157" i="58"/>
  <c r="G157" i="37"/>
  <c r="G157" i="41" s="1"/>
  <c r="G130" i="37"/>
  <c r="G130" i="41" s="1"/>
  <c r="G130" i="58"/>
  <c r="E441" i="37"/>
  <c r="E441" i="41" s="1"/>
  <c r="E441" i="58"/>
  <c r="E404" i="37"/>
  <c r="E404" i="41" s="1"/>
  <c r="E404" i="58"/>
  <c r="E380" i="58"/>
  <c r="E380" i="37"/>
  <c r="E380" i="41" s="1"/>
  <c r="E356" i="37"/>
  <c r="E356" i="41" s="1"/>
  <c r="E356" i="58"/>
  <c r="E340" i="58"/>
  <c r="E340" i="37"/>
  <c r="E340" i="41" s="1"/>
  <c r="E316" i="37"/>
  <c r="E316" i="41" s="1"/>
  <c r="E316" i="58"/>
  <c r="E292" i="37"/>
  <c r="E292" i="41" s="1"/>
  <c r="E292" i="58"/>
  <c r="E268" i="58"/>
  <c r="E268" i="37"/>
  <c r="E268" i="41" s="1"/>
  <c r="E244" i="37"/>
  <c r="E244" i="41" s="1"/>
  <c r="E244" i="58"/>
  <c r="E218" i="37"/>
  <c r="E218" i="41" s="1"/>
  <c r="E218" i="58"/>
  <c r="E190" i="37"/>
  <c r="E190" i="41" s="1"/>
  <c r="E190" i="58"/>
  <c r="E166" i="37"/>
  <c r="E166" i="41" s="1"/>
  <c r="E166" i="58"/>
  <c r="E142" i="58"/>
  <c r="E142" i="37"/>
  <c r="E142" i="41" s="1"/>
  <c r="E118" i="58"/>
  <c r="E118" i="37"/>
  <c r="E118" i="41" s="1"/>
  <c r="E86" i="58"/>
  <c r="E86" i="37"/>
  <c r="E86" i="41" s="1"/>
  <c r="E68" i="58"/>
  <c r="E68" i="37"/>
  <c r="E68" i="41" s="1"/>
  <c r="G4" i="37"/>
  <c r="G4" i="41" s="1"/>
  <c r="G4" i="58"/>
  <c r="G84" i="58"/>
  <c r="G84" i="37"/>
  <c r="G84" i="41" s="1"/>
  <c r="G108" i="58"/>
  <c r="G108" i="37"/>
  <c r="G108" i="41" s="1"/>
  <c r="G137" i="58"/>
  <c r="G137" i="37"/>
  <c r="G137" i="41" s="1"/>
  <c r="G333" i="58"/>
  <c r="G333" i="37"/>
  <c r="G333" i="41" s="1"/>
  <c r="G415" i="58"/>
  <c r="G415" i="37"/>
  <c r="G415" i="41" s="1"/>
  <c r="G423" i="37"/>
  <c r="G423" i="41" s="1"/>
  <c r="G423" i="58"/>
  <c r="G433" i="58"/>
  <c r="G433" i="37"/>
  <c r="G433" i="41" s="1"/>
  <c r="G443" i="37"/>
  <c r="G443" i="41" s="1"/>
  <c r="G443" i="58"/>
  <c r="G452" i="58"/>
  <c r="G452" i="37"/>
  <c r="G452" i="41" s="1"/>
  <c r="G460" i="37"/>
  <c r="G460" i="41" s="1"/>
  <c r="G460" i="58"/>
  <c r="G396" i="37"/>
  <c r="G396" i="41" s="1"/>
  <c r="G396" i="58"/>
  <c r="G388" i="37"/>
  <c r="G388" i="41" s="1"/>
  <c r="G388" i="58"/>
  <c r="G380" i="37"/>
  <c r="G380" i="41" s="1"/>
  <c r="G380" i="58"/>
  <c r="G372" i="37"/>
  <c r="G372" i="41" s="1"/>
  <c r="G372" i="58"/>
  <c r="G364" i="58"/>
  <c r="G364" i="37"/>
  <c r="G364" i="41" s="1"/>
  <c r="G356" i="58"/>
  <c r="G356" i="37"/>
  <c r="G356" i="41" s="1"/>
  <c r="G348" i="37"/>
  <c r="G348" i="41" s="1"/>
  <c r="G348" i="58"/>
  <c r="G338" i="37"/>
  <c r="G338" i="41" s="1"/>
  <c r="G338" i="58"/>
  <c r="G327" i="58"/>
  <c r="G327" i="37"/>
  <c r="G327" i="41" s="1"/>
  <c r="G316" i="58"/>
  <c r="G316" i="37"/>
  <c r="G316" i="41" s="1"/>
  <c r="G306" i="58"/>
  <c r="G306" i="37"/>
  <c r="G306" i="41" s="1"/>
  <c r="G296" i="37"/>
  <c r="G296" i="41" s="1"/>
  <c r="G296" i="58"/>
  <c r="G288" i="58"/>
  <c r="G288" i="37"/>
  <c r="G288" i="41" s="1"/>
  <c r="G280" i="37"/>
  <c r="G280" i="41" s="1"/>
  <c r="G280" i="58"/>
  <c r="G272" i="58"/>
  <c r="G272" i="37"/>
  <c r="G272" i="41" s="1"/>
  <c r="G264" i="58"/>
  <c r="G264" i="37"/>
  <c r="G264" i="41" s="1"/>
  <c r="G256" i="37"/>
  <c r="G256" i="41" s="1"/>
  <c r="G256" i="58"/>
  <c r="G248" i="58"/>
  <c r="G248" i="37"/>
  <c r="G248" i="41" s="1"/>
  <c r="G240" i="37"/>
  <c r="G240" i="41" s="1"/>
  <c r="G240" i="58"/>
  <c r="G232" i="37"/>
  <c r="G232" i="41" s="1"/>
  <c r="G232" i="58"/>
  <c r="G223" i="37"/>
  <c r="G223" i="41" s="1"/>
  <c r="G223" i="58"/>
  <c r="G212" i="37"/>
  <c r="G212" i="41" s="1"/>
  <c r="G212" i="58"/>
  <c r="G202" i="58"/>
  <c r="G202" i="37"/>
  <c r="G202" i="41" s="1"/>
  <c r="G194" i="58"/>
  <c r="G194" i="37"/>
  <c r="G194" i="41" s="1"/>
  <c r="G186" i="37"/>
  <c r="G186" i="41" s="1"/>
  <c r="G186" i="58"/>
  <c r="G178" i="58"/>
  <c r="G178" i="37"/>
  <c r="G178" i="41" s="1"/>
  <c r="G170" i="58"/>
  <c r="G170" i="37"/>
  <c r="G170" i="41" s="1"/>
  <c r="G156" i="58"/>
  <c r="G156" i="37"/>
  <c r="G156" i="41" s="1"/>
  <c r="G148" i="58"/>
  <c r="G148" i="37"/>
  <c r="G148" i="41" s="1"/>
  <c r="G139" i="37"/>
  <c r="G139" i="41" s="1"/>
  <c r="G139" i="58"/>
  <c r="G128" i="58"/>
  <c r="G128" i="37"/>
  <c r="G128" i="41" s="1"/>
  <c r="E467" i="37"/>
  <c r="E467" i="41" s="1"/>
  <c r="E467" i="58"/>
  <c r="E457" i="58"/>
  <c r="E457" i="37"/>
  <c r="E457" i="41" s="1"/>
  <c r="E448" i="37"/>
  <c r="E448" i="41" s="1"/>
  <c r="E448" i="58"/>
  <c r="E440" i="58"/>
  <c r="E440" i="37"/>
  <c r="E440" i="41" s="1"/>
  <c r="E428" i="58"/>
  <c r="E428" i="37"/>
  <c r="E428" i="41" s="1"/>
  <c r="E420" i="58"/>
  <c r="E420" i="37"/>
  <c r="E420" i="41" s="1"/>
  <c r="E412" i="37"/>
  <c r="E412" i="41" s="1"/>
  <c r="E412" i="58"/>
  <c r="E403" i="58"/>
  <c r="E403" i="37"/>
  <c r="E403" i="41" s="1"/>
  <c r="E395" i="58"/>
  <c r="E395" i="37"/>
  <c r="E395" i="41" s="1"/>
  <c r="E387" i="58"/>
  <c r="E387" i="37"/>
  <c r="E387" i="41" s="1"/>
  <c r="E379" i="58"/>
  <c r="E379" i="37"/>
  <c r="E379" i="41" s="1"/>
  <c r="E371" i="37"/>
  <c r="E371" i="41" s="1"/>
  <c r="E371" i="58"/>
  <c r="E363" i="37"/>
  <c r="E363" i="41" s="1"/>
  <c r="E363" i="58"/>
  <c r="E355" i="37"/>
  <c r="E355" i="41" s="1"/>
  <c r="E355" i="58"/>
  <c r="E347" i="58"/>
  <c r="E347" i="37"/>
  <c r="E347" i="41" s="1"/>
  <c r="E339" i="58"/>
  <c r="E339" i="37"/>
  <c r="E339" i="41" s="1"/>
  <c r="E331" i="58"/>
  <c r="E331" i="37"/>
  <c r="E331" i="41" s="1"/>
  <c r="E323" i="58"/>
  <c r="E323" i="37"/>
  <c r="E323" i="41" s="1"/>
  <c r="E315" i="37"/>
  <c r="E315" i="41" s="1"/>
  <c r="E315" i="58"/>
  <c r="E307" i="58"/>
  <c r="E307" i="37"/>
  <c r="E307" i="41" s="1"/>
  <c r="E299" i="37"/>
  <c r="E299" i="41" s="1"/>
  <c r="E299" i="58"/>
  <c r="E291" i="58"/>
  <c r="E291" i="37"/>
  <c r="E291" i="41" s="1"/>
  <c r="E283" i="58"/>
  <c r="E283" i="37"/>
  <c r="E283" i="41" s="1"/>
  <c r="E275" i="37"/>
  <c r="E275" i="41" s="1"/>
  <c r="E275" i="58"/>
  <c r="E267" i="37"/>
  <c r="E267" i="41" s="1"/>
  <c r="E267" i="58"/>
  <c r="E259" i="58"/>
  <c r="E259" i="37"/>
  <c r="E259" i="41" s="1"/>
  <c r="E251" i="37"/>
  <c r="E251" i="41" s="1"/>
  <c r="E251" i="58"/>
  <c r="E243" i="58"/>
  <c r="E243" i="37"/>
  <c r="E243" i="41" s="1"/>
  <c r="E235" i="58"/>
  <c r="E235" i="37"/>
  <c r="E235" i="41" s="1"/>
  <c r="E227" i="37"/>
  <c r="E227" i="41" s="1"/>
  <c r="E227" i="58"/>
  <c r="E216" i="58"/>
  <c r="E216" i="37"/>
  <c r="E216" i="41" s="1"/>
  <c r="E206" i="58"/>
  <c r="E206" i="37"/>
  <c r="E206" i="41" s="1"/>
  <c r="E197" i="37"/>
  <c r="E197" i="41" s="1"/>
  <c r="E197" i="58"/>
  <c r="E189" i="58"/>
  <c r="E189" i="37"/>
  <c r="E189" i="41" s="1"/>
  <c r="E181" i="37"/>
  <c r="E181" i="41" s="1"/>
  <c r="E181" i="58"/>
  <c r="E173" i="58"/>
  <c r="E173" i="37"/>
  <c r="E173" i="41" s="1"/>
  <c r="E165" i="37"/>
  <c r="E165" i="41" s="1"/>
  <c r="E165" i="58"/>
  <c r="E157" i="58"/>
  <c r="E157" i="37"/>
  <c r="E157" i="41" s="1"/>
  <c r="E149" i="58"/>
  <c r="E149" i="37"/>
  <c r="E149" i="41" s="1"/>
  <c r="E141" i="58"/>
  <c r="E141" i="37"/>
  <c r="E141" i="41" s="1"/>
  <c r="E133" i="58"/>
  <c r="E133" i="37"/>
  <c r="E133" i="41" s="1"/>
  <c r="E125" i="37"/>
  <c r="E125" i="41" s="1"/>
  <c r="E125" i="58"/>
  <c r="E117" i="58"/>
  <c r="E117" i="37"/>
  <c r="E117" i="41" s="1"/>
  <c r="E109" i="37"/>
  <c r="E109" i="41" s="1"/>
  <c r="E109" i="58"/>
  <c r="E101" i="37"/>
  <c r="E101" i="41" s="1"/>
  <c r="E101" i="58"/>
  <c r="E93" i="37"/>
  <c r="E93" i="41" s="1"/>
  <c r="E93" i="58"/>
  <c r="E85" i="37"/>
  <c r="E85" i="41" s="1"/>
  <c r="E85" i="58"/>
  <c r="E77" i="58"/>
  <c r="E77" i="37"/>
  <c r="E77" i="41" s="1"/>
  <c r="E7" i="37"/>
  <c r="E7" i="41" s="1"/>
  <c r="E7" i="58"/>
  <c r="G71" i="37"/>
  <c r="G71" i="41" s="1"/>
  <c r="G71" i="58"/>
  <c r="I71" i="58" s="1"/>
  <c r="G67" i="58"/>
  <c r="I67" i="58" s="1"/>
  <c r="G67" i="37"/>
  <c r="G67" i="41" s="1"/>
  <c r="G63" i="37"/>
  <c r="G63" i="41" s="1"/>
  <c r="G63" i="58"/>
  <c r="G59" i="37"/>
  <c r="G59" i="41" s="1"/>
  <c r="G59" i="58"/>
  <c r="H59" i="58" s="1"/>
  <c r="G55" i="58"/>
  <c r="H55" i="58" s="1"/>
  <c r="G55" i="37"/>
  <c r="G55" i="41" s="1"/>
  <c r="G51" i="58"/>
  <c r="G51" i="37"/>
  <c r="G51" i="41" s="1"/>
  <c r="G47" i="58"/>
  <c r="G47" i="37"/>
  <c r="G47" i="41" s="1"/>
  <c r="G43" i="37"/>
  <c r="G43" i="41" s="1"/>
  <c r="G43" i="58"/>
  <c r="H43" i="58" s="1"/>
  <c r="G39" i="58"/>
  <c r="H39" i="58" s="1"/>
  <c r="G39" i="37"/>
  <c r="G39" i="41" s="1"/>
  <c r="G35" i="58"/>
  <c r="H35" i="58" s="1"/>
  <c r="G35" i="37"/>
  <c r="G35" i="41" s="1"/>
  <c r="G31" i="58"/>
  <c r="J31" i="58" s="1"/>
  <c r="G31" i="37"/>
  <c r="G31" i="41" s="1"/>
  <c r="G27" i="37"/>
  <c r="G27" i="41" s="1"/>
  <c r="G27" i="58"/>
  <c r="H27" i="58" s="1"/>
  <c r="G23" i="58"/>
  <c r="H23" i="58" s="1"/>
  <c r="G23" i="37"/>
  <c r="G23" i="41" s="1"/>
  <c r="G19" i="58"/>
  <c r="I19" i="58" s="1"/>
  <c r="G19" i="37"/>
  <c r="G19" i="41" s="1"/>
  <c r="G15" i="58"/>
  <c r="H15" i="58" s="1"/>
  <c r="G15" i="37"/>
  <c r="G11" i="37"/>
  <c r="G11" i="58"/>
  <c r="E469" i="37"/>
  <c r="E469" i="41" s="1"/>
  <c r="E469" i="58"/>
  <c r="E449" i="37"/>
  <c r="E449" i="41" s="1"/>
  <c r="E449" i="58"/>
  <c r="G205" i="37"/>
  <c r="G205" i="41" s="1"/>
  <c r="G205" i="58"/>
  <c r="E213" i="58"/>
  <c r="E213" i="37"/>
  <c r="E213" i="41" s="1"/>
  <c r="G472" i="37"/>
  <c r="G472" i="41" s="1"/>
  <c r="G472" i="58"/>
  <c r="I450" i="58"/>
  <c r="I450" i="37"/>
  <c r="J450" i="58"/>
  <c r="J450" i="37"/>
  <c r="E276" i="38"/>
  <c r="E231" i="38"/>
  <c r="E268" i="38"/>
  <c r="E223" i="38"/>
  <c r="H447" i="37"/>
  <c r="H447" i="58"/>
  <c r="H436" i="37"/>
  <c r="H436" i="58"/>
  <c r="E241" i="38"/>
  <c r="E233" i="38"/>
  <c r="I438" i="58"/>
  <c r="I438" i="37"/>
  <c r="E257" i="38"/>
  <c r="E212" i="38"/>
  <c r="H63" i="37"/>
  <c r="H63" i="58"/>
  <c r="H51" i="37"/>
  <c r="H51" i="58"/>
  <c r="H39" i="37"/>
  <c r="G78" i="37"/>
  <c r="G78" i="41" s="1"/>
  <c r="G78" i="58"/>
  <c r="G309" i="37"/>
  <c r="G309" i="41" s="1"/>
  <c r="G309" i="58"/>
  <c r="G445" i="37"/>
  <c r="G445" i="41" s="1"/>
  <c r="G445" i="58"/>
  <c r="G386" i="58"/>
  <c r="G386" i="37"/>
  <c r="G386" i="41" s="1"/>
  <c r="G324" i="58"/>
  <c r="G324" i="37"/>
  <c r="G324" i="41" s="1"/>
  <c r="G262" i="58"/>
  <c r="G262" i="37"/>
  <c r="G262" i="41" s="1"/>
  <c r="G200" i="37"/>
  <c r="G200" i="41" s="1"/>
  <c r="G200" i="58"/>
  <c r="G146" i="37"/>
  <c r="G146" i="41" s="1"/>
  <c r="G146" i="58"/>
  <c r="E463" i="37"/>
  <c r="E463" i="41" s="1"/>
  <c r="E463" i="58"/>
  <c r="E393" i="37"/>
  <c r="E393" i="41" s="1"/>
  <c r="E393" i="58"/>
  <c r="E345" i="58"/>
  <c r="E345" i="37"/>
  <c r="E345" i="41" s="1"/>
  <c r="E273" i="37"/>
  <c r="E273" i="41" s="1"/>
  <c r="E273" i="58"/>
  <c r="E107" i="37"/>
  <c r="E107" i="41" s="1"/>
  <c r="E107" i="58"/>
  <c r="G75" i="58"/>
  <c r="G75" i="37"/>
  <c r="G75" i="41" s="1"/>
  <c r="G83" i="58"/>
  <c r="G83" i="37"/>
  <c r="G83" i="41" s="1"/>
  <c r="G133" i="37"/>
  <c r="G133" i="41" s="1"/>
  <c r="G133" i="58"/>
  <c r="G329" i="37"/>
  <c r="G329" i="41" s="1"/>
  <c r="G329" i="58"/>
  <c r="G422" i="37"/>
  <c r="G422" i="41" s="1"/>
  <c r="G422" i="58"/>
  <c r="G451" i="58"/>
  <c r="G451" i="37"/>
  <c r="G451" i="41" s="1"/>
  <c r="G381" i="58"/>
  <c r="G381" i="37"/>
  <c r="G381" i="41" s="1"/>
  <c r="G357" i="37"/>
  <c r="G357" i="41" s="1"/>
  <c r="G357" i="58"/>
  <c r="G328" i="58"/>
  <c r="G328" i="37"/>
  <c r="G328" i="41" s="1"/>
  <c r="G307" i="58"/>
  <c r="G307" i="37"/>
  <c r="G307" i="41" s="1"/>
  <c r="G289" i="37"/>
  <c r="G289" i="41" s="1"/>
  <c r="G289" i="58"/>
  <c r="G281" i="37"/>
  <c r="G281" i="41" s="1"/>
  <c r="G281" i="58"/>
  <c r="G241" i="58"/>
  <c r="G241" i="37"/>
  <c r="G241" i="41" s="1"/>
  <c r="G224" i="58"/>
  <c r="G224" i="37"/>
  <c r="G224" i="41" s="1"/>
  <c r="G195" i="58"/>
  <c r="G195" i="37"/>
  <c r="G195" i="41" s="1"/>
  <c r="G179" i="58"/>
  <c r="G179" i="37"/>
  <c r="G179" i="41" s="1"/>
  <c r="G149" i="58"/>
  <c r="G149" i="37"/>
  <c r="G149" i="41" s="1"/>
  <c r="E458" i="37"/>
  <c r="E458" i="41" s="1"/>
  <c r="E458" i="58"/>
  <c r="E431" i="58"/>
  <c r="E431" i="37"/>
  <c r="E431" i="41" s="1"/>
  <c r="E421" i="58"/>
  <c r="E421" i="37"/>
  <c r="E421" i="41" s="1"/>
  <c r="E396" i="37"/>
  <c r="E396" i="41" s="1"/>
  <c r="E396" i="58"/>
  <c r="E372" i="58"/>
  <c r="E372" i="37"/>
  <c r="E372" i="41" s="1"/>
  <c r="E348" i="58"/>
  <c r="E348" i="37"/>
  <c r="E348" i="41" s="1"/>
  <c r="E324" i="58"/>
  <c r="E324" i="37"/>
  <c r="E324" i="41" s="1"/>
  <c r="E300" i="37"/>
  <c r="E300" i="41" s="1"/>
  <c r="E300" i="58"/>
  <c r="E284" i="37"/>
  <c r="E284" i="41" s="1"/>
  <c r="E284" i="58"/>
  <c r="E260" i="37"/>
  <c r="E260" i="41" s="1"/>
  <c r="E260" i="58"/>
  <c r="E236" i="37"/>
  <c r="E236" i="41" s="1"/>
  <c r="E236" i="58"/>
  <c r="E207" i="37"/>
  <c r="E207" i="41" s="1"/>
  <c r="E207" i="58"/>
  <c r="E182" i="37"/>
  <c r="E182" i="41" s="1"/>
  <c r="E182" i="58"/>
  <c r="E158" i="58"/>
  <c r="E158" i="37"/>
  <c r="E158" i="41" s="1"/>
  <c r="E134" i="37"/>
  <c r="E134" i="41" s="1"/>
  <c r="E134" i="58"/>
  <c r="E102" i="58"/>
  <c r="E102" i="37"/>
  <c r="E102" i="41" s="1"/>
  <c r="E94" i="58"/>
  <c r="E94" i="37"/>
  <c r="E94" i="41" s="1"/>
  <c r="E72" i="58"/>
  <c r="E72" i="37"/>
  <c r="E72" i="41" s="1"/>
  <c r="G76" i="37"/>
  <c r="G76" i="41" s="1"/>
  <c r="G76" i="58"/>
  <c r="G92" i="37"/>
  <c r="G92" i="41" s="1"/>
  <c r="G92" i="58"/>
  <c r="G100" i="58"/>
  <c r="G100" i="37"/>
  <c r="G100" i="41" s="1"/>
  <c r="G116" i="37"/>
  <c r="G116" i="41" s="1"/>
  <c r="G116" i="58"/>
  <c r="G301" i="37"/>
  <c r="G301" i="41" s="1"/>
  <c r="G301" i="58"/>
  <c r="G407" i="58"/>
  <c r="G407" i="37"/>
  <c r="G407" i="41" s="1"/>
  <c r="G5" i="58"/>
  <c r="G5" i="37"/>
  <c r="G5" i="41" s="1"/>
  <c r="G77" i="58"/>
  <c r="G77" i="37"/>
  <c r="G77" i="41" s="1"/>
  <c r="G85" i="58"/>
  <c r="G85" i="37"/>
  <c r="G85" i="41" s="1"/>
  <c r="G93" i="58"/>
  <c r="G93" i="37"/>
  <c r="G93" i="41" s="1"/>
  <c r="G101" i="37"/>
  <c r="G101" i="41" s="1"/>
  <c r="G101" i="58"/>
  <c r="G109" i="37"/>
  <c r="G109" i="41" s="1"/>
  <c r="G109" i="58"/>
  <c r="G117" i="37"/>
  <c r="G117" i="41" s="1"/>
  <c r="G117" i="58"/>
  <c r="G141" i="58"/>
  <c r="G141" i="37"/>
  <c r="G141" i="41" s="1"/>
  <c r="G305" i="37"/>
  <c r="G305" i="41" s="1"/>
  <c r="G305" i="58"/>
  <c r="G337" i="58"/>
  <c r="G337" i="37"/>
  <c r="G337" i="41" s="1"/>
  <c r="G408" i="37"/>
  <c r="G408" i="41" s="1"/>
  <c r="G408" i="58"/>
  <c r="G416" i="37"/>
  <c r="G416" i="41" s="1"/>
  <c r="G416" i="58"/>
  <c r="G424" i="37"/>
  <c r="G424" i="41" s="1"/>
  <c r="G424" i="58"/>
  <c r="G434" i="58"/>
  <c r="G434" i="37"/>
  <c r="G434" i="41" s="1"/>
  <c r="G444" i="58"/>
  <c r="G444" i="37"/>
  <c r="G444" i="41" s="1"/>
  <c r="G453" i="58"/>
  <c r="G453" i="37"/>
  <c r="G453" i="41" s="1"/>
  <c r="G461" i="37"/>
  <c r="G461" i="41" s="1"/>
  <c r="G461" i="58"/>
  <c r="G395" i="58"/>
  <c r="G395" i="37"/>
  <c r="G395" i="41" s="1"/>
  <c r="G387" i="58"/>
  <c r="G387" i="37"/>
  <c r="G387" i="41" s="1"/>
  <c r="G379" i="37"/>
  <c r="G379" i="41" s="1"/>
  <c r="G379" i="58"/>
  <c r="G371" i="58"/>
  <c r="G371" i="37"/>
  <c r="G371" i="41" s="1"/>
  <c r="G363" i="58"/>
  <c r="G363" i="37"/>
  <c r="G363" i="41" s="1"/>
  <c r="G355" i="58"/>
  <c r="G355" i="37"/>
  <c r="G355" i="41" s="1"/>
  <c r="G347" i="37"/>
  <c r="G347" i="41" s="1"/>
  <c r="G347" i="58"/>
  <c r="G336" i="37"/>
  <c r="G336" i="41" s="1"/>
  <c r="G336" i="58"/>
  <c r="G326" i="37"/>
  <c r="G326" i="41" s="1"/>
  <c r="G326" i="58"/>
  <c r="G315" i="58"/>
  <c r="G315" i="37"/>
  <c r="G315" i="41" s="1"/>
  <c r="G304" i="37"/>
  <c r="G304" i="41" s="1"/>
  <c r="G304" i="58"/>
  <c r="G295" i="37"/>
  <c r="G295" i="41" s="1"/>
  <c r="G295" i="58"/>
  <c r="G287" i="58"/>
  <c r="G287" i="37"/>
  <c r="G287" i="41" s="1"/>
  <c r="G279" i="37"/>
  <c r="G279" i="41" s="1"/>
  <c r="G279" i="58"/>
  <c r="G271" i="58"/>
  <c r="G271" i="37"/>
  <c r="G271" i="41" s="1"/>
  <c r="G263" i="37"/>
  <c r="G263" i="41" s="1"/>
  <c r="G263" i="58"/>
  <c r="G255" i="58"/>
  <c r="G255" i="37"/>
  <c r="G255" i="41" s="1"/>
  <c r="G247" i="58"/>
  <c r="G247" i="37"/>
  <c r="G247" i="41" s="1"/>
  <c r="G239" i="58"/>
  <c r="G239" i="37"/>
  <c r="G239" i="41" s="1"/>
  <c r="G231" i="37"/>
  <c r="G231" i="41" s="1"/>
  <c r="G231" i="58"/>
  <c r="G222" i="37"/>
  <c r="G222" i="41" s="1"/>
  <c r="G222" i="58"/>
  <c r="G211" i="58"/>
  <c r="G211" i="37"/>
  <c r="G211" i="41" s="1"/>
  <c r="G201" i="58"/>
  <c r="G201" i="37"/>
  <c r="G201" i="41" s="1"/>
  <c r="G193" i="58"/>
  <c r="G193" i="37"/>
  <c r="G193" i="41" s="1"/>
  <c r="G185" i="37"/>
  <c r="G185" i="41" s="1"/>
  <c r="G185" i="58"/>
  <c r="G177" i="58"/>
  <c r="G177" i="37"/>
  <c r="G177" i="41" s="1"/>
  <c r="G169" i="58"/>
  <c r="G169" i="37"/>
  <c r="G169" i="41" s="1"/>
  <c r="G155" i="58"/>
  <c r="G155" i="37"/>
  <c r="G155" i="41" s="1"/>
  <c r="G147" i="37"/>
  <c r="G147" i="41" s="1"/>
  <c r="G147" i="58"/>
  <c r="G138" i="37"/>
  <c r="G138" i="41" s="1"/>
  <c r="G138" i="58"/>
  <c r="G127" i="58"/>
  <c r="G127" i="37"/>
  <c r="G127" i="41" s="1"/>
  <c r="E464" i="37"/>
  <c r="E464" i="41" s="1"/>
  <c r="E464" i="58"/>
  <c r="E456" i="58"/>
  <c r="E456" i="37"/>
  <c r="E456" i="41" s="1"/>
  <c r="E447" i="37"/>
  <c r="E447" i="41" s="1"/>
  <c r="E447" i="58"/>
  <c r="E438" i="58"/>
  <c r="E438" i="37"/>
  <c r="E438" i="41" s="1"/>
  <c r="E427" i="37"/>
  <c r="E427" i="41" s="1"/>
  <c r="E427" i="58"/>
  <c r="E419" i="37"/>
  <c r="E419" i="41" s="1"/>
  <c r="E419" i="58"/>
  <c r="E411" i="58"/>
  <c r="E411" i="37"/>
  <c r="E411" i="41" s="1"/>
  <c r="E402" i="37"/>
  <c r="E402" i="41" s="1"/>
  <c r="E402" i="58"/>
  <c r="E394" i="58"/>
  <c r="E394" i="37"/>
  <c r="E394" i="41" s="1"/>
  <c r="E386" i="58"/>
  <c r="E386" i="37"/>
  <c r="E386" i="41" s="1"/>
  <c r="E378" i="58"/>
  <c r="E378" i="37"/>
  <c r="E378" i="41" s="1"/>
  <c r="E370" i="37"/>
  <c r="E370" i="41" s="1"/>
  <c r="E370" i="58"/>
  <c r="E362" i="58"/>
  <c r="E362" i="37"/>
  <c r="E362" i="41" s="1"/>
  <c r="E354" i="58"/>
  <c r="E354" i="37"/>
  <c r="E354" i="41" s="1"/>
  <c r="E346" i="37"/>
  <c r="E346" i="41" s="1"/>
  <c r="E346" i="58"/>
  <c r="E338" i="58"/>
  <c r="E338" i="37"/>
  <c r="E338" i="41" s="1"/>
  <c r="E330" i="58"/>
  <c r="E330" i="37"/>
  <c r="E330" i="41" s="1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37"/>
  <c r="E290" i="41" s="1"/>
  <c r="E290" i="58"/>
  <c r="E282" i="37"/>
  <c r="E282" i="41" s="1"/>
  <c r="E282" i="58"/>
  <c r="E274" i="37"/>
  <c r="E274" i="41" s="1"/>
  <c r="E274" i="58"/>
  <c r="E266" i="58"/>
  <c r="E266" i="37"/>
  <c r="E266" i="41" s="1"/>
  <c r="E258" i="58"/>
  <c r="E258" i="37"/>
  <c r="E258" i="41" s="1"/>
  <c r="E250" i="58"/>
  <c r="E250" i="37"/>
  <c r="E250" i="41" s="1"/>
  <c r="E242" i="58"/>
  <c r="E242" i="37"/>
  <c r="E242" i="41" s="1"/>
  <c r="E234" i="58"/>
  <c r="E234" i="37"/>
  <c r="E234" i="41" s="1"/>
  <c r="E226" i="58"/>
  <c r="E226" i="37"/>
  <c r="E226" i="41" s="1"/>
  <c r="E215" i="37"/>
  <c r="E215" i="41" s="1"/>
  <c r="E215" i="58"/>
  <c r="E204" i="58"/>
  <c r="E204" i="37"/>
  <c r="E204" i="41" s="1"/>
  <c r="E196" i="37"/>
  <c r="E196" i="41" s="1"/>
  <c r="E196" i="58"/>
  <c r="E188" i="58"/>
  <c r="E188" i="37"/>
  <c r="E188" i="41" s="1"/>
  <c r="E180" i="37"/>
  <c r="E180" i="41" s="1"/>
  <c r="E180" i="58"/>
  <c r="E172" i="37"/>
  <c r="E172" i="41" s="1"/>
  <c r="E172" i="58"/>
  <c r="E164" i="37"/>
  <c r="E164" i="41" s="1"/>
  <c r="E164" i="58"/>
  <c r="E156" i="37"/>
  <c r="E156" i="41" s="1"/>
  <c r="E156" i="58"/>
  <c r="E148" i="37"/>
  <c r="E148" i="41" s="1"/>
  <c r="E148" i="58"/>
  <c r="E140" i="58"/>
  <c r="E140" i="37"/>
  <c r="E140" i="41" s="1"/>
  <c r="E132" i="58"/>
  <c r="E132" i="37"/>
  <c r="E132" i="41" s="1"/>
  <c r="E124" i="37"/>
  <c r="E124" i="41" s="1"/>
  <c r="E124" i="58"/>
  <c r="E116" i="58"/>
  <c r="E116" i="37"/>
  <c r="E116" i="41" s="1"/>
  <c r="E108" i="58"/>
  <c r="E108" i="37"/>
  <c r="E108" i="41" s="1"/>
  <c r="E100" i="58"/>
  <c r="E100" i="37"/>
  <c r="E100" i="41" s="1"/>
  <c r="E92" i="37"/>
  <c r="E92" i="41" s="1"/>
  <c r="E92" i="58"/>
  <c r="E84" i="58"/>
  <c r="E84" i="37"/>
  <c r="E84" i="41" s="1"/>
  <c r="E76" i="37"/>
  <c r="E76" i="41" s="1"/>
  <c r="E76" i="58"/>
  <c r="E5" i="58"/>
  <c r="E5" i="37"/>
  <c r="E5" i="41" s="1"/>
  <c r="E71" i="37"/>
  <c r="E71" i="41" s="1"/>
  <c r="E71" i="58"/>
  <c r="E67" i="37"/>
  <c r="E67" i="41" s="1"/>
  <c r="E67" i="58"/>
  <c r="E63" i="58"/>
  <c r="E63" i="37"/>
  <c r="E63" i="41" s="1"/>
  <c r="E59" i="37"/>
  <c r="E59" i="41" s="1"/>
  <c r="E59" i="58"/>
  <c r="E55" i="37"/>
  <c r="E55" i="41" s="1"/>
  <c r="E55" i="58"/>
  <c r="E51" i="37"/>
  <c r="E51" i="41" s="1"/>
  <c r="E51" i="58"/>
  <c r="E47" i="37"/>
  <c r="E47" i="41" s="1"/>
  <c r="E47" i="58"/>
  <c r="E43" i="58"/>
  <c r="E43" i="37"/>
  <c r="E43" i="41" s="1"/>
  <c r="E39" i="58"/>
  <c r="E39" i="37"/>
  <c r="E39" i="41" s="1"/>
  <c r="E35" i="37"/>
  <c r="E35" i="41" s="1"/>
  <c r="E35" i="58"/>
  <c r="E31" i="37"/>
  <c r="E31" i="41" s="1"/>
  <c r="E31" i="58"/>
  <c r="E27" i="58"/>
  <c r="E27" i="37"/>
  <c r="E27" i="41" s="1"/>
  <c r="E23" i="37"/>
  <c r="E23" i="41" s="1"/>
  <c r="E23" i="58"/>
  <c r="E19" i="58"/>
  <c r="E19" i="37"/>
  <c r="E19" i="41" s="1"/>
  <c r="E15" i="37"/>
  <c r="E15" i="41" s="1"/>
  <c r="E15" i="58"/>
  <c r="G430" i="37"/>
  <c r="G430" i="41" s="1"/>
  <c r="G430" i="58"/>
  <c r="G209" i="37"/>
  <c r="G209" i="41" s="1"/>
  <c r="G209" i="58"/>
  <c r="E221" i="58"/>
  <c r="E221" i="37"/>
  <c r="E221" i="41" s="1"/>
  <c r="J441" i="37"/>
  <c r="J441" i="58"/>
  <c r="E230" i="38"/>
  <c r="E275" i="38"/>
  <c r="E267" i="38"/>
  <c r="G267" i="66" s="1"/>
  <c r="E222" i="38"/>
  <c r="G123" i="66" s="1"/>
  <c r="H451" i="37"/>
  <c r="H451" i="58"/>
  <c r="H446" i="37"/>
  <c r="H446" i="58"/>
  <c r="E240" i="38"/>
  <c r="G153" i="66" s="1"/>
  <c r="N153" i="66" s="1"/>
  <c r="G9" i="66"/>
  <c r="N9" i="66" s="1"/>
  <c r="I436" i="37"/>
  <c r="I436" i="58"/>
  <c r="E260" i="38"/>
  <c r="E215" i="38"/>
  <c r="I430" i="41"/>
  <c r="E203" i="38"/>
  <c r="E248" i="38"/>
  <c r="E245" i="38"/>
  <c r="I163" i="58"/>
  <c r="I163" i="37"/>
  <c r="I47" i="37"/>
  <c r="I47" i="58"/>
  <c r="I23" i="37"/>
  <c r="J63" i="37"/>
  <c r="J63" i="58"/>
  <c r="G94" i="58"/>
  <c r="G94" i="37"/>
  <c r="G94" i="41" s="1"/>
  <c r="G409" i="37"/>
  <c r="G409" i="41" s="1"/>
  <c r="G409" i="58"/>
  <c r="G462" i="37"/>
  <c r="G462" i="41" s="1"/>
  <c r="G462" i="58"/>
  <c r="G354" i="58"/>
  <c r="G354" i="37"/>
  <c r="G354" i="41" s="1"/>
  <c r="G286" i="58"/>
  <c r="G286" i="37"/>
  <c r="G286" i="41" s="1"/>
  <c r="G230" i="58"/>
  <c r="G230" i="37"/>
  <c r="G230" i="41" s="1"/>
  <c r="G154" i="58"/>
  <c r="G154" i="37"/>
  <c r="G154" i="41" s="1"/>
  <c r="E455" i="37"/>
  <c r="E455" i="41" s="1"/>
  <c r="E455" i="58"/>
  <c r="E385" i="37"/>
  <c r="E385" i="41" s="1"/>
  <c r="E385" i="58"/>
  <c r="E337" i="37"/>
  <c r="E337" i="41" s="1"/>
  <c r="E337" i="58"/>
  <c r="E297" i="58"/>
  <c r="E297" i="37"/>
  <c r="E297" i="41" s="1"/>
  <c r="E257" i="58"/>
  <c r="E257" i="37"/>
  <c r="E257" i="41" s="1"/>
  <c r="E214" i="37"/>
  <c r="E214" i="41" s="1"/>
  <c r="E214" i="58"/>
  <c r="E171" i="37"/>
  <c r="E171" i="41" s="1"/>
  <c r="E171" i="58"/>
  <c r="E139" i="58"/>
  <c r="E139" i="37"/>
  <c r="E139" i="41" s="1"/>
  <c r="E123" i="58"/>
  <c r="E123" i="37"/>
  <c r="E123" i="41" s="1"/>
  <c r="E91" i="37"/>
  <c r="E91" i="41" s="1"/>
  <c r="E91" i="58"/>
  <c r="G62" i="58"/>
  <c r="I62" i="58" s="1"/>
  <c r="G62" i="37"/>
  <c r="G62" i="41" s="1"/>
  <c r="G58" i="37"/>
  <c r="G58" i="41" s="1"/>
  <c r="G58" i="58"/>
  <c r="G42" i="58"/>
  <c r="H42" i="58" s="1"/>
  <c r="G42" i="37"/>
  <c r="G42" i="41" s="1"/>
  <c r="G22" i="58"/>
  <c r="G22" i="37"/>
  <c r="G22" i="41" s="1"/>
  <c r="G95" i="58"/>
  <c r="G95" i="37"/>
  <c r="G95" i="41" s="1"/>
  <c r="G313" i="58"/>
  <c r="G313" i="37"/>
  <c r="G313" i="41" s="1"/>
  <c r="G426" i="37"/>
  <c r="G426" i="41" s="1"/>
  <c r="G426" i="58"/>
  <c r="G463" i="37"/>
  <c r="G463" i="41" s="1"/>
  <c r="G463" i="58"/>
  <c r="I8" i="58"/>
  <c r="I8" i="37"/>
  <c r="G385" i="37"/>
  <c r="G385" i="41" s="1"/>
  <c r="G385" i="58"/>
  <c r="G361" i="58"/>
  <c r="G361" i="37"/>
  <c r="G361" i="41" s="1"/>
  <c r="G353" i="58"/>
  <c r="G353" i="37"/>
  <c r="G353" i="41" s="1"/>
  <c r="G344" i="58"/>
  <c r="G344" i="37"/>
  <c r="G344" i="41" s="1"/>
  <c r="G334" i="37"/>
  <c r="G334" i="41" s="1"/>
  <c r="G334" i="58"/>
  <c r="G323" i="58"/>
  <c r="G323" i="37"/>
  <c r="G323" i="41" s="1"/>
  <c r="G312" i="37"/>
  <c r="G312" i="41" s="1"/>
  <c r="G312" i="58"/>
  <c r="G302" i="37"/>
  <c r="G302" i="41" s="1"/>
  <c r="G302" i="58"/>
  <c r="G293" i="37"/>
  <c r="G293" i="41" s="1"/>
  <c r="G293" i="58"/>
  <c r="G285" i="58"/>
  <c r="G285" i="37"/>
  <c r="G285" i="41" s="1"/>
  <c r="G277" i="37"/>
  <c r="G277" i="41" s="1"/>
  <c r="G277" i="58"/>
  <c r="G269" i="37"/>
  <c r="G269" i="41" s="1"/>
  <c r="G269" i="58"/>
  <c r="G261" i="58"/>
  <c r="G261" i="37"/>
  <c r="G261" i="41" s="1"/>
  <c r="G253" i="58"/>
  <c r="G253" i="37"/>
  <c r="G253" i="41" s="1"/>
  <c r="G245" i="58"/>
  <c r="G245" i="37"/>
  <c r="G245" i="41" s="1"/>
  <c r="G237" i="37"/>
  <c r="G237" i="41" s="1"/>
  <c r="G237" i="58"/>
  <c r="G229" i="37"/>
  <c r="G229" i="41" s="1"/>
  <c r="G229" i="58"/>
  <c r="G219" i="58"/>
  <c r="G219" i="37"/>
  <c r="G219" i="41" s="1"/>
  <c r="G208" i="58"/>
  <c r="G208" i="37"/>
  <c r="G208" i="41" s="1"/>
  <c r="G199" i="58"/>
  <c r="G199" i="37"/>
  <c r="G199" i="41" s="1"/>
  <c r="G191" i="37"/>
  <c r="G191" i="41" s="1"/>
  <c r="G191" i="58"/>
  <c r="G183" i="58"/>
  <c r="G183" i="37"/>
  <c r="G183" i="41" s="1"/>
  <c r="G175" i="37"/>
  <c r="G175" i="41" s="1"/>
  <c r="G175" i="58"/>
  <c r="G161" i="37"/>
  <c r="G161" i="41" s="1"/>
  <c r="G161" i="58"/>
  <c r="G153" i="37"/>
  <c r="G153" i="41" s="1"/>
  <c r="G153" i="58"/>
  <c r="G145" i="58"/>
  <c r="G145" i="37"/>
  <c r="G145" i="41" s="1"/>
  <c r="G135" i="37"/>
  <c r="G135" i="41" s="1"/>
  <c r="G135" i="58"/>
  <c r="G124" i="58"/>
  <c r="G124" i="37"/>
  <c r="G124" i="41" s="1"/>
  <c r="E462" i="58"/>
  <c r="E462" i="37"/>
  <c r="E462" i="41" s="1"/>
  <c r="E454" i="58"/>
  <c r="E454" i="37"/>
  <c r="E454" i="41" s="1"/>
  <c r="E445" i="58"/>
  <c r="E445" i="37"/>
  <c r="E445" i="41" s="1"/>
  <c r="E435" i="58"/>
  <c r="E435" i="37"/>
  <c r="E435" i="41" s="1"/>
  <c r="E425" i="58"/>
  <c r="E425" i="37"/>
  <c r="E425" i="41" s="1"/>
  <c r="E417" i="37"/>
  <c r="E417" i="41" s="1"/>
  <c r="E417" i="58"/>
  <c r="E409" i="58"/>
  <c r="E409" i="37"/>
  <c r="E409" i="41" s="1"/>
  <c r="E400" i="58"/>
  <c r="E400" i="37"/>
  <c r="E400" i="41" s="1"/>
  <c r="E392" i="58"/>
  <c r="E392" i="37"/>
  <c r="E392" i="41" s="1"/>
  <c r="E384" i="58"/>
  <c r="E384" i="37"/>
  <c r="E384" i="41" s="1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37"/>
  <c r="E344" i="41" s="1"/>
  <c r="E344" i="58"/>
  <c r="E336" i="58"/>
  <c r="E336" i="37"/>
  <c r="E336" i="41" s="1"/>
  <c r="E328" i="37"/>
  <c r="E328" i="41" s="1"/>
  <c r="E328" i="58"/>
  <c r="E320" i="37"/>
  <c r="E320" i="41" s="1"/>
  <c r="E320" i="58"/>
  <c r="E312" i="58"/>
  <c r="E312" i="37"/>
  <c r="E312" i="41" s="1"/>
  <c r="E304" i="58"/>
  <c r="E304" i="37"/>
  <c r="E304" i="41" s="1"/>
  <c r="E296" i="58"/>
  <c r="E296" i="37"/>
  <c r="E296" i="41" s="1"/>
  <c r="E288" i="58"/>
  <c r="E288" i="37"/>
  <c r="E288" i="41" s="1"/>
  <c r="E280" i="58"/>
  <c r="E280" i="37"/>
  <c r="E280" i="41" s="1"/>
  <c r="E272" i="37"/>
  <c r="E272" i="41" s="1"/>
  <c r="E272" i="58"/>
  <c r="E264" i="37"/>
  <c r="E264" i="41" s="1"/>
  <c r="E264" i="58"/>
  <c r="E256" i="37"/>
  <c r="E256" i="41" s="1"/>
  <c r="E256" i="58"/>
  <c r="E248" i="37"/>
  <c r="E248" i="41" s="1"/>
  <c r="E248" i="58"/>
  <c r="E240" i="37"/>
  <c r="E240" i="41" s="1"/>
  <c r="E240" i="58"/>
  <c r="E232" i="58"/>
  <c r="E232" i="37"/>
  <c r="E232" i="41" s="1"/>
  <c r="E223" i="58"/>
  <c r="E223" i="37"/>
  <c r="E223" i="41" s="1"/>
  <c r="E212" i="37"/>
  <c r="E212" i="41" s="1"/>
  <c r="E212" i="58"/>
  <c r="E202" i="37"/>
  <c r="E202" i="41" s="1"/>
  <c r="E202" i="58"/>
  <c r="E194" i="58"/>
  <c r="E194" i="37"/>
  <c r="E194" i="41" s="1"/>
  <c r="E186" i="37"/>
  <c r="E186" i="41" s="1"/>
  <c r="E186" i="58"/>
  <c r="E178" i="37"/>
  <c r="E178" i="41" s="1"/>
  <c r="E178" i="58"/>
  <c r="E170" i="58"/>
  <c r="E170" i="37"/>
  <c r="E170" i="41" s="1"/>
  <c r="E162" i="58"/>
  <c r="E162" i="37"/>
  <c r="E162" i="41" s="1"/>
  <c r="E154" i="37"/>
  <c r="E154" i="41" s="1"/>
  <c r="E154" i="58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58"/>
  <c r="E106" i="37"/>
  <c r="E106" i="41" s="1"/>
  <c r="E98" i="37"/>
  <c r="E98" i="41" s="1"/>
  <c r="E98" i="58"/>
  <c r="E90" i="58"/>
  <c r="E90" i="37"/>
  <c r="E90" i="41" s="1"/>
  <c r="E82" i="37"/>
  <c r="E82" i="41" s="1"/>
  <c r="E82" i="58"/>
  <c r="E74" i="58"/>
  <c r="E74" i="37"/>
  <c r="E74" i="41" s="1"/>
  <c r="E3" i="58"/>
  <c r="E3" i="37"/>
  <c r="E3" i="41" s="1"/>
  <c r="E70" i="37"/>
  <c r="E70" i="41" s="1"/>
  <c r="E70" i="58"/>
  <c r="E66" i="37"/>
  <c r="E66" i="41" s="1"/>
  <c r="E66" i="58"/>
  <c r="E62" i="58"/>
  <c r="E62" i="37"/>
  <c r="E62" i="41" s="1"/>
  <c r="E58" i="58"/>
  <c r="E58" i="37"/>
  <c r="E58" i="41" s="1"/>
  <c r="E54" i="58"/>
  <c r="E54" i="37"/>
  <c r="E54" i="41" s="1"/>
  <c r="E50" i="58"/>
  <c r="E50" i="37"/>
  <c r="E50" i="41" s="1"/>
  <c r="E46" i="37"/>
  <c r="E46" i="41" s="1"/>
  <c r="E46" i="58"/>
  <c r="E42" i="58"/>
  <c r="E42" i="37"/>
  <c r="E42" i="41" s="1"/>
  <c r="E38" i="37"/>
  <c r="E38" i="41" s="1"/>
  <c r="E38" i="58"/>
  <c r="E34" i="58"/>
  <c r="E34" i="37"/>
  <c r="E34" i="41" s="1"/>
  <c r="E30" i="58"/>
  <c r="E30" i="37"/>
  <c r="E30" i="41" s="1"/>
  <c r="E26" i="58"/>
  <c r="E26" i="37"/>
  <c r="E26" i="41" s="1"/>
  <c r="E22" i="37"/>
  <c r="E22" i="41" s="1"/>
  <c r="E22" i="58"/>
  <c r="E18" i="37"/>
  <c r="E18" i="41" s="1"/>
  <c r="E18" i="58"/>
  <c r="E14" i="37"/>
  <c r="E14" i="41" s="1"/>
  <c r="E14" i="58"/>
  <c r="E468" i="58"/>
  <c r="E468" i="37"/>
  <c r="E468" i="41" s="1"/>
  <c r="G429" i="58"/>
  <c r="G429" i="37"/>
  <c r="G429" i="41" s="1"/>
  <c r="G217" i="37"/>
  <c r="G217" i="41" s="1"/>
  <c r="G217" i="58"/>
  <c r="E205" i="37"/>
  <c r="E205" i="41" s="1"/>
  <c r="E205" i="58"/>
  <c r="I447" i="37"/>
  <c r="I447" i="58"/>
  <c r="J447" i="37"/>
  <c r="J447" i="58"/>
  <c r="J438" i="37"/>
  <c r="J438" i="58"/>
  <c r="E273" i="38"/>
  <c r="G245" i="66" s="1"/>
  <c r="E228" i="38"/>
  <c r="G101" i="66" s="1"/>
  <c r="E220" i="38"/>
  <c r="G141" i="66" s="1"/>
  <c r="E265" i="38"/>
  <c r="G285" i="66" s="1"/>
  <c r="E238" i="38"/>
  <c r="J67" i="37"/>
  <c r="J19" i="37"/>
  <c r="I55" i="37"/>
  <c r="I31" i="37"/>
  <c r="H163" i="58"/>
  <c r="H163" i="37"/>
  <c r="H71" i="58"/>
  <c r="H47" i="58"/>
  <c r="H47" i="37"/>
  <c r="H23" i="37"/>
  <c r="J39" i="37"/>
  <c r="G118" i="58"/>
  <c r="G118" i="37"/>
  <c r="G118" i="41" s="1"/>
  <c r="G454" i="58"/>
  <c r="G454" i="37"/>
  <c r="G454" i="41" s="1"/>
  <c r="G370" i="58"/>
  <c r="G370" i="37"/>
  <c r="G370" i="41" s="1"/>
  <c r="G314" i="58"/>
  <c r="G314" i="37"/>
  <c r="G314" i="41" s="1"/>
  <c r="G246" i="58"/>
  <c r="G246" i="37"/>
  <c r="G246" i="41" s="1"/>
  <c r="G168" i="58"/>
  <c r="G168" i="37"/>
  <c r="G168" i="41" s="1"/>
  <c r="E426" i="58"/>
  <c r="E426" i="37"/>
  <c r="E426" i="41" s="1"/>
  <c r="E369" i="37"/>
  <c r="E369" i="41" s="1"/>
  <c r="E369" i="58"/>
  <c r="E329" i="58"/>
  <c r="E329" i="37"/>
  <c r="E329" i="41" s="1"/>
  <c r="E289" i="37"/>
  <c r="E289" i="41" s="1"/>
  <c r="E289" i="58"/>
  <c r="E233" i="37"/>
  <c r="E233" i="41" s="1"/>
  <c r="E233" i="58"/>
  <c r="E187" i="58"/>
  <c r="E187" i="37"/>
  <c r="E187" i="41" s="1"/>
  <c r="E163" i="58"/>
  <c r="E163" i="37"/>
  <c r="E163" i="41" s="1"/>
  <c r="E131" i="58"/>
  <c r="E131" i="37"/>
  <c r="E131" i="41" s="1"/>
  <c r="E83" i="58"/>
  <c r="E83" i="37"/>
  <c r="E83" i="41" s="1"/>
  <c r="G66" i="58"/>
  <c r="J66" i="58" s="1"/>
  <c r="G66" i="37"/>
  <c r="G66" i="41" s="1"/>
  <c r="G54" i="58"/>
  <c r="I54" i="58" s="1"/>
  <c r="G54" i="37"/>
  <c r="G54" i="41" s="1"/>
  <c r="G46" i="37"/>
  <c r="H46" i="37" s="1"/>
  <c r="G46" i="58"/>
  <c r="H46" i="58" s="1"/>
  <c r="G34" i="37"/>
  <c r="G34" i="41" s="1"/>
  <c r="G34" i="58"/>
  <c r="H34" i="58" s="1"/>
  <c r="G30" i="37"/>
  <c r="G30" i="41" s="1"/>
  <c r="G30" i="58"/>
  <c r="H30" i="58" s="1"/>
  <c r="G14" i="37"/>
  <c r="G14" i="41" s="1"/>
  <c r="G14" i="58"/>
  <c r="J14" i="58" s="1"/>
  <c r="G213" i="58"/>
  <c r="G213" i="37"/>
  <c r="G213" i="41" s="1"/>
  <c r="J440" i="58"/>
  <c r="J440" i="37"/>
  <c r="E266" i="38"/>
  <c r="E221" i="38"/>
  <c r="E239" i="38"/>
  <c r="G155" i="66" s="1"/>
  <c r="N155" i="66" s="1"/>
  <c r="G11" i="66"/>
  <c r="N11" i="66" s="1"/>
  <c r="E207" i="38"/>
  <c r="E252" i="38"/>
  <c r="G219" i="66" s="1"/>
  <c r="J22" i="58"/>
  <c r="G87" i="37"/>
  <c r="G87" i="41" s="1"/>
  <c r="G87" i="58"/>
  <c r="G111" i="58"/>
  <c r="G111" i="37"/>
  <c r="G111" i="41" s="1"/>
  <c r="G345" i="58"/>
  <c r="G345" i="37"/>
  <c r="G345" i="41" s="1"/>
  <c r="G455" i="58"/>
  <c r="G455" i="37"/>
  <c r="G455" i="41" s="1"/>
  <c r="G377" i="58"/>
  <c r="G377" i="37"/>
  <c r="G377" i="41" s="1"/>
  <c r="G88" i="37"/>
  <c r="G88" i="41" s="1"/>
  <c r="G88" i="58"/>
  <c r="G112" i="58"/>
  <c r="G112" i="37"/>
  <c r="G112" i="41" s="1"/>
  <c r="G164" i="37"/>
  <c r="G164" i="41" s="1"/>
  <c r="G164" i="58"/>
  <c r="G411" i="58"/>
  <c r="G411" i="37"/>
  <c r="G411" i="41" s="1"/>
  <c r="G419" i="37"/>
  <c r="G419" i="41" s="1"/>
  <c r="G419" i="58"/>
  <c r="G427" i="37"/>
  <c r="G427" i="41" s="1"/>
  <c r="G427" i="58"/>
  <c r="G438" i="58"/>
  <c r="G438" i="37"/>
  <c r="G438" i="41" s="1"/>
  <c r="G447" i="58"/>
  <c r="G447" i="37"/>
  <c r="G447" i="41" s="1"/>
  <c r="G456" i="37"/>
  <c r="G456" i="41" s="1"/>
  <c r="G456" i="58"/>
  <c r="G464" i="37"/>
  <c r="G464" i="41" s="1"/>
  <c r="G464" i="58"/>
  <c r="G400" i="37"/>
  <c r="G400" i="41" s="1"/>
  <c r="G400" i="58"/>
  <c r="G392" i="58"/>
  <c r="G392" i="37"/>
  <c r="G392" i="41" s="1"/>
  <c r="G384" i="37"/>
  <c r="G384" i="41" s="1"/>
  <c r="G384" i="58"/>
  <c r="G376" i="37"/>
  <c r="G376" i="41" s="1"/>
  <c r="G376" i="58"/>
  <c r="G368" i="37"/>
  <c r="G368" i="41" s="1"/>
  <c r="G368" i="58"/>
  <c r="G360" i="58"/>
  <c r="G360" i="37"/>
  <c r="G360" i="41" s="1"/>
  <c r="G352" i="58"/>
  <c r="G352" i="37"/>
  <c r="G352" i="41" s="1"/>
  <c r="G343" i="37"/>
  <c r="G343" i="41" s="1"/>
  <c r="G343" i="58"/>
  <c r="G332" i="58"/>
  <c r="G332" i="37"/>
  <c r="G332" i="41" s="1"/>
  <c r="G322" i="58"/>
  <c r="G322" i="37"/>
  <c r="G322" i="41" s="1"/>
  <c r="G311" i="37"/>
  <c r="G311" i="41" s="1"/>
  <c r="G311" i="58"/>
  <c r="G300" i="58"/>
  <c r="G300" i="37"/>
  <c r="G300" i="41" s="1"/>
  <c r="G292" i="58"/>
  <c r="G292" i="37"/>
  <c r="G292" i="41" s="1"/>
  <c r="G284" i="58"/>
  <c r="G284" i="37"/>
  <c r="G284" i="41" s="1"/>
  <c r="G276" i="58"/>
  <c r="G276" i="37"/>
  <c r="G276" i="41" s="1"/>
  <c r="G268" i="58"/>
  <c r="G268" i="37"/>
  <c r="G268" i="41" s="1"/>
  <c r="G260" i="58"/>
  <c r="G260" i="37"/>
  <c r="G260" i="41" s="1"/>
  <c r="G252" i="58"/>
  <c r="G252" i="37"/>
  <c r="G252" i="41" s="1"/>
  <c r="G244" i="37"/>
  <c r="G244" i="41" s="1"/>
  <c r="G244" i="58"/>
  <c r="G236" i="58"/>
  <c r="G236" i="37"/>
  <c r="G236" i="41" s="1"/>
  <c r="G228" i="58"/>
  <c r="G228" i="37"/>
  <c r="G228" i="41" s="1"/>
  <c r="G218" i="58"/>
  <c r="G218" i="37"/>
  <c r="G218" i="41" s="1"/>
  <c r="G207" i="37"/>
  <c r="G207" i="41" s="1"/>
  <c r="G207" i="58"/>
  <c r="G198" i="58"/>
  <c r="G198" i="37"/>
  <c r="G198" i="41" s="1"/>
  <c r="G190" i="58"/>
  <c r="G190" i="37"/>
  <c r="G190" i="41" s="1"/>
  <c r="G182" i="37"/>
  <c r="G182" i="41" s="1"/>
  <c r="G182" i="58"/>
  <c r="G174" i="58"/>
  <c r="G174" i="37"/>
  <c r="G174" i="41" s="1"/>
  <c r="G160" i="37"/>
  <c r="G160" i="41" s="1"/>
  <c r="G160" i="58"/>
  <c r="G152" i="37"/>
  <c r="G152" i="41" s="1"/>
  <c r="G152" i="58"/>
  <c r="G144" i="58"/>
  <c r="G144" i="37"/>
  <c r="G144" i="41" s="1"/>
  <c r="G134" i="58"/>
  <c r="G134" i="37"/>
  <c r="G134" i="41" s="1"/>
  <c r="G123" i="58"/>
  <c r="G123" i="37"/>
  <c r="G123" i="41" s="1"/>
  <c r="E461" i="37"/>
  <c r="E461" i="41" s="1"/>
  <c r="E461" i="58"/>
  <c r="E453" i="37"/>
  <c r="E453" i="41" s="1"/>
  <c r="E453" i="58"/>
  <c r="E444" i="58"/>
  <c r="E444" i="37"/>
  <c r="E444" i="41" s="1"/>
  <c r="E434" i="37"/>
  <c r="E434" i="41" s="1"/>
  <c r="E434" i="58"/>
  <c r="E424" i="37"/>
  <c r="E424" i="41" s="1"/>
  <c r="E424" i="58"/>
  <c r="E416" i="37"/>
  <c r="E416" i="41" s="1"/>
  <c r="E416" i="58"/>
  <c r="E408" i="37"/>
  <c r="E408" i="41" s="1"/>
  <c r="E408" i="58"/>
  <c r="E399" i="37"/>
  <c r="E399" i="41" s="1"/>
  <c r="E399" i="58"/>
  <c r="E391" i="37"/>
  <c r="E391" i="41" s="1"/>
  <c r="E391" i="58"/>
  <c r="E383" i="58"/>
  <c r="E383" i="37"/>
  <c r="E383" i="41" s="1"/>
  <c r="E375" i="37"/>
  <c r="E375" i="41" s="1"/>
  <c r="E375" i="58"/>
  <c r="E367" i="37"/>
  <c r="E367" i="41" s="1"/>
  <c r="E367" i="58"/>
  <c r="E359" i="37"/>
  <c r="E359" i="41" s="1"/>
  <c r="E359" i="58"/>
  <c r="E351" i="37"/>
  <c r="E351" i="41" s="1"/>
  <c r="E351" i="58"/>
  <c r="E343" i="58"/>
  <c r="E343" i="37"/>
  <c r="E343" i="41" s="1"/>
  <c r="E335" i="37"/>
  <c r="E335" i="41" s="1"/>
  <c r="E335" i="58"/>
  <c r="E327" i="58"/>
  <c r="E327" i="37"/>
  <c r="E327" i="41" s="1"/>
  <c r="E319" i="37"/>
  <c r="E319" i="41" s="1"/>
  <c r="E319" i="58"/>
  <c r="E311" i="37"/>
  <c r="E311" i="41" s="1"/>
  <c r="E311" i="58"/>
  <c r="E303" i="37"/>
  <c r="E303" i="41" s="1"/>
  <c r="E303" i="58"/>
  <c r="E295" i="58"/>
  <c r="E295" i="37"/>
  <c r="E295" i="41" s="1"/>
  <c r="E287" i="37"/>
  <c r="E287" i="41" s="1"/>
  <c r="E287" i="58"/>
  <c r="E279" i="37"/>
  <c r="E279" i="41" s="1"/>
  <c r="E279" i="58"/>
  <c r="E271" i="58"/>
  <c r="E271" i="37"/>
  <c r="E271" i="41" s="1"/>
  <c r="E263" i="58"/>
  <c r="E263" i="37"/>
  <c r="E263" i="41" s="1"/>
  <c r="E255" i="37"/>
  <c r="E255" i="41" s="1"/>
  <c r="E255" i="58"/>
  <c r="E247" i="37"/>
  <c r="E247" i="41" s="1"/>
  <c r="E247" i="58"/>
  <c r="E239" i="58"/>
  <c r="E239" i="37"/>
  <c r="E239" i="41" s="1"/>
  <c r="E231" i="37"/>
  <c r="E231" i="41" s="1"/>
  <c r="E231" i="58"/>
  <c r="E222" i="37"/>
  <c r="E222" i="41" s="1"/>
  <c r="E222" i="58"/>
  <c r="E211" i="58"/>
  <c r="E211" i="37"/>
  <c r="E211" i="41" s="1"/>
  <c r="E201" i="37"/>
  <c r="E201" i="41" s="1"/>
  <c r="E201" i="58"/>
  <c r="E193" i="37"/>
  <c r="E193" i="41" s="1"/>
  <c r="E193" i="58"/>
  <c r="E185" i="58"/>
  <c r="E185" i="37"/>
  <c r="E185" i="41" s="1"/>
  <c r="E177" i="37"/>
  <c r="E177" i="41" s="1"/>
  <c r="E177" i="58"/>
  <c r="E169" i="58"/>
  <c r="E169" i="37"/>
  <c r="E169" i="41" s="1"/>
  <c r="E161" i="37"/>
  <c r="E161" i="41" s="1"/>
  <c r="E161" i="58"/>
  <c r="E153" i="37"/>
  <c r="E153" i="41" s="1"/>
  <c r="E153" i="58"/>
  <c r="E145" i="58"/>
  <c r="E145" i="37"/>
  <c r="E145" i="41" s="1"/>
  <c r="E137" i="58"/>
  <c r="E137" i="37"/>
  <c r="E137" i="41" s="1"/>
  <c r="E129" i="37"/>
  <c r="E129" i="41" s="1"/>
  <c r="E129" i="58"/>
  <c r="E121" i="58"/>
  <c r="E121" i="37"/>
  <c r="E121" i="41" s="1"/>
  <c r="E113" i="58"/>
  <c r="E113" i="37"/>
  <c r="E113" i="41" s="1"/>
  <c r="E105" i="37"/>
  <c r="E105" i="41" s="1"/>
  <c r="E105" i="58"/>
  <c r="E97" i="37"/>
  <c r="E97" i="41" s="1"/>
  <c r="E97" i="58"/>
  <c r="E89" i="58"/>
  <c r="E89" i="37"/>
  <c r="E89" i="41" s="1"/>
  <c r="E81" i="37"/>
  <c r="E81" i="41" s="1"/>
  <c r="E81" i="58"/>
  <c r="E11" i="37"/>
  <c r="E11" i="41" s="1"/>
  <c r="E11" i="58"/>
  <c r="G73" i="58"/>
  <c r="I73" i="58" s="1"/>
  <c r="G73" i="37"/>
  <c r="G73" i="41" s="1"/>
  <c r="G69" i="37"/>
  <c r="G69" i="41" s="1"/>
  <c r="G69" i="58"/>
  <c r="I69" i="58" s="1"/>
  <c r="G65" i="58"/>
  <c r="H65" i="58" s="1"/>
  <c r="G65" i="37"/>
  <c r="G65" i="41" s="1"/>
  <c r="G61" i="37"/>
  <c r="G61" i="41" s="1"/>
  <c r="G61" i="58"/>
  <c r="I61" i="58" s="1"/>
  <c r="G57" i="58"/>
  <c r="I57" i="58" s="1"/>
  <c r="G57" i="37"/>
  <c r="H57" i="37" s="1"/>
  <c r="G53" i="37"/>
  <c r="G53" i="41" s="1"/>
  <c r="G53" i="58"/>
  <c r="J53" i="58" s="1"/>
  <c r="G49" i="37"/>
  <c r="G49" i="41" s="1"/>
  <c r="G49" i="58"/>
  <c r="I49" i="58" s="1"/>
  <c r="G45" i="58"/>
  <c r="J45" i="58" s="1"/>
  <c r="G45" i="37"/>
  <c r="G45" i="41" s="1"/>
  <c r="G41" i="37"/>
  <c r="G41" i="41" s="1"/>
  <c r="G41" i="58"/>
  <c r="H41" i="58" s="1"/>
  <c r="G37" i="37"/>
  <c r="G37" i="41" s="1"/>
  <c r="G37" i="58"/>
  <c r="H37" i="58" s="1"/>
  <c r="G33" i="37"/>
  <c r="G33" i="41" s="1"/>
  <c r="G33" i="58"/>
  <c r="I33" i="58" s="1"/>
  <c r="G29" i="58"/>
  <c r="H29" i="58" s="1"/>
  <c r="G29" i="37"/>
  <c r="G29" i="41" s="1"/>
  <c r="G25" i="58"/>
  <c r="J25" i="58" s="1"/>
  <c r="G25" i="37"/>
  <c r="G25" i="41" s="1"/>
  <c r="G21" i="58"/>
  <c r="H21" i="58" s="1"/>
  <c r="G21" i="37"/>
  <c r="G21" i="41" s="1"/>
  <c r="G17" i="37"/>
  <c r="G17" i="41" s="1"/>
  <c r="G17" i="58"/>
  <c r="H17" i="58" s="1"/>
  <c r="G13" i="58"/>
  <c r="G13" i="37"/>
  <c r="G468" i="37"/>
  <c r="G468" i="41" s="1"/>
  <c r="G468" i="58"/>
  <c r="E429" i="37"/>
  <c r="E429" i="41" s="1"/>
  <c r="E429" i="58"/>
  <c r="G221" i="37"/>
  <c r="G221" i="41" s="1"/>
  <c r="G221" i="58"/>
  <c r="E471" i="58"/>
  <c r="E471" i="37"/>
  <c r="E471" i="41" s="1"/>
  <c r="I446" i="37"/>
  <c r="I446" i="58"/>
  <c r="J446" i="58"/>
  <c r="J446" i="37"/>
  <c r="J436" i="58"/>
  <c r="J436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67" i="37"/>
  <c r="H55" i="37"/>
  <c r="H43" i="37"/>
  <c r="H31" i="37"/>
  <c r="H19" i="58"/>
  <c r="H19" i="37"/>
  <c r="H162" i="58"/>
  <c r="H162" i="37"/>
  <c r="H21" i="37"/>
  <c r="J71" i="58"/>
  <c r="J71" i="37"/>
  <c r="J27" i="37"/>
  <c r="G110" i="37"/>
  <c r="G110" i="41" s="1"/>
  <c r="G110" i="58"/>
  <c r="G425" i="37"/>
  <c r="G425" i="41" s="1"/>
  <c r="G425" i="58"/>
  <c r="G378" i="58"/>
  <c r="G378" i="37"/>
  <c r="G378" i="41" s="1"/>
  <c r="G335" i="58"/>
  <c r="G335" i="37"/>
  <c r="G335" i="41" s="1"/>
  <c r="G278" i="58"/>
  <c r="G278" i="37"/>
  <c r="G278" i="41" s="1"/>
  <c r="G210" i="58"/>
  <c r="G210" i="37"/>
  <c r="G210" i="41" s="1"/>
  <c r="G136" i="58"/>
  <c r="G136" i="37"/>
  <c r="G136" i="41" s="1"/>
  <c r="E410" i="58"/>
  <c r="E410" i="37"/>
  <c r="E410" i="41" s="1"/>
  <c r="E321" i="37"/>
  <c r="E321" i="41" s="1"/>
  <c r="E321" i="58"/>
  <c r="E265" i="37"/>
  <c r="E265" i="41" s="1"/>
  <c r="E265" i="58"/>
  <c r="E224" i="37"/>
  <c r="E224" i="41" s="1"/>
  <c r="E224" i="58"/>
  <c r="E179" i="37"/>
  <c r="E179" i="41" s="1"/>
  <c r="E179" i="58"/>
  <c r="E155" i="37"/>
  <c r="E155" i="41" s="1"/>
  <c r="E155" i="58"/>
  <c r="E99" i="58"/>
  <c r="E99" i="37"/>
  <c r="E99" i="41" s="1"/>
  <c r="E4" i="37"/>
  <c r="E4" i="41" s="1"/>
  <c r="E4" i="58"/>
  <c r="G70" i="37"/>
  <c r="J70" i="37" s="1"/>
  <c r="G70" i="58"/>
  <c r="H70" i="58" s="1"/>
  <c r="G50" i="37"/>
  <c r="G50" i="41" s="1"/>
  <c r="G50" i="58"/>
  <c r="H50" i="58" s="1"/>
  <c r="G38" i="58"/>
  <c r="H38" i="58" s="1"/>
  <c r="G38" i="37"/>
  <c r="G38" i="41" s="1"/>
  <c r="G26" i="37"/>
  <c r="G26" i="41" s="1"/>
  <c r="G26" i="58"/>
  <c r="H26" i="58" s="1"/>
  <c r="G18" i="58"/>
  <c r="I18" i="58" s="1"/>
  <c r="G18" i="37"/>
  <c r="G18" i="41" s="1"/>
  <c r="E430" i="37"/>
  <c r="E430" i="41" s="1"/>
  <c r="E430" i="58"/>
  <c r="E209" i="58"/>
  <c r="E209" i="37"/>
  <c r="E209" i="41" s="1"/>
  <c r="H450" i="58"/>
  <c r="H450" i="37"/>
  <c r="G79" i="58"/>
  <c r="G79" i="37"/>
  <c r="G79" i="41" s="1"/>
  <c r="G163" i="37"/>
  <c r="G163" i="41" s="1"/>
  <c r="G163" i="58"/>
  <c r="G418" i="37"/>
  <c r="G418" i="41" s="1"/>
  <c r="G418" i="58"/>
  <c r="G446" i="58"/>
  <c r="G446" i="37"/>
  <c r="G446" i="41" s="1"/>
  <c r="G393" i="37"/>
  <c r="G393" i="41" s="1"/>
  <c r="G393" i="58"/>
  <c r="G9" i="37"/>
  <c r="G9" i="41" s="1"/>
  <c r="G9" i="58"/>
  <c r="G104" i="58"/>
  <c r="G104" i="37"/>
  <c r="G104" i="41" s="1"/>
  <c r="G317" i="37"/>
  <c r="G317" i="41" s="1"/>
  <c r="G317" i="58"/>
  <c r="G10" i="58"/>
  <c r="G10" i="37"/>
  <c r="G10" i="41" s="1"/>
  <c r="G89" i="37"/>
  <c r="G89" i="41" s="1"/>
  <c r="G89" i="58"/>
  <c r="G113" i="58"/>
  <c r="G113" i="37"/>
  <c r="G113" i="41" s="1"/>
  <c r="G165" i="58"/>
  <c r="G165" i="37"/>
  <c r="G165" i="41" s="1"/>
  <c r="G403" i="58"/>
  <c r="G403" i="37"/>
  <c r="G403" i="41" s="1"/>
  <c r="G420" i="58"/>
  <c r="G420" i="37"/>
  <c r="G420" i="41" s="1"/>
  <c r="G440" i="37"/>
  <c r="G440" i="41" s="1"/>
  <c r="G440" i="58"/>
  <c r="G448" i="58"/>
  <c r="G448" i="37"/>
  <c r="G448" i="41" s="1"/>
  <c r="G457" i="58"/>
  <c r="G457" i="37"/>
  <c r="G457" i="41" s="1"/>
  <c r="G467" i="58"/>
  <c r="G467" i="37"/>
  <c r="G467" i="41" s="1"/>
  <c r="I453" i="37"/>
  <c r="I453" i="58"/>
  <c r="E374" i="38" s="1"/>
  <c r="K237" i="66" s="1"/>
  <c r="I455" i="58"/>
  <c r="E376" i="38" s="1"/>
  <c r="K203" i="66" s="1"/>
  <c r="I455" i="37"/>
  <c r="I454" i="58"/>
  <c r="E375" i="38" s="1"/>
  <c r="K219" i="66" s="1"/>
  <c r="I456" i="58"/>
  <c r="E377" i="38" s="1"/>
  <c r="K201" i="66" s="1"/>
  <c r="I454" i="37"/>
  <c r="I456" i="37"/>
  <c r="G399" i="37"/>
  <c r="G399" i="41" s="1"/>
  <c r="G399" i="58"/>
  <c r="G391" i="37"/>
  <c r="G391" i="41" s="1"/>
  <c r="G391" i="58"/>
  <c r="G383" i="58"/>
  <c r="G383" i="37"/>
  <c r="G383" i="41" s="1"/>
  <c r="G375" i="58"/>
  <c r="G375" i="37"/>
  <c r="G375" i="41" s="1"/>
  <c r="G367" i="37"/>
  <c r="G367" i="41" s="1"/>
  <c r="G367" i="58"/>
  <c r="G359" i="58"/>
  <c r="G359" i="37"/>
  <c r="G359" i="41" s="1"/>
  <c r="G351" i="37"/>
  <c r="G351" i="41" s="1"/>
  <c r="G351" i="58"/>
  <c r="G342" i="37"/>
  <c r="G342" i="41" s="1"/>
  <c r="G342" i="58"/>
  <c r="G331" i="58"/>
  <c r="G331" i="37"/>
  <c r="G331" i="41" s="1"/>
  <c r="G320" i="37"/>
  <c r="G320" i="41" s="1"/>
  <c r="G320" i="58"/>
  <c r="G310" i="58"/>
  <c r="G310" i="37"/>
  <c r="G310" i="41" s="1"/>
  <c r="G299" i="37"/>
  <c r="G299" i="41" s="1"/>
  <c r="G299" i="58"/>
  <c r="G291" i="58"/>
  <c r="G291" i="37"/>
  <c r="G291" i="41" s="1"/>
  <c r="G283" i="37"/>
  <c r="G283" i="41" s="1"/>
  <c r="G283" i="58"/>
  <c r="G275" i="37"/>
  <c r="G275" i="41" s="1"/>
  <c r="G275" i="58"/>
  <c r="G267" i="58"/>
  <c r="G267" i="37"/>
  <c r="G267" i="41" s="1"/>
  <c r="G259" i="37"/>
  <c r="G259" i="41" s="1"/>
  <c r="G259" i="58"/>
  <c r="G251" i="37"/>
  <c r="G251" i="41" s="1"/>
  <c r="G251" i="58"/>
  <c r="G243" i="37"/>
  <c r="G243" i="41" s="1"/>
  <c r="G243" i="58"/>
  <c r="G235" i="58"/>
  <c r="G235" i="37"/>
  <c r="G235" i="41" s="1"/>
  <c r="G227" i="58"/>
  <c r="G227" i="37"/>
  <c r="G227" i="41" s="1"/>
  <c r="G216" i="58"/>
  <c r="G216" i="37"/>
  <c r="G216" i="41" s="1"/>
  <c r="G206" i="58"/>
  <c r="G206" i="37"/>
  <c r="G206" i="41" s="1"/>
  <c r="G197" i="58"/>
  <c r="G197" i="37"/>
  <c r="G197" i="41" s="1"/>
  <c r="G189" i="58"/>
  <c r="G189" i="37"/>
  <c r="G189" i="41" s="1"/>
  <c r="G181" i="58"/>
  <c r="G181" i="37"/>
  <c r="G181" i="41" s="1"/>
  <c r="G173" i="58"/>
  <c r="G173" i="37"/>
  <c r="G173" i="41" s="1"/>
  <c r="G159" i="58"/>
  <c r="G159" i="37"/>
  <c r="G159" i="41" s="1"/>
  <c r="G151" i="37"/>
  <c r="G151" i="41" s="1"/>
  <c r="G151" i="58"/>
  <c r="G143" i="37"/>
  <c r="G143" i="41" s="1"/>
  <c r="G143" i="58"/>
  <c r="G132" i="58"/>
  <c r="G132" i="37"/>
  <c r="G132" i="41" s="1"/>
  <c r="G122" i="58"/>
  <c r="G122" i="37"/>
  <c r="G122" i="41" s="1"/>
  <c r="E460" i="58"/>
  <c r="E460" i="37"/>
  <c r="E460" i="41" s="1"/>
  <c r="E452" i="37"/>
  <c r="E452" i="41" s="1"/>
  <c r="E452" i="58"/>
  <c r="E443" i="58"/>
  <c r="E443" i="37"/>
  <c r="E443" i="41" s="1"/>
  <c r="E433" i="37"/>
  <c r="E433" i="41" s="1"/>
  <c r="E433" i="58"/>
  <c r="E423" i="37"/>
  <c r="E423" i="41" s="1"/>
  <c r="E423" i="58"/>
  <c r="E415" i="58"/>
  <c r="E415" i="37"/>
  <c r="E415" i="41" s="1"/>
  <c r="E407" i="37"/>
  <c r="E407" i="41" s="1"/>
  <c r="E407" i="58"/>
  <c r="E398" i="58"/>
  <c r="E398" i="37"/>
  <c r="E398" i="41" s="1"/>
  <c r="E390" i="58"/>
  <c r="E390" i="37"/>
  <c r="E390" i="41" s="1"/>
  <c r="E382" i="58"/>
  <c r="E382" i="37"/>
  <c r="E382" i="41" s="1"/>
  <c r="E374" i="58"/>
  <c r="E374" i="37"/>
  <c r="E374" i="41" s="1"/>
  <c r="E366" i="37"/>
  <c r="E366" i="41" s="1"/>
  <c r="E366" i="58"/>
  <c r="E358" i="37"/>
  <c r="E358" i="41" s="1"/>
  <c r="E358" i="58"/>
  <c r="E350" i="37"/>
  <c r="E350" i="41" s="1"/>
  <c r="E350" i="58"/>
  <c r="E342" i="58"/>
  <c r="E342" i="37"/>
  <c r="E342" i="41" s="1"/>
  <c r="E334" i="58"/>
  <c r="E334" i="37"/>
  <c r="E334" i="41" s="1"/>
  <c r="E326" i="37"/>
  <c r="E326" i="41" s="1"/>
  <c r="E326" i="58"/>
  <c r="E318" i="58"/>
  <c r="E318" i="37"/>
  <c r="E318" i="41" s="1"/>
  <c r="E310" i="37"/>
  <c r="E310" i="41" s="1"/>
  <c r="E310" i="58"/>
  <c r="E302" i="58"/>
  <c r="E302" i="37"/>
  <c r="E302" i="41" s="1"/>
  <c r="E294" i="58"/>
  <c r="E294" i="37"/>
  <c r="E294" i="41" s="1"/>
  <c r="E286" i="37"/>
  <c r="E286" i="41" s="1"/>
  <c r="E286" i="58"/>
  <c r="E278" i="58"/>
  <c r="E278" i="37"/>
  <c r="E278" i="41" s="1"/>
  <c r="E270" i="58"/>
  <c r="E270" i="37"/>
  <c r="E270" i="41" s="1"/>
  <c r="E262" i="58"/>
  <c r="E262" i="37"/>
  <c r="E262" i="41" s="1"/>
  <c r="E254" i="58"/>
  <c r="E254" i="37"/>
  <c r="E254" i="41" s="1"/>
  <c r="E246" i="58"/>
  <c r="E246" i="37"/>
  <c r="E246" i="41" s="1"/>
  <c r="E238" i="58"/>
  <c r="E238" i="37"/>
  <c r="E238" i="41" s="1"/>
  <c r="E230" i="37"/>
  <c r="E230" i="41" s="1"/>
  <c r="E230" i="58"/>
  <c r="E220" i="58"/>
  <c r="E220" i="37"/>
  <c r="E220" i="41" s="1"/>
  <c r="E210" i="37"/>
  <c r="E210" i="41" s="1"/>
  <c r="E210" i="58"/>
  <c r="E200" i="37"/>
  <c r="E200" i="41" s="1"/>
  <c r="E200" i="58"/>
  <c r="E192" i="58"/>
  <c r="E192" i="37"/>
  <c r="E192" i="41" s="1"/>
  <c r="E184" i="37"/>
  <c r="E184" i="41" s="1"/>
  <c r="E184" i="58"/>
  <c r="E176" i="37"/>
  <c r="E176" i="41" s="1"/>
  <c r="E176" i="58"/>
  <c r="E168" i="58"/>
  <c r="E168" i="37"/>
  <c r="E168" i="41" s="1"/>
  <c r="E160" i="37"/>
  <c r="E160" i="41" s="1"/>
  <c r="E160" i="58"/>
  <c r="E152" i="37"/>
  <c r="E152" i="41" s="1"/>
  <c r="E152" i="58"/>
  <c r="E144" i="37"/>
  <c r="E144" i="41" s="1"/>
  <c r="E144" i="58"/>
  <c r="E136" i="37"/>
  <c r="E136" i="41" s="1"/>
  <c r="E136" i="58"/>
  <c r="E128" i="37"/>
  <c r="E128" i="41" s="1"/>
  <c r="E128" i="58"/>
  <c r="E120" i="58"/>
  <c r="E120" i="37"/>
  <c r="E120" i="41" s="1"/>
  <c r="E112" i="37"/>
  <c r="E112" i="41" s="1"/>
  <c r="E112" i="58"/>
  <c r="E104" i="37"/>
  <c r="E104" i="41" s="1"/>
  <c r="E104" i="58"/>
  <c r="E96" i="37"/>
  <c r="E96" i="41" s="1"/>
  <c r="E96" i="58"/>
  <c r="E88" i="58"/>
  <c r="E88" i="37"/>
  <c r="E88" i="41" s="1"/>
  <c r="E80" i="37"/>
  <c r="E80" i="41" s="1"/>
  <c r="E80" i="58"/>
  <c r="E10" i="37"/>
  <c r="E10" i="41" s="1"/>
  <c r="E10" i="58"/>
  <c r="E73" i="37"/>
  <c r="E73" i="41" s="1"/>
  <c r="E73" i="58"/>
  <c r="E69" i="58"/>
  <c r="E69" i="37"/>
  <c r="E69" i="41" s="1"/>
  <c r="E65" i="58"/>
  <c r="E65" i="37"/>
  <c r="E65" i="41" s="1"/>
  <c r="E61" i="37"/>
  <c r="E61" i="41" s="1"/>
  <c r="E61" i="58"/>
  <c r="E57" i="58"/>
  <c r="E57" i="37"/>
  <c r="E57" i="41" s="1"/>
  <c r="E53" i="58"/>
  <c r="E53" i="37"/>
  <c r="E53" i="41" s="1"/>
  <c r="E49" i="58"/>
  <c r="E49" i="37"/>
  <c r="E49" i="41" s="1"/>
  <c r="E45" i="37"/>
  <c r="E45" i="41" s="1"/>
  <c r="E45" i="58"/>
  <c r="E41" i="37"/>
  <c r="E41" i="41" s="1"/>
  <c r="E41" i="58"/>
  <c r="E37" i="58"/>
  <c r="E37" i="37"/>
  <c r="E37" i="41" s="1"/>
  <c r="E33" i="58"/>
  <c r="E33" i="37"/>
  <c r="E33" i="41" s="1"/>
  <c r="E29" i="58"/>
  <c r="E29" i="37"/>
  <c r="E29" i="41" s="1"/>
  <c r="E25" i="58"/>
  <c r="E25" i="37"/>
  <c r="E25" i="41" s="1"/>
  <c r="E21" i="37"/>
  <c r="E21" i="41" s="1"/>
  <c r="E21" i="58"/>
  <c r="E17" i="58"/>
  <c r="E17" i="37"/>
  <c r="E17" i="41" s="1"/>
  <c r="E13" i="37"/>
  <c r="E13" i="41" s="1"/>
  <c r="E13" i="58"/>
  <c r="G470" i="37"/>
  <c r="G470" i="41" s="1"/>
  <c r="G470" i="58"/>
  <c r="G225" i="58"/>
  <c r="G225" i="37"/>
  <c r="G225" i="41" s="1"/>
  <c r="G471" i="58"/>
  <c r="G471" i="37"/>
  <c r="G471" i="41" s="1"/>
  <c r="E271" i="38"/>
  <c r="E226" i="38"/>
  <c r="E218" i="38"/>
  <c r="E263" i="38"/>
  <c r="H441" i="37"/>
  <c r="H441" i="58"/>
  <c r="E246" i="38"/>
  <c r="E236" i="38"/>
  <c r="E204" i="38"/>
  <c r="E249" i="38"/>
  <c r="G22" i="66"/>
  <c r="E244" i="38"/>
  <c r="G166" i="66" s="1"/>
  <c r="J61" i="58"/>
  <c r="J37" i="58"/>
  <c r="I49" i="37"/>
  <c r="I65" i="58"/>
  <c r="I53" i="58"/>
  <c r="I29" i="58"/>
  <c r="I29" i="37"/>
  <c r="J54" i="58"/>
  <c r="G7" i="37"/>
  <c r="G7" i="41" s="1"/>
  <c r="G7" i="58"/>
  <c r="G102" i="37"/>
  <c r="G102" i="41" s="1"/>
  <c r="G102" i="58"/>
  <c r="G417" i="58"/>
  <c r="G417" i="37"/>
  <c r="G417" i="41" s="1"/>
  <c r="G394" i="58"/>
  <c r="G394" i="37"/>
  <c r="G394" i="41" s="1"/>
  <c r="G346" i="58"/>
  <c r="G346" i="37"/>
  <c r="G346" i="41" s="1"/>
  <c r="G303" i="58"/>
  <c r="G303" i="37"/>
  <c r="G303" i="41" s="1"/>
  <c r="G254" i="37"/>
  <c r="G254" i="41" s="1"/>
  <c r="G254" i="58"/>
  <c r="G192" i="58"/>
  <c r="G192" i="37"/>
  <c r="G192" i="41" s="1"/>
  <c r="G126" i="58"/>
  <c r="G126" i="37"/>
  <c r="G126" i="41" s="1"/>
  <c r="E418" i="58"/>
  <c r="E418" i="37"/>
  <c r="E418" i="41" s="1"/>
  <c r="E361" i="37"/>
  <c r="E361" i="41" s="1"/>
  <c r="E361" i="58"/>
  <c r="E281" i="58"/>
  <c r="E281" i="37"/>
  <c r="E281" i="41" s="1"/>
  <c r="E147" i="58"/>
  <c r="E147" i="37"/>
  <c r="E147" i="41" s="1"/>
  <c r="E254" i="38"/>
  <c r="G203" i="66" s="1"/>
  <c r="E209" i="38"/>
  <c r="E250" i="38"/>
  <c r="G237" i="66" s="1"/>
  <c r="E205" i="38"/>
  <c r="J46" i="37"/>
  <c r="I58" i="37"/>
  <c r="I58" i="58"/>
  <c r="H58" i="37"/>
  <c r="H58" i="58"/>
  <c r="H22" i="58"/>
  <c r="J51" i="37"/>
  <c r="J51" i="58"/>
  <c r="G8" i="37"/>
  <c r="G8" i="41" s="1"/>
  <c r="G8" i="58"/>
  <c r="G103" i="58"/>
  <c r="G103" i="37"/>
  <c r="G103" i="41" s="1"/>
  <c r="G119" i="37"/>
  <c r="G119" i="41" s="1"/>
  <c r="G119" i="58"/>
  <c r="G410" i="37"/>
  <c r="G410" i="41" s="1"/>
  <c r="G410" i="58"/>
  <c r="G436" i="37"/>
  <c r="G436" i="41" s="1"/>
  <c r="G436" i="58"/>
  <c r="G401" i="58"/>
  <c r="G401" i="37"/>
  <c r="G401" i="41" s="1"/>
  <c r="G369" i="37"/>
  <c r="G369" i="41" s="1"/>
  <c r="G369" i="58"/>
  <c r="G80" i="58"/>
  <c r="G80" i="37"/>
  <c r="G80" i="41" s="1"/>
  <c r="G96" i="37"/>
  <c r="G96" i="41" s="1"/>
  <c r="G96" i="58"/>
  <c r="G121" i="37"/>
  <c r="G121" i="41" s="1"/>
  <c r="G121" i="58"/>
  <c r="G402" i="58"/>
  <c r="G402" i="37"/>
  <c r="G402" i="41" s="1"/>
  <c r="G81" i="58"/>
  <c r="G81" i="37"/>
  <c r="G81" i="41" s="1"/>
  <c r="G97" i="37"/>
  <c r="G97" i="41" s="1"/>
  <c r="G97" i="58"/>
  <c r="G105" i="37"/>
  <c r="G105" i="41" s="1"/>
  <c r="G105" i="58"/>
  <c r="G125" i="37"/>
  <c r="G125" i="41" s="1"/>
  <c r="G125" i="58"/>
  <c r="G321" i="37"/>
  <c r="G321" i="41" s="1"/>
  <c r="G321" i="58"/>
  <c r="G412" i="58"/>
  <c r="G412" i="37"/>
  <c r="G412" i="41" s="1"/>
  <c r="G428" i="58"/>
  <c r="G428" i="37"/>
  <c r="G428" i="41" s="1"/>
  <c r="G74" i="58"/>
  <c r="G74" i="37"/>
  <c r="G74" i="41" s="1"/>
  <c r="G82" i="58"/>
  <c r="G82" i="37"/>
  <c r="G82" i="41" s="1"/>
  <c r="G90" i="37"/>
  <c r="G90" i="41" s="1"/>
  <c r="G90" i="58"/>
  <c r="G98" i="58"/>
  <c r="G98" i="37"/>
  <c r="G98" i="41" s="1"/>
  <c r="G106" i="58"/>
  <c r="G106" i="37"/>
  <c r="G106" i="41" s="1"/>
  <c r="G114" i="37"/>
  <c r="G114" i="41" s="1"/>
  <c r="G114" i="58"/>
  <c r="G129" i="37"/>
  <c r="G129" i="41" s="1"/>
  <c r="G129" i="58"/>
  <c r="G166" i="37"/>
  <c r="G166" i="41" s="1"/>
  <c r="G166" i="58"/>
  <c r="G325" i="58"/>
  <c r="G325" i="37"/>
  <c r="G325" i="41" s="1"/>
  <c r="G404" i="58"/>
  <c r="G404" i="37"/>
  <c r="G404" i="41" s="1"/>
  <c r="G413" i="37"/>
  <c r="G413" i="41" s="1"/>
  <c r="G413" i="58"/>
  <c r="G421" i="37"/>
  <c r="G421" i="41" s="1"/>
  <c r="G421" i="58"/>
  <c r="G431" i="58"/>
  <c r="G431" i="37"/>
  <c r="G431" i="41" s="1"/>
  <c r="G441" i="37"/>
  <c r="G441" i="41" s="1"/>
  <c r="G441" i="58"/>
  <c r="G450" i="37"/>
  <c r="G450" i="41" s="1"/>
  <c r="G450" i="58"/>
  <c r="G458" i="58"/>
  <c r="G458" i="37"/>
  <c r="G458" i="41" s="1"/>
  <c r="G398" i="58"/>
  <c r="G398" i="37"/>
  <c r="G398" i="41" s="1"/>
  <c r="G390" i="58"/>
  <c r="G390" i="37"/>
  <c r="G390" i="41" s="1"/>
  <c r="G382" i="37"/>
  <c r="G382" i="41" s="1"/>
  <c r="G382" i="58"/>
  <c r="G374" i="37"/>
  <c r="G374" i="41" s="1"/>
  <c r="G374" i="58"/>
  <c r="G366" i="58"/>
  <c r="G366" i="37"/>
  <c r="G366" i="41" s="1"/>
  <c r="G358" i="37"/>
  <c r="G358" i="41" s="1"/>
  <c r="G358" i="58"/>
  <c r="G350" i="58"/>
  <c r="G350" i="37"/>
  <c r="G350" i="41" s="1"/>
  <c r="G340" i="37"/>
  <c r="G340" i="41" s="1"/>
  <c r="G340" i="58"/>
  <c r="G330" i="58"/>
  <c r="G330" i="37"/>
  <c r="G330" i="41" s="1"/>
  <c r="G319" i="58"/>
  <c r="G319" i="37"/>
  <c r="G319" i="41" s="1"/>
  <c r="G308" i="58"/>
  <c r="G308" i="37"/>
  <c r="G308" i="41" s="1"/>
  <c r="G298" i="58"/>
  <c r="G298" i="37"/>
  <c r="G298" i="41" s="1"/>
  <c r="G290" i="58"/>
  <c r="G290" i="37"/>
  <c r="G290" i="41" s="1"/>
  <c r="G282" i="58"/>
  <c r="G282" i="37"/>
  <c r="G282" i="41" s="1"/>
  <c r="G274" i="58"/>
  <c r="G274" i="37"/>
  <c r="G274" i="41" s="1"/>
  <c r="G266" i="37"/>
  <c r="G266" i="41" s="1"/>
  <c r="G266" i="58"/>
  <c r="G258" i="37"/>
  <c r="G258" i="41" s="1"/>
  <c r="G258" i="58"/>
  <c r="G250" i="37"/>
  <c r="G250" i="41" s="1"/>
  <c r="G250" i="58"/>
  <c r="G242" i="37"/>
  <c r="G242" i="41" s="1"/>
  <c r="G242" i="58"/>
  <c r="G234" i="58"/>
  <c r="G234" i="37"/>
  <c r="G234" i="41" s="1"/>
  <c r="G226" i="37"/>
  <c r="G226" i="41" s="1"/>
  <c r="G226" i="58"/>
  <c r="G215" i="58"/>
  <c r="G215" i="37"/>
  <c r="G215" i="41" s="1"/>
  <c r="G204" i="58"/>
  <c r="G204" i="37"/>
  <c r="G204" i="41" s="1"/>
  <c r="G196" i="37"/>
  <c r="G196" i="41" s="1"/>
  <c r="G196" i="58"/>
  <c r="G188" i="58"/>
  <c r="G188" i="37"/>
  <c r="G188" i="41" s="1"/>
  <c r="G180" i="37"/>
  <c r="G180" i="41" s="1"/>
  <c r="G180" i="58"/>
  <c r="G172" i="58"/>
  <c r="G172" i="37"/>
  <c r="G172" i="41" s="1"/>
  <c r="G158" i="58"/>
  <c r="G158" i="37"/>
  <c r="G158" i="41" s="1"/>
  <c r="G150" i="58"/>
  <c r="G150" i="37"/>
  <c r="G150" i="41" s="1"/>
  <c r="G142" i="58"/>
  <c r="G142" i="37"/>
  <c r="G142" i="41" s="1"/>
  <c r="G131" i="37"/>
  <c r="G131" i="41" s="1"/>
  <c r="G131" i="58"/>
  <c r="G120" i="58"/>
  <c r="G120" i="37"/>
  <c r="G120" i="41" s="1"/>
  <c r="E459" i="58"/>
  <c r="E459" i="37"/>
  <c r="E459" i="41" s="1"/>
  <c r="E451" i="58"/>
  <c r="E451" i="37"/>
  <c r="E451" i="41" s="1"/>
  <c r="E442" i="58"/>
  <c r="E442" i="37"/>
  <c r="E442" i="41" s="1"/>
  <c r="E432" i="58"/>
  <c r="E432" i="37"/>
  <c r="E432" i="41" s="1"/>
  <c r="E422" i="58"/>
  <c r="E422" i="37"/>
  <c r="E422" i="41" s="1"/>
  <c r="E414" i="58"/>
  <c r="E414" i="37"/>
  <c r="E414" i="41" s="1"/>
  <c r="E405" i="58"/>
  <c r="E405" i="37"/>
  <c r="E405" i="41" s="1"/>
  <c r="E397" i="58"/>
  <c r="E397" i="37"/>
  <c r="E397" i="41" s="1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37"/>
  <c r="E357" i="41" s="1"/>
  <c r="E357" i="58"/>
  <c r="E349" i="37"/>
  <c r="E349" i="41" s="1"/>
  <c r="E349" i="58"/>
  <c r="E341" i="58"/>
  <c r="E341" i="37"/>
  <c r="E341" i="41" s="1"/>
  <c r="E333" i="37"/>
  <c r="E333" i="41" s="1"/>
  <c r="E333" i="58"/>
  <c r="E325" i="37"/>
  <c r="E325" i="41" s="1"/>
  <c r="E325" i="58"/>
  <c r="E317" i="58"/>
  <c r="E317" i="37"/>
  <c r="E317" i="41" s="1"/>
  <c r="E309" i="37"/>
  <c r="E309" i="41" s="1"/>
  <c r="E309" i="58"/>
  <c r="E301" i="37"/>
  <c r="E301" i="41" s="1"/>
  <c r="E301" i="58"/>
  <c r="E293" i="58"/>
  <c r="E293" i="37"/>
  <c r="E293" i="41" s="1"/>
  <c r="E285" i="58"/>
  <c r="E285" i="37"/>
  <c r="E285" i="41" s="1"/>
  <c r="E277" i="58"/>
  <c r="E277" i="37"/>
  <c r="E277" i="41" s="1"/>
  <c r="E269" i="58"/>
  <c r="E269" i="37"/>
  <c r="E269" i="41" s="1"/>
  <c r="E261" i="58"/>
  <c r="E261" i="37"/>
  <c r="E261" i="41" s="1"/>
  <c r="E253" i="58"/>
  <c r="E253" i="37"/>
  <c r="E253" i="41" s="1"/>
  <c r="E245" i="58"/>
  <c r="E245" i="37"/>
  <c r="E245" i="41" s="1"/>
  <c r="E237" i="58"/>
  <c r="E237" i="37"/>
  <c r="E237" i="41" s="1"/>
  <c r="E229" i="58"/>
  <c r="E229" i="37"/>
  <c r="E229" i="41" s="1"/>
  <c r="E219" i="58"/>
  <c r="E219" i="37"/>
  <c r="E219" i="41" s="1"/>
  <c r="E208" i="58"/>
  <c r="E208" i="37"/>
  <c r="E208" i="41" s="1"/>
  <c r="E199" i="37"/>
  <c r="E199" i="41" s="1"/>
  <c r="E199" i="58"/>
  <c r="E191" i="58"/>
  <c r="E191" i="37"/>
  <c r="E191" i="41" s="1"/>
  <c r="E183" i="37"/>
  <c r="E183" i="41" s="1"/>
  <c r="E183" i="58"/>
  <c r="E175" i="58"/>
  <c r="E175" i="37"/>
  <c r="E175" i="41" s="1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58"/>
  <c r="E135" i="37"/>
  <c r="E135" i="41" s="1"/>
  <c r="E127" i="37"/>
  <c r="E127" i="41" s="1"/>
  <c r="E127" i="58"/>
  <c r="E119" i="37"/>
  <c r="E119" i="41" s="1"/>
  <c r="E119" i="58"/>
  <c r="E111" i="37"/>
  <c r="E111" i="41" s="1"/>
  <c r="E111" i="58"/>
  <c r="E103" i="37"/>
  <c r="E103" i="41" s="1"/>
  <c r="E103" i="58"/>
  <c r="E95" i="58"/>
  <c r="E95" i="37"/>
  <c r="E95" i="41" s="1"/>
  <c r="E87" i="58"/>
  <c r="E87" i="37"/>
  <c r="E87" i="41" s="1"/>
  <c r="E79" i="37"/>
  <c r="E79" i="41" s="1"/>
  <c r="E79" i="58"/>
  <c r="E9" i="37"/>
  <c r="E9" i="41" s="1"/>
  <c r="E9" i="58"/>
  <c r="G72" i="58"/>
  <c r="I72" i="58" s="1"/>
  <c r="G72" i="37"/>
  <c r="G72" i="41" s="1"/>
  <c r="G68" i="58"/>
  <c r="I68" i="58" s="1"/>
  <c r="G68" i="37"/>
  <c r="G68" i="41" s="1"/>
  <c r="G64" i="58"/>
  <c r="H64" i="58" s="1"/>
  <c r="G64" i="37"/>
  <c r="G64" i="41" s="1"/>
  <c r="G60" i="37"/>
  <c r="G60" i="41" s="1"/>
  <c r="G60" i="58"/>
  <c r="H60" i="58" s="1"/>
  <c r="G56" i="37"/>
  <c r="G56" i="41" s="1"/>
  <c r="G56" i="58"/>
  <c r="I56" i="58" s="1"/>
  <c r="G52" i="37"/>
  <c r="G52" i="41" s="1"/>
  <c r="G52" i="58"/>
  <c r="I52" i="58" s="1"/>
  <c r="G48" i="37"/>
  <c r="G48" i="41" s="1"/>
  <c r="G48" i="58"/>
  <c r="H48" i="58" s="1"/>
  <c r="G44" i="58"/>
  <c r="I44" i="58" s="1"/>
  <c r="G44" i="37"/>
  <c r="G44" i="41" s="1"/>
  <c r="G40" i="37"/>
  <c r="G40" i="41" s="1"/>
  <c r="G40" i="58"/>
  <c r="I40" i="58" s="1"/>
  <c r="G36" i="37"/>
  <c r="G36" i="41" s="1"/>
  <c r="G36" i="58"/>
  <c r="I36" i="58" s="1"/>
  <c r="G32" i="58"/>
  <c r="I32" i="58" s="1"/>
  <c r="G32" i="37"/>
  <c r="G32" i="41" s="1"/>
  <c r="G28" i="58"/>
  <c r="I28" i="58" s="1"/>
  <c r="G28" i="37"/>
  <c r="G28" i="41" s="1"/>
  <c r="G24" i="58"/>
  <c r="H24" i="58" s="1"/>
  <c r="G24" i="37"/>
  <c r="G24" i="41" s="1"/>
  <c r="G20" i="37"/>
  <c r="G20" i="41" s="1"/>
  <c r="G20" i="58"/>
  <c r="H20" i="58" s="1"/>
  <c r="G16" i="37"/>
  <c r="G16" i="41" s="1"/>
  <c r="G16" i="58"/>
  <c r="H16" i="58" s="1"/>
  <c r="G12" i="58"/>
  <c r="G12" i="37"/>
  <c r="E470" i="58"/>
  <c r="E470" i="37"/>
  <c r="E470" i="41" s="1"/>
  <c r="E225" i="58"/>
  <c r="E225" i="37"/>
  <c r="E225" i="41" s="1"/>
  <c r="H8" i="37"/>
  <c r="H8" i="58"/>
  <c r="E270" i="38"/>
  <c r="G249" i="66" s="1"/>
  <c r="E225" i="38"/>
  <c r="G105" i="66" s="1"/>
  <c r="H440" i="58"/>
  <c r="H440" i="37"/>
  <c r="E243" i="38"/>
  <c r="G149" i="66" s="1"/>
  <c r="G5" i="66"/>
  <c r="E235" i="38"/>
  <c r="G189" i="66" s="1"/>
  <c r="N189" i="66" s="1"/>
  <c r="G45" i="66"/>
  <c r="N45" i="66" s="1"/>
  <c r="I441" i="37"/>
  <c r="I441" i="58"/>
  <c r="E253" i="38"/>
  <c r="E208" i="38"/>
  <c r="E251" i="38"/>
  <c r="E206" i="38"/>
  <c r="J58" i="37"/>
  <c r="J58" i="58"/>
  <c r="I22" i="58"/>
  <c r="I63" i="58"/>
  <c r="I63" i="37"/>
  <c r="I51" i="37"/>
  <c r="I51" i="58"/>
  <c r="I39" i="37"/>
  <c r="I39" i="58"/>
  <c r="I27" i="37"/>
  <c r="I15" i="58"/>
  <c r="I15" i="37"/>
  <c r="H66" i="58"/>
  <c r="H54" i="58"/>
  <c r="H54" i="37"/>
  <c r="H42" i="37"/>
  <c r="H30" i="37"/>
  <c r="H18" i="37"/>
  <c r="J65" i="58"/>
  <c r="J65" i="37"/>
  <c r="J47" i="37"/>
  <c r="J47" i="58"/>
  <c r="J42" i="37"/>
  <c r="J26" i="37"/>
  <c r="J21" i="37"/>
  <c r="J18" i="37"/>
  <c r="J15" i="37"/>
  <c r="J15" i="58"/>
  <c r="I59" i="37" l="1"/>
  <c r="H18" i="58"/>
  <c r="J59" i="37"/>
  <c r="H59" i="37"/>
  <c r="J18" i="58"/>
  <c r="H67" i="58"/>
  <c r="I42" i="37"/>
  <c r="J21" i="58"/>
  <c r="J26" i="58"/>
  <c r="J61" i="37"/>
  <c r="J19" i="58"/>
  <c r="J19" i="41" s="1"/>
  <c r="J34" i="58"/>
  <c r="I53" i="37"/>
  <c r="J43" i="37"/>
  <c r="I65" i="37"/>
  <c r="J24" i="58"/>
  <c r="I70" i="58"/>
  <c r="I17" i="58"/>
  <c r="I35" i="58"/>
  <c r="G12" i="39"/>
  <c r="H40" i="58"/>
  <c r="H35" i="37"/>
  <c r="H35" i="41" s="1"/>
  <c r="H22" i="37"/>
  <c r="H22" i="41" s="1"/>
  <c r="J46" i="58"/>
  <c r="H45" i="37"/>
  <c r="H45" i="58"/>
  <c r="I35" i="37"/>
  <c r="I66" i="58"/>
  <c r="J34" i="37"/>
  <c r="H69" i="58"/>
  <c r="H40" i="37"/>
  <c r="J73" i="37"/>
  <c r="J67" i="58"/>
  <c r="I70" i="37"/>
  <c r="G13" i="39"/>
  <c r="G16" i="39"/>
  <c r="H64" i="37"/>
  <c r="H73" i="58"/>
  <c r="H33" i="37"/>
  <c r="H31" i="58"/>
  <c r="H31" i="41" s="1"/>
  <c r="I46" i="58"/>
  <c r="I25" i="37"/>
  <c r="J38" i="37"/>
  <c r="J54" i="37"/>
  <c r="J23" i="37"/>
  <c r="I45" i="37"/>
  <c r="J22" i="37"/>
  <c r="J22" i="41" s="1"/>
  <c r="I17" i="37"/>
  <c r="I31" i="58"/>
  <c r="I22" i="37"/>
  <c r="I22" i="41" s="1"/>
  <c r="H28" i="37"/>
  <c r="I30" i="37"/>
  <c r="I34" i="37"/>
  <c r="H27" i="37"/>
  <c r="J38" i="58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J37" i="37"/>
  <c r="J37" i="41" s="1"/>
  <c r="I72" i="37"/>
  <c r="I72" i="41" s="1"/>
  <c r="J33" i="37"/>
  <c r="J33" i="58"/>
  <c r="H33" i="58"/>
  <c r="J73" i="58"/>
  <c r="J73" i="41" s="1"/>
  <c r="H72" i="37"/>
  <c r="I49" i="41"/>
  <c r="H446" i="41"/>
  <c r="H21" i="41"/>
  <c r="H28" i="58"/>
  <c r="H32" i="37"/>
  <c r="H60" i="37"/>
  <c r="H60" i="41" s="1"/>
  <c r="I61" i="37"/>
  <c r="I61" i="41" s="1"/>
  <c r="J20" i="58"/>
  <c r="H44" i="37"/>
  <c r="J23" i="58"/>
  <c r="J23" i="41" s="1"/>
  <c r="H44" i="58"/>
  <c r="H57" i="58"/>
  <c r="H57" i="41" s="1"/>
  <c r="I45" i="58"/>
  <c r="J70" i="58"/>
  <c r="J70" i="41" s="1"/>
  <c r="J39" i="58"/>
  <c r="J39" i="41" s="1"/>
  <c r="H62" i="37"/>
  <c r="I16" i="37"/>
  <c r="J30" i="37"/>
  <c r="I25" i="58"/>
  <c r="I25" i="41" s="1"/>
  <c r="I18" i="37"/>
  <c r="I18" i="41" s="1"/>
  <c r="J40" i="58"/>
  <c r="I55" i="58"/>
  <c r="I55" i="41" s="1"/>
  <c r="H62" i="58"/>
  <c r="I71" i="37"/>
  <c r="I71" i="41" s="1"/>
  <c r="J52" i="58"/>
  <c r="J35" i="37"/>
  <c r="I30" i="58"/>
  <c r="I69" i="37"/>
  <c r="I69" i="41" s="1"/>
  <c r="J62" i="37"/>
  <c r="H71" i="37"/>
  <c r="H71" i="41" s="1"/>
  <c r="H17" i="37"/>
  <c r="H17" i="41" s="1"/>
  <c r="J24" i="37"/>
  <c r="I41" i="37"/>
  <c r="J62" i="58"/>
  <c r="I20" i="58"/>
  <c r="I23" i="58"/>
  <c r="I23" i="41" s="1"/>
  <c r="J71" i="41"/>
  <c r="H162" i="41"/>
  <c r="H67" i="41"/>
  <c r="J65" i="41"/>
  <c r="I63" i="41"/>
  <c r="H18" i="41"/>
  <c r="J440" i="41"/>
  <c r="H19" i="41"/>
  <c r="H39" i="41"/>
  <c r="H63" i="41"/>
  <c r="I15" i="41"/>
  <c r="I39" i="41"/>
  <c r="H441" i="41"/>
  <c r="J15" i="41"/>
  <c r="J61" i="41"/>
  <c r="I446" i="41"/>
  <c r="I35" i="41"/>
  <c r="I436" i="41"/>
  <c r="H58" i="41"/>
  <c r="J63" i="41"/>
  <c r="I47" i="41"/>
  <c r="H45" i="41"/>
  <c r="H23" i="41"/>
  <c r="H51" i="41"/>
  <c r="J34" i="41"/>
  <c r="H450" i="41"/>
  <c r="J67" i="41"/>
  <c r="H55" i="41"/>
  <c r="H47" i="41"/>
  <c r="I31" i="41"/>
  <c r="J47" i="41"/>
  <c r="J58" i="41"/>
  <c r="I58" i="41"/>
  <c r="J54" i="41"/>
  <c r="I29" i="41"/>
  <c r="J436" i="41"/>
  <c r="J51" i="41"/>
  <c r="J447" i="41"/>
  <c r="I163" i="41"/>
  <c r="J450" i="41"/>
  <c r="H440" i="41"/>
  <c r="H46" i="41"/>
  <c r="I313" i="58"/>
  <c r="I313" i="37"/>
  <c r="G10" i="66"/>
  <c r="H429" i="37"/>
  <c r="G112" i="66"/>
  <c r="J427" i="37"/>
  <c r="J428" i="37"/>
  <c r="G124" i="66"/>
  <c r="N124" i="66" s="1"/>
  <c r="I425" i="58"/>
  <c r="G239" i="66"/>
  <c r="I363" i="58"/>
  <c r="I363" i="37"/>
  <c r="I395" i="37"/>
  <c r="I395" i="58"/>
  <c r="J141" i="37"/>
  <c r="J141" i="58"/>
  <c r="I230" i="37"/>
  <c r="I230" i="58"/>
  <c r="H30" i="41"/>
  <c r="H16" i="37"/>
  <c r="H16" i="41" s="1"/>
  <c r="H64" i="41"/>
  <c r="H420" i="37"/>
  <c r="G24" i="66"/>
  <c r="C34" i="63"/>
  <c r="G231" i="66"/>
  <c r="I424" i="58"/>
  <c r="J36" i="37"/>
  <c r="H20" i="37"/>
  <c r="H20" i="41" s="1"/>
  <c r="H68" i="37"/>
  <c r="G187" i="66"/>
  <c r="N187" i="66" s="1"/>
  <c r="H431" i="58"/>
  <c r="I455" i="41"/>
  <c r="E358" i="38"/>
  <c r="K59" i="66" s="1"/>
  <c r="J48" i="58"/>
  <c r="I52" i="37"/>
  <c r="I52" i="41" s="1"/>
  <c r="G223" i="66"/>
  <c r="I426" i="58"/>
  <c r="G165" i="66"/>
  <c r="N165" i="66" s="1"/>
  <c r="H432" i="58"/>
  <c r="I21" i="58"/>
  <c r="G183" i="66"/>
  <c r="H424" i="58"/>
  <c r="I46" i="37"/>
  <c r="I46" i="41" s="1"/>
  <c r="G46" i="41"/>
  <c r="J60" i="37"/>
  <c r="H59" i="41"/>
  <c r="I68" i="37"/>
  <c r="I68" i="41" s="1"/>
  <c r="G29" i="66"/>
  <c r="H423" i="37"/>
  <c r="J72" i="58"/>
  <c r="H26" i="37"/>
  <c r="H26" i="41" s="1"/>
  <c r="I37" i="37"/>
  <c r="H430" i="37"/>
  <c r="G17" i="66"/>
  <c r="E386" i="38"/>
  <c r="J422" i="58"/>
  <c r="G281" i="66"/>
  <c r="J14" i="37"/>
  <c r="J14" i="41" s="1"/>
  <c r="J41" i="37"/>
  <c r="I48" i="58"/>
  <c r="H49" i="58"/>
  <c r="I64" i="58"/>
  <c r="J53" i="37"/>
  <c r="J53" i="41" s="1"/>
  <c r="H53" i="58"/>
  <c r="I38" i="58"/>
  <c r="J55" i="58"/>
  <c r="G163" i="66"/>
  <c r="H419" i="58"/>
  <c r="G279" i="66"/>
  <c r="J424" i="58"/>
  <c r="I361" i="58"/>
  <c r="I361" i="37"/>
  <c r="I162" i="58"/>
  <c r="I162" i="37"/>
  <c r="H404" i="37"/>
  <c r="H404" i="58"/>
  <c r="F174" i="66" s="1"/>
  <c r="N174" i="66" s="1"/>
  <c r="G175" i="66"/>
  <c r="N175" i="66" s="1"/>
  <c r="H426" i="58"/>
  <c r="I50" i="37"/>
  <c r="J208" i="37"/>
  <c r="J208" i="58"/>
  <c r="J341" i="58"/>
  <c r="J341" i="37"/>
  <c r="I235" i="58"/>
  <c r="I235" i="37"/>
  <c r="J162" i="58"/>
  <c r="J162" i="37"/>
  <c r="H251" i="58"/>
  <c r="H251" i="37"/>
  <c r="J21" i="41"/>
  <c r="H42" i="41"/>
  <c r="I27" i="58"/>
  <c r="I27" i="41" s="1"/>
  <c r="H420" i="58"/>
  <c r="G168" i="66"/>
  <c r="H8" i="41"/>
  <c r="C7" i="63"/>
  <c r="J36" i="58"/>
  <c r="H32" i="58"/>
  <c r="I17" i="41"/>
  <c r="I65" i="41"/>
  <c r="G43" i="66"/>
  <c r="N43" i="66" s="1"/>
  <c r="H431" i="37"/>
  <c r="J56" i="37"/>
  <c r="J48" i="37"/>
  <c r="I66" i="37"/>
  <c r="H43" i="41"/>
  <c r="J16" i="37"/>
  <c r="G220" i="66"/>
  <c r="I428" i="58"/>
  <c r="G259" i="66"/>
  <c r="J419" i="58"/>
  <c r="G100" i="66"/>
  <c r="J421" i="37"/>
  <c r="J60" i="58"/>
  <c r="H163" i="41"/>
  <c r="J43" i="58"/>
  <c r="J43" i="41" s="1"/>
  <c r="G264" i="66"/>
  <c r="J420" i="58"/>
  <c r="I447" i="41"/>
  <c r="H36" i="37"/>
  <c r="J45" i="37"/>
  <c r="J45" i="41" s="1"/>
  <c r="H38" i="37"/>
  <c r="H38" i="41" s="1"/>
  <c r="I37" i="58"/>
  <c r="H430" i="58"/>
  <c r="G161" i="66"/>
  <c r="E389" i="38"/>
  <c r="G47" i="66"/>
  <c r="N47" i="66" s="1"/>
  <c r="H425" i="37"/>
  <c r="E391" i="38"/>
  <c r="J430" i="58"/>
  <c r="G257" i="66"/>
  <c r="J17" i="37"/>
  <c r="J57" i="37"/>
  <c r="I60" i="37"/>
  <c r="H61" i="58"/>
  <c r="J28" i="37"/>
  <c r="H418" i="58"/>
  <c r="G169" i="66"/>
  <c r="G125" i="66"/>
  <c r="J423" i="37"/>
  <c r="J69" i="58"/>
  <c r="H53" i="37"/>
  <c r="I38" i="37"/>
  <c r="I19" i="37"/>
  <c r="I19" i="41" s="1"/>
  <c r="J55" i="37"/>
  <c r="G19" i="66"/>
  <c r="H419" i="37"/>
  <c r="G135" i="66"/>
  <c r="J424" i="37"/>
  <c r="J181" i="37"/>
  <c r="J181" i="58"/>
  <c r="J292" i="58"/>
  <c r="J292" i="37"/>
  <c r="I157" i="37"/>
  <c r="I157" i="58"/>
  <c r="I283" i="58"/>
  <c r="I283" i="37"/>
  <c r="H175" i="37"/>
  <c r="H175" i="58"/>
  <c r="J276" i="37"/>
  <c r="J276" i="58"/>
  <c r="H152" i="58"/>
  <c r="H152" i="37"/>
  <c r="H54" i="41"/>
  <c r="I421" i="37"/>
  <c r="G52" i="66"/>
  <c r="H428" i="37"/>
  <c r="G28" i="66"/>
  <c r="N28" i="66" s="1"/>
  <c r="J38" i="41"/>
  <c r="G154" i="66"/>
  <c r="H429" i="58"/>
  <c r="H73" i="37"/>
  <c r="H73" i="41" s="1"/>
  <c r="J56" i="58"/>
  <c r="J50" i="58"/>
  <c r="J16" i="58"/>
  <c r="G76" i="66"/>
  <c r="I428" i="37"/>
  <c r="G115" i="66"/>
  <c r="J419" i="37"/>
  <c r="J421" i="58"/>
  <c r="G244" i="66"/>
  <c r="G120" i="66"/>
  <c r="J420" i="37"/>
  <c r="H36" i="58"/>
  <c r="H50" i="37"/>
  <c r="H50" i="41" s="1"/>
  <c r="H425" i="58"/>
  <c r="G191" i="66"/>
  <c r="N191" i="66" s="1"/>
  <c r="G113" i="66"/>
  <c r="E388" i="38"/>
  <c r="J430" i="37"/>
  <c r="J17" i="58"/>
  <c r="J57" i="58"/>
  <c r="I60" i="58"/>
  <c r="H61" i="37"/>
  <c r="J28" i="58"/>
  <c r="H418" i="37"/>
  <c r="G25" i="66"/>
  <c r="J423" i="58"/>
  <c r="G269" i="66"/>
  <c r="J69" i="37"/>
  <c r="H65" i="37"/>
  <c r="H65" i="41" s="1"/>
  <c r="I50" i="58"/>
  <c r="I43" i="37"/>
  <c r="G95" i="66"/>
  <c r="I425" i="37"/>
  <c r="G16" i="66"/>
  <c r="H427" i="37"/>
  <c r="G261" i="66"/>
  <c r="N261" i="66" s="1"/>
  <c r="J432" i="58"/>
  <c r="G117" i="66"/>
  <c r="N117" i="66" s="1"/>
  <c r="J432" i="37"/>
  <c r="G139" i="66"/>
  <c r="N139" i="66" s="1"/>
  <c r="J431" i="37"/>
  <c r="J11" i="58"/>
  <c r="I11" i="58"/>
  <c r="H11" i="58"/>
  <c r="G160" i="66"/>
  <c r="H427" i="58"/>
  <c r="I357" i="37"/>
  <c r="I357" i="58"/>
  <c r="G77" i="66"/>
  <c r="I423" i="37"/>
  <c r="H24" i="37"/>
  <c r="H24" i="41" s="1"/>
  <c r="J46" i="41"/>
  <c r="I419" i="58"/>
  <c r="G211" i="66"/>
  <c r="E359" i="38"/>
  <c r="K57" i="66" s="1"/>
  <c r="N57" i="66" s="1"/>
  <c r="I456" i="41"/>
  <c r="J455" i="58"/>
  <c r="E382" i="38" s="1"/>
  <c r="K251" i="66" s="1"/>
  <c r="N251" i="66" s="1"/>
  <c r="J453" i="37"/>
  <c r="J453" i="58"/>
  <c r="E380" i="38" s="1"/>
  <c r="K285" i="66" s="1"/>
  <c r="N285" i="66" s="1"/>
  <c r="J455" i="37"/>
  <c r="J454" i="58"/>
  <c r="E381" i="38" s="1"/>
  <c r="K267" i="66" s="1"/>
  <c r="N267" i="66" s="1"/>
  <c r="J454" i="37"/>
  <c r="J456" i="58"/>
  <c r="E383" i="38" s="1"/>
  <c r="K249" i="66" s="1"/>
  <c r="N249" i="66" s="1"/>
  <c r="J456" i="37"/>
  <c r="J40" i="37"/>
  <c r="G69" i="66"/>
  <c r="I432" i="37"/>
  <c r="G256" i="66"/>
  <c r="J427" i="58"/>
  <c r="I20" i="37"/>
  <c r="G268" i="66"/>
  <c r="N268" i="66" s="1"/>
  <c r="J428" i="58"/>
  <c r="H72" i="58"/>
  <c r="J68" i="58"/>
  <c r="I59" i="58"/>
  <c r="I59" i="41" s="1"/>
  <c r="J25" i="37"/>
  <c r="J25" i="41" s="1"/>
  <c r="J441" i="41"/>
  <c r="J20" i="37"/>
  <c r="H27" i="41"/>
  <c r="I24" i="58"/>
  <c r="H25" i="58"/>
  <c r="I16" i="58"/>
  <c r="J52" i="37"/>
  <c r="G31" i="66"/>
  <c r="N31" i="66" s="1"/>
  <c r="H426" i="37"/>
  <c r="G283" i="66"/>
  <c r="N283" i="66" s="1"/>
  <c r="J431" i="58"/>
  <c r="G11" i="41"/>
  <c r="J11" i="37"/>
  <c r="H11" i="37"/>
  <c r="I11" i="37"/>
  <c r="J30" i="58"/>
  <c r="I14" i="37"/>
  <c r="I62" i="37"/>
  <c r="I62" i="41" s="1"/>
  <c r="G91" i="66"/>
  <c r="I431" i="37"/>
  <c r="H438" i="41"/>
  <c r="J451" i="41"/>
  <c r="I213" i="58"/>
  <c r="I213" i="37"/>
  <c r="I379" i="37"/>
  <c r="I379" i="58"/>
  <c r="J26" i="41"/>
  <c r="H66" i="37"/>
  <c r="H66" i="41" s="1"/>
  <c r="I51" i="41"/>
  <c r="H52" i="37"/>
  <c r="I70" i="41"/>
  <c r="I423" i="58"/>
  <c r="G221" i="66"/>
  <c r="G72" i="66"/>
  <c r="I420" i="37"/>
  <c r="H56" i="37"/>
  <c r="G67" i="66"/>
  <c r="I419" i="37"/>
  <c r="E357" i="38"/>
  <c r="K75" i="66" s="1"/>
  <c r="I454" i="41"/>
  <c r="H70" i="37"/>
  <c r="H70" i="41" s="1"/>
  <c r="G70" i="41"/>
  <c r="J27" i="58"/>
  <c r="J27" i="41" s="1"/>
  <c r="J66" i="37"/>
  <c r="J66" i="41" s="1"/>
  <c r="I28" i="37"/>
  <c r="I28" i="41" s="1"/>
  <c r="J64" i="58"/>
  <c r="H422" i="58"/>
  <c r="G185" i="66"/>
  <c r="G13" i="41"/>
  <c r="I13" i="37"/>
  <c r="H13" i="37"/>
  <c r="J13" i="37"/>
  <c r="H48" i="37"/>
  <c r="H48" i="41" s="1"/>
  <c r="G233" i="66"/>
  <c r="I422" i="58"/>
  <c r="I32" i="37"/>
  <c r="I32" i="41" s="1"/>
  <c r="C16" i="63"/>
  <c r="I8" i="41"/>
  <c r="I33" i="37"/>
  <c r="I33" i="41" s="1"/>
  <c r="J68" i="37"/>
  <c r="E387" i="38"/>
  <c r="G65" i="66"/>
  <c r="I430" i="37"/>
  <c r="I24" i="37"/>
  <c r="H25" i="37"/>
  <c r="I427" i="37"/>
  <c r="G64" i="66"/>
  <c r="H15" i="37"/>
  <c r="H15" i="41" s="1"/>
  <c r="G15" i="41"/>
  <c r="H29" i="37"/>
  <c r="H29" i="41" s="1"/>
  <c r="I14" i="58"/>
  <c r="I67" i="37"/>
  <c r="I67" i="41" s="1"/>
  <c r="G235" i="66"/>
  <c r="I431" i="58"/>
  <c r="H428" i="58"/>
  <c r="G172" i="66"/>
  <c r="N172" i="66" s="1"/>
  <c r="I453" i="41"/>
  <c r="E356" i="38"/>
  <c r="K93" i="66" s="1"/>
  <c r="J50" i="37"/>
  <c r="I43" i="58"/>
  <c r="J235" i="58"/>
  <c r="J235" i="37"/>
  <c r="H290" i="37"/>
  <c r="H290" i="58"/>
  <c r="J8" i="58"/>
  <c r="J8" i="37"/>
  <c r="H52" i="58"/>
  <c r="G143" i="66"/>
  <c r="J425" i="37"/>
  <c r="G12" i="41"/>
  <c r="H12" i="37"/>
  <c r="J12" i="37"/>
  <c r="I12" i="37"/>
  <c r="G216" i="66"/>
  <c r="I420" i="58"/>
  <c r="J59" i="58"/>
  <c r="J59" i="41" s="1"/>
  <c r="H56" i="58"/>
  <c r="I41" i="58"/>
  <c r="G148" i="66"/>
  <c r="H421" i="58"/>
  <c r="G127" i="66"/>
  <c r="J426" i="37"/>
  <c r="J32" i="37"/>
  <c r="I42" i="58"/>
  <c r="I42" i="41" s="1"/>
  <c r="J64" i="37"/>
  <c r="G41" i="66"/>
  <c r="H422" i="37"/>
  <c r="I13" i="58"/>
  <c r="J13" i="58"/>
  <c r="H13" i="58"/>
  <c r="G89" i="66"/>
  <c r="I422" i="37"/>
  <c r="J44" i="58"/>
  <c r="I44" i="37"/>
  <c r="I44" i="41" s="1"/>
  <c r="E259" i="38"/>
  <c r="G214" i="66" s="1"/>
  <c r="D18" i="34"/>
  <c r="E214" i="38"/>
  <c r="J438" i="41"/>
  <c r="C43" i="63"/>
  <c r="J29" i="58"/>
  <c r="H14" i="37"/>
  <c r="J49" i="37"/>
  <c r="G209" i="66"/>
  <c r="I430" i="58"/>
  <c r="E390" i="38"/>
  <c r="H451" i="41"/>
  <c r="I36" i="37"/>
  <c r="I36" i="41" s="1"/>
  <c r="H37" i="37"/>
  <c r="H37" i="41" s="1"/>
  <c r="I40" i="37"/>
  <c r="I40" i="41" s="1"/>
  <c r="G208" i="66"/>
  <c r="I427" i="58"/>
  <c r="H436" i="41"/>
  <c r="J35" i="58"/>
  <c r="I26" i="37"/>
  <c r="J31" i="37"/>
  <c r="J31" i="41" s="1"/>
  <c r="G196" i="66"/>
  <c r="I421" i="58"/>
  <c r="G213" i="66"/>
  <c r="I432" i="58"/>
  <c r="I57" i="37"/>
  <c r="I57" i="41" s="1"/>
  <c r="G57" i="41"/>
  <c r="I73" i="37"/>
  <c r="I73" i="41" s="1"/>
  <c r="I418" i="37"/>
  <c r="J230" i="37"/>
  <c r="J230" i="58"/>
  <c r="J266" i="37"/>
  <c r="J266" i="58"/>
  <c r="I208" i="58"/>
  <c r="I208" i="37"/>
  <c r="I298" i="37"/>
  <c r="I298" i="58"/>
  <c r="I256" i="58"/>
  <c r="I256" i="37"/>
  <c r="J18" i="41"/>
  <c r="J42" i="58"/>
  <c r="J42" i="41" s="1"/>
  <c r="I441" i="41"/>
  <c r="G287" i="66"/>
  <c r="N287" i="66" s="1"/>
  <c r="J425" i="58"/>
  <c r="J12" i="58"/>
  <c r="H12" i="58"/>
  <c r="I12" i="58"/>
  <c r="G87" i="66"/>
  <c r="I424" i="37"/>
  <c r="H68" i="58"/>
  <c r="I53" i="41"/>
  <c r="H421" i="37"/>
  <c r="G4" i="66"/>
  <c r="G271" i="66"/>
  <c r="N271" i="66" s="1"/>
  <c r="J426" i="58"/>
  <c r="J32" i="58"/>
  <c r="H69" i="37"/>
  <c r="H69" i="41" s="1"/>
  <c r="I54" i="37"/>
  <c r="I54" i="41" s="1"/>
  <c r="G79" i="66"/>
  <c r="I426" i="37"/>
  <c r="G21" i="66"/>
  <c r="N21" i="66" s="1"/>
  <c r="H432" i="37"/>
  <c r="J446" i="41"/>
  <c r="I21" i="37"/>
  <c r="I34" i="58"/>
  <c r="H424" i="37"/>
  <c r="G39" i="66"/>
  <c r="J44" i="37"/>
  <c r="I56" i="37"/>
  <c r="I56" i="41" s="1"/>
  <c r="G173" i="66"/>
  <c r="H423" i="58"/>
  <c r="J72" i="37"/>
  <c r="H34" i="37"/>
  <c r="H34" i="41" s="1"/>
  <c r="J29" i="37"/>
  <c r="H14" i="58"/>
  <c r="J49" i="58"/>
  <c r="G137" i="66"/>
  <c r="J422" i="37"/>
  <c r="J41" i="58"/>
  <c r="I48" i="37"/>
  <c r="H49" i="37"/>
  <c r="I64" i="37"/>
  <c r="I438" i="41"/>
  <c r="H447" i="41"/>
  <c r="I450" i="41"/>
  <c r="H41" i="37"/>
  <c r="H41" i="41" s="1"/>
  <c r="I26" i="58"/>
  <c r="J163" i="41"/>
  <c r="I440" i="41"/>
  <c r="I451" i="41"/>
  <c r="I30" i="41" l="1"/>
  <c r="J24" i="41"/>
  <c r="N75" i="66"/>
  <c r="I66" i="41"/>
  <c r="I45" i="41"/>
  <c r="H40" i="41"/>
  <c r="G27" i="39"/>
  <c r="H33" i="41"/>
  <c r="N59" i="66"/>
  <c r="H28" i="41"/>
  <c r="H6" i="6"/>
  <c r="G28" i="39"/>
  <c r="O201" i="66"/>
  <c r="N93" i="66"/>
  <c r="H7" i="6"/>
  <c r="M65" i="66"/>
  <c r="M209" i="66"/>
  <c r="M169" i="66"/>
  <c r="M25" i="66"/>
  <c r="G70" i="66"/>
  <c r="Q153" i="66"/>
  <c r="I424" i="41"/>
  <c r="J55" i="41"/>
  <c r="O203" i="66"/>
  <c r="Q203" i="66" s="1"/>
  <c r="R203" i="66" s="1"/>
  <c r="T203" i="66" s="1"/>
  <c r="G73" i="66"/>
  <c r="I418" i="58"/>
  <c r="G217" i="66"/>
  <c r="J419" i="41"/>
  <c r="Q155" i="66"/>
  <c r="Q171" i="66"/>
  <c r="Q27" i="66"/>
  <c r="Q11" i="66"/>
  <c r="Q9" i="66"/>
  <c r="Q45" i="66"/>
  <c r="I64" i="41"/>
  <c r="J33" i="41"/>
  <c r="H72" i="41"/>
  <c r="I20" i="41"/>
  <c r="J50" i="41"/>
  <c r="H61" i="41"/>
  <c r="H62" i="41"/>
  <c r="J62" i="41"/>
  <c r="H424" i="41"/>
  <c r="H418" i="41"/>
  <c r="J72" i="41"/>
  <c r="H32" i="41"/>
  <c r="J40" i="41"/>
  <c r="I16" i="41"/>
  <c r="I428" i="41"/>
  <c r="I426" i="41"/>
  <c r="H49" i="41"/>
  <c r="I363" i="41"/>
  <c r="J30" i="41"/>
  <c r="J20" i="41"/>
  <c r="I21" i="41"/>
  <c r="J52" i="41"/>
  <c r="I425" i="41"/>
  <c r="H44" i="41"/>
  <c r="I41" i="41"/>
  <c r="J35" i="41"/>
  <c r="J141" i="41"/>
  <c r="H432" i="41"/>
  <c r="O191" i="66"/>
  <c r="Q191" i="66" s="1"/>
  <c r="I48" i="41"/>
  <c r="H68" i="41"/>
  <c r="H419" i="41"/>
  <c r="H422" i="41"/>
  <c r="J235" i="41"/>
  <c r="J420" i="41"/>
  <c r="I420" i="41"/>
  <c r="H175" i="41"/>
  <c r="J181" i="41"/>
  <c r="I213" i="41"/>
  <c r="J431" i="41"/>
  <c r="J29" i="41"/>
  <c r="I26" i="41"/>
  <c r="I422" i="41"/>
  <c r="J432" i="41"/>
  <c r="J64" i="41"/>
  <c r="H290" i="41"/>
  <c r="H431" i="41"/>
  <c r="J424" i="41"/>
  <c r="I313" i="41"/>
  <c r="H152" i="41"/>
  <c r="I361" i="41"/>
  <c r="I208" i="41"/>
  <c r="I38" i="41"/>
  <c r="H423" i="41"/>
  <c r="H25" i="41"/>
  <c r="I24" i="41"/>
  <c r="J292" i="41"/>
  <c r="I235" i="41"/>
  <c r="J428" i="41"/>
  <c r="I427" i="41"/>
  <c r="I43" i="41"/>
  <c r="J230" i="41"/>
  <c r="I423" i="41"/>
  <c r="J422" i="41"/>
  <c r="H14" i="41"/>
  <c r="J68" i="41"/>
  <c r="J69" i="41"/>
  <c r="I283" i="41"/>
  <c r="H53" i="41"/>
  <c r="I60" i="41"/>
  <c r="H251" i="41"/>
  <c r="J36" i="41"/>
  <c r="H285" i="37"/>
  <c r="H285" i="58"/>
  <c r="H365" i="37"/>
  <c r="H365" i="58"/>
  <c r="J327" i="58"/>
  <c r="J327" i="37"/>
  <c r="I356" i="58"/>
  <c r="I356" i="37"/>
  <c r="I243" i="37"/>
  <c r="I243" i="58"/>
  <c r="I140" i="58"/>
  <c r="I140" i="37"/>
  <c r="I137" i="37"/>
  <c r="I137" i="58"/>
  <c r="H387" i="58"/>
  <c r="H387" i="37"/>
  <c r="H319" i="37"/>
  <c r="H319" i="58"/>
  <c r="H236" i="37"/>
  <c r="H236" i="58"/>
  <c r="J172" i="37"/>
  <c r="J172" i="58"/>
  <c r="I310" i="58"/>
  <c r="I310" i="37"/>
  <c r="H375" i="58"/>
  <c r="H375" i="37"/>
  <c r="I287" i="37"/>
  <c r="I287" i="58"/>
  <c r="I152" i="37"/>
  <c r="I152" i="58"/>
  <c r="I207" i="58"/>
  <c r="I207" i="37"/>
  <c r="H232" i="37"/>
  <c r="H232" i="58"/>
  <c r="I380" i="37"/>
  <c r="I380" i="58"/>
  <c r="H253" i="37"/>
  <c r="H253" i="58"/>
  <c r="I227" i="37"/>
  <c r="I227" i="58"/>
  <c r="H280" i="58"/>
  <c r="H280" i="37"/>
  <c r="H346" i="37"/>
  <c r="H346" i="58"/>
  <c r="J335" i="58"/>
  <c r="J335" i="37"/>
  <c r="H371" i="37"/>
  <c r="H371" i="58"/>
  <c r="I228" i="37"/>
  <c r="I228" i="58"/>
  <c r="H208" i="37"/>
  <c r="H208" i="58"/>
  <c r="I144" i="37"/>
  <c r="I144" i="58"/>
  <c r="J140" i="37"/>
  <c r="J140" i="58"/>
  <c r="I337" i="37"/>
  <c r="I337" i="58"/>
  <c r="I294" i="37"/>
  <c r="I294" i="58"/>
  <c r="J137" i="58"/>
  <c r="J137" i="37"/>
  <c r="J344" i="58"/>
  <c r="J344" i="37"/>
  <c r="H348" i="58"/>
  <c r="H348" i="37"/>
  <c r="J174" i="37"/>
  <c r="J174" i="58"/>
  <c r="J328" i="37"/>
  <c r="J328" i="58"/>
  <c r="H369" i="37"/>
  <c r="H369" i="58"/>
  <c r="H123" i="58"/>
  <c r="H123" i="37"/>
  <c r="I400" i="37"/>
  <c r="I400" i="58"/>
  <c r="H262" i="58"/>
  <c r="H262" i="37"/>
  <c r="H149" i="37"/>
  <c r="H149" i="58"/>
  <c r="H264" i="58"/>
  <c r="H264" i="37"/>
  <c r="J151" i="58"/>
  <c r="J151" i="37"/>
  <c r="H197" i="37"/>
  <c r="H197" i="58"/>
  <c r="H353" i="58"/>
  <c r="H353" i="37"/>
  <c r="J155" i="58"/>
  <c r="J155" i="37"/>
  <c r="I277" i="58"/>
  <c r="I277" i="37"/>
  <c r="I145" i="58"/>
  <c r="I145" i="37"/>
  <c r="I175" i="37"/>
  <c r="I175" i="58"/>
  <c r="J206" i="37"/>
  <c r="J206" i="58"/>
  <c r="H314" i="58"/>
  <c r="H314" i="37"/>
  <c r="I203" i="37"/>
  <c r="I203" i="58"/>
  <c r="I141" i="58"/>
  <c r="I141" i="37"/>
  <c r="J266" i="41"/>
  <c r="I379" i="41"/>
  <c r="I14" i="41"/>
  <c r="H426" i="41"/>
  <c r="E365" i="38"/>
  <c r="K105" i="66" s="1"/>
  <c r="N105" i="66" s="1"/>
  <c r="O249" i="66" s="1"/>
  <c r="J456" i="41"/>
  <c r="Z117" i="66"/>
  <c r="Z261" i="66"/>
  <c r="Y261" i="66"/>
  <c r="Y117" i="66"/>
  <c r="Z172" i="66"/>
  <c r="Y28" i="66"/>
  <c r="Z28" i="66"/>
  <c r="Y172" i="66"/>
  <c r="J276" i="41"/>
  <c r="M256" i="66"/>
  <c r="J470" i="58"/>
  <c r="J469" i="58"/>
  <c r="F250" i="66" s="1"/>
  <c r="J468" i="58"/>
  <c r="F257" i="66" s="1"/>
  <c r="N257" i="66" s="1"/>
  <c r="J16" i="41"/>
  <c r="O175" i="66"/>
  <c r="I34" i="41"/>
  <c r="Z203" i="66"/>
  <c r="Z59" i="66"/>
  <c r="Y203" i="66"/>
  <c r="Y59" i="66"/>
  <c r="O59" i="66"/>
  <c r="I395" i="41"/>
  <c r="J427" i="41"/>
  <c r="H239" i="58"/>
  <c r="H239" i="37"/>
  <c r="H170" i="58"/>
  <c r="H170" i="37"/>
  <c r="J164" i="58"/>
  <c r="J164" i="37"/>
  <c r="H367" i="58"/>
  <c r="H367" i="37"/>
  <c r="I155" i="58"/>
  <c r="I155" i="37"/>
  <c r="I326" i="37"/>
  <c r="I326" i="58"/>
  <c r="J144" i="58"/>
  <c r="J144" i="37"/>
  <c r="J267" i="58"/>
  <c r="J267" i="37"/>
  <c r="J305" i="37"/>
  <c r="J305" i="58"/>
  <c r="J384" i="37"/>
  <c r="J384" i="58"/>
  <c r="J189" i="37"/>
  <c r="J189" i="58"/>
  <c r="J228" i="58"/>
  <c r="J228" i="37"/>
  <c r="H129" i="37"/>
  <c r="H129" i="58"/>
  <c r="J146" i="58"/>
  <c r="J146" i="37"/>
  <c r="H315" i="37"/>
  <c r="H315" i="58"/>
  <c r="H209" i="37"/>
  <c r="H209" i="58"/>
  <c r="H254" i="37"/>
  <c r="H254" i="58"/>
  <c r="I211" i="58"/>
  <c r="I211" i="37"/>
  <c r="H161" i="58"/>
  <c r="H161" i="37"/>
  <c r="J319" i="37"/>
  <c r="J319" i="58"/>
  <c r="J282" i="58"/>
  <c r="J282" i="37"/>
  <c r="O75" i="66"/>
  <c r="Z219" i="66"/>
  <c r="Y219" i="66"/>
  <c r="Y75" i="66"/>
  <c r="Z75" i="66"/>
  <c r="Z43" i="66"/>
  <c r="Y43" i="66"/>
  <c r="Y187" i="66"/>
  <c r="Z187" i="66"/>
  <c r="I226" i="37"/>
  <c r="I226" i="58"/>
  <c r="H138" i="37"/>
  <c r="H138" i="58"/>
  <c r="J184" i="58"/>
  <c r="J184" i="37"/>
  <c r="I164" i="58"/>
  <c r="I164" i="37"/>
  <c r="J122" i="37"/>
  <c r="J122" i="58"/>
  <c r="H133" i="37"/>
  <c r="H133" i="58"/>
  <c r="I331" i="58"/>
  <c r="I331" i="37"/>
  <c r="J154" i="37"/>
  <c r="J154" i="58"/>
  <c r="H176" i="58"/>
  <c r="H176" i="37"/>
  <c r="I335" i="37"/>
  <c r="I335" i="58"/>
  <c r="H198" i="37"/>
  <c r="H198" i="58"/>
  <c r="I384" i="37"/>
  <c r="I384" i="58"/>
  <c r="I340" i="58"/>
  <c r="I340" i="37"/>
  <c r="J224" i="37"/>
  <c r="J224" i="58"/>
  <c r="H291" i="37"/>
  <c r="H291" i="58"/>
  <c r="H132" i="37"/>
  <c r="H132" i="58"/>
  <c r="H224" i="37"/>
  <c r="H224" i="58"/>
  <c r="J291" i="58"/>
  <c r="J291" i="37"/>
  <c r="J345" i="58"/>
  <c r="J345" i="37"/>
  <c r="I153" i="37"/>
  <c r="I153" i="58"/>
  <c r="I321" i="37"/>
  <c r="I321" i="58"/>
  <c r="I305" i="58"/>
  <c r="I305" i="37"/>
  <c r="J288" i="37"/>
  <c r="J288" i="58"/>
  <c r="I217" i="37"/>
  <c r="I217" i="58"/>
  <c r="I231" i="58"/>
  <c r="I231" i="37"/>
  <c r="J186" i="58"/>
  <c r="J186" i="37"/>
  <c r="I151" i="37"/>
  <c r="I151" i="58"/>
  <c r="J207" i="37"/>
  <c r="J207" i="58"/>
  <c r="H258" i="58"/>
  <c r="H258" i="37"/>
  <c r="I233" i="58"/>
  <c r="I233" i="37"/>
  <c r="J349" i="58"/>
  <c r="J349" i="37"/>
  <c r="H300" i="37"/>
  <c r="H300" i="58"/>
  <c r="J367" i="58"/>
  <c r="J367" i="37"/>
  <c r="I170" i="37"/>
  <c r="I170" i="58"/>
  <c r="H339" i="58"/>
  <c r="H339" i="37"/>
  <c r="J275" i="58"/>
  <c r="J275" i="37"/>
  <c r="J199" i="37"/>
  <c r="J199" i="58"/>
  <c r="H223" i="58"/>
  <c r="H223" i="37"/>
  <c r="I229" i="37"/>
  <c r="I229" i="58"/>
  <c r="J306" i="37"/>
  <c r="J306" i="58"/>
  <c r="H345" i="37"/>
  <c r="H345" i="58"/>
  <c r="J368" i="58"/>
  <c r="J368" i="37"/>
  <c r="J169" i="37"/>
  <c r="J169" i="58"/>
  <c r="H120" i="58"/>
  <c r="H120" i="37"/>
  <c r="J307" i="58"/>
  <c r="J307" i="37"/>
  <c r="J226" i="58"/>
  <c r="J226" i="37"/>
  <c r="I257" i="37"/>
  <c r="I257" i="58"/>
  <c r="J363" i="58"/>
  <c r="J363" i="37"/>
  <c r="H395" i="37"/>
  <c r="H395" i="58"/>
  <c r="J147" i="58"/>
  <c r="J147" i="37"/>
  <c r="J152" i="37"/>
  <c r="J152" i="58"/>
  <c r="J256" i="58"/>
  <c r="J256" i="37"/>
  <c r="I386" i="37"/>
  <c r="I386" i="58"/>
  <c r="J382" i="37"/>
  <c r="J382" i="58"/>
  <c r="J236" i="58"/>
  <c r="J236" i="37"/>
  <c r="J196" i="37"/>
  <c r="J196" i="58"/>
  <c r="H384" i="37"/>
  <c r="H384" i="58"/>
  <c r="H305" i="58"/>
  <c r="H305" i="37"/>
  <c r="J271" i="37"/>
  <c r="J271" i="58"/>
  <c r="I346" i="58"/>
  <c r="I346" i="37"/>
  <c r="J374" i="37"/>
  <c r="J374" i="58"/>
  <c r="J391" i="37"/>
  <c r="J391" i="58"/>
  <c r="H167" i="37"/>
  <c r="H167" i="58"/>
  <c r="H222" i="58"/>
  <c r="H222" i="37"/>
  <c r="I330" i="37"/>
  <c r="I330" i="58"/>
  <c r="H202" i="37"/>
  <c r="H202" i="58"/>
  <c r="J126" i="37"/>
  <c r="J126" i="58"/>
  <c r="J211" i="37"/>
  <c r="J211" i="58"/>
  <c r="H195" i="37"/>
  <c r="H195" i="58"/>
  <c r="H137" i="37"/>
  <c r="H137" i="58"/>
  <c r="J272" i="37"/>
  <c r="J272" i="58"/>
  <c r="J339" i="37"/>
  <c r="J339" i="58"/>
  <c r="J123" i="37"/>
  <c r="J123" i="58"/>
  <c r="H214" i="58"/>
  <c r="H214" i="37"/>
  <c r="H134" i="37"/>
  <c r="H134" i="58"/>
  <c r="H282" i="37"/>
  <c r="H282" i="58"/>
  <c r="H145" i="37"/>
  <c r="H145" i="58"/>
  <c r="I149" i="58"/>
  <c r="I149" i="37"/>
  <c r="H242" i="37"/>
  <c r="H242" i="58"/>
  <c r="H392" i="58"/>
  <c r="H392" i="37"/>
  <c r="H245" i="37"/>
  <c r="H245" i="58"/>
  <c r="H397" i="37"/>
  <c r="H397" i="58"/>
  <c r="J351" i="58"/>
  <c r="J351" i="37"/>
  <c r="I369" i="58"/>
  <c r="I369" i="37"/>
  <c r="I186" i="37"/>
  <c r="I186" i="58"/>
  <c r="H189" i="58"/>
  <c r="H189" i="37"/>
  <c r="I328" i="37"/>
  <c r="I328" i="58"/>
  <c r="I129" i="37"/>
  <c r="I129" i="58"/>
  <c r="J183" i="58"/>
  <c r="J183" i="37"/>
  <c r="J375" i="37"/>
  <c r="J375" i="58"/>
  <c r="I381" i="37"/>
  <c r="I381" i="58"/>
  <c r="J360" i="58"/>
  <c r="J360" i="37"/>
  <c r="I324" i="37"/>
  <c r="I324" i="58"/>
  <c r="H166" i="37"/>
  <c r="H166" i="58"/>
  <c r="J221" i="37"/>
  <c r="J221" i="58"/>
  <c r="I279" i="37"/>
  <c r="I279" i="58"/>
  <c r="J304" i="37"/>
  <c r="J304" i="58"/>
  <c r="J124" i="37"/>
  <c r="J124" i="58"/>
  <c r="I124" i="58"/>
  <c r="I124" i="37"/>
  <c r="J317" i="37"/>
  <c r="J317" i="58"/>
  <c r="I291" i="37"/>
  <c r="I291" i="58"/>
  <c r="H288" i="37"/>
  <c r="H288" i="58"/>
  <c r="I261" i="58"/>
  <c r="I261" i="37"/>
  <c r="J354" i="37"/>
  <c r="J354" i="58"/>
  <c r="J133" i="37"/>
  <c r="J133" i="58"/>
  <c r="I121" i="37"/>
  <c r="I121" i="58"/>
  <c r="J258" i="58"/>
  <c r="J258" i="37"/>
  <c r="I216" i="37"/>
  <c r="I216" i="58"/>
  <c r="H180" i="37"/>
  <c r="H180" i="58"/>
  <c r="I387" i="37"/>
  <c r="I387" i="58"/>
  <c r="J380" i="37"/>
  <c r="J380" i="58"/>
  <c r="J218" i="37"/>
  <c r="J218" i="58"/>
  <c r="I338" i="37"/>
  <c r="I338" i="58"/>
  <c r="J392" i="37"/>
  <c r="J392" i="58"/>
  <c r="H271" i="37"/>
  <c r="H271" i="58"/>
  <c r="I188" i="37"/>
  <c r="I188" i="58"/>
  <c r="J203" i="37"/>
  <c r="J203" i="58"/>
  <c r="I238" i="37"/>
  <c r="I238" i="58"/>
  <c r="I353" i="58"/>
  <c r="I353" i="37"/>
  <c r="H382" i="58"/>
  <c r="H382" i="37"/>
  <c r="H295" i="37"/>
  <c r="H295" i="58"/>
  <c r="I202" i="37"/>
  <c r="I202" i="58"/>
  <c r="H349" i="37"/>
  <c r="H349" i="58"/>
  <c r="I382" i="37"/>
  <c r="I382" i="58"/>
  <c r="H226" i="37"/>
  <c r="H226" i="58"/>
  <c r="H155" i="37"/>
  <c r="H155" i="58"/>
  <c r="J161" i="58"/>
  <c r="J161" i="37"/>
  <c r="I179" i="37"/>
  <c r="I179" i="58"/>
  <c r="H142" i="58"/>
  <c r="H142" i="37"/>
  <c r="H328" i="37"/>
  <c r="H328" i="58"/>
  <c r="H306" i="37"/>
  <c r="H306" i="58"/>
  <c r="J200" i="37"/>
  <c r="J200" i="58"/>
  <c r="J289" i="37"/>
  <c r="J289" i="58"/>
  <c r="I210" i="58"/>
  <c r="I210" i="37"/>
  <c r="J227" i="37"/>
  <c r="J227" i="58"/>
  <c r="H204" i="37"/>
  <c r="H204" i="58"/>
  <c r="H199" i="58"/>
  <c r="H199" i="37"/>
  <c r="I359" i="58"/>
  <c r="I359" i="37"/>
  <c r="H307" i="37"/>
  <c r="H307" i="58"/>
  <c r="H275" i="37"/>
  <c r="H275" i="58"/>
  <c r="H196" i="58"/>
  <c r="H196" i="37"/>
  <c r="H122" i="58"/>
  <c r="H122" i="37"/>
  <c r="H343" i="37"/>
  <c r="H343" i="58"/>
  <c r="H390" i="58"/>
  <c r="H390" i="37"/>
  <c r="J326" i="58"/>
  <c r="J326" i="37"/>
  <c r="I251" i="58"/>
  <c r="I251" i="37"/>
  <c r="J213" i="37"/>
  <c r="J213" i="58"/>
  <c r="J385" i="37"/>
  <c r="J385" i="58"/>
  <c r="J225" i="37"/>
  <c r="J225" i="58"/>
  <c r="I375" i="37"/>
  <c r="I375" i="58"/>
  <c r="J401" i="37"/>
  <c r="J401" i="58"/>
  <c r="H287" i="58"/>
  <c r="H287" i="37"/>
  <c r="I256" i="41"/>
  <c r="M208" i="66"/>
  <c r="I468" i="58"/>
  <c r="F209" i="66" s="1"/>
  <c r="I469" i="58"/>
  <c r="F202" i="66" s="1"/>
  <c r="I470" i="58"/>
  <c r="J32" i="41"/>
  <c r="J425" i="41"/>
  <c r="J13" i="41"/>
  <c r="C26" i="63"/>
  <c r="Z175" i="66"/>
  <c r="Z31" i="66"/>
  <c r="Y31" i="66"/>
  <c r="O31" i="66"/>
  <c r="Y175" i="66"/>
  <c r="Z57" i="66"/>
  <c r="Z201" i="66"/>
  <c r="Y57" i="66"/>
  <c r="O57" i="66"/>
  <c r="Y201" i="66"/>
  <c r="I418" i="41"/>
  <c r="H428" i="41"/>
  <c r="J28" i="41"/>
  <c r="H425" i="41"/>
  <c r="H36" i="41"/>
  <c r="J421" i="41"/>
  <c r="M16" i="66"/>
  <c r="H469" i="37"/>
  <c r="H470" i="37"/>
  <c r="H468" i="37"/>
  <c r="H173" i="58"/>
  <c r="H173" i="37"/>
  <c r="H130" i="37"/>
  <c r="H130" i="58"/>
  <c r="J149" i="58"/>
  <c r="J149" i="37"/>
  <c r="J365" i="58"/>
  <c r="J365" i="37"/>
  <c r="H237" i="37"/>
  <c r="H237" i="58"/>
  <c r="I396" i="37"/>
  <c r="I396" i="58"/>
  <c r="I166" i="37"/>
  <c r="I166" i="58"/>
  <c r="I273" i="37"/>
  <c r="I273" i="58"/>
  <c r="J259" i="37"/>
  <c r="J259" i="58"/>
  <c r="H376" i="37"/>
  <c r="H376" i="58"/>
  <c r="J260" i="37"/>
  <c r="J260" i="58"/>
  <c r="H292" i="37"/>
  <c r="H292" i="58"/>
  <c r="I289" i="58"/>
  <c r="I289" i="37"/>
  <c r="H327" i="37"/>
  <c r="H327" i="58"/>
  <c r="I286" i="37"/>
  <c r="I286" i="58"/>
  <c r="H140" i="37"/>
  <c r="H140" i="58"/>
  <c r="H400" i="58"/>
  <c r="H400" i="37"/>
  <c r="H370" i="58"/>
  <c r="H370" i="37"/>
  <c r="I355" i="37"/>
  <c r="I355" i="58"/>
  <c r="J241" i="58"/>
  <c r="J241" i="37"/>
  <c r="J299" i="37"/>
  <c r="J299" i="58"/>
  <c r="J378" i="37"/>
  <c r="J378" i="58"/>
  <c r="H165" i="37"/>
  <c r="H165" i="58"/>
  <c r="I374" i="37"/>
  <c r="I374" i="58"/>
  <c r="H334" i="58"/>
  <c r="H334" i="37"/>
  <c r="H284" i="37"/>
  <c r="H284" i="58"/>
  <c r="H188" i="58"/>
  <c r="H188" i="37"/>
  <c r="H396" i="37"/>
  <c r="H396" i="58"/>
  <c r="I259" i="37"/>
  <c r="I259" i="58"/>
  <c r="J356" i="37"/>
  <c r="J356" i="58"/>
  <c r="I268" i="37"/>
  <c r="I268" i="58"/>
  <c r="I199" i="58"/>
  <c r="I199" i="37"/>
  <c r="I319" i="58"/>
  <c r="I319" i="37"/>
  <c r="J240" i="58"/>
  <c r="J240" i="37"/>
  <c r="J298" i="58"/>
  <c r="J298" i="37"/>
  <c r="I376" i="37"/>
  <c r="I376" i="58"/>
  <c r="J388" i="37"/>
  <c r="J388" i="58"/>
  <c r="J355" i="37"/>
  <c r="J355" i="58"/>
  <c r="H299" i="58"/>
  <c r="H299" i="37"/>
  <c r="H200" i="37"/>
  <c r="H200" i="58"/>
  <c r="H362" i="37"/>
  <c r="H362" i="58"/>
  <c r="I343" i="58"/>
  <c r="I343" i="37"/>
  <c r="J386" i="58"/>
  <c r="J386" i="37"/>
  <c r="I311" i="37"/>
  <c r="I311" i="58"/>
  <c r="I271" i="58"/>
  <c r="I271" i="37"/>
  <c r="H298" i="58"/>
  <c r="H298" i="37"/>
  <c r="H286" i="37"/>
  <c r="H286" i="58"/>
  <c r="J202" i="37"/>
  <c r="J202" i="58"/>
  <c r="I349" i="58"/>
  <c r="I349" i="37"/>
  <c r="I339" i="58"/>
  <c r="I339" i="37"/>
  <c r="H267" i="58"/>
  <c r="H267" i="37"/>
  <c r="H192" i="58"/>
  <c r="H192" i="37"/>
  <c r="J297" i="58"/>
  <c r="J297" i="37"/>
  <c r="I354" i="58"/>
  <c r="I354" i="37"/>
  <c r="H393" i="37"/>
  <c r="H393" i="58"/>
  <c r="H159" i="37"/>
  <c r="H159" i="58"/>
  <c r="I270" i="37"/>
  <c r="I270" i="58"/>
  <c r="H252" i="58"/>
  <c r="H252" i="37"/>
  <c r="J156" i="58"/>
  <c r="J156" i="37"/>
  <c r="J348" i="37"/>
  <c r="J348" i="58"/>
  <c r="I366" i="37"/>
  <c r="I366" i="58"/>
  <c r="J321" i="37"/>
  <c r="J321" i="58"/>
  <c r="I267" i="37"/>
  <c r="I267" i="58"/>
  <c r="J399" i="37"/>
  <c r="J399" i="58"/>
  <c r="J166" i="37"/>
  <c r="J166" i="58"/>
  <c r="I237" i="58"/>
  <c r="I237" i="37"/>
  <c r="J249" i="58"/>
  <c r="J249" i="37"/>
  <c r="I393" i="37"/>
  <c r="I393" i="58"/>
  <c r="H340" i="37"/>
  <c r="H340" i="58"/>
  <c r="J261" i="58"/>
  <c r="J261" i="37"/>
  <c r="I234" i="58"/>
  <c r="I234" i="37"/>
  <c r="H270" i="58"/>
  <c r="H270" i="37"/>
  <c r="I204" i="58"/>
  <c r="I204" i="37"/>
  <c r="J329" i="37"/>
  <c r="J329" i="58"/>
  <c r="J121" i="58"/>
  <c r="J121" i="37"/>
  <c r="H321" i="58"/>
  <c r="H321" i="37"/>
  <c r="J201" i="58"/>
  <c r="J201" i="37"/>
  <c r="I201" i="58"/>
  <c r="I201" i="37"/>
  <c r="J393" i="58"/>
  <c r="J393" i="37"/>
  <c r="I316" i="37"/>
  <c r="I316" i="58"/>
  <c r="I371" i="58"/>
  <c r="I371" i="37"/>
  <c r="H356" i="37"/>
  <c r="H356" i="58"/>
  <c r="J361" i="58"/>
  <c r="J361" i="37"/>
  <c r="H179" i="58"/>
  <c r="H179" i="37"/>
  <c r="H332" i="58"/>
  <c r="H332" i="37"/>
  <c r="J145" i="58"/>
  <c r="J145" i="37"/>
  <c r="I178" i="58"/>
  <c r="I178" i="37"/>
  <c r="J222" i="37"/>
  <c r="J222" i="58"/>
  <c r="J283" i="58"/>
  <c r="J283" i="37"/>
  <c r="H234" i="58"/>
  <c r="H234" i="37"/>
  <c r="H121" i="58"/>
  <c r="H121" i="37"/>
  <c r="J287" i="37"/>
  <c r="J287" i="58"/>
  <c r="J138" i="58"/>
  <c r="J138" i="37"/>
  <c r="J362" i="58"/>
  <c r="J362" i="37"/>
  <c r="H283" i="37"/>
  <c r="H283" i="58"/>
  <c r="H230" i="37"/>
  <c r="H230" i="58"/>
  <c r="J394" i="58"/>
  <c r="J394" i="37"/>
  <c r="J178" i="58"/>
  <c r="J178" i="37"/>
  <c r="I184" i="58"/>
  <c r="I184" i="37"/>
  <c r="H178" i="58"/>
  <c r="H178" i="37"/>
  <c r="H331" i="37"/>
  <c r="H331" i="58"/>
  <c r="H377" i="58"/>
  <c r="H377" i="37"/>
  <c r="I193" i="58"/>
  <c r="I193" i="37"/>
  <c r="J182" i="37"/>
  <c r="J182" i="58"/>
  <c r="H311" i="58"/>
  <c r="H311" i="37"/>
  <c r="H203" i="37"/>
  <c r="H203" i="58"/>
  <c r="I244" i="37"/>
  <c r="I244" i="58"/>
  <c r="J274" i="37"/>
  <c r="J274" i="58"/>
  <c r="I350" i="37"/>
  <c r="I350" i="58"/>
  <c r="J158" i="37"/>
  <c r="J158" i="58"/>
  <c r="H235" i="58"/>
  <c r="H235" i="37"/>
  <c r="H191" i="58"/>
  <c r="H191" i="37"/>
  <c r="H309" i="58"/>
  <c r="H309" i="37"/>
  <c r="J397" i="58"/>
  <c r="J397" i="37"/>
  <c r="H228" i="58"/>
  <c r="H228" i="37"/>
  <c r="I296" i="37"/>
  <c r="I296" i="58"/>
  <c r="I325" i="37"/>
  <c r="I325" i="58"/>
  <c r="J357" i="37"/>
  <c r="J357" i="58"/>
  <c r="J379" i="37"/>
  <c r="J379" i="58"/>
  <c r="I292" i="37"/>
  <c r="I292" i="58"/>
  <c r="J197" i="37"/>
  <c r="J197" i="58"/>
  <c r="O219" i="66"/>
  <c r="H12" i="41"/>
  <c r="E229" i="38"/>
  <c r="E274" i="38"/>
  <c r="E18" i="34"/>
  <c r="C35" i="63"/>
  <c r="Q201" i="66"/>
  <c r="R201" i="66" s="1"/>
  <c r="T201" i="66" s="1"/>
  <c r="N143" i="66"/>
  <c r="C8" i="63"/>
  <c r="H13" i="41"/>
  <c r="I419" i="41"/>
  <c r="I11" i="41"/>
  <c r="I402" i="37"/>
  <c r="I403" i="37"/>
  <c r="F97" i="66" s="1"/>
  <c r="E363" i="38"/>
  <c r="K123" i="66" s="1"/>
  <c r="N123" i="66" s="1"/>
  <c r="O267" i="66" s="1"/>
  <c r="J454" i="41"/>
  <c r="H403" i="58"/>
  <c r="E11" i="53" s="1"/>
  <c r="F11" i="53" s="1"/>
  <c r="H5" i="53" s="1"/>
  <c r="H402" i="58"/>
  <c r="F194" i="66" s="1"/>
  <c r="N194" i="66" s="1"/>
  <c r="Y191" i="66"/>
  <c r="Z47" i="66"/>
  <c r="O47" i="66"/>
  <c r="Z191" i="66"/>
  <c r="Y47" i="66"/>
  <c r="J341" i="41"/>
  <c r="H429" i="41"/>
  <c r="J290" i="37"/>
  <c r="J290" i="58"/>
  <c r="H391" i="58"/>
  <c r="H391" i="37"/>
  <c r="J239" i="58"/>
  <c r="J239" i="37"/>
  <c r="I284" i="37"/>
  <c r="I284" i="58"/>
  <c r="J316" i="37"/>
  <c r="J316" i="58"/>
  <c r="H243" i="37"/>
  <c r="H243" i="58"/>
  <c r="J165" i="58"/>
  <c r="J165" i="37"/>
  <c r="J340" i="58"/>
  <c r="J340" i="37"/>
  <c r="I223" i="37"/>
  <c r="I223" i="58"/>
  <c r="I138" i="37"/>
  <c r="I138" i="58"/>
  <c r="I130" i="37"/>
  <c r="I130" i="58"/>
  <c r="H350" i="37"/>
  <c r="H350" i="58"/>
  <c r="H354" i="37"/>
  <c r="H354" i="58"/>
  <c r="I272" i="37"/>
  <c r="I272" i="58"/>
  <c r="I365" i="58"/>
  <c r="I365" i="37"/>
  <c r="J170" i="37"/>
  <c r="J170" i="58"/>
  <c r="H181" i="37"/>
  <c r="H181" i="58"/>
  <c r="I278" i="58"/>
  <c r="I278" i="37"/>
  <c r="J284" i="37"/>
  <c r="J284" i="58"/>
  <c r="I302" i="58"/>
  <c r="I302" i="37"/>
  <c r="I281" i="58"/>
  <c r="I281" i="37"/>
  <c r="H357" i="58"/>
  <c r="H357" i="37"/>
  <c r="I389" i="58"/>
  <c r="I389" i="37"/>
  <c r="J286" i="37"/>
  <c r="J286" i="58"/>
  <c r="J322" i="58"/>
  <c r="J322" i="37"/>
  <c r="H380" i="58"/>
  <c r="H380" i="37"/>
  <c r="I191" i="37"/>
  <c r="I191" i="58"/>
  <c r="J359" i="58"/>
  <c r="J359" i="37"/>
  <c r="H351" i="58"/>
  <c r="H351" i="37"/>
  <c r="I341" i="58"/>
  <c r="I341" i="37"/>
  <c r="J337" i="37"/>
  <c r="J337" i="58"/>
  <c r="J369" i="58"/>
  <c r="J369" i="37"/>
  <c r="J128" i="58"/>
  <c r="J128" i="37"/>
  <c r="J279" i="58"/>
  <c r="J279" i="37"/>
  <c r="J387" i="58"/>
  <c r="J387" i="37"/>
  <c r="I180" i="37"/>
  <c r="I180" i="58"/>
  <c r="I348" i="37"/>
  <c r="I348" i="58"/>
  <c r="I220" i="37"/>
  <c r="I220" i="58"/>
  <c r="I177" i="58"/>
  <c r="I177" i="37"/>
  <c r="J300" i="58"/>
  <c r="J300" i="37"/>
  <c r="H313" i="37"/>
  <c r="H313" i="58"/>
  <c r="I189" i="37"/>
  <c r="I189" i="58"/>
  <c r="J314" i="58"/>
  <c r="J314" i="37"/>
  <c r="I352" i="37"/>
  <c r="I352" i="58"/>
  <c r="H227" i="37"/>
  <c r="H227" i="58"/>
  <c r="J330" i="37"/>
  <c r="J330" i="58"/>
  <c r="I142" i="58"/>
  <c r="I142" i="37"/>
  <c r="H238" i="37"/>
  <c r="H238" i="58"/>
  <c r="I247" i="58"/>
  <c r="I247" i="37"/>
  <c r="I368" i="58"/>
  <c r="I368" i="37"/>
  <c r="H278" i="58"/>
  <c r="H278" i="37"/>
  <c r="J179" i="58"/>
  <c r="J179" i="37"/>
  <c r="H215" i="58"/>
  <c r="H215" i="37"/>
  <c r="J173" i="37"/>
  <c r="J173" i="58"/>
  <c r="H158" i="58"/>
  <c r="H158" i="37"/>
  <c r="H385" i="37"/>
  <c r="H385" i="58"/>
  <c r="J214" i="37"/>
  <c r="J214" i="58"/>
  <c r="J334" i="37"/>
  <c r="J334" i="58"/>
  <c r="H342" i="37"/>
  <c r="H342" i="58"/>
  <c r="I269" i="37"/>
  <c r="I269" i="58"/>
  <c r="H389" i="58"/>
  <c r="H389" i="37"/>
  <c r="I187" i="37"/>
  <c r="I187" i="58"/>
  <c r="J313" i="37"/>
  <c r="J313" i="58"/>
  <c r="I147" i="58"/>
  <c r="I147" i="37"/>
  <c r="I373" i="58"/>
  <c r="I373" i="37"/>
  <c r="J187" i="58"/>
  <c r="J187" i="37"/>
  <c r="J253" i="37"/>
  <c r="J253" i="58"/>
  <c r="I347" i="58"/>
  <c r="I347" i="37"/>
  <c r="I266" i="58"/>
  <c r="I266" i="37"/>
  <c r="Z165" i="66"/>
  <c r="Z21" i="66"/>
  <c r="Y165" i="66"/>
  <c r="Y21" i="66"/>
  <c r="G58" i="66"/>
  <c r="I429" i="37"/>
  <c r="C53" i="63"/>
  <c r="J426" i="41"/>
  <c r="I13" i="41"/>
  <c r="C17" i="63"/>
  <c r="H52" i="41"/>
  <c r="H11" i="41"/>
  <c r="H403" i="37"/>
  <c r="E5" i="53" s="1"/>
  <c r="F5" i="53" s="1"/>
  <c r="H402" i="37"/>
  <c r="I432" i="41"/>
  <c r="I402" i="58"/>
  <c r="F242" i="66" s="1"/>
  <c r="N242" i="66" s="1"/>
  <c r="I403" i="58"/>
  <c r="F241" i="66" s="1"/>
  <c r="H427" i="41"/>
  <c r="I421" i="41"/>
  <c r="M160" i="66"/>
  <c r="H468" i="58"/>
  <c r="F161" i="66" s="1"/>
  <c r="N161" i="66" s="1"/>
  <c r="H470" i="58"/>
  <c r="H469" i="58"/>
  <c r="F154" i="66" s="1"/>
  <c r="N154" i="66" s="1"/>
  <c r="J48" i="41"/>
  <c r="H430" i="41"/>
  <c r="J60" i="41"/>
  <c r="I185" i="37"/>
  <c r="I185" i="58"/>
  <c r="H231" i="37"/>
  <c r="H231" i="58"/>
  <c r="H347" i="58"/>
  <c r="H347" i="37"/>
  <c r="I159" i="58"/>
  <c r="I159" i="37"/>
  <c r="H316" i="37"/>
  <c r="H316" i="58"/>
  <c r="I320" i="37"/>
  <c r="I320" i="58"/>
  <c r="J190" i="37"/>
  <c r="J190" i="58"/>
  <c r="I367" i="58"/>
  <c r="I367" i="37"/>
  <c r="I196" i="37"/>
  <c r="I196" i="58"/>
  <c r="I274" i="37"/>
  <c r="I274" i="58"/>
  <c r="H240" i="58"/>
  <c r="H240" i="37"/>
  <c r="I225" i="37"/>
  <c r="I225" i="58"/>
  <c r="J343" i="58"/>
  <c r="J343" i="37"/>
  <c r="H225" i="37"/>
  <c r="H225" i="58"/>
  <c r="J229" i="37"/>
  <c r="J229" i="58"/>
  <c r="J265" i="58"/>
  <c r="J265" i="37"/>
  <c r="H374" i="58"/>
  <c r="H374" i="37"/>
  <c r="H388" i="37"/>
  <c r="H388" i="58"/>
  <c r="J370" i="58"/>
  <c r="J370" i="37"/>
  <c r="I214" i="37"/>
  <c r="I214" i="58"/>
  <c r="H312" i="37"/>
  <c r="H312" i="58"/>
  <c r="I322" i="37"/>
  <c r="I322" i="58"/>
  <c r="J338" i="37"/>
  <c r="J338" i="58"/>
  <c r="H128" i="37"/>
  <c r="H128" i="58"/>
  <c r="J295" i="58"/>
  <c r="J295" i="37"/>
  <c r="H304" i="37"/>
  <c r="H304" i="58"/>
  <c r="J255" i="37"/>
  <c r="J255" i="58"/>
  <c r="H360" i="58"/>
  <c r="H360" i="37"/>
  <c r="I255" i="37"/>
  <c r="I255" i="58"/>
  <c r="J294" i="37"/>
  <c r="J294" i="58"/>
  <c r="I351" i="58"/>
  <c r="I351" i="37"/>
  <c r="I252" i="37"/>
  <c r="I252" i="58"/>
  <c r="J153" i="58"/>
  <c r="J153" i="37"/>
  <c r="J234" i="58"/>
  <c r="J234" i="37"/>
  <c r="H297" i="58"/>
  <c r="H297" i="37"/>
  <c r="J204" i="58"/>
  <c r="J204" i="37"/>
  <c r="J396" i="58"/>
  <c r="J396" i="37"/>
  <c r="I372" i="58"/>
  <c r="I372" i="37"/>
  <c r="J132" i="37"/>
  <c r="J132" i="58"/>
  <c r="J366" i="37"/>
  <c r="J366" i="58"/>
  <c r="I301" i="37"/>
  <c r="I301" i="58"/>
  <c r="I362" i="58"/>
  <c r="I362" i="37"/>
  <c r="H363" i="37"/>
  <c r="H363" i="58"/>
  <c r="J233" i="37"/>
  <c r="J233" i="58"/>
  <c r="H352" i="58"/>
  <c r="H352" i="37"/>
  <c r="H250" i="58"/>
  <c r="H250" i="37"/>
  <c r="H157" i="37"/>
  <c r="H157" i="58"/>
  <c r="H366" i="58"/>
  <c r="H366" i="37"/>
  <c r="I232" i="58"/>
  <c r="I232" i="37"/>
  <c r="I398" i="37"/>
  <c r="I398" i="58"/>
  <c r="H147" i="37"/>
  <c r="H147" i="58"/>
  <c r="J262" i="58"/>
  <c r="J262" i="37"/>
  <c r="H256" i="58"/>
  <c r="H256" i="37"/>
  <c r="I306" i="58"/>
  <c r="I306" i="37"/>
  <c r="J364" i="58"/>
  <c r="J364" i="37"/>
  <c r="H229" i="37"/>
  <c r="H229" i="58"/>
  <c r="J278" i="37"/>
  <c r="J278" i="58"/>
  <c r="J257" i="58"/>
  <c r="J257" i="37"/>
  <c r="I334" i="37"/>
  <c r="I334" i="58"/>
  <c r="J347" i="58"/>
  <c r="J347" i="37"/>
  <c r="J377" i="37"/>
  <c r="J377" i="58"/>
  <c r="H325" i="58"/>
  <c r="H325" i="37"/>
  <c r="H219" i="37"/>
  <c r="H219" i="58"/>
  <c r="H269" i="37"/>
  <c r="H269" i="58"/>
  <c r="J318" i="37"/>
  <c r="J318" i="58"/>
  <c r="H326" i="37"/>
  <c r="H326" i="58"/>
  <c r="H276" i="58"/>
  <c r="H276" i="37"/>
  <c r="H177" i="37"/>
  <c r="H177" i="58"/>
  <c r="H146" i="37"/>
  <c r="H146" i="58"/>
  <c r="J244" i="58"/>
  <c r="J244" i="37"/>
  <c r="I293" i="37"/>
  <c r="I293" i="58"/>
  <c r="J280" i="58"/>
  <c r="J280" i="37"/>
  <c r="J311" i="58"/>
  <c r="J311" i="37"/>
  <c r="H399" i="58"/>
  <c r="H399" i="37"/>
  <c r="H144" i="37"/>
  <c r="H144" i="58"/>
  <c r="H296" i="37"/>
  <c r="H296" i="58"/>
  <c r="I134" i="58"/>
  <c r="I134" i="37"/>
  <c r="J398" i="58"/>
  <c r="J398" i="37"/>
  <c r="H359" i="58"/>
  <c r="H359" i="37"/>
  <c r="H217" i="37"/>
  <c r="H217" i="58"/>
  <c r="H379" i="58"/>
  <c r="H379" i="37"/>
  <c r="I161" i="37"/>
  <c r="I161" i="58"/>
  <c r="J176" i="37"/>
  <c r="J176" i="58"/>
  <c r="I182" i="58"/>
  <c r="I182" i="37"/>
  <c r="I299" i="58"/>
  <c r="I299" i="37"/>
  <c r="H168" i="58"/>
  <c r="H168" i="37"/>
  <c r="H330" i="37"/>
  <c r="H330" i="58"/>
  <c r="J212" i="37"/>
  <c r="J212" i="58"/>
  <c r="I329" i="37"/>
  <c r="I329" i="58"/>
  <c r="H344" i="37"/>
  <c r="H344" i="58"/>
  <c r="J324" i="58"/>
  <c r="J324" i="37"/>
  <c r="I212" i="37"/>
  <c r="I212" i="58"/>
  <c r="J390" i="58"/>
  <c r="J390" i="37"/>
  <c r="I312" i="37"/>
  <c r="I312" i="58"/>
  <c r="J252" i="37"/>
  <c r="J252" i="58"/>
  <c r="I224" i="37"/>
  <c r="I224" i="58"/>
  <c r="J264" i="58"/>
  <c r="J264" i="37"/>
  <c r="I209" i="58"/>
  <c r="I209" i="37"/>
  <c r="J372" i="37"/>
  <c r="J372" i="58"/>
  <c r="J125" i="37"/>
  <c r="J125" i="58"/>
  <c r="I125" i="58"/>
  <c r="I125" i="37"/>
  <c r="J220" i="58"/>
  <c r="J220" i="37"/>
  <c r="I264" i="37"/>
  <c r="I264" i="58"/>
  <c r="H212" i="37"/>
  <c r="H212" i="58"/>
  <c r="J177" i="58"/>
  <c r="J177" i="37"/>
  <c r="I205" i="58"/>
  <c r="I205" i="37"/>
  <c r="J217" i="37"/>
  <c r="J217" i="58"/>
  <c r="I150" i="37"/>
  <c r="I150" i="58"/>
  <c r="J273" i="58"/>
  <c r="J273" i="37"/>
  <c r="I344" i="58"/>
  <c r="I344" i="37"/>
  <c r="H171" i="58"/>
  <c r="H171" i="37"/>
  <c r="J120" i="37"/>
  <c r="J120" i="58"/>
  <c r="I174" i="37"/>
  <c r="I174" i="58"/>
  <c r="J312" i="58"/>
  <c r="J312" i="37"/>
  <c r="I258" i="58"/>
  <c r="I258" i="37"/>
  <c r="I176" i="37"/>
  <c r="I176" i="58"/>
  <c r="H281" i="37"/>
  <c r="H281" i="58"/>
  <c r="J323" i="37"/>
  <c r="J323" i="58"/>
  <c r="H244" i="37"/>
  <c r="H244" i="58"/>
  <c r="H182" i="37"/>
  <c r="H182" i="58"/>
  <c r="I388" i="58"/>
  <c r="I388" i="37"/>
  <c r="H364" i="58"/>
  <c r="H364" i="37"/>
  <c r="I397" i="37"/>
  <c r="I397" i="58"/>
  <c r="J130" i="58"/>
  <c r="J130" i="37"/>
  <c r="H257" i="58"/>
  <c r="H257" i="37"/>
  <c r="I200" i="58"/>
  <c r="I200" i="37"/>
  <c r="J232" i="58"/>
  <c r="J232" i="37"/>
  <c r="I280" i="37"/>
  <c r="I280" i="58"/>
  <c r="J296" i="58"/>
  <c r="J296" i="37"/>
  <c r="H205" i="58"/>
  <c r="H205" i="37"/>
  <c r="H394" i="37"/>
  <c r="H394" i="58"/>
  <c r="J315" i="58"/>
  <c r="J315" i="37"/>
  <c r="H194" i="37"/>
  <c r="H194" i="58"/>
  <c r="J376" i="37"/>
  <c r="J376" i="58"/>
  <c r="H274" i="58"/>
  <c r="H274" i="37"/>
  <c r="H220" i="58"/>
  <c r="H220" i="37"/>
  <c r="I260" i="58"/>
  <c r="I260" i="37"/>
  <c r="I154" i="58"/>
  <c r="I154" i="37"/>
  <c r="I197" i="37"/>
  <c r="I197" i="58"/>
  <c r="H169" i="58"/>
  <c r="H169" i="37"/>
  <c r="H322" i="37"/>
  <c r="H322" i="58"/>
  <c r="I148" i="58"/>
  <c r="I148" i="37"/>
  <c r="J302" i="58"/>
  <c r="J302" i="37"/>
  <c r="I239" i="37"/>
  <c r="I239" i="58"/>
  <c r="I160" i="37"/>
  <c r="I160" i="58"/>
  <c r="H141" i="58"/>
  <c r="H141" i="37"/>
  <c r="H337" i="37"/>
  <c r="H337" i="58"/>
  <c r="H401" i="37"/>
  <c r="H401" i="58"/>
  <c r="I265" i="37"/>
  <c r="I265" i="58"/>
  <c r="H341" i="37"/>
  <c r="H341" i="58"/>
  <c r="I303" i="58"/>
  <c r="I303" i="37"/>
  <c r="H148" i="37"/>
  <c r="H148" i="58"/>
  <c r="I385" i="37"/>
  <c r="I385" i="58"/>
  <c r="J219" i="58"/>
  <c r="J219" i="37"/>
  <c r="I181" i="58"/>
  <c r="I181" i="37"/>
  <c r="I307" i="58"/>
  <c r="I307" i="37"/>
  <c r="J175" i="37"/>
  <c r="J175" i="58"/>
  <c r="I276" i="37"/>
  <c r="I276" i="58"/>
  <c r="J44" i="41"/>
  <c r="I298" i="41"/>
  <c r="J49" i="41"/>
  <c r="C44" i="63"/>
  <c r="N127" i="66"/>
  <c r="J8" i="41"/>
  <c r="C25" i="63"/>
  <c r="Y237" i="66"/>
  <c r="Z237" i="66"/>
  <c r="Y93" i="66"/>
  <c r="Z93" i="66"/>
  <c r="O93" i="66"/>
  <c r="J11" i="41"/>
  <c r="J402" i="37"/>
  <c r="J403" i="37"/>
  <c r="F145" i="66" s="1"/>
  <c r="E364" i="38"/>
  <c r="K107" i="66" s="1"/>
  <c r="N107" i="66" s="1"/>
  <c r="J455" i="41"/>
  <c r="J403" i="58"/>
  <c r="F289" i="66" s="1"/>
  <c r="J402" i="58"/>
  <c r="F290" i="66" s="1"/>
  <c r="N290" i="66" s="1"/>
  <c r="J430" i="41"/>
  <c r="J57" i="41"/>
  <c r="J56" i="41"/>
  <c r="H404" i="41"/>
  <c r="F30" i="66"/>
  <c r="N30" i="66" s="1"/>
  <c r="I37" i="41"/>
  <c r="I230" i="41"/>
  <c r="I391" i="37"/>
  <c r="I391" i="58"/>
  <c r="J263" i="58"/>
  <c r="J263" i="37"/>
  <c r="H383" i="58"/>
  <c r="H383" i="37"/>
  <c r="H333" i="58"/>
  <c r="H333" i="37"/>
  <c r="I128" i="37"/>
  <c r="I128" i="58"/>
  <c r="I309" i="58"/>
  <c r="I309" i="37"/>
  <c r="H255" i="58"/>
  <c r="H255" i="37"/>
  <c r="J127" i="37"/>
  <c r="J127" i="58"/>
  <c r="I394" i="58"/>
  <c r="I394" i="37"/>
  <c r="J383" i="37"/>
  <c r="J383" i="58"/>
  <c r="H213" i="58"/>
  <c r="H213" i="37"/>
  <c r="I194" i="58"/>
  <c r="I194" i="37"/>
  <c r="H221" i="37"/>
  <c r="H221" i="58"/>
  <c r="I245" i="37"/>
  <c r="I245" i="58"/>
  <c r="H381" i="58"/>
  <c r="H381" i="37"/>
  <c r="I318" i="58"/>
  <c r="I318" i="37"/>
  <c r="I222" i="37"/>
  <c r="I222" i="58"/>
  <c r="J167" i="37"/>
  <c r="J167" i="58"/>
  <c r="H338" i="58"/>
  <c r="H338" i="37"/>
  <c r="H335" i="58"/>
  <c r="H335" i="37"/>
  <c r="H398" i="37"/>
  <c r="H398" i="58"/>
  <c r="J134" i="37"/>
  <c r="J134" i="58"/>
  <c r="I323" i="37"/>
  <c r="I323" i="58"/>
  <c r="I327" i="37"/>
  <c r="I327" i="58"/>
  <c r="I370" i="58"/>
  <c r="I370" i="37"/>
  <c r="J194" i="37"/>
  <c r="J194" i="58"/>
  <c r="J254" i="58"/>
  <c r="J254" i="37"/>
  <c r="H136" i="37"/>
  <c r="H136" i="58"/>
  <c r="H336" i="58"/>
  <c r="H336" i="37"/>
  <c r="I198" i="58"/>
  <c r="I198" i="37"/>
  <c r="I297" i="58"/>
  <c r="I297" i="37"/>
  <c r="I183" i="58"/>
  <c r="I183" i="37"/>
  <c r="J333" i="58"/>
  <c r="J333" i="37"/>
  <c r="H372" i="37"/>
  <c r="H372" i="58"/>
  <c r="I249" i="58"/>
  <c r="I249" i="37"/>
  <c r="J150" i="58"/>
  <c r="J150" i="37"/>
  <c r="I345" i="37"/>
  <c r="I345" i="58"/>
  <c r="I332" i="58"/>
  <c r="I332" i="37"/>
  <c r="I317" i="58"/>
  <c r="I317" i="37"/>
  <c r="J285" i="37"/>
  <c r="J285" i="58"/>
  <c r="I364" i="58"/>
  <c r="I364" i="37"/>
  <c r="H279" i="58"/>
  <c r="H279" i="37"/>
  <c r="I377" i="58"/>
  <c r="I377" i="37"/>
  <c r="H386" i="37"/>
  <c r="H386" i="58"/>
  <c r="H323" i="58"/>
  <c r="H323" i="37"/>
  <c r="I248" i="58"/>
  <c r="I248" i="37"/>
  <c r="H368" i="58"/>
  <c r="H368" i="37"/>
  <c r="H218" i="58"/>
  <c r="H218" i="37"/>
  <c r="I295" i="37"/>
  <c r="I295" i="58"/>
  <c r="H358" i="58"/>
  <c r="H358" i="37"/>
  <c r="H263" i="37"/>
  <c r="H263" i="58"/>
  <c r="J342" i="58"/>
  <c r="J342" i="37"/>
  <c r="J193" i="58"/>
  <c r="J193" i="37"/>
  <c r="J142" i="37"/>
  <c r="J142" i="58"/>
  <c r="H207" i="37"/>
  <c r="H207" i="58"/>
  <c r="H124" i="37"/>
  <c r="H124" i="58"/>
  <c r="J188" i="58"/>
  <c r="J188" i="37"/>
  <c r="I206" i="37"/>
  <c r="I206" i="58"/>
  <c r="J223" i="37"/>
  <c r="J223" i="58"/>
  <c r="J242" i="58"/>
  <c r="J242" i="37"/>
  <c r="H185" i="37"/>
  <c r="H185" i="58"/>
  <c r="H190" i="58"/>
  <c r="H190" i="37"/>
  <c r="I173" i="58"/>
  <c r="I173" i="37"/>
  <c r="I242" i="37"/>
  <c r="I242" i="58"/>
  <c r="J371" i="58"/>
  <c r="J371" i="37"/>
  <c r="J270" i="37"/>
  <c r="J270" i="58"/>
  <c r="I401" i="37"/>
  <c r="I401" i="58"/>
  <c r="J303" i="58"/>
  <c r="J303" i="37"/>
  <c r="J325" i="58"/>
  <c r="J325" i="37"/>
  <c r="I262" i="58"/>
  <c r="I262" i="37"/>
  <c r="I308" i="58"/>
  <c r="I308" i="37"/>
  <c r="H164" i="37"/>
  <c r="H164" i="58"/>
  <c r="G202" i="66"/>
  <c r="I429" i="58"/>
  <c r="I12" i="41"/>
  <c r="C52" i="63"/>
  <c r="H56" i="41"/>
  <c r="I431" i="41"/>
  <c r="M112" i="66"/>
  <c r="J468" i="37"/>
  <c r="J469" i="37"/>
  <c r="J470" i="37"/>
  <c r="J423" i="41"/>
  <c r="J17" i="41"/>
  <c r="J208" i="41"/>
  <c r="I404" i="37"/>
  <c r="I404" i="58"/>
  <c r="F222" i="66" s="1"/>
  <c r="N222" i="66" s="1"/>
  <c r="J41" i="41"/>
  <c r="H420" i="41"/>
  <c r="H318" i="37"/>
  <c r="H318" i="58"/>
  <c r="H153" i="37"/>
  <c r="H153" i="58"/>
  <c r="I146" i="58"/>
  <c r="I146" i="37"/>
  <c r="H193" i="58"/>
  <c r="H193" i="37"/>
  <c r="I399" i="58"/>
  <c r="I399" i="37"/>
  <c r="J168" i="58"/>
  <c r="J168" i="37"/>
  <c r="I360" i="58"/>
  <c r="I360" i="37"/>
  <c r="I246" i="58"/>
  <c r="I246" i="37"/>
  <c r="H259" i="58"/>
  <c r="H259" i="37"/>
  <c r="H172" i="37"/>
  <c r="H172" i="58"/>
  <c r="I263" i="58"/>
  <c r="I263" i="37"/>
  <c r="J350" i="37"/>
  <c r="J350" i="58"/>
  <c r="H241" i="37"/>
  <c r="H241" i="58"/>
  <c r="J246" i="58"/>
  <c r="J246" i="37"/>
  <c r="J331" i="37"/>
  <c r="J331" i="58"/>
  <c r="I253" i="58"/>
  <c r="I253" i="37"/>
  <c r="I172" i="58"/>
  <c r="I172" i="37"/>
  <c r="H329" i="37"/>
  <c r="H329" i="58"/>
  <c r="I241" i="37"/>
  <c r="I241" i="58"/>
  <c r="H206" i="58"/>
  <c r="H206" i="37"/>
  <c r="H210" i="58"/>
  <c r="H210" i="37"/>
  <c r="J358" i="58"/>
  <c r="J358" i="37"/>
  <c r="H246" i="37"/>
  <c r="H246" i="58"/>
  <c r="H302" i="37"/>
  <c r="H302" i="58"/>
  <c r="J148" i="58"/>
  <c r="J148" i="37"/>
  <c r="H268" i="58"/>
  <c r="H268" i="37"/>
  <c r="H125" i="58"/>
  <c r="H125" i="37"/>
  <c r="I123" i="58"/>
  <c r="I123" i="37"/>
  <c r="H273" i="37"/>
  <c r="H273" i="58"/>
  <c r="J171" i="37"/>
  <c r="J171" i="58"/>
  <c r="I300" i="58"/>
  <c r="I300" i="37"/>
  <c r="J198" i="58"/>
  <c r="J198" i="37"/>
  <c r="J336" i="37"/>
  <c r="J336" i="58"/>
  <c r="J209" i="37"/>
  <c r="J209" i="58"/>
  <c r="J237" i="58"/>
  <c r="J237" i="37"/>
  <c r="I195" i="37"/>
  <c r="I195" i="58"/>
  <c r="I378" i="58"/>
  <c r="I378" i="37"/>
  <c r="J205" i="37"/>
  <c r="J205" i="58"/>
  <c r="H156" i="37"/>
  <c r="H156" i="58"/>
  <c r="I192" i="37"/>
  <c r="I192" i="58"/>
  <c r="I136" i="37"/>
  <c r="I136" i="58"/>
  <c r="J231" i="58"/>
  <c r="J231" i="37"/>
  <c r="J301" i="37"/>
  <c r="J301" i="58"/>
  <c r="I133" i="37"/>
  <c r="I133" i="58"/>
  <c r="I132" i="37"/>
  <c r="I132" i="58"/>
  <c r="J245" i="58"/>
  <c r="J245" i="37"/>
  <c r="I314" i="58"/>
  <c r="I314" i="37"/>
  <c r="H308" i="37"/>
  <c r="H308" i="58"/>
  <c r="J353" i="58"/>
  <c r="J353" i="37"/>
  <c r="J389" i="58"/>
  <c r="J389" i="37"/>
  <c r="J160" i="58"/>
  <c r="J160" i="37"/>
  <c r="J251" i="37"/>
  <c r="J251" i="58"/>
  <c r="H233" i="58"/>
  <c r="H233" i="37"/>
  <c r="I275" i="37"/>
  <c r="I275" i="58"/>
  <c r="I383" i="37"/>
  <c r="I383" i="58"/>
  <c r="J215" i="37"/>
  <c r="J215" i="58"/>
  <c r="I236" i="58"/>
  <c r="I236" i="37"/>
  <c r="J238" i="58"/>
  <c r="J238" i="37"/>
  <c r="J269" i="58"/>
  <c r="J269" i="37"/>
  <c r="H174" i="58"/>
  <c r="H174" i="37"/>
  <c r="H160" i="37"/>
  <c r="H160" i="58"/>
  <c r="J395" i="58"/>
  <c r="J395" i="37"/>
  <c r="J250" i="37"/>
  <c r="J250" i="58"/>
  <c r="J210" i="37"/>
  <c r="J210" i="58"/>
  <c r="I167" i="37"/>
  <c r="I167" i="58"/>
  <c r="H317" i="58"/>
  <c r="H317" i="37"/>
  <c r="H320" i="58"/>
  <c r="H320" i="37"/>
  <c r="I358" i="37"/>
  <c r="I358" i="58"/>
  <c r="I250" i="37"/>
  <c r="I250" i="58"/>
  <c r="I254" i="58"/>
  <c r="I254" i="37"/>
  <c r="H310" i="58"/>
  <c r="H310" i="37"/>
  <c r="H183" i="37"/>
  <c r="H183" i="58"/>
  <c r="I342" i="58"/>
  <c r="I342" i="37"/>
  <c r="H248" i="37"/>
  <c r="H248" i="58"/>
  <c r="I122" i="58"/>
  <c r="I122" i="37"/>
  <c r="J346" i="37"/>
  <c r="J346" i="58"/>
  <c r="J281" i="58"/>
  <c r="J281" i="37"/>
  <c r="H301" i="37"/>
  <c r="H301" i="58"/>
  <c r="H211" i="58"/>
  <c r="H211" i="37"/>
  <c r="J352" i="58"/>
  <c r="J352" i="37"/>
  <c r="J191" i="37"/>
  <c r="J191" i="58"/>
  <c r="H373" i="37"/>
  <c r="H373" i="58"/>
  <c r="I315" i="58"/>
  <c r="I315" i="37"/>
  <c r="H272" i="58"/>
  <c r="H272" i="37"/>
  <c r="H277" i="58"/>
  <c r="H277" i="37"/>
  <c r="J159" i="37"/>
  <c r="J159" i="58"/>
  <c r="I285" i="37"/>
  <c r="I285" i="58"/>
  <c r="H261" i="58"/>
  <c r="H261" i="37"/>
  <c r="J129" i="58"/>
  <c r="J129" i="37"/>
  <c r="I171" i="58"/>
  <c r="I171" i="37"/>
  <c r="J309" i="58"/>
  <c r="J309" i="37"/>
  <c r="I282" i="58"/>
  <c r="I282" i="37"/>
  <c r="J195" i="37"/>
  <c r="J195" i="58"/>
  <c r="I156" i="37"/>
  <c r="I156" i="58"/>
  <c r="J180" i="37"/>
  <c r="J180" i="58"/>
  <c r="I168" i="37"/>
  <c r="I168" i="58"/>
  <c r="J320" i="37"/>
  <c r="J320" i="58"/>
  <c r="I336" i="58"/>
  <c r="I336" i="37"/>
  <c r="H324" i="37"/>
  <c r="H324" i="58"/>
  <c r="J192" i="37"/>
  <c r="J192" i="58"/>
  <c r="I221" i="37"/>
  <c r="I221" i="58"/>
  <c r="J332" i="37"/>
  <c r="J332" i="58"/>
  <c r="J136" i="58"/>
  <c r="J136" i="37"/>
  <c r="I165" i="58"/>
  <c r="I165" i="37"/>
  <c r="I333" i="37"/>
  <c r="I333" i="58"/>
  <c r="H378" i="37"/>
  <c r="H378" i="58"/>
  <c r="J216" i="37"/>
  <c r="J216" i="58"/>
  <c r="I304" i="58"/>
  <c r="I304" i="37"/>
  <c r="J381" i="37"/>
  <c r="J381" i="58"/>
  <c r="I288" i="58"/>
  <c r="I288" i="37"/>
  <c r="I120" i="58"/>
  <c r="I120" i="37"/>
  <c r="J243" i="58"/>
  <c r="J243" i="37"/>
  <c r="I143" i="58"/>
  <c r="I143" i="37"/>
  <c r="I218" i="58"/>
  <c r="I218" i="37"/>
  <c r="H126" i="58"/>
  <c r="H126" i="37"/>
  <c r="J268" i="58"/>
  <c r="J268" i="37"/>
  <c r="H150" i="58"/>
  <c r="H150" i="37"/>
  <c r="H303" i="37"/>
  <c r="H303" i="58"/>
  <c r="I190" i="37"/>
  <c r="I190" i="58"/>
  <c r="H289" i="37"/>
  <c r="H289" i="58"/>
  <c r="I158" i="37"/>
  <c r="I158" i="58"/>
  <c r="H216" i="37"/>
  <c r="H216" i="58"/>
  <c r="H355" i="58"/>
  <c r="H355" i="37"/>
  <c r="H247" i="58"/>
  <c r="H247" i="37"/>
  <c r="J248" i="58"/>
  <c r="J248" i="37"/>
  <c r="I169" i="37"/>
  <c r="I169" i="58"/>
  <c r="J185" i="58"/>
  <c r="J185" i="37"/>
  <c r="H249" i="58"/>
  <c r="H249" i="37"/>
  <c r="I215" i="58"/>
  <c r="I215" i="37"/>
  <c r="J247" i="58"/>
  <c r="J247" i="37"/>
  <c r="J293" i="58"/>
  <c r="J293" i="37"/>
  <c r="J310" i="37"/>
  <c r="J310" i="58"/>
  <c r="H186" i="58"/>
  <c r="H186" i="37"/>
  <c r="H361" i="37"/>
  <c r="H361" i="58"/>
  <c r="I290" i="58"/>
  <c r="I290" i="37"/>
  <c r="H265" i="37"/>
  <c r="H265" i="58"/>
  <c r="H151" i="58"/>
  <c r="H151" i="37"/>
  <c r="H266" i="37"/>
  <c r="H266" i="58"/>
  <c r="H201" i="37"/>
  <c r="H201" i="58"/>
  <c r="H154" i="37"/>
  <c r="H154" i="58"/>
  <c r="J277" i="37"/>
  <c r="J277" i="58"/>
  <c r="H260" i="58"/>
  <c r="H260" i="37"/>
  <c r="H293" i="37"/>
  <c r="H293" i="58"/>
  <c r="H184" i="58"/>
  <c r="H184" i="37"/>
  <c r="J400" i="37"/>
  <c r="J400" i="58"/>
  <c r="H187" i="58"/>
  <c r="H187" i="37"/>
  <c r="I126" i="58"/>
  <c r="I126" i="37"/>
  <c r="I392" i="58"/>
  <c r="I392" i="37"/>
  <c r="I240" i="37"/>
  <c r="I240" i="58"/>
  <c r="I219" i="37"/>
  <c r="I219" i="58"/>
  <c r="J373" i="37"/>
  <c r="J373" i="58"/>
  <c r="H294" i="58"/>
  <c r="H294" i="37"/>
  <c r="J157" i="37"/>
  <c r="J157" i="58"/>
  <c r="I390" i="37"/>
  <c r="I390" i="58"/>
  <c r="J308" i="58"/>
  <c r="J308" i="37"/>
  <c r="H421" i="41"/>
  <c r="J12" i="41"/>
  <c r="M64" i="66"/>
  <c r="I468" i="37"/>
  <c r="I469" i="37"/>
  <c r="I470" i="37"/>
  <c r="E362" i="38"/>
  <c r="K141" i="66" s="1"/>
  <c r="N141" i="66" s="1"/>
  <c r="J453" i="41"/>
  <c r="I357" i="41"/>
  <c r="Y139" i="66"/>
  <c r="Y283" i="66"/>
  <c r="Z139" i="66"/>
  <c r="Z283" i="66"/>
  <c r="I157" i="41"/>
  <c r="J162" i="41"/>
  <c r="I50" i="41"/>
  <c r="I162" i="41"/>
  <c r="Y268" i="66"/>
  <c r="Y124" i="66"/>
  <c r="Z268" i="66"/>
  <c r="Z124" i="66"/>
  <c r="N209" i="66" l="1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18" i="58"/>
  <c r="G118" i="66"/>
  <c r="J418" i="37"/>
  <c r="G121" i="66"/>
  <c r="H158" i="41"/>
  <c r="H278" i="41"/>
  <c r="I142" i="41"/>
  <c r="J314" i="41"/>
  <c r="I177" i="41"/>
  <c r="J387" i="41"/>
  <c r="I389" i="41"/>
  <c r="I365" i="41"/>
  <c r="J165" i="41"/>
  <c r="J239" i="41"/>
  <c r="J327" i="41"/>
  <c r="H367" i="41"/>
  <c r="J147" i="41"/>
  <c r="J226" i="41"/>
  <c r="J368" i="41"/>
  <c r="H223" i="41"/>
  <c r="I233" i="41"/>
  <c r="I305" i="41"/>
  <c r="J291" i="41"/>
  <c r="J401" i="41"/>
  <c r="J213" i="41"/>
  <c r="H343" i="41"/>
  <c r="H307" i="41"/>
  <c r="J227" i="41"/>
  <c r="H306" i="41"/>
  <c r="H349" i="41"/>
  <c r="H271" i="41"/>
  <c r="J380" i="41"/>
  <c r="J221" i="41"/>
  <c r="I381" i="41"/>
  <c r="I328" i="41"/>
  <c r="H242" i="41"/>
  <c r="H134" i="41"/>
  <c r="J272" i="41"/>
  <c r="J126" i="41"/>
  <c r="H167" i="41"/>
  <c r="J271" i="41"/>
  <c r="J306" i="41"/>
  <c r="J207" i="41"/>
  <c r="I217" i="41"/>
  <c r="I153" i="41"/>
  <c r="H132" i="41"/>
  <c r="I384" i="41"/>
  <c r="J154" i="41"/>
  <c r="H254" i="41"/>
  <c r="H129" i="41"/>
  <c r="J305" i="41"/>
  <c r="J384" i="41"/>
  <c r="I141" i="41"/>
  <c r="H353" i="41"/>
  <c r="J344" i="41"/>
  <c r="J175" i="41"/>
  <c r="I385" i="41"/>
  <c r="I265" i="41"/>
  <c r="I160" i="41"/>
  <c r="H322" i="41"/>
  <c r="H194" i="41"/>
  <c r="H281" i="41"/>
  <c r="I174" i="41"/>
  <c r="I329" i="41"/>
  <c r="H146" i="41"/>
  <c r="J318" i="41"/>
  <c r="J377" i="41"/>
  <c r="J278" i="41"/>
  <c r="I301" i="41"/>
  <c r="I255" i="41"/>
  <c r="H312" i="41"/>
  <c r="J192" i="41"/>
  <c r="J346" i="41"/>
  <c r="H183" i="41"/>
  <c r="I358" i="41"/>
  <c r="J210" i="41"/>
  <c r="J215" i="41"/>
  <c r="J251" i="41"/>
  <c r="H308" i="41"/>
  <c r="I133" i="41"/>
  <c r="I192" i="41"/>
  <c r="I195" i="41"/>
  <c r="H302" i="41"/>
  <c r="I225" i="41"/>
  <c r="H337" i="41"/>
  <c r="I197" i="41"/>
  <c r="H394" i="41"/>
  <c r="I397" i="41"/>
  <c r="H244" i="41"/>
  <c r="J217" i="41"/>
  <c r="J372" i="41"/>
  <c r="J252" i="41"/>
  <c r="H330" i="41"/>
  <c r="J176" i="41"/>
  <c r="I293" i="41"/>
  <c r="H219" i="41"/>
  <c r="I334" i="41"/>
  <c r="H147" i="41"/>
  <c r="H157" i="41"/>
  <c r="H363" i="41"/>
  <c r="J132" i="41"/>
  <c r="J255" i="41"/>
  <c r="J338" i="41"/>
  <c r="J229" i="41"/>
  <c r="I251" i="41"/>
  <c r="H122" i="41"/>
  <c r="I210" i="41"/>
  <c r="I238" i="41"/>
  <c r="H189" i="41"/>
  <c r="I149" i="41"/>
  <c r="H214" i="41"/>
  <c r="H305" i="41"/>
  <c r="I331" i="41"/>
  <c r="J184" i="41"/>
  <c r="J197" i="41"/>
  <c r="I325" i="41"/>
  <c r="I350" i="41"/>
  <c r="H331" i="41"/>
  <c r="H340" i="41"/>
  <c r="J166" i="41"/>
  <c r="I270" i="41"/>
  <c r="H362" i="41"/>
  <c r="J388" i="41"/>
  <c r="I259" i="41"/>
  <c r="J299" i="41"/>
  <c r="J259" i="41"/>
  <c r="H237" i="41"/>
  <c r="J385" i="41"/>
  <c r="H275" i="41"/>
  <c r="J200" i="41"/>
  <c r="I179" i="41"/>
  <c r="I382" i="41"/>
  <c r="I188" i="41"/>
  <c r="J218" i="41"/>
  <c r="I216" i="41"/>
  <c r="J354" i="41"/>
  <c r="J317" i="41"/>
  <c r="I279" i="41"/>
  <c r="I129" i="41"/>
  <c r="J339" i="41"/>
  <c r="J211" i="41"/>
  <c r="J196" i="41"/>
  <c r="I386" i="41"/>
  <c r="H395" i="41"/>
  <c r="H345" i="41"/>
  <c r="J199" i="41"/>
  <c r="I321" i="41"/>
  <c r="H224" i="41"/>
  <c r="J122" i="41"/>
  <c r="I226" i="41"/>
  <c r="J267" i="41"/>
  <c r="I140" i="41"/>
  <c r="I347" i="41"/>
  <c r="I147" i="41"/>
  <c r="J179" i="41"/>
  <c r="J369" i="41"/>
  <c r="J359" i="41"/>
  <c r="I302" i="41"/>
  <c r="J340" i="41"/>
  <c r="H339" i="41"/>
  <c r="J349" i="41"/>
  <c r="J345" i="41"/>
  <c r="H213" i="41"/>
  <c r="H255" i="41"/>
  <c r="H383" i="41"/>
  <c r="J270" i="41"/>
  <c r="J142" i="41"/>
  <c r="H372" i="41"/>
  <c r="J134" i="41"/>
  <c r="I245" i="41"/>
  <c r="I276" i="41"/>
  <c r="H341" i="41"/>
  <c r="J376" i="41"/>
  <c r="J323" i="41"/>
  <c r="I312" i="41"/>
  <c r="H344" i="41"/>
  <c r="I161" i="41"/>
  <c r="H326" i="41"/>
  <c r="I398" i="41"/>
  <c r="J294" i="41"/>
  <c r="H304" i="41"/>
  <c r="I322" i="41"/>
  <c r="H388" i="41"/>
  <c r="H225" i="41"/>
  <c r="H241" i="41"/>
  <c r="H318" i="41"/>
  <c r="I206" i="41"/>
  <c r="J194" i="41"/>
  <c r="J167" i="41"/>
  <c r="J325" i="41"/>
  <c r="J371" i="41"/>
  <c r="J188" i="41"/>
  <c r="J193" i="41"/>
  <c r="H323" i="41"/>
  <c r="I364" i="41"/>
  <c r="J333" i="41"/>
  <c r="H336" i="41"/>
  <c r="I370" i="41"/>
  <c r="J357" i="41"/>
  <c r="J158" i="41"/>
  <c r="H203" i="41"/>
  <c r="H356" i="41"/>
  <c r="J329" i="41"/>
  <c r="J321" i="41"/>
  <c r="J356" i="41"/>
  <c r="H284" i="41"/>
  <c r="J378" i="41"/>
  <c r="H327" i="41"/>
  <c r="H376" i="41"/>
  <c r="I396" i="41"/>
  <c r="H130" i="41"/>
  <c r="J335" i="41"/>
  <c r="H265" i="41"/>
  <c r="J308" i="41"/>
  <c r="J373" i="41"/>
  <c r="I126" i="41"/>
  <c r="I290" i="41"/>
  <c r="J293" i="41"/>
  <c r="J185" i="41"/>
  <c r="H355" i="41"/>
  <c r="H126" i="41"/>
  <c r="J136" i="41"/>
  <c r="J309" i="41"/>
  <c r="I315" i="41"/>
  <c r="H211" i="41"/>
  <c r="I122" i="41"/>
  <c r="H310" i="41"/>
  <c r="H320" i="41"/>
  <c r="J269" i="41"/>
  <c r="J160" i="41"/>
  <c r="I314" i="41"/>
  <c r="J237" i="41"/>
  <c r="H125" i="41"/>
  <c r="I263" i="41"/>
  <c r="I360" i="41"/>
  <c r="I146" i="41"/>
  <c r="J303" i="41"/>
  <c r="J242" i="41"/>
  <c r="J342" i="41"/>
  <c r="H218" i="41"/>
  <c r="J150" i="41"/>
  <c r="I183" i="41"/>
  <c r="H335" i="41"/>
  <c r="I318" i="41"/>
  <c r="H221" i="41"/>
  <c r="I128" i="41"/>
  <c r="I391" i="41"/>
  <c r="I307" i="41"/>
  <c r="H169" i="41"/>
  <c r="H220" i="41"/>
  <c r="J315" i="41"/>
  <c r="J130" i="41"/>
  <c r="I182" i="41"/>
  <c r="J280" i="41"/>
  <c r="J347" i="41"/>
  <c r="J262" i="41"/>
  <c r="H360" i="41"/>
  <c r="J265" i="41"/>
  <c r="J326" i="41"/>
  <c r="H196" i="41"/>
  <c r="H199" i="41"/>
  <c r="H142" i="41"/>
  <c r="J183" i="41"/>
  <c r="I207" i="41"/>
  <c r="I310" i="41"/>
  <c r="H387" i="41"/>
  <c r="I356" i="41"/>
  <c r="H187" i="41"/>
  <c r="H260" i="41"/>
  <c r="J247" i="41"/>
  <c r="H303" i="41"/>
  <c r="I218" i="41"/>
  <c r="I288" i="41"/>
  <c r="I336" i="41"/>
  <c r="I156" i="41"/>
  <c r="I171" i="41"/>
  <c r="I254" i="41"/>
  <c r="H317" i="41"/>
  <c r="J395" i="41"/>
  <c r="J238" i="41"/>
  <c r="J389" i="41"/>
  <c r="J245" i="41"/>
  <c r="J231" i="41"/>
  <c r="H268" i="41"/>
  <c r="J358" i="41"/>
  <c r="I308" i="41"/>
  <c r="I173" i="41"/>
  <c r="H368" i="41"/>
  <c r="I377" i="41"/>
  <c r="I317" i="41"/>
  <c r="I249" i="41"/>
  <c r="I297" i="41"/>
  <c r="J254" i="41"/>
  <c r="H338" i="41"/>
  <c r="H381" i="41"/>
  <c r="H240" i="41"/>
  <c r="H347" i="41"/>
  <c r="I187" i="41"/>
  <c r="J334" i="41"/>
  <c r="J173" i="41"/>
  <c r="J330" i="41"/>
  <c r="I189" i="41"/>
  <c r="I220" i="41"/>
  <c r="I272" i="41"/>
  <c r="I138" i="41"/>
  <c r="H243" i="41"/>
  <c r="I145" i="41"/>
  <c r="H262" i="41"/>
  <c r="J137" i="41"/>
  <c r="H151" i="41"/>
  <c r="I215" i="41"/>
  <c r="J248" i="41"/>
  <c r="H150" i="41"/>
  <c r="I143" i="41"/>
  <c r="J129" i="41"/>
  <c r="H277" i="41"/>
  <c r="J281" i="41"/>
  <c r="I342" i="41"/>
  <c r="I236" i="41"/>
  <c r="H233" i="41"/>
  <c r="J353" i="41"/>
  <c r="I378" i="41"/>
  <c r="J148" i="41"/>
  <c r="H210" i="41"/>
  <c r="J214" i="41"/>
  <c r="H227" i="41"/>
  <c r="H313" i="41"/>
  <c r="H181" i="41"/>
  <c r="H354" i="41"/>
  <c r="I223" i="41"/>
  <c r="J316" i="41"/>
  <c r="J290" i="41"/>
  <c r="H191" i="41"/>
  <c r="H178" i="41"/>
  <c r="H179" i="41"/>
  <c r="H321" i="41"/>
  <c r="H270" i="41"/>
  <c r="H192" i="41"/>
  <c r="I199" i="41"/>
  <c r="J241" i="41"/>
  <c r="J365" i="41"/>
  <c r="H314" i="41"/>
  <c r="I277" i="41"/>
  <c r="J151" i="41"/>
  <c r="H208" i="41"/>
  <c r="J383" i="41"/>
  <c r="H235" i="41"/>
  <c r="I193" i="41"/>
  <c r="I184" i="41"/>
  <c r="I178" i="41"/>
  <c r="J361" i="41"/>
  <c r="J393" i="41"/>
  <c r="I234" i="41"/>
  <c r="J249" i="41"/>
  <c r="J156" i="41"/>
  <c r="H267" i="41"/>
  <c r="J386" i="41"/>
  <c r="H299" i="41"/>
  <c r="J298" i="41"/>
  <c r="H188" i="41"/>
  <c r="J149" i="41"/>
  <c r="H315" i="41"/>
  <c r="J189" i="41"/>
  <c r="H375" i="41"/>
  <c r="H154" i="41"/>
  <c r="J310" i="41"/>
  <c r="H289" i="41"/>
  <c r="J350" i="41"/>
  <c r="F193" i="66"/>
  <c r="J206" i="41"/>
  <c r="I337" i="41"/>
  <c r="J246" i="41"/>
  <c r="D36" i="57"/>
  <c r="F110" i="66"/>
  <c r="N110" i="66" s="1"/>
  <c r="I127" i="58"/>
  <c r="I127" i="37"/>
  <c r="I168" i="41"/>
  <c r="F72" i="66"/>
  <c r="D20" i="57"/>
  <c r="D61" i="57"/>
  <c r="F221" i="66"/>
  <c r="D62" i="57"/>
  <c r="F206" i="66"/>
  <c r="N206" i="66" s="1"/>
  <c r="I309" i="41"/>
  <c r="J263" i="41"/>
  <c r="Z30" i="66"/>
  <c r="Z174" i="66"/>
  <c r="Y174" i="66"/>
  <c r="Y30" i="66"/>
  <c r="I181" i="41"/>
  <c r="I303" i="41"/>
  <c r="J302" i="41"/>
  <c r="H274" i="41"/>
  <c r="J232" i="41"/>
  <c r="I258" i="41"/>
  <c r="H171" i="41"/>
  <c r="F225" i="66"/>
  <c r="N225" i="66" s="1"/>
  <c r="D63" i="57"/>
  <c r="J324" i="41"/>
  <c r="F109" i="66"/>
  <c r="N109" i="66" s="1"/>
  <c r="D38" i="57"/>
  <c r="H359" i="41"/>
  <c r="D45" i="57"/>
  <c r="F162" i="66"/>
  <c r="N162" i="66" s="1"/>
  <c r="H276" i="41"/>
  <c r="J364" i="41"/>
  <c r="H297" i="41"/>
  <c r="I351" i="41"/>
  <c r="J370" i="41"/>
  <c r="G106" i="66"/>
  <c r="J429" i="37"/>
  <c r="D8" i="57"/>
  <c r="M3" i="37"/>
  <c r="H228" i="41"/>
  <c r="F41" i="66"/>
  <c r="H115" i="66"/>
  <c r="E2" i="53"/>
  <c r="H121" i="41"/>
  <c r="H19" i="66"/>
  <c r="F19" i="66"/>
  <c r="H67" i="66"/>
  <c r="E26" i="53"/>
  <c r="J121" i="41"/>
  <c r="F115" i="66"/>
  <c r="H469" i="41"/>
  <c r="F10" i="66"/>
  <c r="N10" i="66" s="1"/>
  <c r="N202" i="66"/>
  <c r="F169" i="66"/>
  <c r="D41" i="57"/>
  <c r="H471" i="37"/>
  <c r="E392" i="38"/>
  <c r="M38" i="66" s="1"/>
  <c r="D4" i="57"/>
  <c r="H300" i="41"/>
  <c r="F38" i="66"/>
  <c r="H472" i="37"/>
  <c r="H161" i="41"/>
  <c r="J144" i="41"/>
  <c r="F114" i="66"/>
  <c r="N114" i="66" s="1"/>
  <c r="D32" i="57"/>
  <c r="J164" i="41"/>
  <c r="Q59" i="66"/>
  <c r="R59" i="66" s="1"/>
  <c r="T59" i="66" s="1"/>
  <c r="I400" i="41"/>
  <c r="J174" i="41"/>
  <c r="I294" i="41"/>
  <c r="H346" i="41"/>
  <c r="I380" i="41"/>
  <c r="I287" i="41"/>
  <c r="H236" i="41"/>
  <c r="H365" i="41"/>
  <c r="I120" i="41"/>
  <c r="F73" i="66"/>
  <c r="D15" i="57"/>
  <c r="D51" i="57"/>
  <c r="F157" i="66"/>
  <c r="N157" i="66" s="1"/>
  <c r="I300" i="41"/>
  <c r="E393" i="38"/>
  <c r="M86" i="66" s="1"/>
  <c r="D17" i="57"/>
  <c r="I471" i="37"/>
  <c r="I472" i="37"/>
  <c r="F86" i="66"/>
  <c r="F158" i="66"/>
  <c r="N158" i="66" s="1"/>
  <c r="D49" i="57"/>
  <c r="G5" i="53"/>
  <c r="H11" i="53"/>
  <c r="G11" i="53" s="1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64" i="41"/>
  <c r="F81" i="66"/>
  <c r="N81" i="66" s="1"/>
  <c r="D24" i="57"/>
  <c r="D77" i="57"/>
  <c r="F253" i="66"/>
  <c r="N253" i="66" s="1"/>
  <c r="F18" i="66"/>
  <c r="N18" i="66" s="1"/>
  <c r="H144" i="41"/>
  <c r="D6" i="57"/>
  <c r="J253" i="41"/>
  <c r="J313" i="41"/>
  <c r="H342" i="41"/>
  <c r="J337" i="41"/>
  <c r="I191" i="41"/>
  <c r="J284" i="41"/>
  <c r="I130" i="41"/>
  <c r="Z267" i="66"/>
  <c r="Y267" i="66"/>
  <c r="Y123" i="66"/>
  <c r="O123" i="66"/>
  <c r="Z123" i="66"/>
  <c r="Y143" i="66"/>
  <c r="Z287" i="66"/>
  <c r="Y287" i="66"/>
  <c r="Z143" i="66"/>
  <c r="O143" i="66"/>
  <c r="J379" i="41"/>
  <c r="F185" i="66"/>
  <c r="D47" i="57"/>
  <c r="M3" i="58"/>
  <c r="I244" i="41"/>
  <c r="H283" i="41"/>
  <c r="H259" i="66"/>
  <c r="H163" i="66"/>
  <c r="E8" i="53"/>
  <c r="H211" i="66"/>
  <c r="F163" i="66"/>
  <c r="E32" i="53"/>
  <c r="F259" i="66"/>
  <c r="I267" i="41"/>
  <c r="H393" i="41"/>
  <c r="H286" i="41"/>
  <c r="I268" i="41"/>
  <c r="H165" i="41"/>
  <c r="I355" i="41"/>
  <c r="I286" i="41"/>
  <c r="J260" i="41"/>
  <c r="I166" i="41"/>
  <c r="Q57" i="66"/>
  <c r="R57" i="66" s="1"/>
  <c r="T57" i="66" s="1"/>
  <c r="E20" i="53"/>
  <c r="F211" i="66"/>
  <c r="D71" i="57"/>
  <c r="F258" i="66"/>
  <c r="N258" i="66" s="1"/>
  <c r="J155" i="41"/>
  <c r="F33" i="66"/>
  <c r="N33" i="66" s="1"/>
  <c r="H264" i="41"/>
  <c r="D11" i="57"/>
  <c r="H123" i="41"/>
  <c r="H348" i="41"/>
  <c r="D13" i="57"/>
  <c r="F23" i="66"/>
  <c r="N23" i="66" s="1"/>
  <c r="D60" i="57"/>
  <c r="F233" i="66"/>
  <c r="N3" i="58"/>
  <c r="H280" i="41"/>
  <c r="J168" i="41"/>
  <c r="D33" i="57"/>
  <c r="F120" i="66"/>
  <c r="N120" i="66" s="1"/>
  <c r="I402" i="41"/>
  <c r="F98" i="66"/>
  <c r="N98" i="66" s="1"/>
  <c r="J135" i="58"/>
  <c r="C49" i="63" s="1"/>
  <c r="J135" i="37"/>
  <c r="C22" i="63" s="1"/>
  <c r="I135" i="37"/>
  <c r="C13" i="63" s="1"/>
  <c r="I135" i="58"/>
  <c r="C40" i="63" s="1"/>
  <c r="H139" i="37"/>
  <c r="H139" i="58"/>
  <c r="H135" i="58"/>
  <c r="C31" i="63" s="1"/>
  <c r="H135" i="37"/>
  <c r="H143" i="37"/>
  <c r="H143" i="58"/>
  <c r="F56" i="66"/>
  <c r="D44" i="39"/>
  <c r="E110" i="38" s="1"/>
  <c r="I470" i="41"/>
  <c r="D17" i="39" s="1"/>
  <c r="H293" i="41"/>
  <c r="H201" i="41"/>
  <c r="I190" i="41"/>
  <c r="F217" i="66"/>
  <c r="D54" i="57"/>
  <c r="J216" i="41"/>
  <c r="F13" i="66"/>
  <c r="N13" i="66" s="1"/>
  <c r="D12" i="57"/>
  <c r="H324" i="41"/>
  <c r="J180" i="41"/>
  <c r="I285" i="41"/>
  <c r="J250" i="41"/>
  <c r="I383" i="41"/>
  <c r="J301" i="41"/>
  <c r="H156" i="41"/>
  <c r="I471" i="58"/>
  <c r="F231" i="66" s="1"/>
  <c r="N231" i="66" s="1"/>
  <c r="I472" i="58"/>
  <c r="F230" i="66"/>
  <c r="D56" i="57"/>
  <c r="E396" i="38"/>
  <c r="M230" i="66" s="1"/>
  <c r="D10" i="57"/>
  <c r="F14" i="66"/>
  <c r="N14" i="66" s="1"/>
  <c r="H246" i="41"/>
  <c r="I241" i="41"/>
  <c r="J331" i="41"/>
  <c r="H185" i="41"/>
  <c r="I295" i="41"/>
  <c r="I345" i="41"/>
  <c r="H398" i="41"/>
  <c r="I222" i="41"/>
  <c r="I394" i="41"/>
  <c r="J219" i="41"/>
  <c r="H141" i="41"/>
  <c r="I148" i="41"/>
  <c r="I154" i="41"/>
  <c r="H205" i="41"/>
  <c r="I200" i="41"/>
  <c r="H364" i="41"/>
  <c r="J312" i="41"/>
  <c r="I344" i="41"/>
  <c r="I205" i="41"/>
  <c r="J220" i="41"/>
  <c r="I209" i="41"/>
  <c r="H168" i="41"/>
  <c r="D7" i="57"/>
  <c r="F24" i="66"/>
  <c r="N24" i="66" s="1"/>
  <c r="J398" i="41"/>
  <c r="H399" i="41"/>
  <c r="J244" i="41"/>
  <c r="H325" i="41"/>
  <c r="J257" i="41"/>
  <c r="I306" i="41"/>
  <c r="H250" i="41"/>
  <c r="I362" i="41"/>
  <c r="I372" i="41"/>
  <c r="J234" i="41"/>
  <c r="J190" i="41"/>
  <c r="J187" i="41"/>
  <c r="I368" i="41"/>
  <c r="J279" i="41"/>
  <c r="I341" i="41"/>
  <c r="H380" i="41"/>
  <c r="H357" i="41"/>
  <c r="I278" i="41"/>
  <c r="H391" i="41"/>
  <c r="E17" i="53"/>
  <c r="F17" i="53" s="1"/>
  <c r="H23" i="53" s="1"/>
  <c r="I403" i="41"/>
  <c r="J397" i="41"/>
  <c r="H377" i="41"/>
  <c r="J178" i="41"/>
  <c r="J362" i="41"/>
  <c r="H234" i="41"/>
  <c r="J145" i="41"/>
  <c r="I201" i="41"/>
  <c r="J261" i="41"/>
  <c r="I237" i="41"/>
  <c r="H252" i="41"/>
  <c r="I354" i="41"/>
  <c r="I339" i="41"/>
  <c r="H298" i="41"/>
  <c r="I343" i="41"/>
  <c r="J355" i="41"/>
  <c r="J240" i="41"/>
  <c r="H370" i="41"/>
  <c r="I375" i="41"/>
  <c r="I359" i="41"/>
  <c r="H328" i="41"/>
  <c r="H155" i="41"/>
  <c r="I202" i="41"/>
  <c r="J392" i="41"/>
  <c r="I387" i="41"/>
  <c r="I121" i="41"/>
  <c r="E14" i="53"/>
  <c r="F67" i="66"/>
  <c r="H288" i="41"/>
  <c r="J124" i="41"/>
  <c r="H166" i="41"/>
  <c r="J375" i="41"/>
  <c r="H397" i="41"/>
  <c r="H137" i="41"/>
  <c r="H202" i="41"/>
  <c r="J391" i="41"/>
  <c r="J382" i="41"/>
  <c r="J152" i="41"/>
  <c r="I257" i="41"/>
  <c r="J169" i="41"/>
  <c r="I229" i="41"/>
  <c r="I151" i="41"/>
  <c r="J288" i="41"/>
  <c r="H291" i="41"/>
  <c r="H198" i="41"/>
  <c r="I211" i="41"/>
  <c r="J146" i="41"/>
  <c r="I326" i="41"/>
  <c r="H170" i="41"/>
  <c r="F248" i="66"/>
  <c r="M44" i="39"/>
  <c r="E178" i="38" s="1"/>
  <c r="F177" i="66"/>
  <c r="N177" i="66" s="1"/>
  <c r="D50" i="57"/>
  <c r="D52" i="57"/>
  <c r="F167" i="66"/>
  <c r="N167" i="66" s="1"/>
  <c r="D21" i="57"/>
  <c r="I228" i="41"/>
  <c r="N3" i="37"/>
  <c r="F89" i="66"/>
  <c r="H232" i="41"/>
  <c r="H319" i="41"/>
  <c r="I243" i="41"/>
  <c r="H285" i="41"/>
  <c r="Q267" i="66"/>
  <c r="R267" i="66" s="1"/>
  <c r="T267" i="66" s="1"/>
  <c r="Q219" i="66"/>
  <c r="R219" i="66" s="1"/>
  <c r="T219" i="66" s="1"/>
  <c r="F208" i="66"/>
  <c r="D57" i="57"/>
  <c r="Q75" i="66"/>
  <c r="R75" i="66" s="1"/>
  <c r="T75" i="66" s="1"/>
  <c r="F65" i="66"/>
  <c r="N65" i="66" s="1"/>
  <c r="I468" i="41"/>
  <c r="H266" i="41"/>
  <c r="H361" i="41"/>
  <c r="I169" i="41"/>
  <c r="H216" i="41"/>
  <c r="H378" i="41"/>
  <c r="J332" i="41"/>
  <c r="J159" i="41"/>
  <c r="H373" i="41"/>
  <c r="H301" i="41"/>
  <c r="H248" i="41"/>
  <c r="I275" i="41"/>
  <c r="J205" i="41"/>
  <c r="J209" i="41"/>
  <c r="J171" i="41"/>
  <c r="H329" i="41"/>
  <c r="D75" i="57"/>
  <c r="F254" i="66"/>
  <c r="N254" i="66" s="1"/>
  <c r="H172" i="41"/>
  <c r="F264" i="66"/>
  <c r="N264" i="66" s="1"/>
  <c r="D72" i="57"/>
  <c r="H153" i="41"/>
  <c r="J404" i="37"/>
  <c r="J404" i="58"/>
  <c r="F270" i="66" s="1"/>
  <c r="N270" i="66" s="1"/>
  <c r="F106" i="66"/>
  <c r="J469" i="41"/>
  <c r="H164" i="41"/>
  <c r="I242" i="41"/>
  <c r="H124" i="41"/>
  <c r="H386" i="41"/>
  <c r="J285" i="41"/>
  <c r="H136" i="41"/>
  <c r="I327" i="41"/>
  <c r="I194" i="41"/>
  <c r="H333" i="41"/>
  <c r="I260" i="41"/>
  <c r="J296" i="41"/>
  <c r="H257" i="41"/>
  <c r="I388" i="41"/>
  <c r="J273" i="41"/>
  <c r="J177" i="41"/>
  <c r="I125" i="41"/>
  <c r="F129" i="66"/>
  <c r="N129" i="66" s="1"/>
  <c r="J264" i="41"/>
  <c r="D37" i="57"/>
  <c r="J390" i="41"/>
  <c r="I299" i="41"/>
  <c r="H379" i="41"/>
  <c r="I134" i="41"/>
  <c r="J311" i="41"/>
  <c r="H256" i="41"/>
  <c r="I232" i="41"/>
  <c r="H352" i="41"/>
  <c r="J396" i="41"/>
  <c r="J153" i="41"/>
  <c r="J295" i="41"/>
  <c r="H374" i="41"/>
  <c r="J343" i="41"/>
  <c r="I274" i="41"/>
  <c r="I320" i="41"/>
  <c r="H231" i="41"/>
  <c r="F152" i="66"/>
  <c r="K44" i="39"/>
  <c r="E144" i="38" s="1"/>
  <c r="I266" i="41"/>
  <c r="I373" i="41"/>
  <c r="H389" i="41"/>
  <c r="H215" i="41"/>
  <c r="I247" i="41"/>
  <c r="D65" i="57"/>
  <c r="F215" i="66"/>
  <c r="N215" i="66" s="1"/>
  <c r="J128" i="41"/>
  <c r="H351" i="41"/>
  <c r="J322" i="41"/>
  <c r="I281" i="41"/>
  <c r="H309" i="41"/>
  <c r="H311" i="41"/>
  <c r="J394" i="41"/>
  <c r="J138" i="41"/>
  <c r="J283" i="41"/>
  <c r="H332" i="41"/>
  <c r="I371" i="41"/>
  <c r="J201" i="41"/>
  <c r="I204" i="41"/>
  <c r="D16" i="57"/>
  <c r="F52" i="66"/>
  <c r="F226" i="66"/>
  <c r="E22" i="53"/>
  <c r="F22" i="53" s="1"/>
  <c r="H16" i="53" s="1"/>
  <c r="D66" i="57"/>
  <c r="J297" i="41"/>
  <c r="I349" i="41"/>
  <c r="I271" i="41"/>
  <c r="I319" i="41"/>
  <c r="H334" i="41"/>
  <c r="H400" i="41"/>
  <c r="I289" i="41"/>
  <c r="H173" i="41"/>
  <c r="E23" i="53"/>
  <c r="F23" i="53" s="1"/>
  <c r="J225" i="41"/>
  <c r="J289" i="41"/>
  <c r="H226" i="41"/>
  <c r="H295" i="41"/>
  <c r="J203" i="41"/>
  <c r="I338" i="41"/>
  <c r="H180" i="41"/>
  <c r="J133" i="41"/>
  <c r="I291" i="41"/>
  <c r="J304" i="41"/>
  <c r="D25" i="57"/>
  <c r="F61" i="66"/>
  <c r="N61" i="66" s="1"/>
  <c r="I324" i="41"/>
  <c r="F64" i="66"/>
  <c r="D18" i="57"/>
  <c r="I186" i="41"/>
  <c r="H245" i="41"/>
  <c r="H145" i="41"/>
  <c r="J123" i="41"/>
  <c r="H195" i="41"/>
  <c r="I330" i="41"/>
  <c r="J374" i="41"/>
  <c r="H384" i="41"/>
  <c r="I170" i="41"/>
  <c r="F256" i="66"/>
  <c r="D70" i="57"/>
  <c r="J224" i="41"/>
  <c r="I335" i="41"/>
  <c r="H133" i="41"/>
  <c r="H138" i="41"/>
  <c r="F125" i="66"/>
  <c r="J282" i="41"/>
  <c r="D35" i="57"/>
  <c r="I155" i="41"/>
  <c r="H239" i="41"/>
  <c r="I175" i="41"/>
  <c r="H149" i="41"/>
  <c r="H369" i="41"/>
  <c r="J140" i="41"/>
  <c r="H371" i="41"/>
  <c r="I227" i="41"/>
  <c r="J139" i="58"/>
  <c r="C50" i="63" s="1"/>
  <c r="J139" i="37"/>
  <c r="C23" i="63" s="1"/>
  <c r="I219" i="41"/>
  <c r="I131" i="37"/>
  <c r="I131" i="58"/>
  <c r="C42" i="63" s="1"/>
  <c r="H186" i="41"/>
  <c r="F16" i="66"/>
  <c r="D5" i="57"/>
  <c r="I172" i="41"/>
  <c r="H259" i="41"/>
  <c r="I399" i="41"/>
  <c r="J468" i="41"/>
  <c r="F113" i="66"/>
  <c r="N113" i="66" s="1"/>
  <c r="J127" i="41"/>
  <c r="D76" i="57"/>
  <c r="F273" i="66"/>
  <c r="N273" i="66" s="1"/>
  <c r="H402" i="41"/>
  <c r="F50" i="66"/>
  <c r="N50" i="66" s="1"/>
  <c r="I348" i="41"/>
  <c r="F71" i="66"/>
  <c r="N71" i="66" s="1"/>
  <c r="D26" i="57"/>
  <c r="F196" i="66"/>
  <c r="D55" i="57"/>
  <c r="I366" i="41"/>
  <c r="D27" i="57"/>
  <c r="F82" i="66"/>
  <c r="E16" i="53"/>
  <c r="F16" i="53" s="1"/>
  <c r="H22" i="53" s="1"/>
  <c r="Q249" i="66"/>
  <c r="R249" i="66" s="1"/>
  <c r="T249" i="66" s="1"/>
  <c r="H287" i="41"/>
  <c r="H390" i="41"/>
  <c r="F148" i="66"/>
  <c r="N148" i="66" s="1"/>
  <c r="D42" i="57"/>
  <c r="H382" i="41"/>
  <c r="J360" i="41"/>
  <c r="I369" i="41"/>
  <c r="H392" i="41"/>
  <c r="D48" i="57"/>
  <c r="F173" i="66"/>
  <c r="H222" i="41"/>
  <c r="I346" i="41"/>
  <c r="J307" i="41"/>
  <c r="J367" i="41"/>
  <c r="H258" i="41"/>
  <c r="I231" i="41"/>
  <c r="I340" i="41"/>
  <c r="H176" i="41"/>
  <c r="D74" i="57"/>
  <c r="F269" i="66"/>
  <c r="F210" i="66"/>
  <c r="N210" i="66" s="1"/>
  <c r="D58" i="57"/>
  <c r="I469" i="41"/>
  <c r="F58" i="66"/>
  <c r="N58" i="66" s="1"/>
  <c r="I404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186" i="41"/>
  <c r="Z285" i="66"/>
  <c r="Z141" i="66"/>
  <c r="Y285" i="66"/>
  <c r="Y141" i="66"/>
  <c r="O141" i="66"/>
  <c r="J277" i="41"/>
  <c r="F160" i="66"/>
  <c r="D44" i="57"/>
  <c r="I333" i="41"/>
  <c r="J195" i="41"/>
  <c r="J191" i="41"/>
  <c r="H160" i="41"/>
  <c r="I136" i="41"/>
  <c r="H273" i="41"/>
  <c r="I401" i="41"/>
  <c r="J223" i="41"/>
  <c r="H207" i="41"/>
  <c r="H263" i="41"/>
  <c r="I323" i="41"/>
  <c r="E29" i="53"/>
  <c r="F29" i="53" s="1"/>
  <c r="H35" i="53" s="1"/>
  <c r="J403" i="41"/>
  <c r="F265" i="66"/>
  <c r="D67" i="57"/>
  <c r="F34" i="66"/>
  <c r="D14" i="57"/>
  <c r="E4" i="53"/>
  <c r="F4" i="53" s="1"/>
  <c r="H10" i="53" s="1"/>
  <c r="H366" i="41"/>
  <c r="F274" i="66"/>
  <c r="E34" i="53"/>
  <c r="F34" i="53" s="1"/>
  <c r="D79" i="57"/>
  <c r="F100" i="66"/>
  <c r="N100" i="66" s="1"/>
  <c r="D29" i="57"/>
  <c r="J204" i="41"/>
  <c r="O251" i="66"/>
  <c r="I196" i="41"/>
  <c r="H316" i="41"/>
  <c r="I185" i="41"/>
  <c r="F49" i="66"/>
  <c r="H403" i="41"/>
  <c r="E394" i="38"/>
  <c r="M134" i="66" s="1"/>
  <c r="J472" i="37"/>
  <c r="J471" i="37"/>
  <c r="F134" i="66"/>
  <c r="J300" i="41"/>
  <c r="D30" i="57"/>
  <c r="D78" i="57"/>
  <c r="F263" i="66"/>
  <c r="N263" i="66" s="1"/>
  <c r="F17" i="66"/>
  <c r="N17" i="66" s="1"/>
  <c r="H468" i="41"/>
  <c r="D3" i="57"/>
  <c r="F4" i="66"/>
  <c r="N4" i="66" s="1"/>
  <c r="H204" i="41"/>
  <c r="D9" i="57"/>
  <c r="H282" i="41"/>
  <c r="F29" i="66"/>
  <c r="D34" i="57"/>
  <c r="J228" i="41"/>
  <c r="F137" i="66"/>
  <c r="O3" i="37"/>
  <c r="Q175" i="66"/>
  <c r="Z249" i="66"/>
  <c r="O105" i="66"/>
  <c r="Z105" i="66"/>
  <c r="Y249" i="66"/>
  <c r="Y105" i="66"/>
  <c r="I203" i="41"/>
  <c r="H197" i="41"/>
  <c r="J328" i="41"/>
  <c r="I144" i="41"/>
  <c r="F66" i="66"/>
  <c r="N66" i="66" s="1"/>
  <c r="D19" i="57"/>
  <c r="H253" i="41"/>
  <c r="I152" i="41"/>
  <c r="J172" i="41"/>
  <c r="I137" i="41"/>
  <c r="H127" i="37"/>
  <c r="H127" i="58"/>
  <c r="F104" i="66"/>
  <c r="E44" i="39"/>
  <c r="E127" i="38" s="1"/>
  <c r="J470" i="41"/>
  <c r="E17" i="39" s="1"/>
  <c r="I390" i="41"/>
  <c r="J131" i="37"/>
  <c r="J131" i="58"/>
  <c r="H131" i="37"/>
  <c r="H131" i="58"/>
  <c r="J157" i="41"/>
  <c r="I240" i="41"/>
  <c r="J400" i="41"/>
  <c r="I158" i="41"/>
  <c r="J381" i="41"/>
  <c r="I221" i="41"/>
  <c r="J320" i="41"/>
  <c r="I250" i="41"/>
  <c r="I167" i="41"/>
  <c r="I132" i="41"/>
  <c r="J336" i="41"/>
  <c r="I139" i="58"/>
  <c r="I139" i="37"/>
  <c r="J143" i="37"/>
  <c r="J143" i="58"/>
  <c r="H294" i="41"/>
  <c r="I392" i="41"/>
  <c r="H184" i="41"/>
  <c r="H249" i="41"/>
  <c r="H247" i="41"/>
  <c r="J268" i="41"/>
  <c r="J243" i="41"/>
  <c r="I304" i="41"/>
  <c r="I165" i="41"/>
  <c r="F216" i="66"/>
  <c r="N216" i="66" s="1"/>
  <c r="D59" i="57"/>
  <c r="I282" i="41"/>
  <c r="D22" i="57"/>
  <c r="F77" i="66"/>
  <c r="H261" i="41"/>
  <c r="H272" i="41"/>
  <c r="J352" i="41"/>
  <c r="H174" i="41"/>
  <c r="J198" i="41"/>
  <c r="I123" i="41"/>
  <c r="H206" i="41"/>
  <c r="I253" i="41"/>
  <c r="D23" i="57"/>
  <c r="F62" i="66"/>
  <c r="N62" i="66" s="1"/>
  <c r="I246" i="41"/>
  <c r="H193" i="41"/>
  <c r="O285" i="66"/>
  <c r="I262" i="41"/>
  <c r="H190" i="41"/>
  <c r="H358" i="41"/>
  <c r="I248" i="41"/>
  <c r="H279" i="41"/>
  <c r="I332" i="41"/>
  <c r="I198" i="41"/>
  <c r="J402" i="41"/>
  <c r="F146" i="66"/>
  <c r="N146" i="66" s="1"/>
  <c r="H148" i="41"/>
  <c r="H401" i="41"/>
  <c r="I239" i="41"/>
  <c r="I280" i="41"/>
  <c r="H182" i="41"/>
  <c r="I176" i="41"/>
  <c r="D28" i="57"/>
  <c r="F121" i="66"/>
  <c r="J120" i="41"/>
  <c r="I150" i="41"/>
  <c r="H212" i="41"/>
  <c r="J125" i="41"/>
  <c r="I224" i="41"/>
  <c r="I212" i="41"/>
  <c r="J212" i="41"/>
  <c r="H217" i="41"/>
  <c r="H296" i="41"/>
  <c r="H177" i="41"/>
  <c r="H269" i="41"/>
  <c r="H229" i="41"/>
  <c r="D53" i="57"/>
  <c r="F178" i="66"/>
  <c r="E10" i="53"/>
  <c r="F10" i="53" s="1"/>
  <c r="J233" i="41"/>
  <c r="J366" i="41"/>
  <c r="F130" i="66"/>
  <c r="D40" i="57"/>
  <c r="E28" i="53"/>
  <c r="F28" i="53" s="1"/>
  <c r="H34" i="53" s="1"/>
  <c r="D68" i="57"/>
  <c r="F244" i="66"/>
  <c r="N244" i="66" s="1"/>
  <c r="I252" i="41"/>
  <c r="H128" i="41"/>
  <c r="I214" i="41"/>
  <c r="I367" i="41"/>
  <c r="I159" i="41"/>
  <c r="E35" i="53"/>
  <c r="F35" i="53" s="1"/>
  <c r="I269" i="41"/>
  <c r="H385" i="41"/>
  <c r="H238" i="41"/>
  <c r="I352" i="41"/>
  <c r="J472" i="58"/>
  <c r="D69" i="57"/>
  <c r="J471" i="58"/>
  <c r="F279" i="66" s="1"/>
  <c r="N279" i="66" s="1"/>
  <c r="F278" i="66"/>
  <c r="E397" i="38"/>
  <c r="M278" i="66" s="1"/>
  <c r="I180" i="41"/>
  <c r="J286" i="41"/>
  <c r="J170" i="41"/>
  <c r="H350" i="41"/>
  <c r="I284" i="41"/>
  <c r="G250" i="66"/>
  <c r="N250" i="66" s="1"/>
  <c r="J429" i="58"/>
  <c r="I292" i="41"/>
  <c r="I296" i="41"/>
  <c r="J274" i="41"/>
  <c r="J182" i="41"/>
  <c r="H230" i="41"/>
  <c r="J287" i="41"/>
  <c r="J222" i="41"/>
  <c r="I316" i="41"/>
  <c r="I393" i="41"/>
  <c r="J399" i="41"/>
  <c r="D39" i="57"/>
  <c r="F119" i="66"/>
  <c r="N119" i="66" s="1"/>
  <c r="J348" i="41"/>
  <c r="H159" i="41"/>
  <c r="J202" i="41"/>
  <c r="I311" i="41"/>
  <c r="H200" i="41"/>
  <c r="I376" i="41"/>
  <c r="H396" i="41"/>
  <c r="I374" i="41"/>
  <c r="H140" i="41"/>
  <c r="H292" i="41"/>
  <c r="I273" i="41"/>
  <c r="C44" i="39"/>
  <c r="E93" i="38" s="1"/>
  <c r="F8" i="66"/>
  <c r="H470" i="41"/>
  <c r="C17" i="39" s="1"/>
  <c r="Q31" i="66"/>
  <c r="F200" i="66"/>
  <c r="L44" i="39"/>
  <c r="E161" i="38" s="1"/>
  <c r="J161" i="41"/>
  <c r="I353" i="41"/>
  <c r="J258" i="41"/>
  <c r="I261" i="41"/>
  <c r="I124" i="41"/>
  <c r="J351" i="41"/>
  <c r="J236" i="41"/>
  <c r="J256" i="41"/>
  <c r="J363" i="41"/>
  <c r="D2" i="57"/>
  <c r="F25" i="66"/>
  <c r="H120" i="41"/>
  <c r="J275" i="41"/>
  <c r="D43" i="57"/>
  <c r="H471" i="58"/>
  <c r="F183" i="66" s="1"/>
  <c r="N183" i="66" s="1"/>
  <c r="E395" i="38"/>
  <c r="M182" i="66" s="1"/>
  <c r="H472" i="58"/>
  <c r="F182" i="66"/>
  <c r="I164" i="41"/>
  <c r="J319" i="41"/>
  <c r="H209" i="41"/>
  <c r="O3" i="58"/>
  <c r="D73" i="57"/>
  <c r="F281" i="66"/>
  <c r="Q237" i="66" l="1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18" i="41"/>
  <c r="L50" i="39"/>
  <c r="E165" i="38" s="1"/>
  <c r="J221" i="66" s="1"/>
  <c r="N7" i="41"/>
  <c r="E50" i="39"/>
  <c r="E131" i="38" s="1"/>
  <c r="J442" i="37" s="1"/>
  <c r="N106" i="66"/>
  <c r="Y250" i="66" s="1"/>
  <c r="C50" i="39"/>
  <c r="E97" i="38" s="1"/>
  <c r="J29" i="66" s="1"/>
  <c r="G22" i="53"/>
  <c r="E316" i="38" s="1"/>
  <c r="E48" i="39"/>
  <c r="E129" i="38" s="1"/>
  <c r="J434" i="37" s="1"/>
  <c r="H143" i="41"/>
  <c r="K49" i="39"/>
  <c r="E147" i="38" s="1"/>
  <c r="J160" i="66" s="1"/>
  <c r="M48" i="39"/>
  <c r="E180" i="38" s="1"/>
  <c r="J434" i="58" s="1"/>
  <c r="K51" i="39"/>
  <c r="E149" i="38" s="1"/>
  <c r="J185" i="66" s="1"/>
  <c r="N185" i="66" s="1"/>
  <c r="M51" i="39"/>
  <c r="E183" i="38" s="1"/>
  <c r="J281" i="66" s="1"/>
  <c r="C33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43" i="41"/>
  <c r="E51" i="39"/>
  <c r="E132" i="38" s="1"/>
  <c r="J137" i="66" s="1"/>
  <c r="N137" i="66" s="1"/>
  <c r="E49" i="39"/>
  <c r="E130" i="38" s="1"/>
  <c r="J435" i="37" s="1"/>
  <c r="M50" i="39"/>
  <c r="E182" i="38" s="1"/>
  <c r="J442" i="58" s="1"/>
  <c r="D47" i="39"/>
  <c r="E111" i="38" s="1"/>
  <c r="I433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74" i="58" s="1"/>
  <c r="H135" i="41"/>
  <c r="N230" i="66"/>
  <c r="C51" i="39"/>
  <c r="E98" i="38" s="1"/>
  <c r="H443" i="37" s="1"/>
  <c r="E403" i="38"/>
  <c r="J475" i="58" s="1"/>
  <c r="K50" i="39"/>
  <c r="E148" i="38" s="1"/>
  <c r="H442" i="58" s="1"/>
  <c r="L51" i="39"/>
  <c r="E166" i="38" s="1"/>
  <c r="J233" i="66" s="1"/>
  <c r="E402" i="38"/>
  <c r="I475" i="58" s="1"/>
  <c r="Z253" i="66"/>
  <c r="Y253" i="66"/>
  <c r="Z109" i="66"/>
  <c r="Y109" i="66"/>
  <c r="C41" i="63"/>
  <c r="Y161" i="66"/>
  <c r="Z161" i="66"/>
  <c r="Z17" i="66"/>
  <c r="Y17" i="66"/>
  <c r="Y242" i="66"/>
  <c r="Y98" i="66"/>
  <c r="Z98" i="66"/>
  <c r="Z242" i="66"/>
  <c r="Q143" i="66"/>
  <c r="R143" i="66" s="1"/>
  <c r="T143" i="66" s="1"/>
  <c r="E33" i="53"/>
  <c r="F33" i="53" s="1"/>
  <c r="F280" i="66"/>
  <c r="Z206" i="66"/>
  <c r="Y206" i="66"/>
  <c r="Y62" i="66"/>
  <c r="Z62" i="66"/>
  <c r="C51" i="63"/>
  <c r="Z100" i="66"/>
  <c r="Z244" i="66"/>
  <c r="Y100" i="66"/>
  <c r="Y244" i="66"/>
  <c r="G16" i="53"/>
  <c r="J152" i="66"/>
  <c r="H449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31" i="41"/>
  <c r="J131" i="41"/>
  <c r="C24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49" i="58"/>
  <c r="H127" i="41"/>
  <c r="C5" i="63"/>
  <c r="Z202" i="66"/>
  <c r="Z58" i="66"/>
  <c r="Y202" i="66"/>
  <c r="Y58" i="66"/>
  <c r="Z225" i="66"/>
  <c r="Z81" i="66"/>
  <c r="Y225" i="66"/>
  <c r="Y81" i="66"/>
  <c r="E287" i="38"/>
  <c r="E281" i="38"/>
  <c r="Y263" i="66"/>
  <c r="Z263" i="66"/>
  <c r="Z119" i="66"/>
  <c r="Y119" i="66"/>
  <c r="C48" i="39"/>
  <c r="E95" i="38" s="1"/>
  <c r="E398" i="38"/>
  <c r="H28" i="53"/>
  <c r="G28" i="53" s="1"/>
  <c r="G34" i="53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39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Y290" i="66"/>
  <c r="Z146" i="66"/>
  <c r="Z290" i="66"/>
  <c r="Y146" i="66"/>
  <c r="E32" i="39"/>
  <c r="E33" i="39" s="1"/>
  <c r="E29" i="39"/>
  <c r="L17" i="39" s="1"/>
  <c r="F126" i="66"/>
  <c r="N126" i="66" s="1"/>
  <c r="J404" i="41"/>
  <c r="D51" i="39"/>
  <c r="E115" i="38" s="1"/>
  <c r="Z158" i="66"/>
  <c r="Y158" i="66"/>
  <c r="Y14" i="66"/>
  <c r="Z14" i="66"/>
  <c r="J56" i="66"/>
  <c r="F17" i="39" s="1"/>
  <c r="I449" i="37"/>
  <c r="Y18" i="66"/>
  <c r="Z162" i="66"/>
  <c r="Z18" i="66"/>
  <c r="Y162" i="66"/>
  <c r="I472" i="41"/>
  <c r="E15" i="53"/>
  <c r="F15" i="53" s="1"/>
  <c r="H21" i="53" s="1"/>
  <c r="F88" i="66"/>
  <c r="Z258" i="66"/>
  <c r="Y114" i="66"/>
  <c r="Y258" i="66"/>
  <c r="Z114" i="66"/>
  <c r="H471" i="41"/>
  <c r="F39" i="66"/>
  <c r="N39" i="66" s="1"/>
  <c r="E47" i="39"/>
  <c r="E128" i="38" s="1"/>
  <c r="I139" i="41"/>
  <c r="J104" i="66"/>
  <c r="J449" i="37"/>
  <c r="Z4" i="66"/>
  <c r="Y4" i="66"/>
  <c r="Y148" i="66"/>
  <c r="Z148" i="66"/>
  <c r="N134" i="66"/>
  <c r="Z50" i="66"/>
  <c r="Z194" i="66"/>
  <c r="Y194" i="66"/>
  <c r="Y50" i="66"/>
  <c r="I131" i="41"/>
  <c r="N9" i="41" s="1"/>
  <c r="C15" i="63"/>
  <c r="Z273" i="66"/>
  <c r="Y273" i="66"/>
  <c r="Y129" i="66"/>
  <c r="Z129" i="66"/>
  <c r="E399" i="38"/>
  <c r="I135" i="41"/>
  <c r="L47" i="39"/>
  <c r="E162" i="38" s="1"/>
  <c r="M47" i="39"/>
  <c r="E179" i="38" s="1"/>
  <c r="F87" i="66"/>
  <c r="N87" i="66" s="1"/>
  <c r="I471" i="41"/>
  <c r="E400" i="38"/>
  <c r="J429" i="41"/>
  <c r="Z216" i="66"/>
  <c r="Z72" i="66"/>
  <c r="Y72" i="66"/>
  <c r="Y216" i="66"/>
  <c r="H449" i="37"/>
  <c r="J8" i="66"/>
  <c r="N278" i="66"/>
  <c r="H29" i="53"/>
  <c r="G29" i="53" s="1"/>
  <c r="G35" i="53"/>
  <c r="Q285" i="66"/>
  <c r="R285" i="66" s="1"/>
  <c r="T285" i="66" s="1"/>
  <c r="J471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49" i="58"/>
  <c r="J248" i="66"/>
  <c r="N248" i="66" s="1"/>
  <c r="J135" i="41"/>
  <c r="C4" i="63"/>
  <c r="Q123" i="66"/>
  <c r="R123" i="66" s="1"/>
  <c r="T123" i="66" s="1"/>
  <c r="E9" i="53"/>
  <c r="F9" i="53" s="1"/>
  <c r="F184" i="66"/>
  <c r="I442" i="58"/>
  <c r="C32" i="63"/>
  <c r="Y66" i="66"/>
  <c r="Z66" i="66"/>
  <c r="Z210" i="66"/>
  <c r="Y210" i="66"/>
  <c r="Q105" i="66"/>
  <c r="R105" i="66" s="1"/>
  <c r="T105" i="66" s="1"/>
  <c r="E27" i="53"/>
  <c r="F27" i="53" s="1"/>
  <c r="H33" i="53" s="1"/>
  <c r="J472" i="41"/>
  <c r="F136" i="66"/>
  <c r="Q141" i="66"/>
  <c r="R141" i="66" s="1"/>
  <c r="T141" i="66" s="1"/>
  <c r="J139" i="41"/>
  <c r="O8" i="41" s="1"/>
  <c r="H17" i="53"/>
  <c r="G17" i="53" s="1"/>
  <c r="G23" i="53"/>
  <c r="Z24" i="66"/>
  <c r="Y24" i="66"/>
  <c r="Y168" i="66"/>
  <c r="Z168" i="66"/>
  <c r="E299" i="38"/>
  <c r="M193" i="66" s="1"/>
  <c r="E293" i="38"/>
  <c r="H472" i="41"/>
  <c r="E3" i="53"/>
  <c r="F3" i="53" s="1"/>
  <c r="H9" i="53" s="1"/>
  <c r="F40" i="66"/>
  <c r="C14" i="63"/>
  <c r="I127" i="41"/>
  <c r="I442" i="37" l="1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E322" i="38"/>
  <c r="M226" i="66" s="1"/>
  <c r="M9" i="41"/>
  <c r="J125" i="66"/>
  <c r="Y106" i="66"/>
  <c r="Z106" i="66"/>
  <c r="Z250" i="66"/>
  <c r="J435" i="58"/>
  <c r="J435" i="41" s="1"/>
  <c r="H442" i="37"/>
  <c r="H442" i="41" s="1"/>
  <c r="D2" i="53"/>
  <c r="F2" i="53" s="1"/>
  <c r="H8" i="53" s="1"/>
  <c r="J443" i="58"/>
  <c r="O9" i="41"/>
  <c r="J269" i="66"/>
  <c r="N269" i="66" s="1"/>
  <c r="J265" i="66"/>
  <c r="N265" i="66" s="1"/>
  <c r="H435" i="58"/>
  <c r="H443" i="58"/>
  <c r="H443" i="41" s="1"/>
  <c r="Z182" i="66"/>
  <c r="Y38" i="66"/>
  <c r="D14" i="53"/>
  <c r="F14" i="53" s="1"/>
  <c r="H20" i="53" s="1"/>
  <c r="J474" i="58"/>
  <c r="F276" i="66" s="1"/>
  <c r="J121" i="66"/>
  <c r="Z38" i="66"/>
  <c r="I473" i="58"/>
  <c r="C46" i="63" s="1"/>
  <c r="H435" i="37"/>
  <c r="G21" i="53"/>
  <c r="E315" i="38" s="1"/>
  <c r="Y182" i="66"/>
  <c r="H473" i="58"/>
  <c r="C37" i="63" s="1"/>
  <c r="H433" i="37"/>
  <c r="J473" i="58"/>
  <c r="I474" i="58"/>
  <c r="F228" i="66" s="1"/>
  <c r="I434" i="58"/>
  <c r="N8" i="41"/>
  <c r="J67" i="66"/>
  <c r="J112" i="66"/>
  <c r="H434" i="58"/>
  <c r="I443" i="58"/>
  <c r="J173" i="66"/>
  <c r="N173" i="66" s="1"/>
  <c r="H449" i="41"/>
  <c r="J41" i="66"/>
  <c r="N41" i="66" s="1"/>
  <c r="O185" i="66" s="1"/>
  <c r="E30" i="39"/>
  <c r="I435" i="58"/>
  <c r="H475" i="58"/>
  <c r="F179" i="66" s="1"/>
  <c r="J443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49" i="41"/>
  <c r="I442" i="41"/>
  <c r="E286" i="38"/>
  <c r="E280" i="38"/>
  <c r="N29" i="66"/>
  <c r="R29" i="66"/>
  <c r="P29" i="66"/>
  <c r="S29" i="66"/>
  <c r="J25" i="66"/>
  <c r="H434" i="37"/>
  <c r="N152" i="66"/>
  <c r="R152" i="66"/>
  <c r="S152" i="66"/>
  <c r="P152" i="66"/>
  <c r="P16" i="66"/>
  <c r="R16" i="66"/>
  <c r="S16" i="66"/>
  <c r="F275" i="66"/>
  <c r="E414" i="38"/>
  <c r="J433" i="58"/>
  <c r="J259" i="66"/>
  <c r="D32" i="53"/>
  <c r="F32" i="53" s="1"/>
  <c r="H26" i="53" s="1"/>
  <c r="N221" i="66"/>
  <c r="P221" i="66"/>
  <c r="S221" i="66"/>
  <c r="J64" i="66"/>
  <c r="F22" i="39" s="1"/>
  <c r="I435" i="37"/>
  <c r="Y135" i="66"/>
  <c r="Y279" i="66"/>
  <c r="Z135" i="66"/>
  <c r="Z279" i="66"/>
  <c r="E341" i="38"/>
  <c r="E347" i="38"/>
  <c r="M289" i="66" s="1"/>
  <c r="Z87" i="66"/>
  <c r="Y231" i="66"/>
  <c r="Y87" i="66"/>
  <c r="Z231" i="66"/>
  <c r="N56" i="66"/>
  <c r="P56" i="66"/>
  <c r="S56" i="66"/>
  <c r="J89" i="66"/>
  <c r="F24" i="39" s="1"/>
  <c r="I443" i="37"/>
  <c r="N77" i="66"/>
  <c r="P77" i="66"/>
  <c r="S77" i="66"/>
  <c r="E292" i="38"/>
  <c r="E298" i="38"/>
  <c r="M178" i="66" s="1"/>
  <c r="K17" i="39"/>
  <c r="E304" i="38"/>
  <c r="E310" i="38"/>
  <c r="F227" i="66"/>
  <c r="E412" i="38"/>
  <c r="L193" i="66"/>
  <c r="E335" i="38"/>
  <c r="E329" i="38"/>
  <c r="J433" i="37"/>
  <c r="D26" i="53"/>
  <c r="F26" i="53" s="1"/>
  <c r="J115" i="66"/>
  <c r="I434" i="37"/>
  <c r="J73" i="66"/>
  <c r="F21" i="39" s="1"/>
  <c r="M8" i="41"/>
  <c r="J442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33" i="58"/>
  <c r="I433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74" i="37"/>
  <c r="J475" i="37"/>
  <c r="J473" i="37"/>
  <c r="J449" i="41"/>
  <c r="Q17" i="39"/>
  <c r="P29" i="39"/>
  <c r="Q29" i="39" s="1"/>
  <c r="E340" i="38"/>
  <c r="E346" i="38"/>
  <c r="M274" i="66" s="1"/>
  <c r="P256" i="66"/>
  <c r="S256" i="66"/>
  <c r="Z183" i="66"/>
  <c r="Y39" i="66"/>
  <c r="Y183" i="66"/>
  <c r="Z39" i="66"/>
  <c r="S208" i="66"/>
  <c r="P208" i="66"/>
  <c r="E317" i="38"/>
  <c r="E323" i="38"/>
  <c r="M241" i="66" s="1"/>
  <c r="E311" i="38"/>
  <c r="E305" i="38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E334" i="38"/>
  <c r="E328" i="38"/>
  <c r="L49" i="66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75" i="37"/>
  <c r="I474" i="37"/>
  <c r="I473" i="37"/>
  <c r="L226" i="66"/>
  <c r="H475" i="37"/>
  <c r="H473" i="37"/>
  <c r="H474" i="37"/>
  <c r="M49" i="66"/>
  <c r="B20" i="8"/>
  <c r="N233" i="66"/>
  <c r="D8" i="53"/>
  <c r="F8" i="53" s="1"/>
  <c r="H2" i="53" s="1"/>
  <c r="H433" i="58"/>
  <c r="J163" i="66"/>
  <c r="G33" i="53"/>
  <c r="H27" i="53"/>
  <c r="G27" i="53" s="1"/>
  <c r="J434" i="41"/>
  <c r="S137" i="66"/>
  <c r="P137" i="66"/>
  <c r="P265" i="66" l="1"/>
  <c r="S265" i="66"/>
  <c r="H433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T265" i="66" s="1"/>
  <c r="G21" i="39"/>
  <c r="N125" i="66"/>
  <c r="Z125" i="66" s="1"/>
  <c r="G23" i="39"/>
  <c r="J474" i="41"/>
  <c r="G2" i="53"/>
  <c r="E284" i="38" s="1"/>
  <c r="S125" i="66"/>
  <c r="P125" i="66"/>
  <c r="R173" i="66"/>
  <c r="J443" i="41"/>
  <c r="H475" i="41"/>
  <c r="E410" i="38"/>
  <c r="L179" i="66" s="1"/>
  <c r="G14" i="53"/>
  <c r="E308" i="38" s="1"/>
  <c r="E415" i="38"/>
  <c r="L276" i="66" s="1"/>
  <c r="P276" i="66" s="1"/>
  <c r="P269" i="66"/>
  <c r="S269" i="66"/>
  <c r="H435" i="41"/>
  <c r="P173" i="66"/>
  <c r="S173" i="66"/>
  <c r="P121" i="66"/>
  <c r="E413" i="38"/>
  <c r="S121" i="66"/>
  <c r="C38" i="63"/>
  <c r="C29" i="63"/>
  <c r="E321" i="38"/>
  <c r="M232" i="66" s="1"/>
  <c r="S112" i="66"/>
  <c r="P112" i="66"/>
  <c r="P41" i="66"/>
  <c r="O173" i="66"/>
  <c r="N112" i="66"/>
  <c r="O256" i="66" s="1"/>
  <c r="Q256" i="66" s="1"/>
  <c r="R256" i="66" s="1"/>
  <c r="T256" i="66" s="1"/>
  <c r="I443" i="41"/>
  <c r="C55" i="63"/>
  <c r="C47" i="63"/>
  <c r="T185" i="66"/>
  <c r="I434" i="41"/>
  <c r="R41" i="66"/>
  <c r="Z41" i="66"/>
  <c r="S41" i="66"/>
  <c r="Y185" i="66"/>
  <c r="Y41" i="66"/>
  <c r="O41" i="66"/>
  <c r="Z185" i="66"/>
  <c r="O200" i="66"/>
  <c r="I435" i="41"/>
  <c r="H434" i="41"/>
  <c r="Q185" i="66"/>
  <c r="T16" i="66"/>
  <c r="O137" i="66"/>
  <c r="T152" i="66"/>
  <c r="T169" i="66"/>
  <c r="Y137" i="66"/>
  <c r="G20" i="53"/>
  <c r="E320" i="38" s="1"/>
  <c r="M211" i="66" s="1"/>
  <c r="Z160" i="66"/>
  <c r="Y281" i="66"/>
  <c r="Q160" i="66"/>
  <c r="C19" i="8"/>
  <c r="M82" i="66"/>
  <c r="C19" i="63"/>
  <c r="I473" i="41"/>
  <c r="N3" i="41" s="1"/>
  <c r="C11" i="63"/>
  <c r="T160" i="66"/>
  <c r="E297" i="38"/>
  <c r="M184" i="66" s="1"/>
  <c r="E291" i="38"/>
  <c r="C28" i="63"/>
  <c r="J473" i="41"/>
  <c r="C20" i="63"/>
  <c r="Z281" i="66"/>
  <c r="T8" i="66"/>
  <c r="S73" i="66"/>
  <c r="P73" i="66"/>
  <c r="N73" i="66"/>
  <c r="O221" i="66"/>
  <c r="L275" i="66"/>
  <c r="P275" i="66" s="1"/>
  <c r="E407" i="38"/>
  <c r="F84" i="66"/>
  <c r="I474" i="41"/>
  <c r="L97" i="66"/>
  <c r="O16" i="66"/>
  <c r="F131" i="66"/>
  <c r="E408" i="38"/>
  <c r="J475" i="41"/>
  <c r="L145" i="66"/>
  <c r="L227" i="66"/>
  <c r="P227" i="66" s="1"/>
  <c r="Z77" i="66"/>
  <c r="O77" i="66"/>
  <c r="Z221" i="66"/>
  <c r="Y221" i="66"/>
  <c r="Y77" i="66"/>
  <c r="T29" i="66"/>
  <c r="I475" i="41"/>
  <c r="E406" i="38"/>
  <c r="F83" i="66"/>
  <c r="Z248" i="66"/>
  <c r="O104" i="66"/>
  <c r="Z104" i="66"/>
  <c r="Y248" i="66"/>
  <c r="Y104" i="66"/>
  <c r="M97" i="66"/>
  <c r="C20" i="8"/>
  <c r="Y16" i="66"/>
  <c r="F132" i="66"/>
  <c r="E409" i="38"/>
  <c r="Z8" i="66"/>
  <c r="Z152" i="66"/>
  <c r="Y8" i="66"/>
  <c r="O8" i="66"/>
  <c r="Y152" i="66"/>
  <c r="D20" i="8"/>
  <c r="M145" i="66"/>
  <c r="S259" i="66"/>
  <c r="G8" i="53"/>
  <c r="E405" i="38"/>
  <c r="F36" i="66"/>
  <c r="H474" i="41"/>
  <c r="N89" i="66"/>
  <c r="S89" i="66"/>
  <c r="P89" i="66"/>
  <c r="E339" i="38"/>
  <c r="E345" i="38"/>
  <c r="M280" i="66" s="1"/>
  <c r="Z16" i="66"/>
  <c r="L274" i="66"/>
  <c r="E303" i="38"/>
  <c r="E309" i="38"/>
  <c r="O248" i="66"/>
  <c r="S115" i="66"/>
  <c r="P193" i="66"/>
  <c r="R193" i="66"/>
  <c r="T193" i="66" s="1"/>
  <c r="N193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L241" i="66"/>
  <c r="Y160" i="66"/>
  <c r="H32" i="53"/>
  <c r="G32" i="53" s="1"/>
  <c r="G26" i="53"/>
  <c r="L178" i="66"/>
  <c r="M34" i="66"/>
  <c r="B19" i="8"/>
  <c r="S211" i="66"/>
  <c r="L232" i="66"/>
  <c r="C10" i="63"/>
  <c r="H473" i="41"/>
  <c r="C2" i="63"/>
  <c r="P226" i="66"/>
  <c r="N226" i="66"/>
  <c r="Q281" i="66"/>
  <c r="R281" i="66" s="1"/>
  <c r="T281" i="66" s="1"/>
  <c r="M130" i="66"/>
  <c r="D19" i="8"/>
  <c r="L180" i="66"/>
  <c r="N180" i="66" s="1"/>
  <c r="J29" i="39"/>
  <c r="J433" i="41"/>
  <c r="L289" i="66"/>
  <c r="P25" i="66"/>
  <c r="R25" i="66"/>
  <c r="S25" i="66"/>
  <c r="N25" i="66"/>
  <c r="E327" i="38"/>
  <c r="E333" i="38"/>
  <c r="P49" i="66"/>
  <c r="R49" i="66"/>
  <c r="T49" i="66" s="1"/>
  <c r="N49" i="66"/>
  <c r="E404" i="38"/>
  <c r="F35" i="66"/>
  <c r="L130" i="66"/>
  <c r="L29" i="39"/>
  <c r="E279" i="38"/>
  <c r="E285" i="38"/>
  <c r="Z137" i="66"/>
  <c r="Z56" i="66"/>
  <c r="Z200" i="66"/>
  <c r="O56" i="66"/>
  <c r="Y56" i="66"/>
  <c r="Y200" i="66"/>
  <c r="E302" i="38" l="1"/>
  <c r="Y125" i="66"/>
  <c r="Z121" i="66"/>
  <c r="O121" i="66"/>
  <c r="Q121" i="66" s="1"/>
  <c r="R121" i="66" s="1"/>
  <c r="T121" i="66" s="1"/>
  <c r="Y121" i="66"/>
  <c r="Z265" i="66"/>
  <c r="Y265" i="66"/>
  <c r="E278" i="38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E314" i="38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O193" i="66"/>
  <c r="R179" i="66"/>
  <c r="T179" i="66" s="1"/>
  <c r="P179" i="66"/>
  <c r="V179" i="66" s="1"/>
  <c r="X179" i="66" s="1"/>
  <c r="P145" i="66"/>
  <c r="N145" i="66"/>
  <c r="L19" i="66"/>
  <c r="M88" i="66"/>
  <c r="C18" i="8"/>
  <c r="Z49" i="66"/>
  <c r="Z193" i="66"/>
  <c r="Y49" i="66"/>
  <c r="O49" i="66"/>
  <c r="Y193" i="66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M19" i="66"/>
  <c r="R34" i="66"/>
  <c r="T34" i="66" s="1"/>
  <c r="P34" i="66"/>
  <c r="N34" i="66"/>
  <c r="M40" i="66"/>
  <c r="B18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P241" i="66"/>
  <c r="N241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P97" i="66"/>
  <c r="N97" i="66"/>
  <c r="Q56" i="66"/>
  <c r="R56" i="66" s="1"/>
  <c r="T56" i="66" s="1"/>
  <c r="N179" i="66"/>
  <c r="E326" i="38"/>
  <c r="E332" i="38"/>
  <c r="L83" i="66"/>
  <c r="P83" i="66" s="1"/>
  <c r="M67" i="66"/>
  <c r="F20" i="39" s="1"/>
  <c r="C17" i="8"/>
  <c r="P130" i="66"/>
  <c r="N130" i="66"/>
  <c r="M136" i="66"/>
  <c r="D18" i="8"/>
  <c r="P180" i="66"/>
  <c r="V180" i="66" s="1"/>
  <c r="X180" i="66" s="1"/>
  <c r="R180" i="66"/>
  <c r="T180" i="66" s="1"/>
  <c r="E338" i="38"/>
  <c r="E344" i="38"/>
  <c r="M259" i="66" s="1"/>
  <c r="O89" i="66"/>
  <c r="Z89" i="66"/>
  <c r="Y89" i="66"/>
  <c r="Y233" i="66"/>
  <c r="Z233" i="66"/>
  <c r="L184" i="66"/>
  <c r="L67" i="66"/>
  <c r="L136" i="66"/>
  <c r="P289" i="66"/>
  <c r="N289" i="66"/>
  <c r="P274" i="66"/>
  <c r="N274" i="66"/>
  <c r="E296" i="38"/>
  <c r="M163" i="66" s="1"/>
  <c r="E290" i="38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N228" i="66" l="1"/>
  <c r="Q217" i="66"/>
  <c r="R217" i="66" s="1"/>
  <c r="T217" i="66" s="1"/>
  <c r="O274" i="66"/>
  <c r="Q274" i="66" s="1"/>
  <c r="R274" i="66" s="1"/>
  <c r="T274" i="66" s="1"/>
  <c r="L211" i="66"/>
  <c r="P211" i="66" s="1"/>
  <c r="O289" i="66"/>
  <c r="O178" i="66"/>
  <c r="Q193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O241" i="66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Y145" i="66"/>
  <c r="Y289" i="66"/>
  <c r="O145" i="66"/>
  <c r="Z145" i="66"/>
  <c r="Z289" i="66"/>
  <c r="M115" i="66"/>
  <c r="G20" i="39" s="1"/>
  <c r="D17" i="8"/>
  <c r="O97" i="66"/>
  <c r="Z97" i="66"/>
  <c r="Y241" i="66"/>
  <c r="Y97" i="66"/>
  <c r="Z241" i="66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7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Q49" i="66"/>
  <c r="N19" i="66"/>
  <c r="P19" i="66"/>
  <c r="R19" i="66"/>
  <c r="T19" i="66" s="1"/>
  <c r="O228" i="66" l="1"/>
  <c r="V228" i="66" s="1"/>
  <c r="X228" i="66" s="1"/>
  <c r="N211" i="66"/>
  <c r="O211" i="66" s="1"/>
  <c r="Q289" i="66"/>
  <c r="R289" i="66" s="1"/>
  <c r="T289" i="66" s="1"/>
  <c r="Q178" i="66"/>
  <c r="O184" i="66"/>
  <c r="Q184" i="66" s="1"/>
  <c r="O280" i="66"/>
  <c r="P115" i="66"/>
  <c r="N115" i="66"/>
  <c r="Q97" i="66"/>
  <c r="R97" i="66" s="1"/>
  <c r="T97" i="66" s="1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Q241" i="66"/>
  <c r="R241" i="66" s="1"/>
  <c r="T241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45" i="66"/>
  <c r="R145" i="66" s="1"/>
  <c r="T145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O67" i="66"/>
  <c r="Y67" i="66"/>
  <c r="Z211" i="66"/>
  <c r="Q228" i="66" l="1"/>
  <c r="R228" i="66" s="1"/>
  <c r="T228" i="66" s="1"/>
  <c r="U228" i="66"/>
  <c r="U184" i="66"/>
  <c r="Q211" i="66"/>
  <c r="R211" i="66" s="1"/>
  <c r="T211" i="66" s="1"/>
  <c r="Y19" i="66"/>
  <c r="O259" i="66"/>
  <c r="Q163" i="66"/>
  <c r="Q67" i="66"/>
  <c r="R67" i="66" s="1"/>
  <c r="T67" i="66" s="1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66" i="58" l="1"/>
  <c r="J466" i="37"/>
  <c r="H466" i="58"/>
  <c r="H466" i="37"/>
  <c r="J465" i="58"/>
  <c r="J465" i="37"/>
  <c r="I466" i="58"/>
  <c r="I466" i="37"/>
  <c r="I465" i="58"/>
  <c r="I465" i="37"/>
  <c r="H465" i="58"/>
  <c r="H465" i="37"/>
  <c r="H465" i="41" l="1"/>
  <c r="J465" i="41"/>
  <c r="I465" i="41"/>
  <c r="H466" i="41"/>
  <c r="I466" i="41"/>
  <c r="J466" i="41"/>
  <c r="J6" i="58" l="1"/>
  <c r="J6" i="37"/>
  <c r="H6" i="58"/>
  <c r="H6" i="37"/>
  <c r="I6" i="58"/>
  <c r="I6" i="37"/>
  <c r="I6" i="41" l="1"/>
  <c r="D46" i="39" s="1"/>
  <c r="E108" i="38" s="1"/>
  <c r="F70" i="66"/>
  <c r="F214" i="66"/>
  <c r="L46" i="39"/>
  <c r="E159" i="38" s="1"/>
  <c r="H6" i="41"/>
  <c r="C46" i="39" s="1"/>
  <c r="E91" i="38" s="1"/>
  <c r="F22" i="66"/>
  <c r="F262" i="66"/>
  <c r="F166" i="66"/>
  <c r="J6" i="41"/>
  <c r="E46" i="39" s="1"/>
  <c r="E125" i="38" s="1"/>
  <c r="F118" i="66"/>
  <c r="M46" i="39" l="1"/>
  <c r="E176" i="38" s="1"/>
  <c r="G19" i="39"/>
  <c r="F19" i="39"/>
  <c r="K46" i="39"/>
  <c r="E142" i="38" s="1"/>
  <c r="J166" i="66" s="1"/>
  <c r="N166" i="66" s="1"/>
  <c r="J118" i="66"/>
  <c r="N118" i="66" s="1"/>
  <c r="J445" i="37"/>
  <c r="J22" i="66"/>
  <c r="N22" i="66" s="1"/>
  <c r="H445" i="37"/>
  <c r="J214" i="66"/>
  <c r="I445" i="58"/>
  <c r="J70" i="66"/>
  <c r="N70" i="66" s="1"/>
  <c r="I445" i="37"/>
  <c r="J262" i="66"/>
  <c r="J445" i="58"/>
  <c r="H445" i="58" l="1"/>
  <c r="H445" i="41" s="1"/>
  <c r="I445" i="41"/>
  <c r="I461" i="58"/>
  <c r="I461" i="37"/>
  <c r="P214" i="66"/>
  <c r="S214" i="66"/>
  <c r="P262" i="66"/>
  <c r="S262" i="66"/>
  <c r="H460" i="37"/>
  <c r="H460" i="58"/>
  <c r="I460" i="58"/>
  <c r="I460" i="37"/>
  <c r="J5" i="58"/>
  <c r="J5" i="37"/>
  <c r="H5" i="37"/>
  <c r="H5" i="58"/>
  <c r="N262" i="66"/>
  <c r="O262" i="66" s="1"/>
  <c r="R166" i="66"/>
  <c r="S166" i="66"/>
  <c r="P166" i="66"/>
  <c r="S22" i="66"/>
  <c r="R22" i="66"/>
  <c r="P22" i="66"/>
  <c r="I5" i="37"/>
  <c r="I5" i="58"/>
  <c r="N214" i="66"/>
  <c r="O214" i="66" s="1"/>
  <c r="P70" i="66"/>
  <c r="S70" i="66"/>
  <c r="O166" i="66"/>
  <c r="J445" i="41"/>
  <c r="J460" i="58"/>
  <c r="J460" i="37"/>
  <c r="Y22" i="66"/>
  <c r="Y166" i="66"/>
  <c r="Z166" i="66"/>
  <c r="Z22" i="66"/>
  <c r="O22" i="66"/>
  <c r="S118" i="66"/>
  <c r="P118" i="66"/>
  <c r="J460" i="41" l="1"/>
  <c r="I460" i="41"/>
  <c r="T166" i="66"/>
  <c r="I461" i="41"/>
  <c r="H460" i="41"/>
  <c r="Q262" i="66"/>
  <c r="R262" i="66" s="1"/>
  <c r="T262" i="66" s="1"/>
  <c r="Q214" i="66"/>
  <c r="R214" i="66" s="1"/>
  <c r="T214" i="66" s="1"/>
  <c r="H459" i="37"/>
  <c r="H459" i="58"/>
  <c r="I462" i="37"/>
  <c r="I462" i="58"/>
  <c r="Y262" i="66"/>
  <c r="Z118" i="66"/>
  <c r="I459" i="37"/>
  <c r="I459" i="58"/>
  <c r="J462" i="37"/>
  <c r="J462" i="58"/>
  <c r="J5" i="41"/>
  <c r="M52" i="39" s="1"/>
  <c r="E184" i="38" s="1"/>
  <c r="F116" i="66"/>
  <c r="E30" i="53"/>
  <c r="O118" i="66"/>
  <c r="H461" i="37"/>
  <c r="H461" i="58"/>
  <c r="E36" i="53"/>
  <c r="F260" i="66"/>
  <c r="Z262" i="66"/>
  <c r="Q22" i="66"/>
  <c r="Y118" i="66"/>
  <c r="H462" i="37"/>
  <c r="H462" i="58"/>
  <c r="J461" i="37"/>
  <c r="J461" i="58"/>
  <c r="T22" i="66"/>
  <c r="J459" i="37"/>
  <c r="J459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E52" i="39" l="1"/>
  <c r="E133" i="38" s="1"/>
  <c r="D30" i="53" s="1"/>
  <c r="F30" i="53" s="1"/>
  <c r="D52" i="39"/>
  <c r="E116" i="38" s="1"/>
  <c r="J68" i="66" s="1"/>
  <c r="H461" i="41"/>
  <c r="C52" i="39"/>
  <c r="E99" i="38" s="1"/>
  <c r="J459" i="41"/>
  <c r="D12" i="53"/>
  <c r="F12" i="53" s="1"/>
  <c r="H6" i="53" s="1"/>
  <c r="J164" i="66"/>
  <c r="H448" i="58"/>
  <c r="Q118" i="66"/>
  <c r="R118" i="66" s="1"/>
  <c r="T118" i="66" s="1"/>
  <c r="H459" i="41"/>
  <c r="H462" i="41"/>
  <c r="Q70" i="66"/>
  <c r="R70" i="66" s="1"/>
  <c r="T70" i="66" s="1"/>
  <c r="D36" i="53"/>
  <c r="F36" i="53" s="1"/>
  <c r="H30" i="53" s="1"/>
  <c r="J260" i="66"/>
  <c r="J448" i="58"/>
  <c r="D24" i="53"/>
  <c r="F24" i="53" s="1"/>
  <c r="H18" i="53" s="1"/>
  <c r="J212" i="66"/>
  <c r="I448" i="58"/>
  <c r="J462" i="41"/>
  <c r="J461" i="41"/>
  <c r="I459" i="41"/>
  <c r="I462" i="41"/>
  <c r="J448" i="37" l="1"/>
  <c r="J448" i="41" s="1"/>
  <c r="J116" i="66"/>
  <c r="I448" i="37"/>
  <c r="I448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48" i="37"/>
  <c r="H448" i="41" s="1"/>
  <c r="S260" i="66"/>
  <c r="S116" i="66" l="1"/>
  <c r="G18" i="53"/>
  <c r="E312" i="38" s="1"/>
  <c r="S20" i="66"/>
  <c r="H12" i="53"/>
  <c r="G12" i="53" s="1"/>
  <c r="G6" i="53"/>
  <c r="E342" i="38"/>
  <c r="E348" i="38"/>
  <c r="M260" i="66" s="1"/>
  <c r="E336" i="38"/>
  <c r="E330" i="38"/>
  <c r="E324" i="38"/>
  <c r="M212" i="66" s="1"/>
  <c r="E318" i="38"/>
  <c r="E306" i="38" l="1"/>
  <c r="I463" i="37" s="1"/>
  <c r="L260" i="66"/>
  <c r="J463" i="58"/>
  <c r="L212" i="66"/>
  <c r="I463" i="58"/>
  <c r="E282" i="38"/>
  <c r="E288" i="38"/>
  <c r="E294" i="38"/>
  <c r="E300" i="38"/>
  <c r="M164" i="66" s="1"/>
  <c r="M68" i="66"/>
  <c r="F25" i="39" s="1"/>
  <c r="C21" i="8"/>
  <c r="L116" i="66"/>
  <c r="J463" i="37"/>
  <c r="M116" i="66"/>
  <c r="G25" i="39" s="1"/>
  <c r="D21" i="8"/>
  <c r="L68" i="66" l="1"/>
  <c r="P68" i="66" s="1"/>
  <c r="J463" i="41"/>
  <c r="M20" i="66"/>
  <c r="B21" i="8"/>
  <c r="L20" i="66"/>
  <c r="H463" i="37"/>
  <c r="I463" i="41"/>
  <c r="N116" i="66"/>
  <c r="P116" i="66"/>
  <c r="P212" i="66"/>
  <c r="N212" i="66"/>
  <c r="L164" i="66"/>
  <c r="H463" i="58"/>
  <c r="P260" i="66"/>
  <c r="N260" i="66"/>
  <c r="N68" i="66" l="1"/>
  <c r="H463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V193" i="66"/>
  <c r="V49" i="66"/>
  <c r="U193" i="66"/>
  <c r="U49" i="66"/>
  <c r="V289" i="66"/>
  <c r="U241" i="66"/>
  <c r="V97" i="66"/>
  <c r="V241" i="66"/>
  <c r="U97" i="66"/>
  <c r="V145" i="66"/>
  <c r="U289" i="66"/>
  <c r="U145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X200" i="66" s="1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X123" i="66" s="1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X211" i="66" s="1"/>
  <c r="U163" i="66"/>
  <c r="U67" i="66"/>
  <c r="V67" i="66"/>
  <c r="V259" i="66"/>
  <c r="V115" i="66"/>
  <c r="U259" i="66"/>
  <c r="U115" i="66"/>
  <c r="U19" i="66"/>
  <c r="X260" i="66" l="1"/>
  <c r="X22" i="66"/>
  <c r="X196" i="66"/>
  <c r="X68" i="66"/>
  <c r="X226" i="66"/>
  <c r="X284" i="66"/>
  <c r="X217" i="66"/>
  <c r="X160" i="66"/>
  <c r="X29" i="66"/>
  <c r="X104" i="66"/>
  <c r="X105" i="66"/>
  <c r="X287" i="66"/>
  <c r="X89" i="66"/>
  <c r="X39" i="66"/>
  <c r="X255" i="66"/>
  <c r="X241" i="66"/>
  <c r="X107" i="66"/>
  <c r="X265" i="66"/>
  <c r="X231" i="66"/>
  <c r="X236" i="66"/>
  <c r="X285" i="66"/>
  <c r="X31" i="66"/>
  <c r="X127" i="66"/>
  <c r="X278" i="66"/>
  <c r="X289" i="66"/>
  <c r="X125" i="66"/>
  <c r="X27" i="66"/>
  <c r="X118" i="66"/>
  <c r="X120" i="66"/>
  <c r="X52" i="66"/>
  <c r="X82" i="66"/>
  <c r="X256" i="66"/>
  <c r="X271" i="66"/>
  <c r="X230" i="66"/>
  <c r="X49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93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145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X97" i="66"/>
  <c r="J4" i="58" l="1"/>
  <c r="J4" i="37"/>
  <c r="I4" i="37"/>
  <c r="I4" i="58"/>
  <c r="H4" i="58" l="1"/>
  <c r="H4" i="37"/>
  <c r="N4" i="58"/>
  <c r="E25" i="53"/>
  <c r="F197" i="66"/>
  <c r="L45" i="39"/>
  <c r="E19" i="53"/>
  <c r="I4" i="41"/>
  <c r="D45" i="39" s="1"/>
  <c r="F53" i="66"/>
  <c r="F101" i="66"/>
  <c r="E31" i="53"/>
  <c r="J4" i="41"/>
  <c r="E45" i="39" s="1"/>
  <c r="E37" i="53"/>
  <c r="O4" i="58"/>
  <c r="F245" i="66"/>
  <c r="M45" i="39"/>
  <c r="E59" i="39" l="1"/>
  <c r="E60" i="39" s="1"/>
  <c r="E56" i="39"/>
  <c r="E124" i="38"/>
  <c r="D56" i="39"/>
  <c r="E107" i="38"/>
  <c r="D59" i="39"/>
  <c r="D60" i="39" s="1"/>
  <c r="L59" i="39"/>
  <c r="L60" i="39" s="1"/>
  <c r="L56" i="39"/>
  <c r="E158" i="38"/>
  <c r="M56" i="39"/>
  <c r="E175" i="38"/>
  <c r="M59" i="39"/>
  <c r="M60" i="39" s="1"/>
  <c r="F5" i="66"/>
  <c r="E7" i="53"/>
  <c r="H4" i="41"/>
  <c r="K45" i="39" s="1"/>
  <c r="M4" i="58"/>
  <c r="F149" i="66"/>
  <c r="E13" i="53"/>
  <c r="C45" i="39" l="1"/>
  <c r="J197" i="66"/>
  <c r="D25" i="53"/>
  <c r="F25" i="53" s="1"/>
  <c r="I444" i="58"/>
  <c r="I452" i="58"/>
  <c r="L58" i="39"/>
  <c r="L57" i="39"/>
  <c r="K59" i="39"/>
  <c r="K60" i="39" s="1"/>
  <c r="E141" i="38"/>
  <c r="K56" i="39"/>
  <c r="D19" i="53"/>
  <c r="F19" i="53" s="1"/>
  <c r="H25" i="53" s="1"/>
  <c r="I452" i="37"/>
  <c r="I444" i="37"/>
  <c r="J53" i="66"/>
  <c r="E90" i="38"/>
  <c r="C59" i="39"/>
  <c r="C60" i="39" s="1"/>
  <c r="C56" i="39"/>
  <c r="D57" i="39"/>
  <c r="D58" i="39"/>
  <c r="J452" i="37"/>
  <c r="J444" i="37"/>
  <c r="J101" i="66"/>
  <c r="D31" i="53"/>
  <c r="F31" i="53" s="1"/>
  <c r="H37" i="53" s="1"/>
  <c r="J444" i="58"/>
  <c r="D37" i="53"/>
  <c r="F37" i="53" s="1"/>
  <c r="J245" i="66"/>
  <c r="J452" i="58"/>
  <c r="E57" i="39"/>
  <c r="E58" i="39"/>
  <c r="M58" i="39"/>
  <c r="M57" i="39"/>
  <c r="I457" i="37" l="1"/>
  <c r="F55" i="66"/>
  <c r="I452" i="41"/>
  <c r="W101" i="66"/>
  <c r="S101" i="66"/>
  <c r="F102" i="66"/>
  <c r="J467" i="37"/>
  <c r="J444" i="41"/>
  <c r="K57" i="39"/>
  <c r="K58" i="39"/>
  <c r="F103" i="66"/>
  <c r="J452" i="41"/>
  <c r="J457" i="37"/>
  <c r="J149" i="66"/>
  <c r="D13" i="53"/>
  <c r="F13" i="53" s="1"/>
  <c r="H7" i="53" s="1"/>
  <c r="H452" i="58"/>
  <c r="H444" i="58"/>
  <c r="C57" i="39"/>
  <c r="C58" i="39"/>
  <c r="J457" i="58"/>
  <c r="F247" i="66"/>
  <c r="I457" i="58"/>
  <c r="F199" i="66"/>
  <c r="W245" i="66"/>
  <c r="S245" i="66"/>
  <c r="H444" i="37"/>
  <c r="D7" i="53"/>
  <c r="F7" i="53" s="1"/>
  <c r="J5" i="66"/>
  <c r="H452" i="37"/>
  <c r="I444" i="41"/>
  <c r="F198" i="66"/>
  <c r="I467" i="58"/>
  <c r="G37" i="53"/>
  <c r="H31" i="53"/>
  <c r="G31" i="53" s="1"/>
  <c r="W53" i="66"/>
  <c r="S53" i="66"/>
  <c r="H19" i="53"/>
  <c r="G19" i="53" s="1"/>
  <c r="G25" i="53"/>
  <c r="J467" i="58"/>
  <c r="F246" i="66"/>
  <c r="I467" i="37"/>
  <c r="F54" i="66"/>
  <c r="S197" i="66"/>
  <c r="W197" i="66"/>
  <c r="L54" i="66" l="1"/>
  <c r="P54" i="66" s="1"/>
  <c r="I467" i="41"/>
  <c r="I457" i="41"/>
  <c r="I458" i="58"/>
  <c r="E379" i="38" s="1"/>
  <c r="K218" i="66" s="1"/>
  <c r="N218" i="66" s="1"/>
  <c r="E378" i="38"/>
  <c r="K199" i="66" s="1"/>
  <c r="N199" i="66" s="1"/>
  <c r="L198" i="66"/>
  <c r="P198" i="66" s="1"/>
  <c r="L246" i="66"/>
  <c r="P246" i="66" s="1"/>
  <c r="J458" i="58"/>
  <c r="E385" i="38" s="1"/>
  <c r="K266" i="66" s="1"/>
  <c r="N266" i="66" s="1"/>
  <c r="E384" i="38"/>
  <c r="K247" i="66" s="1"/>
  <c r="N247" i="66" s="1"/>
  <c r="H452" i="41"/>
  <c r="H457" i="37"/>
  <c r="F7" i="66"/>
  <c r="J467" i="41"/>
  <c r="O3" i="41" s="1"/>
  <c r="E319" i="38"/>
  <c r="E325" i="38"/>
  <c r="M197" i="66" s="1"/>
  <c r="W5" i="66"/>
  <c r="S5" i="66"/>
  <c r="L102" i="66"/>
  <c r="P102" i="66" s="1"/>
  <c r="E307" i="38"/>
  <c r="E313" i="38"/>
  <c r="G7" i="53"/>
  <c r="H13" i="53"/>
  <c r="G13" i="53" s="1"/>
  <c r="F150" i="66"/>
  <c r="H467" i="58"/>
  <c r="F6" i="66"/>
  <c r="H444" i="41"/>
  <c r="H467" i="37"/>
  <c r="H457" i="58"/>
  <c r="F151" i="66"/>
  <c r="S149" i="66"/>
  <c r="W149" i="66"/>
  <c r="E366" i="38"/>
  <c r="K103" i="66" s="1"/>
  <c r="N103" i="66" s="1"/>
  <c r="J457" i="41"/>
  <c r="J458" i="37"/>
  <c r="E337" i="38"/>
  <c r="E331" i="38"/>
  <c r="E349" i="38"/>
  <c r="M245" i="66" s="1"/>
  <c r="E343" i="38"/>
  <c r="E360" i="38"/>
  <c r="K55" i="66" s="1"/>
  <c r="N55" i="66" s="1"/>
  <c r="I458" i="37"/>
  <c r="N54" i="66" l="1"/>
  <c r="H467" i="41"/>
  <c r="M3" i="41" s="1"/>
  <c r="N246" i="66"/>
  <c r="Z55" i="66"/>
  <c r="L245" i="66"/>
  <c r="J464" i="58"/>
  <c r="E372" i="38"/>
  <c r="K151" i="66" s="1"/>
  <c r="N151" i="66" s="1"/>
  <c r="H458" i="58"/>
  <c r="E373" i="38" s="1"/>
  <c r="K170" i="66" s="1"/>
  <c r="N170" i="66" s="1"/>
  <c r="L101" i="66"/>
  <c r="J464" i="37"/>
  <c r="M101" i="66"/>
  <c r="G18" i="39" s="1"/>
  <c r="D22" i="8"/>
  <c r="J458" i="41"/>
  <c r="E367" i="38"/>
  <c r="K122" i="66" s="1"/>
  <c r="N122" i="66" s="1"/>
  <c r="L6" i="66"/>
  <c r="P6" i="66" s="1"/>
  <c r="V6" i="66" s="1"/>
  <c r="X6" i="66" s="1"/>
  <c r="N6" i="66"/>
  <c r="N198" i="66"/>
  <c r="O198" i="66" s="1"/>
  <c r="Y247" i="66"/>
  <c r="Z247" i="66"/>
  <c r="Z103" i="66"/>
  <c r="Y103" i="66"/>
  <c r="L150" i="66"/>
  <c r="P150" i="66" s="1"/>
  <c r="V150" i="66" s="1"/>
  <c r="X150" i="66" s="1"/>
  <c r="E301" i="38"/>
  <c r="M149" i="66" s="1"/>
  <c r="E295" i="38"/>
  <c r="L197" i="66"/>
  <c r="I464" i="58"/>
  <c r="E289" i="38"/>
  <c r="E283" i="38"/>
  <c r="M53" i="66"/>
  <c r="F18" i="39" s="1"/>
  <c r="C22" i="8"/>
  <c r="E361" i="38"/>
  <c r="K74" i="66" s="1"/>
  <c r="N74" i="66" s="1"/>
  <c r="I458" i="41"/>
  <c r="I464" i="37"/>
  <c r="L53" i="66"/>
  <c r="H458" i="37"/>
  <c r="H457" i="41"/>
  <c r="E354" i="38"/>
  <c r="K7" i="66" s="1"/>
  <c r="N7" i="66" s="1"/>
  <c r="Z54" i="66"/>
  <c r="Z199" i="66"/>
  <c r="Y199" i="66"/>
  <c r="Y55" i="66"/>
  <c r="N102" i="66"/>
  <c r="Y54" i="66" l="1"/>
  <c r="O54" i="66"/>
  <c r="Z198" i="66"/>
  <c r="I464" i="41"/>
  <c r="Y198" i="66"/>
  <c r="N150" i="66"/>
  <c r="O150" i="66" s="1"/>
  <c r="U150" i="66" s="1"/>
  <c r="J464" i="41"/>
  <c r="P197" i="66"/>
  <c r="N197" i="66"/>
  <c r="H464" i="58"/>
  <c r="L149" i="66"/>
  <c r="Y266" i="66"/>
  <c r="Z122" i="66"/>
  <c r="Y122" i="66"/>
  <c r="Z266" i="66"/>
  <c r="H458" i="41"/>
  <c r="E355" i="38"/>
  <c r="K26" i="66" s="1"/>
  <c r="N26" i="66" s="1"/>
  <c r="Z102" i="66"/>
  <c r="Z246" i="66"/>
  <c r="Y102" i="66"/>
  <c r="O102" i="66"/>
  <c r="Y246" i="66"/>
  <c r="P53" i="66"/>
  <c r="N53" i="66"/>
  <c r="O246" i="66"/>
  <c r="Z74" i="66"/>
  <c r="Y74" i="66"/>
  <c r="Z218" i="66"/>
  <c r="Y218" i="66"/>
  <c r="P101" i="66"/>
  <c r="N101" i="66"/>
  <c r="V54" i="66"/>
  <c r="X54" i="66" s="1"/>
  <c r="U54" i="66"/>
  <c r="Q54" i="66"/>
  <c r="L5" i="66"/>
  <c r="H464" i="37"/>
  <c r="V198" i="66"/>
  <c r="X198" i="66" s="1"/>
  <c r="U198" i="66"/>
  <c r="Q198" i="66"/>
  <c r="Z151" i="66"/>
  <c r="Y7" i="66"/>
  <c r="Z7" i="66"/>
  <c r="Y151" i="66"/>
  <c r="B22" i="8"/>
  <c r="M5" i="66"/>
  <c r="O6" i="66"/>
  <c r="Y6" i="66"/>
  <c r="Z6" i="66"/>
  <c r="Z150" i="66"/>
  <c r="Y150" i="66"/>
  <c r="P245" i="66"/>
  <c r="N245" i="66"/>
  <c r="O245" i="66" l="1"/>
  <c r="V245" i="66" s="1"/>
  <c r="X245" i="66" s="1"/>
  <c r="Q150" i="66"/>
  <c r="H464" i="41"/>
  <c r="Y170" i="66"/>
  <c r="Y26" i="66"/>
  <c r="Z26" i="66"/>
  <c r="Z170" i="66"/>
  <c r="Q246" i="66"/>
  <c r="U246" i="66"/>
  <c r="V246" i="66"/>
  <c r="X246" i="66" s="1"/>
  <c r="R5" i="66"/>
  <c r="T5" i="66" s="1"/>
  <c r="P5" i="66"/>
  <c r="V5" i="66" s="1"/>
  <c r="X5" i="66" s="1"/>
  <c r="N5" i="66"/>
  <c r="Q6" i="66"/>
  <c r="U6" i="66"/>
  <c r="Y53" i="66"/>
  <c r="O53" i="66"/>
  <c r="Z53" i="66"/>
  <c r="Z197" i="66"/>
  <c r="Y197" i="66"/>
  <c r="R149" i="66"/>
  <c r="T149" i="66" s="1"/>
  <c r="P149" i="66"/>
  <c r="V149" i="66" s="1"/>
  <c r="X149" i="66" s="1"/>
  <c r="N149" i="66"/>
  <c r="Y245" i="66"/>
  <c r="Z101" i="66"/>
  <c r="Y101" i="66"/>
  <c r="O101" i="66"/>
  <c r="Z245" i="66"/>
  <c r="U102" i="66"/>
  <c r="Q102" i="66"/>
  <c r="V102" i="66"/>
  <c r="X102" i="66" s="1"/>
  <c r="O197" i="66"/>
  <c r="U245" i="66" l="1"/>
  <c r="Q245" i="66"/>
  <c r="R245" i="66" s="1"/>
  <c r="T245" i="66" s="1"/>
  <c r="O149" i="66"/>
  <c r="Q149" i="66" s="1"/>
  <c r="Q197" i="66"/>
  <c r="R197" i="66" s="1"/>
  <c r="T197" i="66" s="1"/>
  <c r="V197" i="66"/>
  <c r="X197" i="66" s="1"/>
  <c r="U197" i="66"/>
  <c r="U53" i="66"/>
  <c r="V53" i="66"/>
  <c r="X53" i="66" s="1"/>
  <c r="Q53" i="66"/>
  <c r="R53" i="66" s="1"/>
  <c r="T53" i="66" s="1"/>
  <c r="Q101" i="66"/>
  <c r="R101" i="66" s="1"/>
  <c r="T101" i="66" s="1"/>
  <c r="V101" i="66"/>
  <c r="X101" i="66" s="1"/>
  <c r="U101" i="66"/>
  <c r="Y149" i="66"/>
  <c r="Z149" i="66"/>
  <c r="O5" i="66"/>
  <c r="Y5" i="66"/>
  <c r="Z5" i="66"/>
  <c r="U149" i="66" l="1"/>
  <c r="U5" i="66"/>
  <c r="Q5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0" authorId="0" shapeId="0" xr:uid="{ADB07B3F-34C1-4198-8B3C-B662D754346F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Sat til 48% i basisåret for at nå 0.14 PJ til energiproduktion (efter ENS' energistatistik) og 110.000 ton biodiesel produceret på rapsolie i følge "Fagligt grundlag for fødevareministerens besvarelse af tre spørgsmål om produktion og import af proteinfoderkager fra raps", Morten Gylling, 2020.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<sst xmlns="http://schemas.openxmlformats.org/spreadsheetml/2006/main" count="4029" uniqueCount="339">
  <si>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</si>
  <si>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</si>
  <si>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</si>
  <si>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</si>
  <si>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</si>
  <si>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</si>
  <si>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</si>
  <si>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</si>
  <si>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</si>
  <si>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</si>
  <si>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</si>
  <si>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</si>
  <si>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</si>
  <si>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</si>
  <si>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</si>
  <si>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</si>
  <si>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</si>
  <si>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</si>
  <si>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</si>
  <si>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</si>
  <si>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</si>
  <si>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</si>
  <si>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</si>
  <si>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</si>
  <si>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</si>
  <si>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</si>
  <si>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</si>
  <si>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</si>
  <si>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</si>
  <si>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</si>
  <si>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</si>
  <si>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</si>
  <si>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</si>
  <si>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</si>
  <si>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</si>
  <si>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</si>
  <si>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</si>
  <si>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</si>
  <si>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</si>
  <si>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</si>
  <si>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</si>
  <si>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</si>
  <si>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</si>
  <si>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</si>
  <si>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</si>
  <si>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</si>
  <si>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</si>
  <si>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</si>
  <si>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</si>
  <si>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</si>
  <si>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</si>
  <si>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</si>
  <si>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</si>
  <si>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</si>
  <si>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</si>
  <si>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</si>
  <si>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</si>
  <si>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</si>
  <si>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</si>
  <si>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</si>
  <si>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</si>
  <si>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</si>
  <si>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</si>
  <si>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</si>
  <si>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</si>
  <si>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</si>
  <si>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Antaget samme stigning som for afgrøder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</si>
  <si>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</si>
  <si>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</si>
  <si>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</si>
  <si>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</si>
  <si>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</si>
  <si>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</si>
  <si>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</si>
  <si>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</si>
  <si>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</si>
  <si>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</si>
  <si>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</si>
  <si>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</si>
  <si>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</si>
  <si>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</si>
  <si>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</si>
  <si>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</si>
  <si>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</si>
  <si>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</si>
  <si>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</si>
  <si>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</si>
  <si>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</si>
  <si>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</si>
  <si>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</si>
  <si>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</si>
  <si>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</si>
  <si>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</si>
  <si>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</si>
  <si>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</si>
  <si>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</si>
  <si>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</si>
  <si>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</si>
  <si>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</si>
  <si>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</si>
  <si>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</si>
  <si>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</si>
  <si>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</si>
  <si>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</si>
  <si>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</si>
  <si>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</si>
  <si>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</si>
  <si>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</si>
  <si>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</si>
  <si>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</si>
  <si>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</si>
  <si>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</si>
  <si>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</si>
  <si>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</si>
  <si>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</si>
  <si>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</si>
  <si>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</si>
  <si>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</si>
  <si>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</si>
  <si>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</si>
  <si>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</si>
  <si>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</si>
  <si>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</si>
  <si>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</si>
  <si>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</si>
  <si>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</si>
  <si>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</si>
  <si>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</si>
  <si>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</si>
  <si>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</si>
  <si>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</si>
  <si>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</si>
  <si>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</si>
  <si>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</si>
  <si>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</si>
  <si>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</si>
  <si>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</si>
  <si>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</si>
  <si>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</si>
  <si>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</si>
  <si>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</si>
  <si>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</si>
  <si>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</si>
  <si>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</si>
  <si>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</si>
  <si>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</si>
  <si>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</si>
  <si>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</si>
  <si>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</si>
  <si>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</si>
  <si>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</si>
  <si>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</si>
  <si>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</si>
  <si>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</si>
  <si>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</si>
  <si>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</si>
  <si>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</si>
  <si>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</si>
  <si>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</si>
  <si>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</si>
  <si>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</si>
  <si>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</si>
  <si>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</si>
  <si>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</si>
  <si>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</si>
  <si>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</si>
  <si>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</si>
  <si>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</si>
  <si>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</si>
  <si>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</si>
  <si>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</si>
  <si>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</si>
  <si>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</si>
  <si>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</si>
  <si>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</si>
  <si>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</si>
  <si>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</si>
  <si>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Produktion af træ til materialer og til energi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</si>
  <si>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</si>
  <si>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</si>
  <si>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</si>
  <si>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</si>
  <si>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</si>
  <si>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</si>
  <si>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</si>
  <si>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</si>
  <si>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</si>
  <si>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</si>
  <si>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</si>
  <si>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</si>
  <si>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</si>
  <si>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</si>
  <si>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</si>
  <si>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</si>
  <si>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</si>
  <si>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</si>
  <si>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</si>
  <si>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</si>
  <si>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</si>
  <si>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</si>
  <si>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</si>
  <si>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</si>
  <si>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</si>
  <si>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</si>
  <si>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</si>
  <si>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</si>
  <si>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</si>
  <si>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</si>
  <si>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</si>
  <si>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</si>
  <si>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</si>
  <si>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</si>
  <si>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</si>
  <si>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</si>
  <si>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</si>
  <si>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</si>
  <si>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</si>
  <si>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</si>
  <si>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</si>
  <si>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</si>
  <si>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</si>
  <si>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</si>
  <si>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</si>
  <si>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</si>
  <si>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</si>
  <si>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</si>
  <si>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</si>
  <si>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</si>
  <si>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</si>
  <si>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</si>
  <si>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</si>
  <si>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</si>
  <si>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</si>
  <si>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</si>
  <si>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</si>
  <si>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</si>
  <si>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</si>
  <si>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</si>
  <si>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</si>
  <si>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</si>
  <si>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</si>
  <si>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</si>
  <si>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</si>
  <si>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</si>
  <si>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</si>
  <si>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</si>
  <si>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</si>
  <si>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</si>
  <si>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</si>
  <si>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</si>
  <si>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</si>
  <si>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</si>
  <si>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Avancerede ark</t>
  </si>
  <si>
    <t>Her rettes kun, hvis der tilføjes nye processer eller input typer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</si>
  <si>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</si>
  <si>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</si>
  <si>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</si>
  <si>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</si>
  <si>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</si>
  <si>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</si>
  <si>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</si>
  <si>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</si>
  <si>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</si>
  <si>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</si>
  <si>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</si>
  <si>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</si>
  <si>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</si>
  <si>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</si>
  <si>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</si>
  <si>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</si>
  <si>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</si>
  <si>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</si>
  <si>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</si>
  <si>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</si>
  <si>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2019 er skaleret til at ramme DST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</si>
  <si>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</si>
  <si>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</si>
  <si>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</si>
  <si>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</si>
  <si>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</si>
  <si>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</si>
  <si>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</si>
  <si>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</si>
  <si>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</si>
  <si>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</si>
  <si>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</si>
  <si>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</si>
  <si>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</si>
  <si>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</si>
  <si>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</si>
  <si>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</si>
  <si>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</si>
  <si>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</si>
  <si>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</si>
  <si>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</si>
  <si>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</si>
  <si>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</si>
  <si>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</si>
  <si>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</si>
  <si>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</si>
  <si>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</si>
  <si>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</si>
  <si>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</si>
  <si>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</si>
  <si>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</si>
  <si>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</si>
  <si>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</si>
  <si>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</si>
  <si>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</si>
  <si>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</si>
  <si>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</si>
  <si>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</si>
  <si>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</si>
  <si>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</si>
  <si>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</si>
  <si>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</si>
  <si>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</si>
  <si>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</si>
  <si>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</si>
  <si>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</si>
  <si>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</si>
  <si>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</si>
  <si>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</si>
  <si>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</si>
  <si>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</si>
  <si>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</si>
  <si>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</si>
  <si>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</si>
  <si>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</si>
  <si>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</si>
  <si>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</si>
  <si>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</si>
  <si>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</si>
  <si>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</si>
  <si>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</si>
  <si>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</si>
  <si>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</si>
  <si>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Overskydende produkt må antages at blive brugt til fødevareindustrien m.m.</t>
  </si>
  <si>
    <t>BAU-scenariet fra MFVM-projekt minus 20% husdyrhold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</si>
</sst>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375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Alignment="1">
      <alignment wrapText="1"/>
    </xf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9" fontId="15" fillId="4" borderId="0" xfId="0" applyNumberFormat="1" applyFont="1" applyFill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9" xfId="0" applyFill="1" applyBorder="1"/>
    <xf numFmtId="9" fontId="0" fillId="4" borderId="19" xfId="2" applyFont="1" applyFill="1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19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6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1.xml"/><Relationship Id="rId40" Type="http://schemas.openxmlformats.org/officeDocument/2006/relationships/pivotCacheDefinition" Target="pivotCache/pivotCacheDefinition4.xml"/><Relationship Id="rId45" Type="http://schemas.openxmlformats.org/officeDocument/2006/relationships/theme" Target="theme/theme1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8.xml"/><Relationship Id="rId5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7.xml"/><Relationship Id="rId48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2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078843248431417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590504082585109"/>
          <c:y val="0.13122832094326414"/>
          <c:w val="0.73409495917414891"/>
          <c:h val="0.5578173310358061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-673285.95920501021</c:v>
                </c:pt>
                <c:pt idx="2">
                  <c:v>-1552855.8846793412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-341939.42443845799</c:v>
                </c:pt>
                <c:pt idx="2">
                  <c:v>-333215.41168781015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12662850.806285977</c:v>
                </c:pt>
                <c:pt idx="2">
                  <c:v>11673273.753400896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8.9178901576943997E-2"/>
              <c:y val="0.34263203211542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19.802671473587463</c:v>
                </c:pt>
                <c:pt idx="2">
                  <c:v>19.897035061438991</c:v>
                </c:pt>
                <c:pt idx="3">
                  <c:v>7.483154704207001</c:v>
                </c:pt>
                <c:pt idx="4">
                  <c:v>5.2940684669341902</c:v>
                </c:pt>
                <c:pt idx="5">
                  <c:v>5.3606050360007158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29.979193434395683</c:v>
                </c:pt>
                <c:pt idx="2">
                  <c:v>28.335669039324991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34.963307596754014</c:v>
                </c:pt>
                <c:pt idx="2">
                  <c:v>32.884136275413141</c:v>
                </c:pt>
                <c:pt idx="3">
                  <c:v>0.45076703431999998</c:v>
                </c:pt>
                <c:pt idx="4">
                  <c:v>0.45076703432000004</c:v>
                </c:pt>
                <c:pt idx="5">
                  <c:v>0.45076703432000009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2.0687027810954168</c:v>
                </c:pt>
                <c:pt idx="2">
                  <c:v>2.1371305709880617</c:v>
                </c:pt>
                <c:pt idx="3">
                  <c:v>5.0922829580050024</c:v>
                </c:pt>
                <c:pt idx="4">
                  <c:v>10.028349209867528</c:v>
                </c:pt>
                <c:pt idx="5">
                  <c:v>9.9363705968314342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41.352452170508407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1.5668530772911572E-2"/>
          <c:w val="0.80231790500786004"/>
          <c:h val="0.5337259617287528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1139180.7875059044</c:v>
                </c:pt>
                <c:pt idx="2">
                  <c:v>1157844.6374687571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3537128.2942940318</c:v>
                </c:pt>
                <c:pt idx="2">
                  <c:v>3352429.5178153403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3047158.8251946424</c:v>
                </c:pt>
                <c:pt idx="2">
                  <c:v>2867722.9948248072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1663095.0398237593</c:v>
                </c:pt>
                <c:pt idx="2">
                  <c:v>1661950.46181102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1366366.1366558613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57932.073783145664</c:v>
                </c:pt>
                <c:pt idx="5">
                  <c:v>57932.073783145672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1204392.371220411</c:v>
                </c:pt>
                <c:pt idx="2">
                  <c:v>1262014.3338818299</c:v>
                </c:pt>
                <c:pt idx="15">
                  <c:v>823764.99285714305</c:v>
                </c:pt>
                <c:pt idx="16">
                  <c:v>455948.54053344129</c:v>
                </c:pt>
                <c:pt idx="17">
                  <c:v>477762.56925526413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3617.1712242793342</c:v>
                </c:pt>
                <c:pt idx="2">
                  <c:v>3735.45204794039</c:v>
                </c:pt>
                <c:pt idx="15">
                  <c:v>3362.8500000000004</c:v>
                </c:pt>
                <c:pt idx="16">
                  <c:v>2738.7153555257819</c:v>
                </c:pt>
                <c:pt idx="17">
                  <c:v>2828.2708362977232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10991806.388216011</c:v>
                </c:pt>
                <c:pt idx="5">
                  <c:v>10991806.388216011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75934.000000000015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694380.27326187096</c:v>
                </c:pt>
                <c:pt idx="5">
                  <c:v>694380.27326187096</c:v>
                </c:pt>
                <c:pt idx="9">
                  <c:v>1893765.2125355615</c:v>
                </c:pt>
                <c:pt idx="10">
                  <c:v>2142228.3524030885</c:v>
                </c:pt>
                <c:pt idx="11">
                  <c:v>2039826.6812849408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4336859.4123771554</c:v>
                </c:pt>
                <c:pt idx="5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725968.00000000012</c:v>
                </c:pt>
                <c:pt idx="2">
                  <c:v>723032.00000000012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5280669.4477609023</c:v>
                </c:pt>
                <c:pt idx="5">
                  <c:v>5280669.4477609023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8455021.8174732123</c:v>
                </c:pt>
                <c:pt idx="2">
                  <c:v>8293462.2488436466</c:v>
                </c:pt>
                <c:pt idx="15">
                  <c:v>6423924.8458333323</c:v>
                </c:pt>
                <c:pt idx="16">
                  <c:v>1768879.5644450537</c:v>
                </c:pt>
                <c:pt idx="17">
                  <c:v>1735079.6020607101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1361403.7339039231</c:v>
                </c:pt>
                <c:pt idx="5">
                  <c:v>1361403.7339039231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5081125.638063401</c:v>
                </c:pt>
                <c:pt idx="5">
                  <c:v>5081125.638063401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755530.79558852478</c:v>
                </c:pt>
                <c:pt idx="5">
                  <c:v>755530.79558852478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35402.933978589019</c:v>
                </c:pt>
                <c:pt idx="5">
                  <c:v>35402.933978589019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2765437.867297628</c:v>
                </c:pt>
                <c:pt idx="2">
                  <c:v>2880969.7698136596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7317872.3979037404</c:v>
                </c:pt>
                <c:pt idx="2">
                  <c:v>7005959.4247079371</c:v>
                </c:pt>
                <c:pt idx="15">
                  <c:v>14742130.666666664</c:v>
                </c:pt>
                <c:pt idx="16">
                  <c:v>6489434.013235392</c:v>
                </c:pt>
                <c:pt idx="17">
                  <c:v>6212831.9426655285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2586246.4663030161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192302.30047460849</c:v>
                </c:pt>
                <c:pt idx="5">
                  <c:v>192302.30047460849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16819605.005375024</c:v>
                </c:pt>
                <c:pt idx="17">
                  <c:v>16405946.393493332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1108490.5539925825</c:v>
                </c:pt>
                <c:pt idx="16">
                  <c:v>1250598.08486075</c:v>
                </c:pt>
                <c:pt idx="17">
                  <c:v>1211187.9061807538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45-47C1-9EE1-58708F97A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1108490.5539925825</c:v>
                </c:pt>
                <c:pt idx="1">
                  <c:v>1250598.08486075</c:v>
                </c:pt>
                <c:pt idx="2">
                  <c:v>1211187.9061807538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240738.79472010836</c:v>
                </c:pt>
                <c:pt idx="2">
                  <c:v>230377.75918826333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2948279.9748971234</c:v>
                </c:pt>
                <c:pt idx="2">
                  <c:v>3088580.6906975764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7576872.8456154009</c:v>
                </c:pt>
                <c:pt idx="2">
                  <c:v>7186166.448623132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3743700.5343613457</c:v>
                </c:pt>
                <c:pt idx="2">
                  <c:v>3445654.0507503473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2961150.4845719668</c:v>
                </c:pt>
                <c:pt idx="2">
                  <c:v>2759146.6428546174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1992661.9607506471</c:v>
                </c:pt>
                <c:pt idx="2">
                  <c:v>1919162.7967223886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3272565.4875000007</c:v>
                </c:pt>
                <c:pt idx="1">
                  <c:v>901127.32528332912</c:v>
                </c:pt>
                <c:pt idx="2">
                  <c:v>883908.47652149468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1078.6499999999999</c:v>
                </c:pt>
                <c:pt idx="1">
                  <c:v>878.45586875355229</c:v>
                </c:pt>
                <c:pt idx="2">
                  <c:v>907.18121164266609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558-400D-BF8D-21AF5E59CD25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163796.94774542924</c:v>
                </c:pt>
                <c:pt idx="2">
                  <c:v>151799.26731689228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[BAUm20.xlsm]Arealanvendelse - pivot!PivotTable1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483753241724072"/>
          <c:y val="3.866687871155608E-2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Arealanvendelse, 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[BAUm20.xlsm]CO2-pivot!PivotTable1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894262323288255E-2"/>
          <c:y val="3.5842241235597434E-2"/>
          <c:w val="0.57935743530167183"/>
          <c:h val="0.8818160749853769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B7-4F79-958E-DED4D3A0C209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B7-4F79-958E-DED4D3A0C209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B7-4F79-958E-DED4D3A0C209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-673285.95920501021</c:v>
                </c:pt>
                <c:pt idx="2">
                  <c:v>-1552855.8846793412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B7-4F79-958E-DED4D3A0C209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-341939.42443845799</c:v>
                </c:pt>
                <c:pt idx="2">
                  <c:v>-333215.41168781015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3-44B5-8349-8FA716253940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4-48F5-81B3-742DD944B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12662850.806285977</c:v>
                </c:pt>
                <c:pt idx="2">
                  <c:v>11673273.753400896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B7-4F79-958E-DED4D3A0C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2725344644750796E-2"/>
                <c:y val="0.19178906504152157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CO2e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[BAUm20.xlsm]Pivot chart - landbrug!PivotTable1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3.8366512484762964E-2"/>
          <c:w val="0.62291424819995034"/>
          <c:h val="0.688755180560832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6-4978-988F-EEA50195553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82-4777-9F9A-F8EF4C3D28C7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82-4777-9F9A-F8EF4C3D28C7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82-4777-9F9A-F8EF4C3D28C7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82-4777-9F9A-F8EF4C3D28C7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82-4777-9F9A-F8EF4C3D28C7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82-4777-9F9A-F8EF4C3D28C7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82-4777-9F9A-F8EF4C3D28C7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82-4777-9F9A-F8EF4C3D28C7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82-4777-9F9A-F8EF4C3D28C7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82-4777-9F9A-F8EF4C3D28C7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82-4777-9F9A-F8EF4C3D28C7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82-4777-9F9A-F8EF4C3D28C7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2-48BF-9797-C64F3AFCC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3.1803441627364426E-2"/>
              <c:y val="0.233507390523552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18035986470926"/>
          <c:y val="2.789550988015134E-2"/>
          <c:w val="0.17324210098683013"/>
          <c:h val="0.82485519051497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666836471793347"/>
          <c:y val="3.5189263012359001E-2"/>
          <c:w val="0.57376891431380739"/>
          <c:h val="0.851727492932278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'Landbrugsareal - resultat'!$W$3</c:f>
              <c:strCache>
                <c:ptCount val="1"/>
                <c:pt idx="0">
                  <c:v>Svin - konventionel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resultat'!$X$3:$Z$3</c:f>
              <c:numCache>
                <c:formatCode>0</c:formatCode>
                <c:ptCount val="3"/>
                <c:pt idx="0">
                  <c:v>11808068</c:v>
                </c:pt>
                <c:pt idx="1">
                  <c:v>9597731.076909367</c:v>
                </c:pt>
                <c:pt idx="2">
                  <c:v>9238493.3130771164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8-4339-9D67-4F6A093C40DE}"/>
            </c:ext>
          </c:extLst>
        </c:ser>
        <c:ser>
          <c:idx val="1"/>
          <c:order val="1"/>
          <c:tx>
            <c:strRef>
              <c:f>'Landbrugsareal - resultat'!$W$4</c:f>
              <c:strCache>
                <c:ptCount val="1"/>
                <c:pt idx="0">
                  <c:v>Køer - konventionel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resultat'!$X$4:$Z$4</c:f>
              <c:numCache>
                <c:formatCode>0</c:formatCode>
                <c:ptCount val="3"/>
                <c:pt idx="0">
                  <c:v>1267084</c:v>
                </c:pt>
                <c:pt idx="1">
                  <c:v>1002383.4251010446</c:v>
                </c:pt>
                <c:pt idx="2">
                  <c:v>953433.53878271766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8-4339-9D67-4F6A093C40DE}"/>
            </c:ext>
          </c:extLst>
        </c:ser>
        <c:ser>
          <c:idx val="2"/>
          <c:order val="2"/>
          <c:tx>
            <c:strRef>
              <c:f>'Landbrugsareal - resultat'!$W$5</c:f>
              <c:strCache>
                <c:ptCount val="1"/>
                <c:pt idx="0">
                  <c:v>Fjerkræ - konventionel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resultat'!$X$5:$Z$5</c:f>
              <c:numCache>
                <c:formatCode>0</c:formatCode>
                <c:ptCount val="3"/>
                <c:pt idx="0">
                  <c:v>19782594</c:v>
                </c:pt>
                <c:pt idx="1">
                  <c:v>15770289.144075628</c:v>
                </c:pt>
                <c:pt idx="2">
                  <c:v>15029002.18033967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D8-4339-9D67-4F6A093C40DE}"/>
            </c:ext>
          </c:extLst>
        </c:ser>
        <c:ser>
          <c:idx val="3"/>
          <c:order val="3"/>
          <c:tx>
            <c:strRef>
              <c:f>'Landbrugsareal - resultat'!$W$6</c:f>
              <c:strCache>
                <c:ptCount val="1"/>
                <c:pt idx="0">
                  <c:v>Svin - økologisk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resultat'!$X$6:$Z$6</c:f>
              <c:numCache>
                <c:formatCode>0</c:formatCode>
                <c:ptCount val="3"/>
                <c:pt idx="0">
                  <c:v>490924</c:v>
                </c:pt>
                <c:pt idx="1">
                  <c:v>552772.32309063291</c:v>
                </c:pt>
                <c:pt idx="2">
                  <c:v>912010.08692288375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D8-4339-9D67-4F6A093C40DE}"/>
            </c:ext>
          </c:extLst>
        </c:ser>
        <c:ser>
          <c:idx val="4"/>
          <c:order val="4"/>
          <c:tx>
            <c:strRef>
              <c:f>'Landbrugsareal - resultat'!$W$7</c:f>
              <c:strCache>
                <c:ptCount val="1"/>
                <c:pt idx="0">
                  <c:v>Køer - økologisk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resultat'!$X$7:$Z$7</c:f>
              <c:numCache>
                <c:formatCode>0</c:formatCode>
                <c:ptCount val="3"/>
                <c:pt idx="0">
                  <c:v>224348</c:v>
                </c:pt>
                <c:pt idx="1">
                  <c:v>210555.77489895534</c:v>
                </c:pt>
                <c:pt idx="2">
                  <c:v>259505.66121728224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D8-4339-9D67-4F6A093C40DE}"/>
            </c:ext>
          </c:extLst>
        </c:ser>
        <c:ser>
          <c:idx val="5"/>
          <c:order val="5"/>
          <c:tx>
            <c:strRef>
              <c:f>'Landbrugsareal - resultat'!$W$8</c:f>
              <c:strCache>
                <c:ptCount val="1"/>
                <c:pt idx="0">
                  <c:v>Fjerkræ - økologisk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resultat'!$X$8:$Z$8</c:f>
              <c:numCache>
                <c:formatCode>0</c:formatCode>
                <c:ptCount val="3"/>
                <c:pt idx="0">
                  <c:v>3277287</c:v>
                </c:pt>
                <c:pt idx="1">
                  <c:v>3034725.0559243709</c:v>
                </c:pt>
                <c:pt idx="2">
                  <c:v>3776012.0196603313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D8-4339-9D67-4F6A093C4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1789343"/>
        <c:axId val="291789263"/>
      </c:barChart>
      <c:catAx>
        <c:axId val="8917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91789263"/>
        <c:crosses val="autoZero"/>
        <c:auto val="1"/>
        <c:lblAlgn val="ctr"/>
        <c:lblOffset val="100"/>
        <c:noMultiLvlLbl val="0"/>
      </c:catAx>
      <c:valAx>
        <c:axId val="29178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Gennemsnitligt antal levende dyr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9178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180579926010261"/>
          <c:y val="5.5163085657459601E-2"/>
          <c:w val="0.22464062114525613"/>
          <c:h val="0.827026995030346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[BAUm20.xlsm]Produktion afgrøder-pivot!PivotTable1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'Produktion afgrøder-pivot'!$B$3:$B$4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afgrøder-pivot'!$B$5:$B$8</c:f>
              <c:numCache>
                <c:formatCode>#,##0</c:formatCode>
                <c:ptCount val="3"/>
                <c:pt idx="0">
                  <c:v>285126.10198467888</c:v>
                </c:pt>
                <c:pt idx="1">
                  <c:v>298670.86850325402</c:v>
                </c:pt>
                <c:pt idx="2">
                  <c:v>288309.83297140902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6-400A-9F9A-9416FC3ADDC4}"/>
            </c:ext>
          </c:extLst>
        </c:ser>
        <c:ser>
          <c:idx val="1"/>
          <c:order val="1"/>
          <c:tx>
            <c:strRef>
              <c:f>'Produktion afgrøder-pivot'!$C$3:$C$4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afgrøder-pivot'!$C$5:$C$8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46-400A-9F9A-9416FC3ADDC4}"/>
            </c:ext>
          </c:extLst>
        </c:ser>
        <c:ser>
          <c:idx val="2"/>
          <c:order val="2"/>
          <c:tx>
            <c:strRef>
              <c:f>'Produktion afgrøder-pivot'!$D$3:$D$4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afgrøder-pivot'!$D$5:$D$8</c:f>
              <c:numCache>
                <c:formatCode>#,##0</c:formatCode>
                <c:ptCount val="3"/>
                <c:pt idx="0">
                  <c:v>41727.889892771527</c:v>
                </c:pt>
                <c:pt idx="1">
                  <c:v>43803.458803853013</c:v>
                </c:pt>
                <c:pt idx="2">
                  <c:v>42424.518206894441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46-400A-9F9A-9416FC3ADDC4}"/>
            </c:ext>
          </c:extLst>
        </c:ser>
        <c:ser>
          <c:idx val="3"/>
          <c:order val="3"/>
          <c:tx>
            <c:strRef>
              <c:f>'Produktion afgrøder-pivot'!$E$3:$E$4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afgrøder-pivot'!$E$5:$E$8</c:f>
              <c:numCache>
                <c:formatCode>#,##0</c:formatCode>
                <c:ptCount val="3"/>
                <c:pt idx="0">
                  <c:v>17943438.695570182</c:v>
                </c:pt>
                <c:pt idx="1">
                  <c:v>18654356.233831409</c:v>
                </c:pt>
                <c:pt idx="2">
                  <c:v>18263649.836839143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46-400A-9F9A-9416FC3ADDC4}"/>
            </c:ext>
          </c:extLst>
        </c:ser>
        <c:ser>
          <c:idx val="4"/>
          <c:order val="4"/>
          <c:tx>
            <c:strRef>
              <c:f>'Produktion afgrøder-pivot'!$F$3:$F$4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afgrøder-pivot'!$F$5:$F$8</c:f>
              <c:numCache>
                <c:formatCode>#,##0</c:formatCode>
                <c:ptCount val="3"/>
                <c:pt idx="0">
                  <c:v>280609.42145294487</c:v>
                </c:pt>
                <c:pt idx="1">
                  <c:v>293077.80040045816</c:v>
                </c:pt>
                <c:pt idx="2">
                  <c:v>283588.43409804988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46-400A-9F9A-9416FC3ADDC4}"/>
            </c:ext>
          </c:extLst>
        </c:ser>
        <c:ser>
          <c:idx val="5"/>
          <c:order val="5"/>
          <c:tx>
            <c:strRef>
              <c:f>'Produktion afgrøder-pivot'!$G$3:$G$4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afgrøder-pivot'!$G$5:$G$8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46-400A-9F9A-9416FC3ADDC4}"/>
            </c:ext>
          </c:extLst>
        </c:ser>
        <c:ser>
          <c:idx val="6"/>
          <c:order val="6"/>
          <c:tx>
            <c:strRef>
              <c:f>'Produktion afgrøder-pivot'!$H$3:$H$4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afgrøder-pivot'!$H$5:$H$8</c:f>
              <c:numCache>
                <c:formatCode>#,##0</c:formatCode>
                <c:ptCount val="3"/>
                <c:pt idx="0">
                  <c:v>2262318.840633567</c:v>
                </c:pt>
                <c:pt idx="1">
                  <c:v>2364698.6095565544</c:v>
                </c:pt>
                <c:pt idx="2">
                  <c:v>2282322.3336660713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46-400A-9F9A-9416FC3ADDC4}"/>
            </c:ext>
          </c:extLst>
        </c:ser>
        <c:ser>
          <c:idx val="7"/>
          <c:order val="7"/>
          <c:tx>
            <c:strRef>
              <c:f>'Produktion afgrøder-pivot'!$I$3:$I$4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afgrøder-pivot'!$I$5:$I$8</c:f>
              <c:numCache>
                <c:formatCode>#,##0</c:formatCode>
                <c:ptCount val="3"/>
                <c:pt idx="0">
                  <c:v>9109787.9694444165</c:v>
                </c:pt>
                <c:pt idx="1">
                  <c:v>9580323.8646107055</c:v>
                </c:pt>
                <c:pt idx="2">
                  <c:v>9305829.0675790496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46-400A-9F9A-9416FC3ADDC4}"/>
            </c:ext>
          </c:extLst>
        </c:ser>
        <c:ser>
          <c:idx val="8"/>
          <c:order val="8"/>
          <c:tx>
            <c:strRef>
              <c:f>'Produktion afgrøder-pivot'!$J$3:$J$4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afgrøder-pivot'!$J$5:$J$8</c:f>
              <c:numCache>
                <c:formatCode>#,##0</c:formatCode>
                <c:ptCount val="3"/>
                <c:pt idx="0">
                  <c:v>7947695.2938467432</c:v>
                </c:pt>
                <c:pt idx="1">
                  <c:v>8372302.1226353673</c:v>
                </c:pt>
                <c:pt idx="2">
                  <c:v>8170298.280918018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46-400A-9F9A-9416FC3ADDC4}"/>
            </c:ext>
          </c:extLst>
        </c:ser>
        <c:ser>
          <c:idx val="9"/>
          <c:order val="9"/>
          <c:tx>
            <c:strRef>
              <c:f>'Produktion afgrøder-pivot'!$K$3:$K$4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afgrøder-pivot'!$K$5:$K$8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46-400A-9F9A-9416FC3ADDC4}"/>
            </c:ext>
          </c:extLst>
        </c:ser>
        <c:ser>
          <c:idx val="10"/>
          <c:order val="10"/>
          <c:tx>
            <c:strRef>
              <c:f>'Produktion afgrøder-pivot'!$L$3:$L$4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afgrøder-pivot'!$L$5:$L$8</c:f>
              <c:numCache>
                <c:formatCode>#,##0</c:formatCode>
                <c:ptCount val="3"/>
                <c:pt idx="0">
                  <c:v>209782.38739500003</c:v>
                </c:pt>
                <c:pt idx="1">
                  <c:v>216936.14364827855</c:v>
                </c:pt>
                <c:pt idx="2">
                  <c:v>210245.15308472581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46-400A-9F9A-9416FC3ADDC4}"/>
            </c:ext>
          </c:extLst>
        </c:ser>
        <c:ser>
          <c:idx val="11"/>
          <c:order val="11"/>
          <c:tx>
            <c:strRef>
              <c:f>'Produktion afgrøder-pivot'!$M$3:$M$4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afgrøder-pivot'!$M$5:$M$8</c:f>
              <c:numCache>
                <c:formatCode>#,##0</c:formatCode>
                <c:ptCount val="3"/>
                <c:pt idx="0">
                  <c:v>678407.81727843033</c:v>
                </c:pt>
                <c:pt idx="1">
                  <c:v>712198.49644007557</c:v>
                </c:pt>
                <c:pt idx="2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46-400A-9F9A-9416FC3ADDC4}"/>
            </c:ext>
          </c:extLst>
        </c:ser>
        <c:ser>
          <c:idx val="12"/>
          <c:order val="12"/>
          <c:tx>
            <c:strRef>
              <c:f>'Produktion afgrøder-pivot'!$N$3:$N$4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afgrøder-pivot'!$N$5:$N$8</c:f>
              <c:numCache>
                <c:formatCode>#,##0</c:formatCode>
                <c:ptCount val="3"/>
                <c:pt idx="0">
                  <c:v>2629423.1359865703</c:v>
                </c:pt>
                <c:pt idx="1">
                  <c:v>2776837.7563391714</c:v>
                </c:pt>
                <c:pt idx="2">
                  <c:v>2703338.5923109134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46-400A-9F9A-9416FC3AD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56099200"/>
        <c:axId val="1856104608"/>
      </c:barChart>
      <c:catAx>
        <c:axId val="185609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auto val="1"/>
        <c:lblAlgn val="ctr"/>
        <c:lblOffset val="100"/>
        <c:noMultiLvlLbl val="0"/>
      </c:catAx>
      <c:valAx>
        <c:axId val="18561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Produktion, millioner 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9920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19081230384053"/>
          <c:y val="0.13865776501359975"/>
          <c:w val="0.13742614842467402"/>
          <c:h val="0.81487669486430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[BAUm20.xlsm]Produkt skovbrug!PivotTable3</c:name>
    <c:fmtId val="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2586246.4663030161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Skovbrug!$A$48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Skovbrug!$B$48:$G$48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D0-476F-847A-93E15E510130}"/>
            </c:ext>
          </c:extLst>
        </c:ser>
        <c:ser>
          <c:idx val="1"/>
          <c:order val="1"/>
          <c:tx>
            <c:strRef>
              <c:f>Skovbrug!$A$49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Skovbrug!$B$49:$G$49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Skovbrug!$B$50:$G$50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Skovbrug!$B$51:$G$51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Skovbrug!$B$52:$G$52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Skovbrug!$B$53:$G$53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57932.073783145664</c:v>
                </c:pt>
                <c:pt idx="5">
                  <c:v>57932.073783145672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1204392.371220411</c:v>
                </c:pt>
                <c:pt idx="2">
                  <c:v>1262014.3338818299</c:v>
                </c:pt>
                <c:pt idx="15">
                  <c:v>823764.99285714305</c:v>
                </c:pt>
                <c:pt idx="16">
                  <c:v>455948.54053344129</c:v>
                </c:pt>
                <c:pt idx="17">
                  <c:v>477762.56925526413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3617.1712242793342</c:v>
                </c:pt>
                <c:pt idx="2">
                  <c:v>3735.45204794039</c:v>
                </c:pt>
                <c:pt idx="15">
                  <c:v>3362.8500000000004</c:v>
                </c:pt>
                <c:pt idx="16">
                  <c:v>2738.7153555257819</c:v>
                </c:pt>
                <c:pt idx="17">
                  <c:v>2828.2708362977232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10991806.388216011</c:v>
                </c:pt>
                <c:pt idx="5">
                  <c:v>10991806.388216011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75934.000000000015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694380.27326187096</c:v>
                </c:pt>
                <c:pt idx="5">
                  <c:v>694380.27326187096</c:v>
                </c:pt>
                <c:pt idx="9">
                  <c:v>1893765.2125355615</c:v>
                </c:pt>
                <c:pt idx="10">
                  <c:v>2142228.3524030885</c:v>
                </c:pt>
                <c:pt idx="11">
                  <c:v>2039826.6812849408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4336859.4123771554</c:v>
                </c:pt>
                <c:pt idx="5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725968.00000000012</c:v>
                </c:pt>
                <c:pt idx="2">
                  <c:v>723032.00000000012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5280669.4477609023</c:v>
                </c:pt>
                <c:pt idx="5">
                  <c:v>5280669.4477609023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8455021.8174732123</c:v>
                </c:pt>
                <c:pt idx="2">
                  <c:v>8293462.2488436466</c:v>
                </c:pt>
                <c:pt idx="15">
                  <c:v>6423924.8458333323</c:v>
                </c:pt>
                <c:pt idx="16">
                  <c:v>1768879.5644450537</c:v>
                </c:pt>
                <c:pt idx="17">
                  <c:v>1735079.6020607101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1361403.7339039231</c:v>
                </c:pt>
                <c:pt idx="5">
                  <c:v>1361403.7339039231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5081125.638063401</c:v>
                </c:pt>
                <c:pt idx="5">
                  <c:v>5081125.638063401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755530.79558852478</c:v>
                </c:pt>
                <c:pt idx="5">
                  <c:v>755530.79558852478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35402.933978589019</c:v>
                </c:pt>
                <c:pt idx="5">
                  <c:v>35402.933978589019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2765437.867297628</c:v>
                </c:pt>
                <c:pt idx="2">
                  <c:v>2880969.7698136596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7317872.3979037404</c:v>
                </c:pt>
                <c:pt idx="2">
                  <c:v>7005959.4247079371</c:v>
                </c:pt>
                <c:pt idx="15">
                  <c:v>14742130.666666664</c:v>
                </c:pt>
                <c:pt idx="16">
                  <c:v>6489434.013235392</c:v>
                </c:pt>
                <c:pt idx="17">
                  <c:v>6212831.9426655285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2586246.4663030161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192302.30047460849</c:v>
                </c:pt>
                <c:pt idx="5">
                  <c:v>192302.30047460849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16819605.005375024</c:v>
                </c:pt>
                <c:pt idx="17">
                  <c:v>16405946.393493332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1108490.5539925825</c:v>
                </c:pt>
                <c:pt idx="16">
                  <c:v>1250598.08486075</c:v>
                </c:pt>
                <c:pt idx="17">
                  <c:v>1211187.9061807538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1108490.5539925825</c:v>
                </c:pt>
                <c:pt idx="1">
                  <c:v>1250598.08486075</c:v>
                </c:pt>
                <c:pt idx="2">
                  <c:v>1211187.9061807538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240738.79472010836</c:v>
                </c:pt>
                <c:pt idx="2">
                  <c:v>230377.75918826333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2948279.9748971234</c:v>
                </c:pt>
                <c:pt idx="2">
                  <c:v>3088580.6906975764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7576872.8456154009</c:v>
                </c:pt>
                <c:pt idx="2">
                  <c:v>7186166.448623132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3743700.5343613457</c:v>
                </c:pt>
                <c:pt idx="2">
                  <c:v>3445654.0507503473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2961150.4845719668</c:v>
                </c:pt>
                <c:pt idx="2">
                  <c:v>2759146.6428546174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1992661.9607506471</c:v>
                </c:pt>
                <c:pt idx="2">
                  <c:v>1919162.7967223886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3272565.4875000007</c:v>
                </c:pt>
                <c:pt idx="1">
                  <c:v>901127.32528332912</c:v>
                </c:pt>
                <c:pt idx="2">
                  <c:v>883908.47652149468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1078.6499999999999</c:v>
                </c:pt>
                <c:pt idx="1">
                  <c:v>878.45586875355229</c:v>
                </c:pt>
                <c:pt idx="2">
                  <c:v>907.18121164266609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6-C8CE-422F-9AF3-6B6B61CDDA40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163796.94774542924</c:v>
                </c:pt>
                <c:pt idx="2">
                  <c:v>151799.26731689228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7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19.802671473587463</c:v>
                </c:pt>
                <c:pt idx="2">
                  <c:v>19.897035061438991</c:v>
                </c:pt>
                <c:pt idx="3">
                  <c:v>7.483154704207001</c:v>
                </c:pt>
                <c:pt idx="4">
                  <c:v>5.2940684669341902</c:v>
                </c:pt>
                <c:pt idx="5">
                  <c:v>5.3606050360007158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29.979193434395683</c:v>
                </c:pt>
                <c:pt idx="2">
                  <c:v>28.335669039324991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34.963307596754014</c:v>
                </c:pt>
                <c:pt idx="2">
                  <c:v>32.884136275413141</c:v>
                </c:pt>
                <c:pt idx="3">
                  <c:v>0.45076703431999998</c:v>
                </c:pt>
                <c:pt idx="4">
                  <c:v>0.45076703432000004</c:v>
                </c:pt>
                <c:pt idx="5">
                  <c:v>0.45076703432000009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2.0687027810954168</c:v>
                </c:pt>
                <c:pt idx="2">
                  <c:v>2.1371305709880617</c:v>
                </c:pt>
                <c:pt idx="3">
                  <c:v>5.0922829580050024</c:v>
                </c:pt>
                <c:pt idx="4">
                  <c:v>10.028349209867528</c:v>
                </c:pt>
                <c:pt idx="5">
                  <c:v>9.9363705968314342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41.352452170508407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1139180.7875059044</c:v>
                </c:pt>
                <c:pt idx="2">
                  <c:v>1157844.6374687571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3537128.2942940318</c:v>
                </c:pt>
                <c:pt idx="2">
                  <c:v>3352429.5178153403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3047158.8251946424</c:v>
                </c:pt>
                <c:pt idx="2">
                  <c:v>2867722.9948248072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1663095.0398237593</c:v>
                </c:pt>
                <c:pt idx="2">
                  <c:v>1661950.46181102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1366366.1366558613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28</xdr:row>
      <xdr:rowOff>114300</xdr:rowOff>
    </xdr:from>
    <xdr:to>
      <xdr:col>13</xdr:col>
      <xdr:colOff>285750</xdr:colOff>
      <xdr:row>60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450273</xdr:colOff>
      <xdr:row>59</xdr:row>
      <xdr:rowOff>173182</xdr:rowOff>
    </xdr:from>
    <xdr:to>
      <xdr:col>15</xdr:col>
      <xdr:colOff>6061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102</xdr:row>
      <xdr:rowOff>111125</xdr:rowOff>
    </xdr:from>
    <xdr:to>
      <xdr:col>28</xdr:col>
      <xdr:colOff>0</xdr:colOff>
      <xdr:row>133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46200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20844</xdr:rowOff>
    </xdr:from>
    <xdr:to>
      <xdr:col>3</xdr:col>
      <xdr:colOff>42581</xdr:colOff>
      <xdr:row>60</xdr:row>
      <xdr:rowOff>121024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8291</xdr:colOff>
      <xdr:row>18</xdr:row>
      <xdr:rowOff>18939</xdr:rowOff>
    </xdr:from>
    <xdr:to>
      <xdr:col>7</xdr:col>
      <xdr:colOff>546510</xdr:colOff>
      <xdr:row>59</xdr:row>
      <xdr:rowOff>164393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C47F09-ED04-498B-BC7F-53F156BC5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268940</xdr:colOff>
      <xdr:row>17</xdr:row>
      <xdr:rowOff>156882</xdr:rowOff>
    </xdr:from>
    <xdr:to>
      <xdr:col>14</xdr:col>
      <xdr:colOff>685800</xdr:colOff>
      <xdr:row>49</xdr:row>
      <xdr:rowOff>118558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0CBF99-2CF5-496F-B5D4-BF8C9B939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367974</xdr:colOff>
      <xdr:row>1</xdr:row>
      <xdr:rowOff>89647</xdr:rowOff>
    </xdr:from>
    <xdr:to>
      <xdr:col>14</xdr:col>
      <xdr:colOff>253254</xdr:colOff>
      <xdr:row>17</xdr:row>
      <xdr:rowOff>13026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DE2B0C-E916-43A1-B6FD-77BF04CFA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397809</xdr:colOff>
      <xdr:row>46</xdr:row>
      <xdr:rowOff>80123</xdr:rowOff>
    </xdr:from>
    <xdr:to>
      <xdr:col>15</xdr:col>
      <xdr:colOff>642658</xdr:colOff>
      <xdr:row>67</xdr:row>
      <xdr:rowOff>93009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23ACF8-CA4B-4E8D-BF02-0E98B53C1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257175</xdr:colOff>
      <xdr:row>26</xdr:row>
      <xdr:rowOff>171449</xdr:rowOff>
    </xdr:from>
    <xdr:to>
      <xdr:col>16</xdr:col>
      <xdr:colOff>47625</xdr:colOff>
      <xdr:row>44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15</xdr:col>
      <xdr:colOff>600074</xdr:colOff>
      <xdr:row>27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  <sheetName val="DK-BioRes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Skovtype1</v>
          </cell>
          <cell r="D14" t="str">
            <v>Areal-skovtype1-10</v>
          </cell>
          <cell r="E14" t="str">
            <v>Hektar</v>
          </cell>
          <cell r="F14" t="str">
            <v>Træer</v>
          </cell>
          <cell r="G14" t="str">
            <v>m3</v>
          </cell>
          <cell r="H14">
            <v>0</v>
          </cell>
          <cell r="I14">
            <v>0</v>
          </cell>
          <cell r="J14">
            <v>0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 til energi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CO2 - atmosfære</v>
          </cell>
          <cell r="G16" t="str">
            <v>t CO2-ækvivalenter</v>
          </cell>
          <cell r="H16">
            <v>-2.5</v>
          </cell>
          <cell r="I16">
            <v>-2.5</v>
          </cell>
          <cell r="J16">
            <v>-2.5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Areal-skovtype1-20</v>
          </cell>
          <cell r="E17" t="str">
            <v>Hektar</v>
          </cell>
          <cell r="F17" t="str">
            <v>Træer</v>
          </cell>
          <cell r="G17" t="str">
            <v>m3</v>
          </cell>
          <cell r="H17">
            <v>0</v>
          </cell>
          <cell r="I17">
            <v>0</v>
          </cell>
          <cell r="J17">
            <v>0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Areal-skovtype1-20</v>
          </cell>
          <cell r="E18" t="str">
            <v>Hektar</v>
          </cell>
          <cell r="F18" t="str">
            <v>Træ til energi</v>
          </cell>
          <cell r="G18" t="str">
            <v>m3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CO2 - atmosfære</v>
          </cell>
          <cell r="G19" t="str">
            <v>t CO2-ækvivalenter</v>
          </cell>
          <cell r="H19">
            <v>-5.5</v>
          </cell>
          <cell r="I19">
            <v>-5.5</v>
          </cell>
          <cell r="J19">
            <v>-5.5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Areal-skovtype1-30</v>
          </cell>
          <cell r="E20" t="str">
            <v>Hektar</v>
          </cell>
          <cell r="F20" t="str">
            <v>Træer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Areal-skovtype1-30</v>
          </cell>
          <cell r="E21" t="str">
            <v>Hektar</v>
          </cell>
          <cell r="F21" t="str">
            <v>Træ til energi</v>
          </cell>
          <cell r="G21" t="str">
            <v>m3</v>
          </cell>
          <cell r="H21">
            <v>0</v>
          </cell>
          <cell r="I21">
            <v>0</v>
          </cell>
          <cell r="J21">
            <v>0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Areal-skovtype1-30</v>
          </cell>
          <cell r="E22" t="str">
            <v>Hektar</v>
          </cell>
          <cell r="F22" t="str">
            <v>CO2 - atmosfære</v>
          </cell>
          <cell r="G22" t="str">
            <v>t CO2-ækvivalenter</v>
          </cell>
          <cell r="H22">
            <v>-14</v>
          </cell>
          <cell r="I22">
            <v>-14</v>
          </cell>
          <cell r="J22">
            <v>-14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Areal-skovtype1-40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1.9091716555549518</v>
          </cell>
          <cell r="I23">
            <v>1.9091716555549518</v>
          </cell>
          <cell r="J23">
            <v>1.9091716555549518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Areal-skovtype1-40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0.99732847678243752</v>
          </cell>
          <cell r="I24">
            <v>0.99732847678243752</v>
          </cell>
          <cell r="J24">
            <v>0.99732847678243752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Areal-skovtype1-40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-14.5</v>
          </cell>
          <cell r="I25">
            <v>-14.5</v>
          </cell>
          <cell r="J25">
            <v>-14.5</v>
          </cell>
        </row>
        <row r="26">
          <cell r="A26" t="str">
            <v>Skovproduktion</v>
          </cell>
          <cell r="C26" t="str">
            <v>Skovtype2</v>
          </cell>
          <cell r="D26" t="str">
            <v>Areal-skovtype2-10</v>
          </cell>
          <cell r="E26" t="str">
            <v>Hektar</v>
          </cell>
          <cell r="F26" t="str">
            <v>Træer</v>
          </cell>
          <cell r="G26" t="str">
            <v>m3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Skovtype2</v>
          </cell>
          <cell r="D27" t="str">
            <v>Areal-skovtype2-10</v>
          </cell>
          <cell r="E27" t="str">
            <v>Hektar</v>
          </cell>
          <cell r="F27" t="str">
            <v>Træ til energi</v>
          </cell>
          <cell r="G27" t="str">
            <v>m3</v>
          </cell>
          <cell r="H27">
            <v>0</v>
          </cell>
          <cell r="I27">
            <v>0</v>
          </cell>
          <cell r="J27">
            <v>0</v>
          </cell>
        </row>
        <row r="28">
          <cell r="A28" t="str">
            <v>Skovproduktion</v>
          </cell>
          <cell r="C28" t="str">
            <v>Skovtype2</v>
          </cell>
          <cell r="D28" t="str">
            <v>Areal-skovtype2-10</v>
          </cell>
          <cell r="E28" t="str">
            <v>Hektar</v>
          </cell>
          <cell r="F28" t="str">
            <v>CO2 - atmosfære</v>
          </cell>
          <cell r="G28" t="str">
            <v>t CO2-ækvivalenter</v>
          </cell>
          <cell r="H28">
            <v>-12.5</v>
          </cell>
          <cell r="I28">
            <v>-12.5</v>
          </cell>
          <cell r="J28">
            <v>-12.5</v>
          </cell>
        </row>
        <row r="29">
          <cell r="A29" t="str">
            <v>Skovproduktion</v>
          </cell>
          <cell r="C29" t="str">
            <v>Skovtype2</v>
          </cell>
          <cell r="D29" t="str">
            <v>Areal-skovtype2-20</v>
          </cell>
          <cell r="E29" t="str">
            <v>Hektar</v>
          </cell>
          <cell r="F29" t="str">
            <v>Træer</v>
          </cell>
          <cell r="G29" t="str">
            <v>m3</v>
          </cell>
          <cell r="H29">
            <v>2.2854721106219968</v>
          </cell>
          <cell r="I29">
            <v>2.2854721106219968</v>
          </cell>
          <cell r="J29">
            <v>2.2854721106219968</v>
          </cell>
        </row>
        <row r="30">
          <cell r="A30" t="str">
            <v>Skovproduktion</v>
          </cell>
          <cell r="C30" t="str">
            <v>Skovtype2</v>
          </cell>
          <cell r="D30" t="str">
            <v>Areal-skovtype2-20</v>
          </cell>
          <cell r="E30" t="str">
            <v>Hektar</v>
          </cell>
          <cell r="F30" t="str">
            <v>Træ til energi</v>
          </cell>
          <cell r="G30" t="str">
            <v>m3</v>
          </cell>
          <cell r="H30">
            <v>0.57136802765549921</v>
          </cell>
          <cell r="I30">
            <v>0.57136802765549921</v>
          </cell>
          <cell r="J30">
            <v>0.57136802765549921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Areal-skovtype2-20</v>
          </cell>
          <cell r="E31" t="str">
            <v>Hektar</v>
          </cell>
          <cell r="F31" t="str">
            <v>CO2 - atmosfære</v>
          </cell>
          <cell r="G31" t="str">
            <v>t CO2-ækvivalenter</v>
          </cell>
          <cell r="H31">
            <v>-16</v>
          </cell>
          <cell r="I31">
            <v>-16</v>
          </cell>
          <cell r="J31">
            <v>-16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Areal-skovtype2-30</v>
          </cell>
          <cell r="E32" t="str">
            <v>Hektar</v>
          </cell>
          <cell r="F32" t="str">
            <v>Træer</v>
          </cell>
          <cell r="G32" t="str">
            <v>m3</v>
          </cell>
          <cell r="H32">
            <v>2.4169774503204851</v>
          </cell>
          <cell r="I32">
            <v>2.4169774503204851</v>
          </cell>
          <cell r="J32">
            <v>2.4169774503204851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Areal-skovtype2-30</v>
          </cell>
          <cell r="E33" t="str">
            <v>Hektar</v>
          </cell>
          <cell r="F33" t="str">
            <v>Træ til energi</v>
          </cell>
          <cell r="G33" t="str">
            <v>m3</v>
          </cell>
          <cell r="H33">
            <v>0.83664604049555269</v>
          </cell>
          <cell r="I33">
            <v>0.83664604049555269</v>
          </cell>
          <cell r="J33">
            <v>0.83664604049555269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Areal-skovtype2-30</v>
          </cell>
          <cell r="E34" t="str">
            <v>Hektar</v>
          </cell>
          <cell r="F34" t="str">
            <v>CO2 - atmosfære</v>
          </cell>
          <cell r="G34" t="str">
            <v>t CO2-ækvivalenter</v>
          </cell>
          <cell r="H34">
            <v>-0.5</v>
          </cell>
          <cell r="I34">
            <v>-0.5</v>
          </cell>
          <cell r="J34">
            <v>-0.5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Areal-skovtype2-40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1.1109933871079152</v>
          </cell>
          <cell r="I35">
            <v>1.1109933871079152</v>
          </cell>
          <cell r="J35">
            <v>1.1109933871079152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Areal-skovtype2-40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0.5554966935539577</v>
          </cell>
          <cell r="I36">
            <v>0.5554966935539577</v>
          </cell>
          <cell r="J36">
            <v>0.5554966935539577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Areal-skovtype2-40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-12.5</v>
          </cell>
          <cell r="I37">
            <v>-12.5</v>
          </cell>
          <cell r="J37">
            <v>-12.5</v>
          </cell>
        </row>
        <row r="38">
          <cell r="A38" t="str">
            <v>Skovproduktion</v>
          </cell>
          <cell r="C38" t="str">
            <v>Skovtype3</v>
          </cell>
          <cell r="D38" t="str">
            <v>Areal-skovtype3-10</v>
          </cell>
          <cell r="E38" t="str">
            <v>Hektar</v>
          </cell>
          <cell r="F38" t="str">
            <v>Træer</v>
          </cell>
          <cell r="G38" t="str">
            <v>m3</v>
          </cell>
          <cell r="H38">
            <v>0</v>
          </cell>
          <cell r="I38">
            <v>0</v>
          </cell>
          <cell r="J38">
            <v>0</v>
          </cell>
        </row>
        <row r="39">
          <cell r="A39" t="str">
            <v>Skovproduktion</v>
          </cell>
          <cell r="C39" t="str">
            <v>Skovtype3</v>
          </cell>
          <cell r="D39" t="str">
            <v>Areal-skovtype3-10</v>
          </cell>
          <cell r="E39" t="str">
            <v>Hektar</v>
          </cell>
          <cell r="F39" t="str">
            <v>Træ til energi</v>
          </cell>
          <cell r="G39" t="str">
            <v>m3</v>
          </cell>
          <cell r="H39">
            <v>0</v>
          </cell>
          <cell r="I39">
            <v>0</v>
          </cell>
          <cell r="J39">
            <v>0</v>
          </cell>
        </row>
        <row r="40">
          <cell r="A40" t="str">
            <v>Skovproduktion</v>
          </cell>
          <cell r="C40" t="str">
            <v>Skovtype3</v>
          </cell>
          <cell r="D40" t="str">
            <v>Areal-skovtype3-10</v>
          </cell>
          <cell r="E40" t="str">
            <v>Hektar</v>
          </cell>
          <cell r="F40" t="str">
            <v>CO2 - atmosfære</v>
          </cell>
          <cell r="G40" t="str">
            <v>t CO2-ækvivalenter</v>
          </cell>
          <cell r="H40">
            <v>-2.5</v>
          </cell>
          <cell r="I40">
            <v>-2.5</v>
          </cell>
          <cell r="J40">
            <v>-2.5</v>
          </cell>
        </row>
        <row r="41">
          <cell r="A41" t="str">
            <v>Skovproduktion</v>
          </cell>
          <cell r="C41" t="str">
            <v>Skovtype3</v>
          </cell>
          <cell r="D41" t="str">
            <v>Areal-skovtype3-20</v>
          </cell>
          <cell r="E41" t="str">
            <v>Hektar</v>
          </cell>
          <cell r="F41" t="str">
            <v>Træer</v>
          </cell>
          <cell r="G41" t="str">
            <v>m3</v>
          </cell>
          <cell r="H41">
            <v>0</v>
          </cell>
          <cell r="I41">
            <v>0</v>
          </cell>
          <cell r="J41">
            <v>0</v>
          </cell>
        </row>
        <row r="42">
          <cell r="A42" t="str">
            <v>Skovproduktion</v>
          </cell>
          <cell r="C42" t="str">
            <v>Skovtype3</v>
          </cell>
          <cell r="D42" t="str">
            <v>Areal-skovtype3-20</v>
          </cell>
          <cell r="E42" t="str">
            <v>Hektar</v>
          </cell>
          <cell r="F42" t="str">
            <v>Træ til energi</v>
          </cell>
          <cell r="G42" t="str">
            <v>m3</v>
          </cell>
          <cell r="H42">
            <v>0</v>
          </cell>
          <cell r="I42">
            <v>0</v>
          </cell>
          <cell r="J42">
            <v>0</v>
          </cell>
        </row>
        <row r="43">
          <cell r="A43" t="str">
            <v>Skovproduktion</v>
          </cell>
          <cell r="C43" t="str">
            <v>Skovtype3</v>
          </cell>
          <cell r="D43" t="str">
            <v>Areal-skovtype3-20</v>
          </cell>
          <cell r="E43" t="str">
            <v>Hektar</v>
          </cell>
          <cell r="F43" t="str">
            <v>CO2 - atmosfære</v>
          </cell>
          <cell r="G43" t="str">
            <v>t CO2-ækvivalenter</v>
          </cell>
          <cell r="H43">
            <v>-4.25</v>
          </cell>
          <cell r="I43">
            <v>-4.25</v>
          </cell>
          <cell r="J43">
            <v>-4.25</v>
          </cell>
        </row>
        <row r="44">
          <cell r="A44" t="str">
            <v>Skovproduktion</v>
          </cell>
          <cell r="C44" t="str">
            <v>Skovtype3</v>
          </cell>
          <cell r="D44" t="str">
            <v>Areal-skovtype3-30</v>
          </cell>
          <cell r="E44" t="str">
            <v>Hektar</v>
          </cell>
          <cell r="F44" t="str">
            <v>Træer</v>
          </cell>
          <cell r="G44" t="str">
            <v>m3</v>
          </cell>
          <cell r="H44">
            <v>0</v>
          </cell>
          <cell r="I44">
            <v>0</v>
          </cell>
          <cell r="J44">
            <v>0</v>
          </cell>
        </row>
        <row r="45">
          <cell r="A45" t="str">
            <v>Skovproduktion</v>
          </cell>
          <cell r="C45" t="str">
            <v>Skovtype3</v>
          </cell>
          <cell r="D45" t="str">
            <v>Areal-skovtype3-30</v>
          </cell>
          <cell r="E45" t="str">
            <v>Hektar</v>
          </cell>
          <cell r="F45" t="str">
            <v>Træ til energi</v>
          </cell>
          <cell r="G45" t="str">
            <v>m3</v>
          </cell>
          <cell r="H45">
            <v>0</v>
          </cell>
          <cell r="I45">
            <v>0</v>
          </cell>
          <cell r="J45">
            <v>0</v>
          </cell>
        </row>
        <row r="46">
          <cell r="A46" t="str">
            <v>Skovproduktion</v>
          </cell>
          <cell r="C46" t="str">
            <v>Skovtype3</v>
          </cell>
          <cell r="D46" t="str">
            <v>Areal-skovtype3-30</v>
          </cell>
          <cell r="E46" t="str">
            <v>Hektar</v>
          </cell>
          <cell r="F46" t="str">
            <v>CO2 - atmosfære</v>
          </cell>
          <cell r="G46" t="str">
            <v>t CO2-ækvivalenter</v>
          </cell>
          <cell r="H46">
            <v>-13.75</v>
          </cell>
          <cell r="I46">
            <v>-13.75</v>
          </cell>
          <cell r="J46">
            <v>-13.75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Areal-skovtype3-40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1.3997528151560328</v>
          </cell>
          <cell r="I47">
            <v>1.3997528151560328</v>
          </cell>
          <cell r="J47">
            <v>1.3997528151560328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Areal-skovtype3-40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0.76350153553965439</v>
          </cell>
          <cell r="I48">
            <v>0.76350153553965439</v>
          </cell>
          <cell r="J48">
            <v>0.76350153553965439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Areal-skovtype3-40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-13.25</v>
          </cell>
          <cell r="I49">
            <v>-13.25</v>
          </cell>
          <cell r="J49">
            <v>-13.25</v>
          </cell>
        </row>
        <row r="50">
          <cell r="A50" t="str">
            <v>Skovproduktion</v>
          </cell>
          <cell r="C50" t="str">
            <v>Skovtype4</v>
          </cell>
          <cell r="D50" t="str">
            <v>Areal-skovtype4-10</v>
          </cell>
          <cell r="E50" t="str">
            <v>Hektar</v>
          </cell>
          <cell r="F50" t="str">
            <v>Træer</v>
          </cell>
          <cell r="G50" t="str">
            <v>m3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Skovtype4</v>
          </cell>
          <cell r="D51" t="str">
            <v>Areal-skovtype4-10</v>
          </cell>
          <cell r="E51" t="str">
            <v>Hektar</v>
          </cell>
          <cell r="F51" t="str">
            <v>Træ til energi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Skovtype4</v>
          </cell>
          <cell r="D52" t="str">
            <v>Areal-skovtype4-10</v>
          </cell>
          <cell r="E52" t="str">
            <v>Hektar</v>
          </cell>
          <cell r="F52" t="str">
            <v>CO2 - atmosfære</v>
          </cell>
          <cell r="G52" t="str">
            <v>t CO2-ækvivalenter</v>
          </cell>
          <cell r="H52">
            <v>-9.5</v>
          </cell>
          <cell r="I52">
            <v>-9.5</v>
          </cell>
          <cell r="J52">
            <v>-9.5</v>
          </cell>
        </row>
        <row r="53">
          <cell r="A53" t="str">
            <v>Skovproduktion</v>
          </cell>
          <cell r="C53" t="str">
            <v>Skovtype4</v>
          </cell>
          <cell r="D53" t="str">
            <v>Areal-skovtype4-20</v>
          </cell>
          <cell r="E53" t="str">
            <v>Hektar</v>
          </cell>
          <cell r="F53" t="str">
            <v>Træer</v>
          </cell>
          <cell r="G53" t="str">
            <v>m3</v>
          </cell>
          <cell r="H53">
            <v>0.5803853136012822</v>
          </cell>
          <cell r="I53">
            <v>0.5803853136012822</v>
          </cell>
          <cell r="J53">
            <v>0.5803853136012822</v>
          </cell>
        </row>
        <row r="54">
          <cell r="A54" t="str">
            <v>Skovproduktion</v>
          </cell>
          <cell r="C54" t="str">
            <v>Skovtype4</v>
          </cell>
          <cell r="D54" t="str">
            <v>Areal-skovtype4-20</v>
          </cell>
          <cell r="E54" t="str">
            <v>Hektar</v>
          </cell>
          <cell r="F54" t="str">
            <v>Træ til energi</v>
          </cell>
          <cell r="G54" t="str">
            <v>m3</v>
          </cell>
          <cell r="H54">
            <v>2.0313485976044867</v>
          </cell>
          <cell r="I54">
            <v>2.0313485976044867</v>
          </cell>
          <cell r="J54">
            <v>2.0313485976044867</v>
          </cell>
        </row>
        <row r="55">
          <cell r="A55" t="str">
            <v>Skovproduktion</v>
          </cell>
          <cell r="C55" t="str">
            <v>Skovtype4</v>
          </cell>
          <cell r="D55" t="str">
            <v>Areal-skovtype4-20</v>
          </cell>
          <cell r="E55" t="str">
            <v>Hektar</v>
          </cell>
          <cell r="F55" t="str">
            <v>CO2 - atmosfære</v>
          </cell>
          <cell r="G55" t="str">
            <v>t CO2-ækvivalenter</v>
          </cell>
          <cell r="H55">
            <v>-8</v>
          </cell>
          <cell r="I55">
            <v>-8</v>
          </cell>
          <cell r="J55">
            <v>-8</v>
          </cell>
        </row>
        <row r="56">
          <cell r="A56" t="str">
            <v>Skovproduktion</v>
          </cell>
          <cell r="C56" t="str">
            <v>Skovtype4</v>
          </cell>
          <cell r="D56" t="str">
            <v>Areal-skovtype4-30</v>
          </cell>
          <cell r="E56" t="str">
            <v>Hektar</v>
          </cell>
          <cell r="F56" t="str">
            <v>Træer</v>
          </cell>
          <cell r="G56" t="str">
            <v>m3</v>
          </cell>
          <cell r="H56">
            <v>0.62472030283471314</v>
          </cell>
          <cell r="I56">
            <v>0.62472030283471314</v>
          </cell>
          <cell r="J56">
            <v>0.62472030283471314</v>
          </cell>
        </row>
        <row r="57">
          <cell r="A57" t="str">
            <v>Skovproduktion</v>
          </cell>
          <cell r="C57" t="str">
            <v>Skovtype4</v>
          </cell>
          <cell r="D57" t="str">
            <v>Areal-skovtype4-30</v>
          </cell>
          <cell r="E57" t="str">
            <v>Hektar</v>
          </cell>
          <cell r="F57" t="str">
            <v>Træ til energi</v>
          </cell>
          <cell r="G57" t="str">
            <v>m3</v>
          </cell>
          <cell r="H57">
            <v>0.8262429811684916</v>
          </cell>
          <cell r="I57">
            <v>0.8262429811684916</v>
          </cell>
          <cell r="J57">
            <v>0.8262429811684916</v>
          </cell>
        </row>
        <row r="58">
          <cell r="A58" t="str">
            <v>Skovproduktion</v>
          </cell>
          <cell r="C58" t="str">
            <v>Skovtype4</v>
          </cell>
          <cell r="D58" t="str">
            <v>Areal-skovtype4-30</v>
          </cell>
          <cell r="E58" t="str">
            <v>Hektar</v>
          </cell>
          <cell r="F58" t="str">
            <v>CO2 - atmosfære</v>
          </cell>
          <cell r="G58" t="str">
            <v>t CO2-ækvivalenter</v>
          </cell>
          <cell r="H58">
            <v>-4.5</v>
          </cell>
          <cell r="I58">
            <v>-4.5</v>
          </cell>
          <cell r="J58">
            <v>-4.5</v>
          </cell>
        </row>
        <row r="59">
          <cell r="A59" t="str">
            <v>Skovproduktion</v>
          </cell>
          <cell r="C59" t="str">
            <v>Skovtype4</v>
          </cell>
          <cell r="D59" t="str">
            <v>Areal-skovtype4-40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0.51637222754231693</v>
          </cell>
          <cell r="I59">
            <v>0.51637222754231693</v>
          </cell>
          <cell r="J59">
            <v>0.51637222754231693</v>
          </cell>
        </row>
        <row r="60">
          <cell r="A60" t="str">
            <v>Skovproduktion</v>
          </cell>
          <cell r="C60" t="str">
            <v>Skovtype4</v>
          </cell>
          <cell r="D60" t="str">
            <v>Areal-skovtype4-40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0.28165757865944563</v>
          </cell>
          <cell r="I60">
            <v>0.28165757865944563</v>
          </cell>
          <cell r="J60">
            <v>0.28165757865944563</v>
          </cell>
        </row>
        <row r="61">
          <cell r="A61" t="str">
            <v>Skovproduktion</v>
          </cell>
          <cell r="C61" t="str">
            <v>Skovtype4</v>
          </cell>
          <cell r="D61" t="str">
            <v>Areal-skovtype4-40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</v>
          </cell>
          <cell r="I61">
            <v>-13</v>
          </cell>
          <cell r="J61">
            <v>-13</v>
          </cell>
        </row>
        <row r="62">
          <cell r="A62" t="str">
            <v>Skovproduktion</v>
          </cell>
          <cell r="C62" t="str">
            <v>Skovtype5</v>
          </cell>
          <cell r="D62" t="str">
            <v>Areal-skovtype5-10</v>
          </cell>
          <cell r="E62" t="str">
            <v>Hektar</v>
          </cell>
          <cell r="F62" t="str">
            <v>Træer</v>
          </cell>
          <cell r="G62" t="str">
            <v>m3</v>
          </cell>
          <cell r="H62">
            <v>0</v>
          </cell>
          <cell r="I62">
            <v>0</v>
          </cell>
          <cell r="J62">
            <v>0</v>
          </cell>
        </row>
        <row r="63">
          <cell r="A63" t="str">
            <v>Skovproduktion</v>
          </cell>
          <cell r="C63" t="str">
            <v>Skovtype5</v>
          </cell>
          <cell r="D63" t="str">
            <v>Areal-skovtype5-10</v>
          </cell>
          <cell r="E63" t="str">
            <v>Hektar</v>
          </cell>
          <cell r="F63" t="str">
            <v>Træ til energi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Skovtype5</v>
          </cell>
          <cell r="D64" t="str">
            <v>Areal-skovtype5-10</v>
          </cell>
          <cell r="E64" t="str">
            <v>Hektar</v>
          </cell>
          <cell r="F64" t="str">
            <v>CO2 - atmosfære</v>
          </cell>
          <cell r="G64" t="str">
            <v>t CO2-ækvivalenter</v>
          </cell>
          <cell r="H64">
            <v>-2.6666666666666665</v>
          </cell>
          <cell r="I64">
            <v>-2.6666666666666665</v>
          </cell>
          <cell r="J64">
            <v>-2.6666666666666665</v>
          </cell>
        </row>
        <row r="65">
          <cell r="A65" t="str">
            <v>Skovproduktion</v>
          </cell>
          <cell r="C65" t="str">
            <v>Skovtype5</v>
          </cell>
          <cell r="D65" t="str">
            <v>Areal-skovtype5-20</v>
          </cell>
          <cell r="E65" t="str">
            <v>Hektar</v>
          </cell>
          <cell r="F65" t="str">
            <v>Træer</v>
          </cell>
          <cell r="G65" t="str">
            <v>m3</v>
          </cell>
          <cell r="H65">
            <v>0</v>
          </cell>
          <cell r="I65">
            <v>0</v>
          </cell>
          <cell r="J65">
            <v>0</v>
          </cell>
        </row>
        <row r="66">
          <cell r="A66" t="str">
            <v>Skovproduktion</v>
          </cell>
          <cell r="C66" t="str">
            <v>Skovtype5</v>
          </cell>
          <cell r="D66" t="str">
            <v>Areal-skovtype5-20</v>
          </cell>
          <cell r="E66" t="str">
            <v>Hektar</v>
          </cell>
          <cell r="F66" t="str">
            <v>Træ til energi</v>
          </cell>
          <cell r="G66" t="str">
            <v>m3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Skovtype5</v>
          </cell>
          <cell r="D67" t="str">
            <v>Areal-skovtype5-20</v>
          </cell>
          <cell r="E67" t="str">
            <v>Hektar</v>
          </cell>
          <cell r="F67" t="str">
            <v>CO2 - atmosfære</v>
          </cell>
          <cell r="G67" t="str">
            <v>t CO2-ækvivalenter</v>
          </cell>
          <cell r="H67">
            <v>-2.6666666666666665</v>
          </cell>
          <cell r="I67">
            <v>-2.6666666666666665</v>
          </cell>
          <cell r="J67">
            <v>-2.6666666666666665</v>
          </cell>
        </row>
        <row r="68">
          <cell r="A68" t="str">
            <v>Skovproduktion</v>
          </cell>
          <cell r="C68" t="str">
            <v>Skovtype5</v>
          </cell>
          <cell r="D68" t="str">
            <v>Areal-skovtype5-30</v>
          </cell>
          <cell r="E68" t="str">
            <v>Hektar</v>
          </cell>
          <cell r="F68" t="str">
            <v>Træer</v>
          </cell>
          <cell r="G68" t="str">
            <v>m3</v>
          </cell>
          <cell r="H68">
            <v>0.17075688277482162</v>
          </cell>
          <cell r="I68">
            <v>0.17075688277482162</v>
          </cell>
          <cell r="J68">
            <v>0.17075688277482162</v>
          </cell>
        </row>
        <row r="69">
          <cell r="A69" t="str">
            <v>Skovproduktion</v>
          </cell>
          <cell r="C69" t="str">
            <v>Skovtype5</v>
          </cell>
          <cell r="D69" t="str">
            <v>Areal-skovtype5-30</v>
          </cell>
          <cell r="E69" t="str">
            <v>Hektar</v>
          </cell>
          <cell r="F69" t="str">
            <v>Træ til energi</v>
          </cell>
          <cell r="G69" t="str">
            <v>m3</v>
          </cell>
          <cell r="H69">
            <v>0.22583974818605437</v>
          </cell>
          <cell r="I69">
            <v>0.22583974818605437</v>
          </cell>
          <cell r="J69">
            <v>0.22583974818605437</v>
          </cell>
        </row>
        <row r="70">
          <cell r="A70" t="str">
            <v>Skovproduktion</v>
          </cell>
          <cell r="C70" t="str">
            <v>Skovtype5</v>
          </cell>
          <cell r="D70" t="str">
            <v>Areal-skovtype5-30</v>
          </cell>
          <cell r="E70" t="str">
            <v>Hektar</v>
          </cell>
          <cell r="F70" t="str">
            <v>CO2 - atmosfære</v>
          </cell>
          <cell r="G70" t="str">
            <v>t CO2-ækvivalenter</v>
          </cell>
          <cell r="H70">
            <v>-3.3333333333333335</v>
          </cell>
          <cell r="I70">
            <v>-3.3333333333333335</v>
          </cell>
          <cell r="J70">
            <v>-3.3333333333333335</v>
          </cell>
        </row>
        <row r="71">
          <cell r="A71" t="str">
            <v>Skovproduktion</v>
          </cell>
          <cell r="C71" t="str">
            <v>Skovtype5</v>
          </cell>
          <cell r="D71" t="str">
            <v>Areal-skovtype5-40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2.0529707955621812</v>
          </cell>
          <cell r="I71">
            <v>2.0529707955621812</v>
          </cell>
          <cell r="J71">
            <v>2.0529707955621812</v>
          </cell>
        </row>
        <row r="72">
          <cell r="A72" t="str">
            <v>Skovproduktion</v>
          </cell>
          <cell r="C72" t="str">
            <v>Skovtype5</v>
          </cell>
          <cell r="D72" t="str">
            <v>Areal-skovtype5-40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1.1198022521248263</v>
          </cell>
          <cell r="I72">
            <v>1.1198022521248263</v>
          </cell>
          <cell r="J72">
            <v>1.1198022521248263</v>
          </cell>
        </row>
        <row r="73">
          <cell r="A73" t="str">
            <v>Skovproduktion</v>
          </cell>
          <cell r="C73" t="str">
            <v>Skovtype5</v>
          </cell>
          <cell r="D73" t="str">
            <v>Areal-skovtype5-40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-4.333333333333333</v>
          </cell>
          <cell r="I73">
            <v>-4.333333333333333</v>
          </cell>
          <cell r="J73">
            <v>-4.333333333333333</v>
          </cell>
        </row>
        <row r="74">
          <cell r="A74" t="str">
            <v>Grisestald</v>
          </cell>
          <cell r="B74" t="str">
            <v>Konventionel</v>
          </cell>
          <cell r="D74" t="str">
            <v>Svin</v>
          </cell>
          <cell r="E74" t="str">
            <v>Antal</v>
          </cell>
          <cell r="F74" t="str">
            <v>Slagtesvin</v>
          </cell>
          <cell r="G74" t="str">
            <v>Antal</v>
          </cell>
          <cell r="H74">
            <v>1.3861685078371839</v>
          </cell>
          <cell r="I74">
            <v>1.3861685078371839</v>
          </cell>
          <cell r="J74">
            <v>1.3861685078371839</v>
          </cell>
        </row>
        <row r="75">
          <cell r="A75" t="str">
            <v>Grisestald</v>
          </cell>
          <cell r="B75" t="str">
            <v>Konventionel</v>
          </cell>
          <cell r="D75" t="str">
            <v>Svin</v>
          </cell>
          <cell r="E75" t="str">
            <v>Antal</v>
          </cell>
          <cell r="F75" t="str">
            <v>Svinegylle</v>
          </cell>
          <cell r="G75" t="str">
            <v>Ton</v>
          </cell>
          <cell r="H75">
            <v>1.4953335295833323</v>
          </cell>
          <cell r="I75">
            <v>1.4953335295833323</v>
          </cell>
          <cell r="J75">
            <v>1.4953335295833323</v>
          </cell>
        </row>
        <row r="76">
          <cell r="A76" t="str">
            <v>Grisestald</v>
          </cell>
          <cell r="B76" t="str">
            <v>Konventionel</v>
          </cell>
          <cell r="D76" t="str">
            <v>Svin</v>
          </cell>
          <cell r="E76" t="str">
            <v>Antal</v>
          </cell>
          <cell r="F76" t="str">
            <v>Dybstrøelse</v>
          </cell>
          <cell r="G76" t="str">
            <v>Ton</v>
          </cell>
          <cell r="H76">
            <v>0.19169096925932338</v>
          </cell>
          <cell r="I76">
            <v>0.19169096925932338</v>
          </cell>
          <cell r="J76">
            <v>0.19169096925932338</v>
          </cell>
        </row>
        <row r="77">
          <cell r="A77" t="str">
            <v>Grisestald</v>
          </cell>
          <cell r="B77" t="str">
            <v>Konventionel</v>
          </cell>
          <cell r="D77" t="str">
            <v>Svin</v>
          </cell>
          <cell r="E77" t="str">
            <v>Antal</v>
          </cell>
          <cell r="F77" t="str">
            <v>Industriaffald</v>
          </cell>
          <cell r="G77" t="str">
            <v>Ton</v>
          </cell>
          <cell r="H77">
            <v>1.5668203052737979E-2</v>
          </cell>
          <cell r="I77">
            <v>1.5668203052737979E-2</v>
          </cell>
          <cell r="J77">
            <v>1.5668203052737979E-2</v>
          </cell>
        </row>
        <row r="78">
          <cell r="A78" t="str">
            <v>Grisestald</v>
          </cell>
          <cell r="B78" t="str">
            <v>Konventionel</v>
          </cell>
          <cell r="D78" t="str">
            <v>Svin</v>
          </cell>
          <cell r="E78" t="str">
            <v>Antal</v>
          </cell>
          <cell r="F78" t="str">
            <v>Foder</v>
          </cell>
          <cell r="G78" t="str">
            <v>FE</v>
          </cell>
          <cell r="H78">
            <v>-855.47</v>
          </cell>
          <cell r="I78">
            <v>-855.47</v>
          </cell>
          <cell r="J78">
            <v>-855.47</v>
          </cell>
        </row>
        <row r="79">
          <cell r="A79" t="str">
            <v>Grisestald</v>
          </cell>
          <cell r="B79" t="str">
            <v>Konventionel</v>
          </cell>
          <cell r="D79" t="str">
            <v>Svin</v>
          </cell>
          <cell r="E79" t="str">
            <v>Antal</v>
          </cell>
          <cell r="F79" t="str">
            <v>Halm</v>
          </cell>
          <cell r="G79" t="str">
            <v>Ton</v>
          </cell>
          <cell r="H79">
            <v>-6.5699999999999995E-2</v>
          </cell>
          <cell r="I79">
            <v>-6.5699999999999995E-2</v>
          </cell>
          <cell r="J79">
            <v>-6.5699999999999995E-2</v>
          </cell>
        </row>
        <row r="80">
          <cell r="A80" t="str">
            <v>Grisestald</v>
          </cell>
          <cell r="B80" t="str">
            <v>Konventionel</v>
          </cell>
          <cell r="D80" t="str">
            <v>Svin</v>
          </cell>
          <cell r="E80" t="str">
            <v>Antal</v>
          </cell>
          <cell r="F80" t="str">
            <v>CO2 - atmosfære</v>
          </cell>
          <cell r="G80" t="str">
            <v>t CO2-ækvivalenter</v>
          </cell>
          <cell r="H80">
            <v>0.11202449132751124</v>
          </cell>
          <cell r="I80">
            <v>0.11202449132751124</v>
          </cell>
          <cell r="J80">
            <v>0.11202449132751124</v>
          </cell>
        </row>
        <row r="81">
          <cell r="A81" t="str">
            <v>Grisestald</v>
          </cell>
          <cell r="B81" t="str">
            <v>Økologisk</v>
          </cell>
          <cell r="D81" t="str">
            <v>Svin</v>
          </cell>
          <cell r="E81" t="str">
            <v>Antal</v>
          </cell>
          <cell r="F81" t="str">
            <v>Slagtesvin</v>
          </cell>
          <cell r="G81" t="str">
            <v>Antal</v>
          </cell>
          <cell r="H81">
            <v>0.47263527552126194</v>
          </cell>
          <cell r="I81">
            <v>0.47263527552126194</v>
          </cell>
          <cell r="J81">
            <v>0.47263527552126194</v>
          </cell>
        </row>
        <row r="82">
          <cell r="A82" t="str">
            <v>Grisestald</v>
          </cell>
          <cell r="B82" t="str">
            <v>Økologisk</v>
          </cell>
          <cell r="D82" t="str">
            <v>Svin</v>
          </cell>
          <cell r="E82" t="str">
            <v>Antal</v>
          </cell>
          <cell r="F82" t="str">
            <v>Svinegylle</v>
          </cell>
          <cell r="G82" t="str">
            <v>Ton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Grisestald</v>
          </cell>
          <cell r="B83" t="str">
            <v>Økologisk</v>
          </cell>
          <cell r="D83" t="str">
            <v>Svin</v>
          </cell>
          <cell r="E83" t="str">
            <v>Antal</v>
          </cell>
          <cell r="F83" t="str">
            <v>Dybstrøelse</v>
          </cell>
          <cell r="G83" t="str">
            <v>Ton</v>
          </cell>
          <cell r="H83">
            <v>0.51229925609666671</v>
          </cell>
          <cell r="I83">
            <v>0.51229925609666671</v>
          </cell>
          <cell r="J83">
            <v>0.51229925609666671</v>
          </cell>
        </row>
        <row r="84">
          <cell r="A84" t="str">
            <v>Grisestald</v>
          </cell>
          <cell r="B84" t="str">
            <v>Økologisk</v>
          </cell>
          <cell r="D84" t="str">
            <v>Svin</v>
          </cell>
          <cell r="E84" t="str">
            <v>Antal</v>
          </cell>
          <cell r="F84" t="str">
            <v>Industriaffald</v>
          </cell>
          <cell r="G84" t="str">
            <v>Ton</v>
          </cell>
          <cell r="H84">
            <v>1.5668203052737979E-2</v>
          </cell>
          <cell r="I84">
            <v>1.5668203052737979E-2</v>
          </cell>
          <cell r="J84">
            <v>1.5668203052737979E-2</v>
          </cell>
        </row>
        <row r="85">
          <cell r="A85" t="str">
            <v>Grisestald</v>
          </cell>
          <cell r="B85" t="str">
            <v>Økologisk</v>
          </cell>
          <cell r="D85" t="str">
            <v>Svin</v>
          </cell>
          <cell r="E85" t="str">
            <v>Antal</v>
          </cell>
          <cell r="F85" t="str">
            <v>Foder</v>
          </cell>
          <cell r="G85" t="str">
            <v>FE</v>
          </cell>
          <cell r="H85">
            <v>-855.47</v>
          </cell>
          <cell r="I85">
            <v>-855.47</v>
          </cell>
          <cell r="J85">
            <v>-855.47</v>
          </cell>
        </row>
        <row r="86">
          <cell r="A86" t="str">
            <v>Grisestald</v>
          </cell>
          <cell r="B86" t="str">
            <v>Økologisk</v>
          </cell>
          <cell r="D86" t="str">
            <v>Svin</v>
          </cell>
          <cell r="E86" t="str">
            <v>Antal</v>
          </cell>
          <cell r="F86" t="str">
            <v>Halm</v>
          </cell>
          <cell r="G86" t="str">
            <v>Ton</v>
          </cell>
          <cell r="H86">
            <v>-5.7750000000000003E-2</v>
          </cell>
          <cell r="I86">
            <v>-5.7750000000000003E-2</v>
          </cell>
          <cell r="J86">
            <v>-5.7750000000000003E-2</v>
          </cell>
        </row>
        <row r="87">
          <cell r="A87" t="str">
            <v>Grisestald</v>
          </cell>
          <cell r="B87" t="str">
            <v>Økologisk</v>
          </cell>
          <cell r="D87" t="str">
            <v>Svin</v>
          </cell>
          <cell r="E87" t="str">
            <v>Antal</v>
          </cell>
          <cell r="F87" t="str">
            <v>CO2 - atmosfære</v>
          </cell>
          <cell r="G87" t="str">
            <v>t CO2-ækvivalenter</v>
          </cell>
          <cell r="H87">
            <v>0.12322694046026236</v>
          </cell>
          <cell r="I87">
            <v>0.12322694046026236</v>
          </cell>
          <cell r="J87">
            <v>0.12322694046026236</v>
          </cell>
        </row>
        <row r="88">
          <cell r="A88" t="str">
            <v>Kostald</v>
          </cell>
          <cell r="B88" t="str">
            <v>Konventionel</v>
          </cell>
          <cell r="D88" t="str">
            <v>Køer</v>
          </cell>
          <cell r="E88" t="str">
            <v>Antal</v>
          </cell>
          <cell r="F88" t="str">
            <v>Slagtekøer</v>
          </cell>
          <cell r="G88" t="str">
            <v>Antal</v>
          </cell>
          <cell r="H88">
            <v>0.34772753819004898</v>
          </cell>
          <cell r="I88">
            <v>0.34772753819004898</v>
          </cell>
          <cell r="J88">
            <v>0.34772753819004898</v>
          </cell>
        </row>
        <row r="89">
          <cell r="A89" t="str">
            <v>Kostald</v>
          </cell>
          <cell r="B89" t="str">
            <v>Konventionel</v>
          </cell>
          <cell r="D89" t="str">
            <v>Køer</v>
          </cell>
          <cell r="E89" t="str">
            <v>Antal</v>
          </cell>
          <cell r="F89" t="str">
            <v>Kvæggylle</v>
          </cell>
          <cell r="G89" t="str">
            <v>Ton</v>
          </cell>
          <cell r="H89">
            <v>10.090491238149957</v>
          </cell>
          <cell r="I89">
            <v>10.090491238149957</v>
          </cell>
          <cell r="J89">
            <v>10.090491238149957</v>
          </cell>
        </row>
        <row r="90">
          <cell r="A90" t="str">
            <v>Kostald</v>
          </cell>
          <cell r="B90" t="str">
            <v>Konventionel</v>
          </cell>
          <cell r="D90" t="str">
            <v>Køer</v>
          </cell>
          <cell r="E90" t="str">
            <v>Antal</v>
          </cell>
          <cell r="F90" t="str">
            <v>Dybstrøelse</v>
          </cell>
          <cell r="G90" t="str">
            <v>Ton</v>
          </cell>
          <cell r="H90">
            <v>0.19774537441874415</v>
          </cell>
          <cell r="I90">
            <v>0.19774537441874415</v>
          </cell>
          <cell r="J90">
            <v>0.19774537441874415</v>
          </cell>
        </row>
        <row r="91">
          <cell r="A91" t="str">
            <v>Kostald</v>
          </cell>
          <cell r="B91" t="str">
            <v>Konventionel</v>
          </cell>
          <cell r="D91" t="str">
            <v>Køer</v>
          </cell>
          <cell r="E91" t="str">
            <v>Antal</v>
          </cell>
          <cell r="F91" t="str">
            <v>Råmælk</v>
          </cell>
          <cell r="G91" t="str">
            <v>Ton</v>
          </cell>
          <cell r="H91">
            <v>3.7771765723503732</v>
          </cell>
          <cell r="I91">
            <v>3.7771765723503732</v>
          </cell>
          <cell r="J91">
            <v>3.7771765723503732</v>
          </cell>
        </row>
        <row r="92">
          <cell r="A92" t="str">
            <v>Kostald</v>
          </cell>
          <cell r="B92" t="str">
            <v>Konventionel</v>
          </cell>
          <cell r="D92" t="str">
            <v>Køer</v>
          </cell>
          <cell r="E92" t="str">
            <v>Antal</v>
          </cell>
          <cell r="F92" t="str">
            <v>Industriaffald</v>
          </cell>
          <cell r="G92" t="str">
            <v>Ton</v>
          </cell>
          <cell r="H92">
            <v>4.3029625219252375E-2</v>
          </cell>
          <cell r="I92">
            <v>4.3029625219252375E-2</v>
          </cell>
          <cell r="J92">
            <v>4.3029625219252375E-2</v>
          </cell>
        </row>
        <row r="93">
          <cell r="A93" t="str">
            <v>Kostald</v>
          </cell>
          <cell r="B93" t="str">
            <v>Konventionel</v>
          </cell>
          <cell r="D93" t="str">
            <v>Køer</v>
          </cell>
          <cell r="E93" t="str">
            <v>Antal</v>
          </cell>
          <cell r="F93" t="str">
            <v>Foder</v>
          </cell>
          <cell r="G93" t="str">
            <v>FE</v>
          </cell>
          <cell r="H93">
            <v>-2618</v>
          </cell>
          <cell r="I93">
            <v>-2618</v>
          </cell>
          <cell r="J93">
            <v>-2618</v>
          </cell>
        </row>
        <row r="94">
          <cell r="A94" t="str">
            <v>Kostald</v>
          </cell>
          <cell r="B94" t="str">
            <v>Konventionel</v>
          </cell>
          <cell r="D94" t="str">
            <v>Køer</v>
          </cell>
          <cell r="E94" t="str">
            <v>Antal</v>
          </cell>
          <cell r="F94" t="str">
            <v>Halm</v>
          </cell>
          <cell r="G94" t="str">
            <v>Ton</v>
          </cell>
          <cell r="H94">
            <v>-1.095E-2</v>
          </cell>
          <cell r="I94">
            <v>-1.095E-2</v>
          </cell>
          <cell r="J94">
            <v>-1.095E-2</v>
          </cell>
        </row>
        <row r="95">
          <cell r="A95" t="str">
            <v>Kostald</v>
          </cell>
          <cell r="B95" t="str">
            <v>Konventionel</v>
          </cell>
          <cell r="D95" t="str">
            <v>Køer</v>
          </cell>
          <cell r="E95" t="str">
            <v>Antal</v>
          </cell>
          <cell r="F95" t="str">
            <v>CO2 - atmosfære</v>
          </cell>
          <cell r="G95" t="str">
            <v>t CO2-ækvivalenter</v>
          </cell>
          <cell r="H95">
            <v>2.831717934524296</v>
          </cell>
          <cell r="I95">
            <v>2.831717934524296</v>
          </cell>
          <cell r="J95">
            <v>2.831717934524296</v>
          </cell>
        </row>
        <row r="96">
          <cell r="A96" t="str">
            <v>Kostald</v>
          </cell>
          <cell r="B96" t="str">
            <v>Økologisk</v>
          </cell>
          <cell r="D96" t="str">
            <v>Køer</v>
          </cell>
          <cell r="E96" t="str">
            <v>Antal</v>
          </cell>
          <cell r="F96" t="str">
            <v>Slagtekøer</v>
          </cell>
          <cell r="G96" t="str">
            <v>Antal</v>
          </cell>
          <cell r="H96">
            <v>0.10430224472694208</v>
          </cell>
          <cell r="I96">
            <v>0.10430224472694208</v>
          </cell>
          <cell r="J96">
            <v>0.10430224472694208</v>
          </cell>
        </row>
        <row r="97">
          <cell r="A97" t="str">
            <v>Kostald</v>
          </cell>
          <cell r="B97" t="str">
            <v>Økologisk</v>
          </cell>
          <cell r="D97" t="str">
            <v>Køer</v>
          </cell>
          <cell r="E97" t="str">
            <v>Antal</v>
          </cell>
          <cell r="F97" t="str">
            <v>Kvæggylle</v>
          </cell>
          <cell r="G97" t="str">
            <v>Ton</v>
          </cell>
          <cell r="H97">
            <v>5.636332840052062</v>
          </cell>
          <cell r="I97">
            <v>5.636332840052062</v>
          </cell>
          <cell r="J97">
            <v>5.636332840052062</v>
          </cell>
        </row>
        <row r="98">
          <cell r="A98" t="str">
            <v>Kostald</v>
          </cell>
          <cell r="B98" t="str">
            <v>Økologisk</v>
          </cell>
          <cell r="D98" t="str">
            <v>Køer</v>
          </cell>
          <cell r="E98" t="str">
            <v>Antal</v>
          </cell>
          <cell r="F98" t="str">
            <v>Dybstrøelse</v>
          </cell>
          <cell r="G98" t="str">
            <v>Ton</v>
          </cell>
          <cell r="H98">
            <v>4.6534847647404926E-2</v>
          </cell>
          <cell r="I98">
            <v>4.6534847647404926E-2</v>
          </cell>
          <cell r="J98">
            <v>4.6534847647404926E-2</v>
          </cell>
        </row>
        <row r="99">
          <cell r="A99" t="str">
            <v>Kostald</v>
          </cell>
          <cell r="B99" t="str">
            <v>Økologisk</v>
          </cell>
          <cell r="D99" t="str">
            <v>Køer</v>
          </cell>
          <cell r="E99" t="str">
            <v>Antal</v>
          </cell>
          <cell r="F99" t="str">
            <v>Råmælk</v>
          </cell>
          <cell r="G99" t="str">
            <v>Ton</v>
          </cell>
          <cell r="H99">
            <v>2.1529053078253426</v>
          </cell>
          <cell r="I99">
            <v>2.1529053078253426</v>
          </cell>
          <cell r="J99">
            <v>2.1529053078253426</v>
          </cell>
        </row>
        <row r="100">
          <cell r="A100" t="str">
            <v>Kostald</v>
          </cell>
          <cell r="B100" t="str">
            <v>Økologisk</v>
          </cell>
          <cell r="D100" t="str">
            <v>Køer</v>
          </cell>
          <cell r="E100" t="str">
            <v>Antal</v>
          </cell>
          <cell r="F100" t="str">
            <v>Industriaffald</v>
          </cell>
          <cell r="G100" t="str">
            <v>Ton</v>
          </cell>
          <cell r="H100">
            <v>4.3029625219252375E-2</v>
          </cell>
          <cell r="I100">
            <v>4.3029625219252375E-2</v>
          </cell>
          <cell r="J100">
            <v>4.3029625219252375E-2</v>
          </cell>
        </row>
        <row r="101">
          <cell r="A101" t="str">
            <v>Kostald</v>
          </cell>
          <cell r="B101" t="str">
            <v>Økologisk</v>
          </cell>
          <cell r="D101" t="str">
            <v>Køer</v>
          </cell>
          <cell r="E101" t="str">
            <v>Antal</v>
          </cell>
          <cell r="F101" t="str">
            <v>Foder</v>
          </cell>
          <cell r="G101" t="str">
            <v>FE</v>
          </cell>
          <cell r="H101">
            <v>-2618</v>
          </cell>
          <cell r="I101">
            <v>-2618</v>
          </cell>
          <cell r="J101">
            <v>-2618</v>
          </cell>
        </row>
        <row r="102">
          <cell r="A102" t="str">
            <v>Kostald</v>
          </cell>
          <cell r="B102" t="str">
            <v>Økologisk</v>
          </cell>
          <cell r="D102" t="str">
            <v>Køer</v>
          </cell>
          <cell r="E102" t="str">
            <v>Antal</v>
          </cell>
          <cell r="F102" t="str">
            <v>Halm</v>
          </cell>
          <cell r="G102" t="str">
            <v>Ton</v>
          </cell>
          <cell r="H102">
            <v>-1.32E-2</v>
          </cell>
          <cell r="I102">
            <v>-1.32E-2</v>
          </cell>
          <cell r="J102">
            <v>-1.32E-2</v>
          </cell>
        </row>
        <row r="103">
          <cell r="A103" t="str">
            <v>Kostald</v>
          </cell>
          <cell r="B103" t="str">
            <v>Økologisk</v>
          </cell>
          <cell r="D103" t="str">
            <v>Køer</v>
          </cell>
          <cell r="E103" t="str">
            <v>Antal</v>
          </cell>
          <cell r="F103" t="str">
            <v>CO2 - atmosfære</v>
          </cell>
          <cell r="G103" t="str">
            <v>t CO2-ækvivalenter</v>
          </cell>
          <cell r="H103">
            <v>2.3680201988872902</v>
          </cell>
          <cell r="I103">
            <v>2.3680201988872902</v>
          </cell>
          <cell r="J103">
            <v>2.3680201988872902</v>
          </cell>
        </row>
        <row r="104">
          <cell r="A104" t="str">
            <v>Fjerkræbrug</v>
          </cell>
          <cell r="B104" t="str">
            <v>Konventionel</v>
          </cell>
          <cell r="D104" t="str">
            <v>Fjerkræ</v>
          </cell>
          <cell r="E104" t="str">
            <v>Antal</v>
          </cell>
          <cell r="F104" t="str">
            <v>Slagtefjerkræ</v>
          </cell>
          <cell r="G104" t="str">
            <v>Antal</v>
          </cell>
          <cell r="H104">
            <v>5.3363578103053619</v>
          </cell>
          <cell r="I104">
            <v>5.3363578103053619</v>
          </cell>
          <cell r="J104">
            <v>5.3363578103053619</v>
          </cell>
        </row>
        <row r="105">
          <cell r="A105" t="str">
            <v>Fjerkræbrug</v>
          </cell>
          <cell r="B105" t="str">
            <v>Konventionel</v>
          </cell>
          <cell r="D105" t="str">
            <v>Fjerkræ</v>
          </cell>
          <cell r="E105" t="str">
            <v>Antal</v>
          </cell>
          <cell r="F105" t="str">
            <v>Fjerkrægylle</v>
          </cell>
          <cell r="G105" t="str">
            <v>Ton</v>
          </cell>
          <cell r="H105">
            <v>3.3965332371824528E-4</v>
          </cell>
          <cell r="I105">
            <v>3.3965332371824528E-4</v>
          </cell>
          <cell r="J105">
            <v>3.3965332371824528E-4</v>
          </cell>
        </row>
        <row r="106">
          <cell r="A106" t="str">
            <v>Fjerkræbrug</v>
          </cell>
          <cell r="B106" t="str">
            <v>Konventionel</v>
          </cell>
          <cell r="D106" t="str">
            <v>Fjerkræ</v>
          </cell>
          <cell r="E106" t="str">
            <v>Antal</v>
          </cell>
          <cell r="F106" t="str">
            <v>Dybstrøelse</v>
          </cell>
          <cell r="G106" t="str">
            <v>Ton</v>
          </cell>
          <cell r="H106">
            <v>7.5279568763122248E-3</v>
          </cell>
          <cell r="I106">
            <v>7.5279568763122248E-3</v>
          </cell>
          <cell r="J106">
            <v>7.5279568763122248E-3</v>
          </cell>
        </row>
        <row r="107">
          <cell r="A107" t="str">
            <v>Fjerkræbrug</v>
          </cell>
          <cell r="B107" t="str">
            <v>Konventionel</v>
          </cell>
          <cell r="D107" t="str">
            <v>Fjerkræ</v>
          </cell>
          <cell r="E107" t="str">
            <v>Antal</v>
          </cell>
          <cell r="F107" t="str">
            <v>Æg</v>
          </cell>
          <cell r="G107" t="str">
            <v>Ton</v>
          </cell>
          <cell r="H107">
            <v>1.1120887382109748E-2</v>
          </cell>
          <cell r="I107">
            <v>1.1120887382109748E-2</v>
          </cell>
          <cell r="J107">
            <v>1.1120887382109748E-2</v>
          </cell>
        </row>
        <row r="108">
          <cell r="A108" t="str">
            <v>Fjerkræbrug</v>
          </cell>
          <cell r="B108" t="str">
            <v>Konventionel</v>
          </cell>
          <cell r="D108" t="str">
            <v>Fjerkræ</v>
          </cell>
          <cell r="E108" t="str">
            <v>Antal</v>
          </cell>
          <cell r="F108" t="str">
            <v>Industriaffald</v>
          </cell>
          <cell r="G108" t="str">
            <v>Ton</v>
          </cell>
          <cell r="H108">
            <v>4.6967971777477953E-4</v>
          </cell>
          <cell r="I108">
            <v>4.6967971777477953E-4</v>
          </cell>
          <cell r="J108">
            <v>4.6967971777477953E-4</v>
          </cell>
        </row>
        <row r="109">
          <cell r="A109" t="str">
            <v>Fjerkræbrug</v>
          </cell>
          <cell r="B109" t="str">
            <v>Konventionel</v>
          </cell>
          <cell r="D109" t="str">
            <v>Fjerkræ</v>
          </cell>
          <cell r="E109" t="str">
            <v>Antal</v>
          </cell>
          <cell r="F109" t="str">
            <v>Foder</v>
          </cell>
          <cell r="G109" t="str">
            <v>FE</v>
          </cell>
          <cell r="H109">
            <v>-18.48</v>
          </cell>
          <cell r="I109">
            <v>-18.48</v>
          </cell>
          <cell r="J109">
            <v>-18.48</v>
          </cell>
        </row>
        <row r="110">
          <cell r="A110" t="str">
            <v>Fjerkræbrug</v>
          </cell>
          <cell r="B110" t="str">
            <v>Konventionel</v>
          </cell>
          <cell r="D110" t="str">
            <v>Fjerkræ</v>
          </cell>
          <cell r="E110" t="str">
            <v>Antal</v>
          </cell>
          <cell r="F110" t="str">
            <v>Halm</v>
          </cell>
          <cell r="G110" t="str">
            <v>Ton</v>
          </cell>
          <cell r="H110">
            <v>-4.3799999999999997E-4</v>
          </cell>
          <cell r="I110">
            <v>-4.3799999999999997E-4</v>
          </cell>
          <cell r="J110">
            <v>-4.3799999999999997E-4</v>
          </cell>
        </row>
        <row r="111">
          <cell r="A111" t="str">
            <v>Fjerkræbrug</v>
          </cell>
          <cell r="B111" t="str">
            <v>Konventionel</v>
          </cell>
          <cell r="D111" t="str">
            <v>Fjerkræ</v>
          </cell>
          <cell r="E111" t="str">
            <v>Antal</v>
          </cell>
          <cell r="F111" t="str">
            <v>CO2 - atmosfære</v>
          </cell>
          <cell r="G111" t="str">
            <v>t CO2-ækvivalenter</v>
          </cell>
          <cell r="H111">
            <v>7.1358057718871957E-4</v>
          </cell>
          <cell r="I111">
            <v>7.1358057718871957E-4</v>
          </cell>
          <cell r="J111">
            <v>7.1358057718871957E-4</v>
          </cell>
        </row>
        <row r="112">
          <cell r="A112" t="str">
            <v>Fjerkræbrug</v>
          </cell>
          <cell r="B112" t="str">
            <v>Økologisk</v>
          </cell>
          <cell r="D112" t="str">
            <v>Fjerkræ</v>
          </cell>
          <cell r="E112" t="str">
            <v>Antal</v>
          </cell>
          <cell r="F112" t="str">
            <v>Slagtefjerkræ</v>
          </cell>
          <cell r="G112" t="str">
            <v>Antal</v>
          </cell>
          <cell r="H112">
            <v>0.37369537669419861</v>
          </cell>
          <cell r="I112">
            <v>0.37369537669419861</v>
          </cell>
          <cell r="J112">
            <v>0.37369537669419861</v>
          </cell>
        </row>
        <row r="113">
          <cell r="A113" t="str">
            <v>Fjerkræbrug</v>
          </cell>
          <cell r="B113" t="str">
            <v>Økologisk</v>
          </cell>
          <cell r="D113" t="str">
            <v>Fjerkræ</v>
          </cell>
          <cell r="E113" t="str">
            <v>Antal</v>
          </cell>
          <cell r="F113" t="str">
            <v>Fjerkrægylle</v>
          </cell>
          <cell r="G113" t="str">
            <v>Ton</v>
          </cell>
          <cell r="H113">
            <v>6.6023396673266124E-4</v>
          </cell>
          <cell r="I113">
            <v>6.6023396673266124E-4</v>
          </cell>
          <cell r="J113">
            <v>6.6023396673266124E-4</v>
          </cell>
        </row>
        <row r="114">
          <cell r="A114" t="str">
            <v>Fjerkræbrug</v>
          </cell>
          <cell r="B114" t="str">
            <v>Økologisk</v>
          </cell>
          <cell r="D114" t="str">
            <v>Fjerkræ</v>
          </cell>
          <cell r="E114" t="str">
            <v>Antal</v>
          </cell>
          <cell r="F114" t="str">
            <v>Dybstrøelse</v>
          </cell>
          <cell r="G114" t="str">
            <v>Ton</v>
          </cell>
          <cell r="H114">
            <v>2.4860457648070043E-3</v>
          </cell>
          <cell r="I114">
            <v>2.4860457648070043E-3</v>
          </cell>
          <cell r="J114">
            <v>2.4860457648070043E-3</v>
          </cell>
        </row>
        <row r="115">
          <cell r="A115" t="str">
            <v>Fjerkræbrug</v>
          </cell>
          <cell r="B115" t="str">
            <v>Økologisk</v>
          </cell>
          <cell r="D115" t="str">
            <v>Fjerkræ</v>
          </cell>
          <cell r="E115" t="str">
            <v>Antal</v>
          </cell>
          <cell r="F115" t="str">
            <v>Æg</v>
          </cell>
          <cell r="G115" t="str">
            <v>Ton</v>
          </cell>
          <cell r="H115">
            <v>4.5769564887054442E-3</v>
          </cell>
          <cell r="I115">
            <v>4.5769564887054442E-3</v>
          </cell>
          <cell r="J115">
            <v>4.5769564887054442E-3</v>
          </cell>
        </row>
        <row r="116">
          <cell r="A116" t="str">
            <v>Fjerkræbrug</v>
          </cell>
          <cell r="B116" t="str">
            <v>Økologisk</v>
          </cell>
          <cell r="D116" t="str">
            <v>Fjerkræ</v>
          </cell>
          <cell r="E116" t="str">
            <v>Antal</v>
          </cell>
          <cell r="F116" t="str">
            <v>Industriaffald</v>
          </cell>
          <cell r="G116" t="str">
            <v>Ton</v>
          </cell>
          <cell r="H116">
            <v>4.6967971777477953E-4</v>
          </cell>
          <cell r="I116">
            <v>4.6967971777477953E-4</v>
          </cell>
          <cell r="J116">
            <v>4.6967971777477953E-4</v>
          </cell>
        </row>
        <row r="117">
          <cell r="A117" t="str">
            <v>Fjerkræbrug</v>
          </cell>
          <cell r="B117" t="str">
            <v>Økologisk</v>
          </cell>
          <cell r="D117" t="str">
            <v>Fjerkræ</v>
          </cell>
          <cell r="E117" t="str">
            <v>Antal</v>
          </cell>
          <cell r="F117" t="str">
            <v>Foder</v>
          </cell>
          <cell r="G117" t="str">
            <v>FE</v>
          </cell>
          <cell r="H117">
            <v>-18.48</v>
          </cell>
          <cell r="I117">
            <v>-18.48</v>
          </cell>
          <cell r="J117">
            <v>-18.48</v>
          </cell>
        </row>
        <row r="118">
          <cell r="A118" t="str">
            <v>Fjerkræbrug</v>
          </cell>
          <cell r="B118" t="str">
            <v>Økologisk</v>
          </cell>
          <cell r="D118" t="str">
            <v>Fjerkræ</v>
          </cell>
          <cell r="E118" t="str">
            <v>Antal</v>
          </cell>
          <cell r="F118" t="str">
            <v>Halm</v>
          </cell>
          <cell r="G118" t="str">
            <v>Ton</v>
          </cell>
          <cell r="H118">
            <v>-8.25E-4</v>
          </cell>
          <cell r="I118">
            <v>-8.25E-4</v>
          </cell>
          <cell r="J118">
            <v>-8.25E-4</v>
          </cell>
        </row>
        <row r="119">
          <cell r="A119" t="str">
            <v>Fjerkræbrug</v>
          </cell>
          <cell r="B119" t="str">
            <v>Økologisk</v>
          </cell>
          <cell r="D119" t="str">
            <v>Fjerkræ</v>
          </cell>
          <cell r="E119" t="str">
            <v>Antal</v>
          </cell>
          <cell r="F119" t="str">
            <v>CO2 - atmosfære</v>
          </cell>
          <cell r="G119" t="str">
            <v>t CO2-ækvivalenter</v>
          </cell>
          <cell r="H119">
            <v>7.8493863490759156E-4</v>
          </cell>
          <cell r="I119">
            <v>7.8493863490759156E-4</v>
          </cell>
          <cell r="J119">
            <v>7.8493863490759156E-4</v>
          </cell>
        </row>
        <row r="120">
          <cell r="A120" t="str">
            <v>Kornmark</v>
          </cell>
          <cell r="B120" t="str">
            <v>Konventionel</v>
          </cell>
          <cell r="C120" t="str">
            <v>JB1-10</v>
          </cell>
          <cell r="D120" t="str">
            <v>Areal-korn</v>
          </cell>
          <cell r="E120" t="str">
            <v>Hektar</v>
          </cell>
          <cell r="F120" t="str">
            <v>Korn</v>
          </cell>
          <cell r="G120" t="str">
            <v>Ton</v>
          </cell>
          <cell r="H120">
            <v>7.01</v>
          </cell>
          <cell r="I120">
            <v>7.01</v>
          </cell>
          <cell r="J120">
            <v>7.01</v>
          </cell>
        </row>
        <row r="121">
          <cell r="A121" t="str">
            <v>Kornmark</v>
          </cell>
          <cell r="B121" t="str">
            <v>Konventionel</v>
          </cell>
          <cell r="C121" t="str">
            <v>JB1-10</v>
          </cell>
          <cell r="D121" t="str">
            <v>Areal-korn</v>
          </cell>
          <cell r="E121" t="str">
            <v>Hektar</v>
          </cell>
          <cell r="F121" t="str">
            <v>Halm</v>
          </cell>
          <cell r="G121" t="str">
            <v>Ton</v>
          </cell>
          <cell r="H121">
            <v>3.8555000000000001</v>
          </cell>
          <cell r="I121">
            <v>3.8555000000000001</v>
          </cell>
          <cell r="J121">
            <v>3.8555000000000001</v>
          </cell>
        </row>
        <row r="122">
          <cell r="A122" t="str">
            <v>Kornmark</v>
          </cell>
          <cell r="B122" t="str">
            <v>Konventionel</v>
          </cell>
          <cell r="C122" t="str">
            <v>JB1-10</v>
          </cell>
          <cell r="D122" t="str">
            <v>Areal-korn</v>
          </cell>
          <cell r="E122" t="str">
            <v>Hektar</v>
          </cell>
          <cell r="F122" t="str">
            <v>Gødning</v>
          </cell>
          <cell r="G122" t="str">
            <v>kg N</v>
          </cell>
          <cell r="H122">
            <v>-160</v>
          </cell>
          <cell r="I122">
            <v>-160</v>
          </cell>
          <cell r="J122">
            <v>-160</v>
          </cell>
        </row>
        <row r="123">
          <cell r="A123" t="str">
            <v>Kornmark</v>
          </cell>
          <cell r="B123" t="str">
            <v>Konventionel</v>
          </cell>
          <cell r="C123" t="str">
            <v>JB1-10</v>
          </cell>
          <cell r="D123" t="str">
            <v>Areal-korn</v>
          </cell>
          <cell r="E123" t="str">
            <v>Hektar</v>
          </cell>
          <cell r="F123" t="str">
            <v>CO2 - atmosfære</v>
          </cell>
          <cell r="G123" t="str">
            <v>t CO2-ækvivalenter</v>
          </cell>
          <cell r="H123">
            <v>2.2736943674854606</v>
          </cell>
          <cell r="I123">
            <v>2.2736943674854606</v>
          </cell>
          <cell r="J123">
            <v>2.2736943674854606</v>
          </cell>
        </row>
        <row r="124">
          <cell r="A124" t="str">
            <v>Kornmark</v>
          </cell>
          <cell r="B124" t="str">
            <v>Konventionel</v>
          </cell>
          <cell r="C124" t="str">
            <v>OC6</v>
          </cell>
          <cell r="D124" t="str">
            <v>Areal-korn</v>
          </cell>
          <cell r="E124" t="str">
            <v>Hektar</v>
          </cell>
          <cell r="F124" t="str">
            <v>Korn</v>
          </cell>
          <cell r="G124" t="str">
            <v>Ton</v>
          </cell>
          <cell r="H124">
            <v>8.411999999999999</v>
          </cell>
          <cell r="I124">
            <v>8.411999999999999</v>
          </cell>
          <cell r="J124">
            <v>8.411999999999999</v>
          </cell>
        </row>
        <row r="125">
          <cell r="A125" t="str">
            <v>Kornmark</v>
          </cell>
          <cell r="B125" t="str">
            <v>Konventionel</v>
          </cell>
          <cell r="C125" t="str">
            <v>OC6</v>
          </cell>
          <cell r="D125" t="str">
            <v>Areal-korn</v>
          </cell>
          <cell r="E125" t="str">
            <v>Hektar</v>
          </cell>
          <cell r="F125" t="str">
            <v>Halm</v>
          </cell>
          <cell r="G125" t="str">
            <v>Ton</v>
          </cell>
          <cell r="H125">
            <v>4.6265999999999998</v>
          </cell>
          <cell r="I125">
            <v>4.6265999999999998</v>
          </cell>
          <cell r="J125">
            <v>4.6265999999999998</v>
          </cell>
        </row>
        <row r="126">
          <cell r="A126" t="str">
            <v>Kornmark</v>
          </cell>
          <cell r="B126" t="str">
            <v>Konventionel</v>
          </cell>
          <cell r="C126" t="str">
            <v>OC6</v>
          </cell>
          <cell r="D126" t="str">
            <v>Areal-korn</v>
          </cell>
          <cell r="E126" t="str">
            <v>Hektar</v>
          </cell>
          <cell r="F126" t="str">
            <v>Gødning</v>
          </cell>
          <cell r="G126" t="str">
            <v>kg N</v>
          </cell>
          <cell r="H126">
            <v>-130</v>
          </cell>
          <cell r="I126">
            <v>-130</v>
          </cell>
          <cell r="J126">
            <v>-130</v>
          </cell>
        </row>
        <row r="127">
          <cell r="A127" t="str">
            <v>Kornmark</v>
          </cell>
          <cell r="B127" t="str">
            <v>Konventionel</v>
          </cell>
          <cell r="C127" t="str">
            <v>OC6</v>
          </cell>
          <cell r="D127" t="str">
            <v>Areal-korn</v>
          </cell>
          <cell r="E127" t="str">
            <v>Hektar</v>
          </cell>
          <cell r="F127" t="str">
            <v>CO2 - atmosfære</v>
          </cell>
          <cell r="G127" t="str">
            <v>t CO2-ækvivalenter</v>
          </cell>
          <cell r="H127">
            <v>15.99169436748546</v>
          </cell>
          <cell r="I127">
            <v>15.99169436748546</v>
          </cell>
          <cell r="J127">
            <v>15.99169436748546</v>
          </cell>
        </row>
        <row r="128">
          <cell r="A128" t="str">
            <v>Kornmark</v>
          </cell>
          <cell r="B128" t="str">
            <v>Konventionel</v>
          </cell>
          <cell r="C128" t="str">
            <v>OC12</v>
          </cell>
          <cell r="D128" t="str">
            <v>Areal-korn</v>
          </cell>
          <cell r="E128" t="str">
            <v>Hektar</v>
          </cell>
          <cell r="F128" t="str">
            <v>Korn</v>
          </cell>
          <cell r="G128" t="str">
            <v>Ton</v>
          </cell>
          <cell r="H128">
            <v>9.8139999999999983</v>
          </cell>
          <cell r="I128">
            <v>9.8139999999999983</v>
          </cell>
          <cell r="J128">
            <v>9.8139999999999983</v>
          </cell>
        </row>
        <row r="129">
          <cell r="A129" t="str">
            <v>Kornmark</v>
          </cell>
          <cell r="B129" t="str">
            <v>Konventionel</v>
          </cell>
          <cell r="C129" t="str">
            <v>OC12</v>
          </cell>
          <cell r="D129" t="str">
            <v>Areal-korn</v>
          </cell>
          <cell r="E129" t="str">
            <v>Hektar</v>
          </cell>
          <cell r="F129" t="str">
            <v>Halm</v>
          </cell>
          <cell r="G129" t="str">
            <v>Ton</v>
          </cell>
          <cell r="H129">
            <v>5.3976999999999995</v>
          </cell>
          <cell r="I129">
            <v>5.3976999999999995</v>
          </cell>
          <cell r="J129">
            <v>5.3976999999999995</v>
          </cell>
        </row>
        <row r="130">
          <cell r="A130" t="str">
            <v>Kornmark</v>
          </cell>
          <cell r="B130" t="str">
            <v>Konventionel</v>
          </cell>
          <cell r="C130" t="str">
            <v>OC12</v>
          </cell>
          <cell r="D130" t="str">
            <v>Areal-korn</v>
          </cell>
          <cell r="E130" t="str">
            <v>Hektar</v>
          </cell>
          <cell r="F130" t="str">
            <v>Gødning</v>
          </cell>
          <cell r="G130" t="str">
            <v>kg N</v>
          </cell>
          <cell r="H130">
            <v>-100</v>
          </cell>
          <cell r="I130">
            <v>-100</v>
          </cell>
          <cell r="J130">
            <v>-100</v>
          </cell>
        </row>
        <row r="131">
          <cell r="A131" t="str">
            <v>Kornmark</v>
          </cell>
          <cell r="B131" t="str">
            <v>Konventionel</v>
          </cell>
          <cell r="C131" t="str">
            <v>OC12</v>
          </cell>
          <cell r="D131" t="str">
            <v>Areal-korn</v>
          </cell>
          <cell r="E131" t="str">
            <v>Hektar</v>
          </cell>
          <cell r="F131" t="str">
            <v>CO2 - atmosfære</v>
          </cell>
          <cell r="G131" t="str">
            <v>t CO2-ækvivalenter</v>
          </cell>
          <cell r="H131">
            <v>40.951694367485452</v>
          </cell>
          <cell r="I131">
            <v>40.951694367485452</v>
          </cell>
          <cell r="J131">
            <v>40.951694367485452</v>
          </cell>
        </row>
        <row r="132">
          <cell r="A132" t="str">
            <v>Kornmark</v>
          </cell>
          <cell r="B132" t="str">
            <v>Økologisk</v>
          </cell>
          <cell r="C132" t="str">
            <v>JB1-10</v>
          </cell>
          <cell r="D132" t="str">
            <v>Areal-korn</v>
          </cell>
          <cell r="E132" t="str">
            <v>Hektar</v>
          </cell>
          <cell r="F132" t="str">
            <v>Korn</v>
          </cell>
          <cell r="G132" t="str">
            <v>Ton</v>
          </cell>
          <cell r="H132">
            <v>4.6966999999999999</v>
          </cell>
          <cell r="I132">
            <v>4.6966999999999999</v>
          </cell>
          <cell r="J132">
            <v>4.6966999999999999</v>
          </cell>
        </row>
        <row r="133">
          <cell r="A133" t="str">
            <v>Kornmark</v>
          </cell>
          <cell r="B133" t="str">
            <v>Økologisk</v>
          </cell>
          <cell r="C133" t="str">
            <v>JB1-10</v>
          </cell>
          <cell r="D133" t="str">
            <v>Areal-korn</v>
          </cell>
          <cell r="E133" t="str">
            <v>Hektar</v>
          </cell>
          <cell r="F133" t="str">
            <v>Halm</v>
          </cell>
          <cell r="G133" t="str">
            <v>Ton</v>
          </cell>
          <cell r="H133">
            <v>2.5831850000000003</v>
          </cell>
          <cell r="I133">
            <v>2.5831850000000003</v>
          </cell>
          <cell r="J133">
            <v>2.5831850000000003</v>
          </cell>
        </row>
        <row r="134">
          <cell r="A134" t="str">
            <v>Kornmark</v>
          </cell>
          <cell r="B134" t="str">
            <v>Økologisk</v>
          </cell>
          <cell r="C134" t="str">
            <v>JB1-10</v>
          </cell>
          <cell r="D134" t="str">
            <v>Areal-korn</v>
          </cell>
          <cell r="E134" t="str">
            <v>Hektar</v>
          </cell>
          <cell r="F134" t="str">
            <v>Gødning</v>
          </cell>
          <cell r="G134" t="str">
            <v>kg N</v>
          </cell>
          <cell r="H134">
            <v>-107.2</v>
          </cell>
          <cell r="I134">
            <v>-107.2</v>
          </cell>
          <cell r="J134">
            <v>-107.2</v>
          </cell>
        </row>
        <row r="135">
          <cell r="A135" t="str">
            <v>Kornmark</v>
          </cell>
          <cell r="B135" t="str">
            <v>Økologisk</v>
          </cell>
          <cell r="C135" t="str">
            <v>JB1-10</v>
          </cell>
          <cell r="D135" t="str">
            <v>Areal-korn</v>
          </cell>
          <cell r="E135" t="str">
            <v>Hektar</v>
          </cell>
          <cell r="F135" t="str">
            <v>CO2 - atmosfære</v>
          </cell>
          <cell r="G135" t="str">
            <v>t CO2-ækvivalenter</v>
          </cell>
          <cell r="H135">
            <v>2.2736943674854606</v>
          </cell>
          <cell r="I135">
            <v>2.2736943674854606</v>
          </cell>
          <cell r="J135">
            <v>2.2736943674854606</v>
          </cell>
        </row>
        <row r="136">
          <cell r="A136" t="str">
            <v>Kornmark</v>
          </cell>
          <cell r="B136" t="str">
            <v>Økologisk</v>
          </cell>
          <cell r="C136" t="str">
            <v>OC6</v>
          </cell>
          <cell r="D136" t="str">
            <v>Areal-korn</v>
          </cell>
          <cell r="E136" t="str">
            <v>Hektar</v>
          </cell>
          <cell r="F136" t="str">
            <v>Korn</v>
          </cell>
          <cell r="G136" t="str">
            <v>Ton</v>
          </cell>
          <cell r="H136">
            <v>5.6360399999999995</v>
          </cell>
          <cell r="I136">
            <v>5.6360399999999995</v>
          </cell>
          <cell r="J136">
            <v>5.6360399999999995</v>
          </cell>
        </row>
        <row r="137">
          <cell r="A137" t="str">
            <v>Kornmark</v>
          </cell>
          <cell r="B137" t="str">
            <v>Økologisk</v>
          </cell>
          <cell r="C137" t="str">
            <v>OC6</v>
          </cell>
          <cell r="D137" t="str">
            <v>Areal-korn</v>
          </cell>
          <cell r="E137" t="str">
            <v>Hektar</v>
          </cell>
          <cell r="F137" t="str">
            <v>Halm</v>
          </cell>
          <cell r="G137" t="str">
            <v>Ton</v>
          </cell>
          <cell r="H137">
            <v>3.0998220000000001</v>
          </cell>
          <cell r="I137">
            <v>3.0998220000000001</v>
          </cell>
          <cell r="J137">
            <v>3.0998220000000001</v>
          </cell>
        </row>
        <row r="138">
          <cell r="A138" t="str">
            <v>Kornmark</v>
          </cell>
          <cell r="B138" t="str">
            <v>Økologisk</v>
          </cell>
          <cell r="C138" t="str">
            <v>OC6</v>
          </cell>
          <cell r="D138" t="str">
            <v>Areal-korn</v>
          </cell>
          <cell r="E138" t="str">
            <v>Hektar</v>
          </cell>
          <cell r="F138" t="str">
            <v>Gødning</v>
          </cell>
          <cell r="G138" t="str">
            <v>kg N</v>
          </cell>
          <cell r="H138">
            <v>-87.100000000000009</v>
          </cell>
          <cell r="I138">
            <v>-87.100000000000009</v>
          </cell>
          <cell r="J138">
            <v>-87.100000000000009</v>
          </cell>
        </row>
        <row r="139">
          <cell r="A139" t="str">
            <v>Kornmark</v>
          </cell>
          <cell r="B139" t="str">
            <v>Økologisk</v>
          </cell>
          <cell r="C139" t="str">
            <v>OC6</v>
          </cell>
          <cell r="D139" t="str">
            <v>Areal-korn</v>
          </cell>
          <cell r="E139" t="str">
            <v>Hektar</v>
          </cell>
          <cell r="F139" t="str">
            <v>CO2 - atmosfære</v>
          </cell>
          <cell r="G139" t="str">
            <v>t CO2-ækvivalenter</v>
          </cell>
          <cell r="H139">
            <v>15.99169436748546</v>
          </cell>
          <cell r="I139">
            <v>15.99169436748546</v>
          </cell>
          <cell r="J139">
            <v>15.99169436748546</v>
          </cell>
        </row>
        <row r="140">
          <cell r="A140" t="str">
            <v>Kornmark</v>
          </cell>
          <cell r="B140" t="str">
            <v>Økologisk</v>
          </cell>
          <cell r="C140" t="str">
            <v>OC12</v>
          </cell>
          <cell r="D140" t="str">
            <v>Areal-korn</v>
          </cell>
          <cell r="E140" t="str">
            <v>Hektar</v>
          </cell>
          <cell r="F140" t="str">
            <v>Korn</v>
          </cell>
          <cell r="G140" t="str">
            <v>Ton</v>
          </cell>
          <cell r="H140">
            <v>6.5753799999999991</v>
          </cell>
          <cell r="I140">
            <v>6.5753799999999991</v>
          </cell>
          <cell r="J140">
            <v>6.5753799999999991</v>
          </cell>
        </row>
        <row r="141">
          <cell r="A141" t="str">
            <v>Kornmark</v>
          </cell>
          <cell r="B141" t="str">
            <v>Økologisk</v>
          </cell>
          <cell r="C141" t="str">
            <v>OC12</v>
          </cell>
          <cell r="D141" t="str">
            <v>Areal-korn</v>
          </cell>
          <cell r="E141" t="str">
            <v>Hektar</v>
          </cell>
          <cell r="F141" t="str">
            <v>Halm</v>
          </cell>
          <cell r="G141" t="str">
            <v>Ton</v>
          </cell>
          <cell r="H141">
            <v>3.6164589999999999</v>
          </cell>
          <cell r="I141">
            <v>3.6164589999999999</v>
          </cell>
          <cell r="J141">
            <v>3.6164589999999999</v>
          </cell>
        </row>
        <row r="142">
          <cell r="A142" t="str">
            <v>Kornmark</v>
          </cell>
          <cell r="B142" t="str">
            <v>Økologisk</v>
          </cell>
          <cell r="C142" t="str">
            <v>OC12</v>
          </cell>
          <cell r="D142" t="str">
            <v>Areal-korn</v>
          </cell>
          <cell r="E142" t="str">
            <v>Hektar</v>
          </cell>
          <cell r="F142" t="str">
            <v>Gødning</v>
          </cell>
          <cell r="G142" t="str">
            <v>kg N</v>
          </cell>
          <cell r="H142">
            <v>-67</v>
          </cell>
          <cell r="I142">
            <v>-67</v>
          </cell>
          <cell r="J142">
            <v>-67</v>
          </cell>
        </row>
        <row r="143">
          <cell r="A143" t="str">
            <v>Kornmark</v>
          </cell>
          <cell r="B143" t="str">
            <v>Økologisk</v>
          </cell>
          <cell r="C143" t="str">
            <v>OC12</v>
          </cell>
          <cell r="D143" t="str">
            <v>Areal-korn</v>
          </cell>
          <cell r="E143" t="str">
            <v>Hektar</v>
          </cell>
          <cell r="F143" t="str">
            <v>CO2 - atmosfære</v>
          </cell>
          <cell r="G143" t="str">
            <v>t CO2-ækvivalenter</v>
          </cell>
          <cell r="H143">
            <v>40.951694367485452</v>
          </cell>
          <cell r="I143">
            <v>40.951694367485452</v>
          </cell>
          <cell r="J143">
            <v>40.951694367485452</v>
          </cell>
        </row>
        <row r="144">
          <cell r="A144" t="str">
            <v>Grøntsager på land</v>
          </cell>
          <cell r="B144" t="str">
            <v>Konventionel</v>
          </cell>
          <cell r="C144" t="str">
            <v>JB1-10</v>
          </cell>
          <cell r="D144" t="str">
            <v>Areal-grøntsager</v>
          </cell>
          <cell r="E144" t="str">
            <v>Hektar</v>
          </cell>
          <cell r="F144" t="str">
            <v>Grøntsager</v>
          </cell>
          <cell r="G144" t="str">
            <v>Ton</v>
          </cell>
          <cell r="H144">
            <v>20.75</v>
          </cell>
          <cell r="I144">
            <v>20.75</v>
          </cell>
          <cell r="J144">
            <v>20.75</v>
          </cell>
        </row>
        <row r="145">
          <cell r="A145" t="str">
            <v>Grøntsager på land</v>
          </cell>
          <cell r="B145" t="str">
            <v>Konventionel</v>
          </cell>
          <cell r="C145" t="str">
            <v>JB1-10</v>
          </cell>
          <cell r="D145" t="str">
            <v>Areal-grøntsager</v>
          </cell>
          <cell r="E145" t="str">
            <v>Hektar</v>
          </cell>
          <cell r="F145" t="str">
            <v>Gødning</v>
          </cell>
          <cell r="G145" t="str">
            <v>kg N</v>
          </cell>
          <cell r="H145">
            <v>-200</v>
          </cell>
          <cell r="I145">
            <v>-200</v>
          </cell>
          <cell r="J145">
            <v>-200</v>
          </cell>
        </row>
        <row r="146">
          <cell r="A146" t="str">
            <v>Grøntsager på land</v>
          </cell>
          <cell r="B146" t="str">
            <v>Konventionel</v>
          </cell>
          <cell r="C146" t="str">
            <v>JB1-10</v>
          </cell>
          <cell r="D146" t="str">
            <v>Areal-grøntsager</v>
          </cell>
          <cell r="E146" t="str">
            <v>Hektar</v>
          </cell>
          <cell r="F146" t="str">
            <v>CO2 - atmosfære</v>
          </cell>
          <cell r="G146" t="str">
            <v>t CO2-ækvivalenter</v>
          </cell>
          <cell r="H146">
            <v>2.2736943674854606</v>
          </cell>
          <cell r="I146">
            <v>2.2736943674854606</v>
          </cell>
          <cell r="J146">
            <v>2.2736943674854606</v>
          </cell>
        </row>
        <row r="147">
          <cell r="A147" t="str">
            <v>Grøntsager på land</v>
          </cell>
          <cell r="B147" t="str">
            <v>Konventionel</v>
          </cell>
          <cell r="C147" t="str">
            <v>OC6</v>
          </cell>
          <cell r="D147" t="str">
            <v>Areal-grøntsager</v>
          </cell>
          <cell r="E147" t="str">
            <v>Hektar</v>
          </cell>
          <cell r="F147" t="str">
            <v>Grøntsager</v>
          </cell>
          <cell r="G147" t="str">
            <v>Ton</v>
          </cell>
          <cell r="H147">
            <v>24.9</v>
          </cell>
          <cell r="I147">
            <v>24.9</v>
          </cell>
          <cell r="J147">
            <v>24.9</v>
          </cell>
        </row>
        <row r="148">
          <cell r="A148" t="str">
            <v>Grøntsager på land</v>
          </cell>
          <cell r="B148" t="str">
            <v>Konventionel</v>
          </cell>
          <cell r="C148" t="str">
            <v>OC6</v>
          </cell>
          <cell r="D148" t="str">
            <v>Areal-grøntsager</v>
          </cell>
          <cell r="E148" t="str">
            <v>Hektar</v>
          </cell>
          <cell r="F148" t="str">
            <v>Gødning</v>
          </cell>
          <cell r="G148" t="str">
            <v>kg N</v>
          </cell>
          <cell r="H148">
            <v>-195</v>
          </cell>
          <cell r="I148">
            <v>-195</v>
          </cell>
          <cell r="J148">
            <v>-195</v>
          </cell>
        </row>
        <row r="149">
          <cell r="A149" t="str">
            <v>Grøntsager på land</v>
          </cell>
          <cell r="B149" t="str">
            <v>Konventionel</v>
          </cell>
          <cell r="C149" t="str">
            <v>OC6</v>
          </cell>
          <cell r="D149" t="str">
            <v>Areal-grøntsager</v>
          </cell>
          <cell r="E149" t="str">
            <v>Hektar</v>
          </cell>
          <cell r="F149" t="str">
            <v>CO2 - atmosfære</v>
          </cell>
          <cell r="G149" t="str">
            <v>t CO2-ækvivalenter</v>
          </cell>
          <cell r="H149">
            <v>15.99169436748546</v>
          </cell>
          <cell r="I149">
            <v>15.99169436748546</v>
          </cell>
          <cell r="J149">
            <v>15.99169436748546</v>
          </cell>
        </row>
        <row r="150">
          <cell r="A150" t="str">
            <v>Grøntsager på land</v>
          </cell>
          <cell r="B150" t="str">
            <v>Konventionel</v>
          </cell>
          <cell r="C150" t="str">
            <v>OC12</v>
          </cell>
          <cell r="D150" t="str">
            <v>Areal-grøntsager</v>
          </cell>
          <cell r="E150" t="str">
            <v>Hektar</v>
          </cell>
          <cell r="F150" t="str">
            <v>Grøntsager</v>
          </cell>
          <cell r="G150" t="str">
            <v>Ton</v>
          </cell>
          <cell r="H150">
            <v>29.049999999999997</v>
          </cell>
          <cell r="I150">
            <v>29.049999999999997</v>
          </cell>
          <cell r="J150">
            <v>29.049999999999997</v>
          </cell>
        </row>
        <row r="151">
          <cell r="A151" t="str">
            <v>Grøntsager på land</v>
          </cell>
          <cell r="B151" t="str">
            <v>Konventionel</v>
          </cell>
          <cell r="C151" t="str">
            <v>OC12</v>
          </cell>
          <cell r="D151" t="str">
            <v>Areal-grøntsager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-190</v>
          </cell>
          <cell r="I151">
            <v>-190</v>
          </cell>
          <cell r="J151">
            <v>-190</v>
          </cell>
        </row>
        <row r="152">
          <cell r="A152" t="str">
            <v>Grøntsager på land</v>
          </cell>
          <cell r="B152" t="str">
            <v>Konventionel</v>
          </cell>
          <cell r="C152" t="str">
            <v>OC12</v>
          </cell>
          <cell r="D152" t="str">
            <v>Areal-grøntsager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Grøntsager på land</v>
          </cell>
          <cell r="B153" t="str">
            <v>Økologisk</v>
          </cell>
          <cell r="C153" t="str">
            <v>JB1-10</v>
          </cell>
          <cell r="D153" t="str">
            <v>Areal-grøntsager</v>
          </cell>
          <cell r="E153" t="str">
            <v>Hektar</v>
          </cell>
          <cell r="F153" t="str">
            <v>Grøntsager</v>
          </cell>
          <cell r="G153" t="str">
            <v>Ton</v>
          </cell>
          <cell r="H153">
            <v>11.827499999999999</v>
          </cell>
          <cell r="I153">
            <v>11.827499999999999</v>
          </cell>
          <cell r="J153">
            <v>11.827499999999999</v>
          </cell>
        </row>
        <row r="154">
          <cell r="A154" t="str">
            <v>Grøntsager på land</v>
          </cell>
          <cell r="B154" t="str">
            <v>Økologisk</v>
          </cell>
          <cell r="C154" t="str">
            <v>JB1-10</v>
          </cell>
          <cell r="D154" t="str">
            <v>Areal-grøntsager</v>
          </cell>
          <cell r="E154" t="str">
            <v>Hektar</v>
          </cell>
          <cell r="F154" t="str">
            <v>Gødning</v>
          </cell>
          <cell r="G154" t="str">
            <v>kg N</v>
          </cell>
          <cell r="H154">
            <v>-113.99999999999999</v>
          </cell>
          <cell r="I154">
            <v>-113.99999999999999</v>
          </cell>
          <cell r="J154">
            <v>-113.99999999999999</v>
          </cell>
        </row>
        <row r="155">
          <cell r="A155" t="str">
            <v>Grøntsager på land</v>
          </cell>
          <cell r="B155" t="str">
            <v>Økologisk</v>
          </cell>
          <cell r="C155" t="str">
            <v>JB1-10</v>
          </cell>
          <cell r="D155" t="str">
            <v>Areal-grøntsager</v>
          </cell>
          <cell r="E155" t="str">
            <v>Hektar</v>
          </cell>
          <cell r="F155" t="str">
            <v>CO2 - atmosfære</v>
          </cell>
          <cell r="G155" t="str">
            <v>t CO2-ækvivalenter</v>
          </cell>
          <cell r="H155">
            <v>2.2736943674854606</v>
          </cell>
          <cell r="I155">
            <v>2.2736943674854606</v>
          </cell>
          <cell r="J155">
            <v>2.2736943674854606</v>
          </cell>
        </row>
        <row r="156">
          <cell r="A156" t="str">
            <v>Grøntsager på land</v>
          </cell>
          <cell r="B156" t="str">
            <v>Økologisk</v>
          </cell>
          <cell r="C156" t="str">
            <v>OC6</v>
          </cell>
          <cell r="D156" t="str">
            <v>Areal-grøntsager</v>
          </cell>
          <cell r="E156" t="str">
            <v>Hektar</v>
          </cell>
          <cell r="F156" t="str">
            <v>Grøntsager</v>
          </cell>
          <cell r="G156" t="str">
            <v>Ton</v>
          </cell>
          <cell r="H156">
            <v>14.192999999999998</v>
          </cell>
          <cell r="I156">
            <v>14.192999999999998</v>
          </cell>
          <cell r="J156">
            <v>14.192999999999998</v>
          </cell>
        </row>
        <row r="157">
          <cell r="A157" t="str">
            <v>Grøntsager på land</v>
          </cell>
          <cell r="B157" t="str">
            <v>Økologisk</v>
          </cell>
          <cell r="C157" t="str">
            <v>OC6</v>
          </cell>
          <cell r="D157" t="str">
            <v>Areal-grøntsager</v>
          </cell>
          <cell r="E157" t="str">
            <v>Hektar</v>
          </cell>
          <cell r="F157" t="str">
            <v>Gødning</v>
          </cell>
          <cell r="G157" t="str">
            <v>kg N</v>
          </cell>
          <cell r="H157">
            <v>-111.14999999999999</v>
          </cell>
          <cell r="I157">
            <v>-111.14999999999999</v>
          </cell>
          <cell r="J157">
            <v>-111.14999999999999</v>
          </cell>
        </row>
        <row r="158">
          <cell r="A158" t="str">
            <v>Grøntsager på land</v>
          </cell>
          <cell r="B158" t="str">
            <v>Økologisk</v>
          </cell>
          <cell r="C158" t="str">
            <v>OC6</v>
          </cell>
          <cell r="D158" t="str">
            <v>Areal-grøntsager</v>
          </cell>
          <cell r="E158" t="str">
            <v>Hektar</v>
          </cell>
          <cell r="F158" t="str">
            <v>CO2 - atmosfære</v>
          </cell>
          <cell r="G158" t="str">
            <v>t CO2-ækvivalenter</v>
          </cell>
          <cell r="H158">
            <v>15.99169436748546</v>
          </cell>
          <cell r="I158">
            <v>15.99169436748546</v>
          </cell>
          <cell r="J158">
            <v>15.99169436748546</v>
          </cell>
        </row>
        <row r="159">
          <cell r="A159" t="str">
            <v>Grøntsager på land</v>
          </cell>
          <cell r="B159" t="str">
            <v>Økologisk</v>
          </cell>
          <cell r="C159" t="str">
            <v>OC12</v>
          </cell>
          <cell r="D159" t="str">
            <v>Areal-grøntsager</v>
          </cell>
          <cell r="E159" t="str">
            <v>Hektar</v>
          </cell>
          <cell r="F159" t="str">
            <v>Grøntsager</v>
          </cell>
          <cell r="G159" t="str">
            <v>Ton</v>
          </cell>
          <cell r="H159">
            <v>16.558499999999999</v>
          </cell>
          <cell r="I159">
            <v>16.558499999999999</v>
          </cell>
          <cell r="J159">
            <v>16.558499999999999</v>
          </cell>
        </row>
        <row r="160">
          <cell r="A160" t="str">
            <v>Grøntsager på land</v>
          </cell>
          <cell r="B160" t="str">
            <v>Økologisk</v>
          </cell>
          <cell r="C160" t="str">
            <v>OC12</v>
          </cell>
          <cell r="D160" t="str">
            <v>Areal-grøntsager</v>
          </cell>
          <cell r="E160" t="str">
            <v>Hektar</v>
          </cell>
          <cell r="F160" t="str">
            <v>Gødning</v>
          </cell>
          <cell r="G160" t="str">
            <v>kg N</v>
          </cell>
          <cell r="H160">
            <v>-108.3</v>
          </cell>
          <cell r="I160">
            <v>-108.3</v>
          </cell>
          <cell r="J160">
            <v>-108.3</v>
          </cell>
        </row>
        <row r="161">
          <cell r="A161" t="str">
            <v>Grøntsager på land</v>
          </cell>
          <cell r="B161" t="str">
            <v>Økologisk</v>
          </cell>
          <cell r="C161" t="str">
            <v>OC12</v>
          </cell>
          <cell r="D161" t="str">
            <v>Areal-grøntsager</v>
          </cell>
          <cell r="E161" t="str">
            <v>Hektar</v>
          </cell>
          <cell r="F161" t="str">
            <v>CO2 - atmosfære</v>
          </cell>
          <cell r="G161" t="str">
            <v>t CO2-ækvivalenter</v>
          </cell>
          <cell r="H161">
            <v>40.951694367485452</v>
          </cell>
          <cell r="I161">
            <v>40.951694367485452</v>
          </cell>
          <cell r="J161">
            <v>40.951694367485452</v>
          </cell>
        </row>
        <row r="162">
          <cell r="A162" t="str">
            <v>Grøntsager i drivhus</v>
          </cell>
          <cell r="B162" t="str">
            <v>Konventionel</v>
          </cell>
          <cell r="D162" t="str">
            <v>Areal-grøntsager</v>
          </cell>
          <cell r="E162" t="str">
            <v>Hektar</v>
          </cell>
          <cell r="F162" t="str">
            <v>Grøntsager</v>
          </cell>
          <cell r="G162" t="str">
            <v>Ton</v>
          </cell>
          <cell r="H162">
            <v>379.01908396946601</v>
          </cell>
          <cell r="I162">
            <v>379.01908396946601</v>
          </cell>
          <cell r="J162">
            <v>379.01908396946601</v>
          </cell>
        </row>
        <row r="163">
          <cell r="A163" t="str">
            <v>Grøntsager i drivhus</v>
          </cell>
          <cell r="B163" t="str">
            <v>Konventionel</v>
          </cell>
          <cell r="D163" t="str">
            <v>Areal-grøntsager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-2100</v>
          </cell>
          <cell r="I163">
            <v>-2100</v>
          </cell>
          <cell r="J163">
            <v>-2100</v>
          </cell>
        </row>
        <row r="164">
          <cell r="A164" t="str">
            <v>Grøntsager i drivhus</v>
          </cell>
          <cell r="B164" t="str">
            <v>Konventionel</v>
          </cell>
          <cell r="D164" t="str">
            <v>Areal-grøntsager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0.45473887349709213</v>
          </cell>
          <cell r="I164">
            <v>0.45473887349709213</v>
          </cell>
          <cell r="J164">
            <v>0.45473887349709213</v>
          </cell>
        </row>
        <row r="165">
          <cell r="A165" t="str">
            <v>Grøntsager i drivhus</v>
          </cell>
          <cell r="B165" t="str">
            <v>Økologisk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216.04087786259561</v>
          </cell>
          <cell r="I165">
            <v>216.04087786259561</v>
          </cell>
          <cell r="J165">
            <v>216.04087786259561</v>
          </cell>
        </row>
        <row r="166">
          <cell r="A166" t="str">
            <v>Grøntsager i drivhus</v>
          </cell>
          <cell r="B166" t="str">
            <v>Økologisk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-1197</v>
          </cell>
          <cell r="I166">
            <v>-1197</v>
          </cell>
          <cell r="J166">
            <v>-1197</v>
          </cell>
        </row>
        <row r="167">
          <cell r="A167" t="str">
            <v>Grøntsager i drivhus</v>
          </cell>
          <cell r="B167" t="str">
            <v>Økologisk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0.45473887349709213</v>
          </cell>
          <cell r="I167">
            <v>0.45473887349709213</v>
          </cell>
          <cell r="J167">
            <v>0.45473887349709213</v>
          </cell>
        </row>
        <row r="168">
          <cell r="A168" t="str">
            <v>Kartoffelmark</v>
          </cell>
          <cell r="B168" t="str">
            <v>Konventionel</v>
          </cell>
          <cell r="C168" t="str">
            <v>JB1-10</v>
          </cell>
          <cell r="D168" t="str">
            <v>Areal-kartofler</v>
          </cell>
          <cell r="E168" t="str">
            <v>Hektar</v>
          </cell>
          <cell r="F168" t="str">
            <v>Kartofler</v>
          </cell>
          <cell r="G168" t="str">
            <v>Ton</v>
          </cell>
          <cell r="H168">
            <v>42.470899470899468</v>
          </cell>
          <cell r="I168">
            <v>42.470899470899468</v>
          </cell>
          <cell r="J168">
            <v>42.470899470899468</v>
          </cell>
        </row>
        <row r="169">
          <cell r="A169" t="str">
            <v>Kartoffelmark</v>
          </cell>
          <cell r="B169" t="str">
            <v>Konventionel</v>
          </cell>
          <cell r="C169" t="str">
            <v>JB1-10</v>
          </cell>
          <cell r="D169" t="str">
            <v>Areal-kartofler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-150</v>
          </cell>
          <cell r="I169">
            <v>-150</v>
          </cell>
          <cell r="J169">
            <v>-150</v>
          </cell>
        </row>
        <row r="170">
          <cell r="A170" t="str">
            <v>Kartoffelmark</v>
          </cell>
          <cell r="B170" t="str">
            <v>Konventionel</v>
          </cell>
          <cell r="C170" t="str">
            <v>JB1-10</v>
          </cell>
          <cell r="D170" t="str">
            <v>Areal-kartofler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2.2736943674854606</v>
          </cell>
          <cell r="I170">
            <v>2.2736943674854606</v>
          </cell>
          <cell r="J170">
            <v>2.2736943674854606</v>
          </cell>
        </row>
        <row r="171">
          <cell r="A171" t="str">
            <v>Kartoffelmark</v>
          </cell>
          <cell r="B171" t="str">
            <v>Konventionel</v>
          </cell>
          <cell r="C171" t="str">
            <v>OC6</v>
          </cell>
          <cell r="D171" t="str">
            <v>Areal-kartofler</v>
          </cell>
          <cell r="E171" t="str">
            <v>Hektar</v>
          </cell>
          <cell r="F171" t="str">
            <v>Kartofler</v>
          </cell>
          <cell r="G171" t="str">
            <v>Ton</v>
          </cell>
          <cell r="H171">
            <v>50.965079365079362</v>
          </cell>
          <cell r="I171">
            <v>50.965079365079362</v>
          </cell>
          <cell r="J171">
            <v>50.965079365079362</v>
          </cell>
        </row>
        <row r="172">
          <cell r="A172" t="str">
            <v>Kartoffelmark</v>
          </cell>
          <cell r="B172" t="str">
            <v>Konventionel</v>
          </cell>
          <cell r="C172" t="str">
            <v>OC6</v>
          </cell>
          <cell r="D172" t="str">
            <v>Areal-kartofler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-120</v>
          </cell>
          <cell r="I172">
            <v>-120</v>
          </cell>
          <cell r="J172">
            <v>-120</v>
          </cell>
        </row>
        <row r="173">
          <cell r="A173" t="str">
            <v>Kartoffelmark</v>
          </cell>
          <cell r="B173" t="str">
            <v>Konventionel</v>
          </cell>
          <cell r="C173" t="str">
            <v>OC6</v>
          </cell>
          <cell r="D173" t="str">
            <v>Areal-kartofler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15.99169436748546</v>
          </cell>
          <cell r="I173">
            <v>15.99169436748546</v>
          </cell>
          <cell r="J173">
            <v>15.99169436748546</v>
          </cell>
        </row>
        <row r="174">
          <cell r="A174" t="str">
            <v>Kartoffelmark</v>
          </cell>
          <cell r="B174" t="str">
            <v>Konventionel</v>
          </cell>
          <cell r="C174" t="str">
            <v>OC12</v>
          </cell>
          <cell r="D174" t="str">
            <v>Areal-kartofler</v>
          </cell>
          <cell r="E174" t="str">
            <v>Hektar</v>
          </cell>
          <cell r="F174" t="str">
            <v>Kartofler</v>
          </cell>
          <cell r="G174" t="str">
            <v>Ton</v>
          </cell>
          <cell r="H174">
            <v>59.459259259259248</v>
          </cell>
          <cell r="I174">
            <v>59.459259259259248</v>
          </cell>
          <cell r="J174">
            <v>59.459259259259248</v>
          </cell>
        </row>
        <row r="175">
          <cell r="A175" t="str">
            <v>Kartoffelmark</v>
          </cell>
          <cell r="B175" t="str">
            <v>Konventionel</v>
          </cell>
          <cell r="C175" t="str">
            <v>OC12</v>
          </cell>
          <cell r="D175" t="str">
            <v>Areal-kartofler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-90</v>
          </cell>
          <cell r="I175">
            <v>-90</v>
          </cell>
          <cell r="J175">
            <v>-90</v>
          </cell>
        </row>
        <row r="176">
          <cell r="A176" t="str">
            <v>Kartoffelmark</v>
          </cell>
          <cell r="B176" t="str">
            <v>Konventionel</v>
          </cell>
          <cell r="C176" t="str">
            <v>OC12</v>
          </cell>
          <cell r="D176" t="str">
            <v>Areal-kartofler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40.951694367485452</v>
          </cell>
          <cell r="I176">
            <v>40.951694367485452</v>
          </cell>
          <cell r="J176">
            <v>40.951694367485452</v>
          </cell>
        </row>
        <row r="177">
          <cell r="A177" t="str">
            <v>Kartoffelmark</v>
          </cell>
          <cell r="B177" t="str">
            <v>Økologisk</v>
          </cell>
          <cell r="C177" t="str">
            <v>JB1-10</v>
          </cell>
          <cell r="D177" t="str">
            <v>Areal-kartofler</v>
          </cell>
          <cell r="E177" t="str">
            <v>Hektar</v>
          </cell>
          <cell r="F177" t="str">
            <v>Kartofler</v>
          </cell>
          <cell r="G177" t="str">
            <v>Ton</v>
          </cell>
          <cell r="H177">
            <v>24.208412698412694</v>
          </cell>
          <cell r="I177">
            <v>24.208412698412694</v>
          </cell>
          <cell r="J177">
            <v>24.208412698412694</v>
          </cell>
        </row>
        <row r="178">
          <cell r="A178" t="str">
            <v>Kartoffelmark</v>
          </cell>
          <cell r="B178" t="str">
            <v>Økologisk</v>
          </cell>
          <cell r="C178" t="str">
            <v>JB1-10</v>
          </cell>
          <cell r="D178" t="str">
            <v>Areal-kartofler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-85.499999999999986</v>
          </cell>
          <cell r="I178">
            <v>-85.499999999999986</v>
          </cell>
          <cell r="J178">
            <v>-85.499999999999986</v>
          </cell>
        </row>
        <row r="179">
          <cell r="A179" t="str">
            <v>Kartoffelmark</v>
          </cell>
          <cell r="B179" t="str">
            <v>Økologisk</v>
          </cell>
          <cell r="C179" t="str">
            <v>JB1-10</v>
          </cell>
          <cell r="D179" t="str">
            <v>Areal-kartofler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2.2736943674854606</v>
          </cell>
          <cell r="I179">
            <v>2.2736943674854606</v>
          </cell>
          <cell r="J179">
            <v>2.2736943674854606</v>
          </cell>
        </row>
        <row r="180">
          <cell r="A180" t="str">
            <v>Kartoffelmark</v>
          </cell>
          <cell r="B180" t="str">
            <v>Økologisk</v>
          </cell>
          <cell r="C180" t="str">
            <v>OC6</v>
          </cell>
          <cell r="D180" t="str">
            <v>Areal-kartofler</v>
          </cell>
          <cell r="E180" t="str">
            <v>Hektar</v>
          </cell>
          <cell r="F180" t="str">
            <v>Kartofler</v>
          </cell>
          <cell r="G180" t="str">
            <v>Ton</v>
          </cell>
          <cell r="H180">
            <v>29.050095238095235</v>
          </cell>
          <cell r="I180">
            <v>29.050095238095235</v>
          </cell>
          <cell r="J180">
            <v>29.050095238095235</v>
          </cell>
        </row>
        <row r="181">
          <cell r="A181" t="str">
            <v>Kartoffelmark</v>
          </cell>
          <cell r="B181" t="str">
            <v>Økologisk</v>
          </cell>
          <cell r="C181" t="str">
            <v>OC6</v>
          </cell>
          <cell r="D181" t="str">
            <v>Areal-kartofler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-68.399999999999991</v>
          </cell>
          <cell r="I181">
            <v>-68.399999999999991</v>
          </cell>
          <cell r="J181">
            <v>-68.399999999999991</v>
          </cell>
        </row>
        <row r="182">
          <cell r="A182" t="str">
            <v>Kartoffelmark</v>
          </cell>
          <cell r="B182" t="str">
            <v>Økologisk</v>
          </cell>
          <cell r="C182" t="str">
            <v>OC6</v>
          </cell>
          <cell r="D182" t="str">
            <v>Areal-kartofler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15.99169436748546</v>
          </cell>
          <cell r="I182">
            <v>15.99169436748546</v>
          </cell>
          <cell r="J182">
            <v>15.99169436748546</v>
          </cell>
        </row>
        <row r="183">
          <cell r="A183" t="str">
            <v>Kartoffelmark</v>
          </cell>
          <cell r="B183" t="str">
            <v>Økologisk</v>
          </cell>
          <cell r="C183" t="str">
            <v>OC12</v>
          </cell>
          <cell r="D183" t="str">
            <v>Areal-kartofler</v>
          </cell>
          <cell r="E183" t="str">
            <v>Hektar</v>
          </cell>
          <cell r="F183" t="str">
            <v>Kartofler</v>
          </cell>
          <cell r="G183" t="str">
            <v>Ton</v>
          </cell>
          <cell r="H183">
            <v>33.891777777777769</v>
          </cell>
          <cell r="I183">
            <v>33.891777777777769</v>
          </cell>
          <cell r="J183">
            <v>33.891777777777769</v>
          </cell>
        </row>
        <row r="184">
          <cell r="A184" t="str">
            <v>Kartoffelmark</v>
          </cell>
          <cell r="B184" t="str">
            <v>Økologisk</v>
          </cell>
          <cell r="C184" t="str">
            <v>OC12</v>
          </cell>
          <cell r="D184" t="str">
            <v>Areal-kartofler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-51.3</v>
          </cell>
          <cell r="I184">
            <v>-51.3</v>
          </cell>
          <cell r="J184">
            <v>-51.3</v>
          </cell>
        </row>
        <row r="185">
          <cell r="A185" t="str">
            <v>Kartoffelmark</v>
          </cell>
          <cell r="B185" t="str">
            <v>Økologisk</v>
          </cell>
          <cell r="C185" t="str">
            <v>OC12</v>
          </cell>
          <cell r="D185" t="str">
            <v>Areal-kartofler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40.951694367485452</v>
          </cell>
          <cell r="I185">
            <v>40.951694367485452</v>
          </cell>
          <cell r="J185">
            <v>40.951694367485452</v>
          </cell>
        </row>
        <row r="186">
          <cell r="A186" t="str">
            <v>Græsmark</v>
          </cell>
          <cell r="B186" t="str">
            <v>Konventionel</v>
          </cell>
          <cell r="C186" t="str">
            <v>JB1-10</v>
          </cell>
          <cell r="D186" t="str">
            <v>Areal-græs</v>
          </cell>
          <cell r="E186" t="str">
            <v>Hektar</v>
          </cell>
          <cell r="F186" t="str">
            <v>Græs</v>
          </cell>
          <cell r="G186" t="str">
            <v>Ton</v>
          </cell>
          <cell r="H186">
            <v>49.62</v>
          </cell>
          <cell r="I186">
            <v>49.62</v>
          </cell>
          <cell r="J186">
            <v>49.62</v>
          </cell>
        </row>
        <row r="187">
          <cell r="A187" t="str">
            <v>Græsmark</v>
          </cell>
          <cell r="B187" t="str">
            <v>Konventionel</v>
          </cell>
          <cell r="C187" t="str">
            <v>JB1-10</v>
          </cell>
          <cell r="D187" t="str">
            <v>Areal-græs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-155</v>
          </cell>
          <cell r="I187">
            <v>-155</v>
          </cell>
          <cell r="J187">
            <v>-155</v>
          </cell>
        </row>
        <row r="188">
          <cell r="A188" t="str">
            <v>Græsmark</v>
          </cell>
          <cell r="B188" t="str">
            <v>Konventionel</v>
          </cell>
          <cell r="C188" t="str">
            <v>JB1-10</v>
          </cell>
          <cell r="D188" t="str">
            <v>Areal-græs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2.2736943674854606</v>
          </cell>
          <cell r="I188">
            <v>2.2736943674854606</v>
          </cell>
          <cell r="J188">
            <v>2.2736943674854606</v>
          </cell>
        </row>
        <row r="189">
          <cell r="A189" t="str">
            <v>Græsmark</v>
          </cell>
          <cell r="B189" t="str">
            <v>Konventionel</v>
          </cell>
          <cell r="C189" t="str">
            <v>OC6</v>
          </cell>
          <cell r="D189" t="str">
            <v>Areal-græs</v>
          </cell>
          <cell r="E189" t="str">
            <v>Hektar</v>
          </cell>
          <cell r="F189" t="str">
            <v>Græs</v>
          </cell>
          <cell r="G189" t="str">
            <v>Ton</v>
          </cell>
          <cell r="H189">
            <v>59.543999999999997</v>
          </cell>
          <cell r="I189">
            <v>59.543999999999997</v>
          </cell>
          <cell r="J189">
            <v>59.543999999999997</v>
          </cell>
        </row>
        <row r="190">
          <cell r="A190" t="str">
            <v>Græsmark</v>
          </cell>
          <cell r="B190" t="str">
            <v>Konventionel</v>
          </cell>
          <cell r="C190" t="str">
            <v>OC6</v>
          </cell>
          <cell r="D190" t="str">
            <v>Areal-græs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-130</v>
          </cell>
          <cell r="I190">
            <v>-130</v>
          </cell>
          <cell r="J190">
            <v>-130</v>
          </cell>
        </row>
        <row r="191">
          <cell r="A191" t="str">
            <v>Græsmark</v>
          </cell>
          <cell r="B191" t="str">
            <v>Konventionel</v>
          </cell>
          <cell r="C191" t="str">
            <v>OC6</v>
          </cell>
          <cell r="D191" t="str">
            <v>Areal-græs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15.99169436748546</v>
          </cell>
          <cell r="I191">
            <v>15.99169436748546</v>
          </cell>
          <cell r="J191">
            <v>15.99169436748546</v>
          </cell>
        </row>
        <row r="192">
          <cell r="A192" t="str">
            <v>Græsmark</v>
          </cell>
          <cell r="B192" t="str">
            <v>Konventionel</v>
          </cell>
          <cell r="C192" t="str">
            <v>OC12</v>
          </cell>
          <cell r="D192" t="str">
            <v>Areal-græs</v>
          </cell>
          <cell r="E192" t="str">
            <v>Hektar</v>
          </cell>
          <cell r="F192" t="str">
            <v>Græs</v>
          </cell>
          <cell r="G192" t="str">
            <v>Ton</v>
          </cell>
          <cell r="H192">
            <v>69.467999999999989</v>
          </cell>
          <cell r="I192">
            <v>69.467999999999989</v>
          </cell>
          <cell r="J192">
            <v>69.467999999999989</v>
          </cell>
        </row>
        <row r="193">
          <cell r="A193" t="str">
            <v>Græsmark</v>
          </cell>
          <cell r="B193" t="str">
            <v>Konventionel</v>
          </cell>
          <cell r="C193" t="str">
            <v>OC12</v>
          </cell>
          <cell r="D193" t="str">
            <v>Areal-græs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-105</v>
          </cell>
          <cell r="I193">
            <v>-105</v>
          </cell>
          <cell r="J193">
            <v>-105</v>
          </cell>
        </row>
        <row r="194">
          <cell r="A194" t="str">
            <v>Græsmark</v>
          </cell>
          <cell r="B194" t="str">
            <v>Konventionel</v>
          </cell>
          <cell r="C194" t="str">
            <v>OC12</v>
          </cell>
          <cell r="D194" t="str">
            <v>Areal-græs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40.951694367485452</v>
          </cell>
          <cell r="I194">
            <v>40.951694367485452</v>
          </cell>
          <cell r="J194">
            <v>40.951694367485452</v>
          </cell>
        </row>
        <row r="195">
          <cell r="A195" t="str">
            <v>Græsmark</v>
          </cell>
          <cell r="B195" t="str">
            <v>Økologisk</v>
          </cell>
          <cell r="C195" t="str">
            <v>JB1-10</v>
          </cell>
          <cell r="D195" t="str">
            <v>Areal-græs</v>
          </cell>
          <cell r="E195" t="str">
            <v>Hektar</v>
          </cell>
          <cell r="F195" t="str">
            <v>Græs</v>
          </cell>
          <cell r="G195" t="str">
            <v>Ton</v>
          </cell>
          <cell r="H195">
            <v>38.703600000000002</v>
          </cell>
          <cell r="I195">
            <v>38.703600000000002</v>
          </cell>
          <cell r="J195">
            <v>38.703600000000002</v>
          </cell>
        </row>
        <row r="196">
          <cell r="A196" t="str">
            <v>Græsmark</v>
          </cell>
          <cell r="B196" t="str">
            <v>Økologisk</v>
          </cell>
          <cell r="C196" t="str">
            <v>JB1-10</v>
          </cell>
          <cell r="D196" t="str">
            <v>Areal-græs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-120.9</v>
          </cell>
          <cell r="I196">
            <v>-120.9</v>
          </cell>
          <cell r="J196">
            <v>-120.9</v>
          </cell>
        </row>
        <row r="197">
          <cell r="A197" t="str">
            <v>Græsmark</v>
          </cell>
          <cell r="B197" t="str">
            <v>Økologisk</v>
          </cell>
          <cell r="C197" t="str">
            <v>JB1-10</v>
          </cell>
          <cell r="D197" t="str">
            <v>Areal-græs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2.2736943674854606</v>
          </cell>
          <cell r="I197">
            <v>2.2736943674854606</v>
          </cell>
          <cell r="J197">
            <v>2.2736943674854606</v>
          </cell>
        </row>
        <row r="198">
          <cell r="A198" t="str">
            <v>Græsmark</v>
          </cell>
          <cell r="B198" t="str">
            <v>Økologisk</v>
          </cell>
          <cell r="C198" t="str">
            <v>OC6</v>
          </cell>
          <cell r="D198" t="str">
            <v>Areal-græs</v>
          </cell>
          <cell r="E198" t="str">
            <v>Hektar</v>
          </cell>
          <cell r="F198" t="str">
            <v>Græs</v>
          </cell>
          <cell r="G198" t="str">
            <v>Ton</v>
          </cell>
          <cell r="H198">
            <v>46.444319999999998</v>
          </cell>
          <cell r="I198">
            <v>46.444319999999998</v>
          </cell>
          <cell r="J198">
            <v>46.444319999999998</v>
          </cell>
        </row>
        <row r="199">
          <cell r="A199" t="str">
            <v>Græsmark</v>
          </cell>
          <cell r="B199" t="str">
            <v>Økologisk</v>
          </cell>
          <cell r="C199" t="str">
            <v>OC6</v>
          </cell>
          <cell r="D199" t="str">
            <v>Areal-græs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-101.4</v>
          </cell>
          <cell r="I199">
            <v>-101.4</v>
          </cell>
          <cell r="J199">
            <v>-101.4</v>
          </cell>
        </row>
        <row r="200">
          <cell r="A200" t="str">
            <v>Græsmark</v>
          </cell>
          <cell r="B200" t="str">
            <v>Økologisk</v>
          </cell>
          <cell r="C200" t="str">
            <v>OC6</v>
          </cell>
          <cell r="D200" t="str">
            <v>Areal-græs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15.99169436748546</v>
          </cell>
          <cell r="I200">
            <v>15.99169436748546</v>
          </cell>
          <cell r="J200">
            <v>15.99169436748546</v>
          </cell>
        </row>
        <row r="201">
          <cell r="A201" t="str">
            <v>Græsmark</v>
          </cell>
          <cell r="B201" t="str">
            <v>Økologisk</v>
          </cell>
          <cell r="C201" t="str">
            <v>OC12</v>
          </cell>
          <cell r="D201" t="str">
            <v>Areal-græs</v>
          </cell>
          <cell r="E201" t="str">
            <v>Hektar</v>
          </cell>
          <cell r="F201" t="str">
            <v>Græs</v>
          </cell>
          <cell r="G201" t="str">
            <v>Ton</v>
          </cell>
          <cell r="H201">
            <v>54.185039999999994</v>
          </cell>
          <cell r="I201">
            <v>54.185039999999994</v>
          </cell>
          <cell r="J201">
            <v>54.185039999999994</v>
          </cell>
        </row>
        <row r="202">
          <cell r="A202" t="str">
            <v>Græsmark</v>
          </cell>
          <cell r="B202" t="str">
            <v>Økologisk</v>
          </cell>
          <cell r="C202" t="str">
            <v>OC12</v>
          </cell>
          <cell r="D202" t="str">
            <v>Areal-græs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-81.900000000000006</v>
          </cell>
          <cell r="I202">
            <v>-81.900000000000006</v>
          </cell>
          <cell r="J202">
            <v>-81.900000000000006</v>
          </cell>
        </row>
        <row r="203">
          <cell r="A203" t="str">
            <v>Græsmark</v>
          </cell>
          <cell r="B203" t="str">
            <v>Økologisk</v>
          </cell>
          <cell r="C203" t="str">
            <v>OC12</v>
          </cell>
          <cell r="D203" t="str">
            <v>Areal-græs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40.951694367485452</v>
          </cell>
          <cell r="I203">
            <v>40.951694367485452</v>
          </cell>
          <cell r="J203">
            <v>40.951694367485452</v>
          </cell>
        </row>
        <row r="204">
          <cell r="A204" t="str">
            <v>Bælgsædsmark</v>
          </cell>
          <cell r="B204" t="str">
            <v>Konventionel</v>
          </cell>
          <cell r="C204" t="str">
            <v>JB1-10</v>
          </cell>
          <cell r="D204" t="str">
            <v>Areal-bælgsæd</v>
          </cell>
          <cell r="E204" t="str">
            <v>Hektar</v>
          </cell>
          <cell r="F204" t="str">
            <v>Bælgsæd</v>
          </cell>
          <cell r="G204" t="str">
            <v>Ton</v>
          </cell>
          <cell r="H204">
            <v>3.8600000000000003</v>
          </cell>
          <cell r="I204">
            <v>3.8600000000000003</v>
          </cell>
          <cell r="J204">
            <v>3.8600000000000003</v>
          </cell>
        </row>
        <row r="205">
          <cell r="A205" t="str">
            <v>Bælgsædsmark</v>
          </cell>
          <cell r="B205" t="str">
            <v>Konventionel</v>
          </cell>
          <cell r="C205" t="str">
            <v>JB1-10</v>
          </cell>
          <cell r="D205" t="str">
            <v>Areal-bælgsæd</v>
          </cell>
          <cell r="E205" t="str">
            <v>Hektar</v>
          </cell>
          <cell r="F205" t="str">
            <v>Halm</v>
          </cell>
          <cell r="G205" t="str">
            <v>Ton</v>
          </cell>
          <cell r="H205">
            <v>1.9309999999999998</v>
          </cell>
          <cell r="I205">
            <v>1.9309999999999998</v>
          </cell>
          <cell r="J205">
            <v>1.9309999999999998</v>
          </cell>
        </row>
        <row r="206">
          <cell r="A206" t="str">
            <v>Bælgsædsmark</v>
          </cell>
          <cell r="B206" t="str">
            <v>Konventionel</v>
          </cell>
          <cell r="C206" t="str">
            <v>JB1-10</v>
          </cell>
          <cell r="D206" t="str">
            <v>Areal-bælgsæd</v>
          </cell>
          <cell r="E206" t="str">
            <v>Hektar</v>
          </cell>
          <cell r="F206" t="str">
            <v>Gødning</v>
          </cell>
          <cell r="G206" t="str">
            <v>kg N</v>
          </cell>
          <cell r="H206">
            <v>0</v>
          </cell>
          <cell r="I206">
            <v>0</v>
          </cell>
          <cell r="J206">
            <v>0</v>
          </cell>
        </row>
        <row r="207">
          <cell r="A207" t="str">
            <v>Bælgsædsmark</v>
          </cell>
          <cell r="B207" t="str">
            <v>Konventionel</v>
          </cell>
          <cell r="C207" t="str">
            <v>JB1-10</v>
          </cell>
          <cell r="D207" t="str">
            <v>Areal-bælgsæd</v>
          </cell>
          <cell r="E207" t="str">
            <v>Hektar</v>
          </cell>
          <cell r="F207" t="str">
            <v>CO2 - atmosfære</v>
          </cell>
          <cell r="G207" t="str">
            <v>t CO2-ækvivalenter</v>
          </cell>
          <cell r="H207">
            <v>2.2736943674854606</v>
          </cell>
          <cell r="I207">
            <v>2.2736943674854606</v>
          </cell>
          <cell r="J207">
            <v>2.2736943674854606</v>
          </cell>
        </row>
        <row r="208">
          <cell r="A208" t="str">
            <v>Bælgsædsmark</v>
          </cell>
          <cell r="B208" t="str">
            <v>Konventionel</v>
          </cell>
          <cell r="C208" t="str">
            <v>OC6</v>
          </cell>
          <cell r="D208" t="str">
            <v>Areal-bælgsæd</v>
          </cell>
          <cell r="E208" t="str">
            <v>Hektar</v>
          </cell>
          <cell r="F208" t="str">
            <v>Bælgsæd</v>
          </cell>
          <cell r="G208" t="str">
            <v>Ton</v>
          </cell>
          <cell r="H208">
            <v>4.6320000000000006</v>
          </cell>
          <cell r="I208">
            <v>4.6320000000000006</v>
          </cell>
          <cell r="J208">
            <v>4.6320000000000006</v>
          </cell>
        </row>
        <row r="209">
          <cell r="A209" t="str">
            <v>Bælgsædsmark</v>
          </cell>
          <cell r="B209" t="str">
            <v>Konventionel</v>
          </cell>
          <cell r="C209" t="str">
            <v>OC6</v>
          </cell>
          <cell r="D209" t="str">
            <v>Areal-bælgsæd</v>
          </cell>
          <cell r="E209" t="str">
            <v>Hektar</v>
          </cell>
          <cell r="F209" t="str">
            <v>Halm</v>
          </cell>
          <cell r="G209" t="str">
            <v>Ton</v>
          </cell>
          <cell r="H209">
            <v>2.3171999999999997</v>
          </cell>
          <cell r="I209">
            <v>2.3171999999999997</v>
          </cell>
          <cell r="J209">
            <v>2.3171999999999997</v>
          </cell>
        </row>
        <row r="210">
          <cell r="A210" t="str">
            <v>Bælgsædsmark</v>
          </cell>
          <cell r="B210" t="str">
            <v>Konventionel</v>
          </cell>
          <cell r="C210" t="str">
            <v>OC6</v>
          </cell>
          <cell r="D210" t="str">
            <v>Areal-bælgsæd</v>
          </cell>
          <cell r="E210" t="str">
            <v>Hektar</v>
          </cell>
          <cell r="F210" t="str">
            <v>Gødning</v>
          </cell>
          <cell r="G210" t="str">
            <v>kg N</v>
          </cell>
          <cell r="H210">
            <v>0</v>
          </cell>
          <cell r="I210">
            <v>0</v>
          </cell>
          <cell r="J210">
            <v>0</v>
          </cell>
        </row>
        <row r="211">
          <cell r="A211" t="str">
            <v>Bælgsædsmark</v>
          </cell>
          <cell r="B211" t="str">
            <v>Konventionel</v>
          </cell>
          <cell r="C211" t="str">
            <v>OC6</v>
          </cell>
          <cell r="D211" t="str">
            <v>Areal-bælgsæd</v>
          </cell>
          <cell r="E211" t="str">
            <v>Hektar</v>
          </cell>
          <cell r="F211" t="str">
            <v>CO2 - atmosfære</v>
          </cell>
          <cell r="G211" t="str">
            <v>t CO2-ækvivalenter</v>
          </cell>
          <cell r="H211">
            <v>15.99169436748546</v>
          </cell>
          <cell r="I211">
            <v>15.99169436748546</v>
          </cell>
          <cell r="J211">
            <v>15.99169436748546</v>
          </cell>
        </row>
        <row r="212">
          <cell r="A212" t="str">
            <v>Bælgsædsmark</v>
          </cell>
          <cell r="B212" t="str">
            <v>Konventionel</v>
          </cell>
          <cell r="C212" t="str">
            <v>OC12</v>
          </cell>
          <cell r="D212" t="str">
            <v>Areal-bælgsæd</v>
          </cell>
          <cell r="E212" t="str">
            <v>Hektar</v>
          </cell>
          <cell r="F212" t="str">
            <v>Bælgsæd</v>
          </cell>
          <cell r="G212" t="str">
            <v>Ton</v>
          </cell>
          <cell r="H212">
            <v>5.4039999999999999</v>
          </cell>
          <cell r="I212">
            <v>5.4039999999999999</v>
          </cell>
          <cell r="J212">
            <v>5.4039999999999999</v>
          </cell>
        </row>
        <row r="213">
          <cell r="A213" t="str">
            <v>Bælgsædsmark</v>
          </cell>
          <cell r="B213" t="str">
            <v>Konventionel</v>
          </cell>
          <cell r="C213" t="str">
            <v>OC12</v>
          </cell>
          <cell r="D213" t="str">
            <v>Areal-bælgsæd</v>
          </cell>
          <cell r="E213" t="str">
            <v>Hektar</v>
          </cell>
          <cell r="F213" t="str">
            <v>Halm</v>
          </cell>
          <cell r="G213" t="str">
            <v>Ton</v>
          </cell>
          <cell r="H213">
            <v>2.7033999999999998</v>
          </cell>
          <cell r="I213">
            <v>2.7033999999999998</v>
          </cell>
          <cell r="J213">
            <v>2.7033999999999998</v>
          </cell>
        </row>
        <row r="214">
          <cell r="A214" t="str">
            <v>Bælgsædsmark</v>
          </cell>
          <cell r="B214" t="str">
            <v>Konventionel</v>
          </cell>
          <cell r="C214" t="str">
            <v>OC12</v>
          </cell>
          <cell r="D214" t="str">
            <v>Areal-bælgsæd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0</v>
          </cell>
          <cell r="I214">
            <v>0</v>
          </cell>
          <cell r="J214">
            <v>0</v>
          </cell>
        </row>
        <row r="215">
          <cell r="A215" t="str">
            <v>Bælgsædsmark</v>
          </cell>
          <cell r="B215" t="str">
            <v>Konventionel</v>
          </cell>
          <cell r="C215" t="str">
            <v>OC12</v>
          </cell>
          <cell r="D215" t="str">
            <v>Areal-bælgsæd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Bælgsædsmark</v>
          </cell>
          <cell r="B216" t="str">
            <v>Økologisk</v>
          </cell>
          <cell r="C216" t="str">
            <v>JB1-10</v>
          </cell>
          <cell r="D216" t="str">
            <v>Areal-bælgsæd</v>
          </cell>
          <cell r="E216" t="str">
            <v>Hektar</v>
          </cell>
          <cell r="F216" t="str">
            <v>Bælgsæd</v>
          </cell>
          <cell r="G216" t="str">
            <v>Ton</v>
          </cell>
          <cell r="H216">
            <v>2.2002000000000002</v>
          </cell>
          <cell r="I216">
            <v>2.2002000000000002</v>
          </cell>
          <cell r="J216">
            <v>2.2002000000000002</v>
          </cell>
        </row>
        <row r="217">
          <cell r="A217" t="str">
            <v>Bælgsædsmark</v>
          </cell>
          <cell r="B217" t="str">
            <v>Økologisk</v>
          </cell>
          <cell r="C217" t="str">
            <v>JB1-10</v>
          </cell>
          <cell r="D217" t="str">
            <v>Areal-bælgsæd</v>
          </cell>
          <cell r="E217" t="str">
            <v>Hektar</v>
          </cell>
          <cell r="F217" t="str">
            <v>Halm</v>
          </cell>
          <cell r="G217" t="str">
            <v>Ton</v>
          </cell>
          <cell r="H217">
            <v>1.1006699999999998</v>
          </cell>
          <cell r="I217">
            <v>1.1006699999999998</v>
          </cell>
          <cell r="J217">
            <v>1.1006699999999998</v>
          </cell>
        </row>
        <row r="218">
          <cell r="A218" t="str">
            <v>Bælgsædsmark</v>
          </cell>
          <cell r="B218" t="str">
            <v>Økologisk</v>
          </cell>
          <cell r="C218" t="str">
            <v>JB1-10</v>
          </cell>
          <cell r="D218" t="str">
            <v>Areal-bælgsæd</v>
          </cell>
          <cell r="E218" t="str">
            <v>Hektar</v>
          </cell>
          <cell r="F218" t="str">
            <v>Gødning</v>
          </cell>
          <cell r="G218" t="str">
            <v>kg N</v>
          </cell>
          <cell r="H218">
            <v>0</v>
          </cell>
          <cell r="I218">
            <v>0</v>
          </cell>
          <cell r="J218">
            <v>0</v>
          </cell>
        </row>
        <row r="219">
          <cell r="A219" t="str">
            <v>Bælgsædsmark</v>
          </cell>
          <cell r="B219" t="str">
            <v>Økologisk</v>
          </cell>
          <cell r="C219" t="str">
            <v>JB1-10</v>
          </cell>
          <cell r="D219" t="str">
            <v>Areal-bælgsæd</v>
          </cell>
          <cell r="E219" t="str">
            <v>Hektar</v>
          </cell>
          <cell r="F219" t="str">
            <v>CO2 - atmosfære</v>
          </cell>
          <cell r="G219" t="str">
            <v>t CO2-ækvivalenter</v>
          </cell>
          <cell r="H219">
            <v>2.2736943674854606</v>
          </cell>
          <cell r="I219">
            <v>2.2736943674854606</v>
          </cell>
          <cell r="J219">
            <v>2.2736943674854606</v>
          </cell>
        </row>
        <row r="220">
          <cell r="A220" t="str">
            <v>Bælgsædsmark</v>
          </cell>
          <cell r="B220" t="str">
            <v>Økologisk</v>
          </cell>
          <cell r="C220" t="str">
            <v>OC6</v>
          </cell>
          <cell r="D220" t="str">
            <v>Areal-bælgsæd</v>
          </cell>
          <cell r="E220" t="str">
            <v>Hektar</v>
          </cell>
          <cell r="F220" t="str">
            <v>Bælgsæd</v>
          </cell>
          <cell r="G220" t="str">
            <v>Ton</v>
          </cell>
          <cell r="H220">
            <v>2.6402399999999999</v>
          </cell>
          <cell r="I220">
            <v>2.6402399999999999</v>
          </cell>
          <cell r="J220">
            <v>2.6402399999999999</v>
          </cell>
        </row>
        <row r="221">
          <cell r="A221" t="str">
            <v>Bælgsædsmark</v>
          </cell>
          <cell r="B221" t="str">
            <v>Økologisk</v>
          </cell>
          <cell r="C221" t="str">
            <v>OC6</v>
          </cell>
          <cell r="D221" t="str">
            <v>Areal-bælgsæd</v>
          </cell>
          <cell r="E221" t="str">
            <v>Hektar</v>
          </cell>
          <cell r="F221" t="str">
            <v>Halm</v>
          </cell>
          <cell r="G221" t="str">
            <v>Ton</v>
          </cell>
          <cell r="H221">
            <v>1.3208039999999996</v>
          </cell>
          <cell r="I221">
            <v>1.3208039999999996</v>
          </cell>
          <cell r="J221">
            <v>1.3208039999999996</v>
          </cell>
        </row>
        <row r="222">
          <cell r="A222" t="str">
            <v>Bælgsædsmark</v>
          </cell>
          <cell r="B222" t="str">
            <v>Økologisk</v>
          </cell>
          <cell r="C222" t="str">
            <v>OC6</v>
          </cell>
          <cell r="D222" t="str">
            <v>Areal-bælgsæd</v>
          </cell>
          <cell r="E222" t="str">
            <v>Hektar</v>
          </cell>
          <cell r="F222" t="str">
            <v>Gødning</v>
          </cell>
          <cell r="G222" t="str">
            <v>kg N</v>
          </cell>
          <cell r="H222">
            <v>0</v>
          </cell>
          <cell r="I222">
            <v>0</v>
          </cell>
          <cell r="J222">
            <v>0</v>
          </cell>
        </row>
        <row r="223">
          <cell r="A223" t="str">
            <v>Bælgsædsmark</v>
          </cell>
          <cell r="B223" t="str">
            <v>Økologisk</v>
          </cell>
          <cell r="C223" t="str">
            <v>OC6</v>
          </cell>
          <cell r="D223" t="str">
            <v>Areal-bælgsæd</v>
          </cell>
          <cell r="E223" t="str">
            <v>Hektar</v>
          </cell>
          <cell r="F223" t="str">
            <v>CO2 - atmosfære</v>
          </cell>
          <cell r="G223" t="str">
            <v>t CO2-ækvivalenter</v>
          </cell>
          <cell r="H223">
            <v>15.99169436748546</v>
          </cell>
          <cell r="I223">
            <v>15.99169436748546</v>
          </cell>
          <cell r="J223">
            <v>15.99169436748546</v>
          </cell>
        </row>
        <row r="224">
          <cell r="A224" t="str">
            <v>Bælgsædsmark</v>
          </cell>
          <cell r="B224" t="str">
            <v>Økologisk</v>
          </cell>
          <cell r="C224" t="str">
            <v>OC12</v>
          </cell>
          <cell r="D224" t="str">
            <v>Areal-bælgsæd</v>
          </cell>
          <cell r="E224" t="str">
            <v>Hektar</v>
          </cell>
          <cell r="F224" t="str">
            <v>Bælgsæd</v>
          </cell>
          <cell r="G224" t="str">
            <v>Ton</v>
          </cell>
          <cell r="H224">
            <v>3.0802799999999997</v>
          </cell>
          <cell r="I224">
            <v>3.0802799999999997</v>
          </cell>
          <cell r="J224">
            <v>3.0802799999999997</v>
          </cell>
        </row>
        <row r="225">
          <cell r="A225" t="str">
            <v>Bælgsædsmark</v>
          </cell>
          <cell r="B225" t="str">
            <v>Økologisk</v>
          </cell>
          <cell r="C225" t="str">
            <v>OC12</v>
          </cell>
          <cell r="D225" t="str">
            <v>Areal-bælgsæd</v>
          </cell>
          <cell r="E225" t="str">
            <v>Hektar</v>
          </cell>
          <cell r="F225" t="str">
            <v>Halm</v>
          </cell>
          <cell r="G225" t="str">
            <v>Ton</v>
          </cell>
          <cell r="H225">
            <v>1.5409379999999997</v>
          </cell>
          <cell r="I225">
            <v>1.5409379999999997</v>
          </cell>
          <cell r="J225">
            <v>1.5409379999999997</v>
          </cell>
        </row>
        <row r="226">
          <cell r="A226" t="str">
            <v>Bælgsædsmark</v>
          </cell>
          <cell r="B226" t="str">
            <v>Økologisk</v>
          </cell>
          <cell r="C226" t="str">
            <v>OC12</v>
          </cell>
          <cell r="D226" t="str">
            <v>Areal-bælgsæd</v>
          </cell>
          <cell r="E226" t="str">
            <v>Hektar</v>
          </cell>
          <cell r="F226" t="str">
            <v>Gødning</v>
          </cell>
          <cell r="G226" t="str">
            <v>kg N</v>
          </cell>
          <cell r="H226">
            <v>0</v>
          </cell>
          <cell r="I226">
            <v>0</v>
          </cell>
          <cell r="J226">
            <v>0</v>
          </cell>
        </row>
        <row r="227">
          <cell r="A227" t="str">
            <v>Bælgsædsmark</v>
          </cell>
          <cell r="B227" t="str">
            <v>Økologisk</v>
          </cell>
          <cell r="C227" t="str">
            <v>OC12</v>
          </cell>
          <cell r="D227" t="str">
            <v>Areal-bælgsæd</v>
          </cell>
          <cell r="E227" t="str">
            <v>Hektar</v>
          </cell>
          <cell r="F227" t="str">
            <v>CO2 - atmosfære</v>
          </cell>
          <cell r="G227" t="str">
            <v>t CO2-ækvivalenter</v>
          </cell>
          <cell r="H227">
            <v>40.951694367485452</v>
          </cell>
          <cell r="I227">
            <v>40.951694367485452</v>
          </cell>
          <cell r="J227">
            <v>40.951694367485452</v>
          </cell>
        </row>
        <row r="228">
          <cell r="A228" t="str">
            <v>Roemark</v>
          </cell>
          <cell r="B228" t="str">
            <v>Konventionel</v>
          </cell>
          <cell r="C228" t="str">
            <v>JB1-10</v>
          </cell>
          <cell r="D228" t="str">
            <v>Areal-roer</v>
          </cell>
          <cell r="E228" t="str">
            <v>Hektar</v>
          </cell>
          <cell r="F228" t="str">
            <v>Roer</v>
          </cell>
          <cell r="G228" t="str">
            <v>Ton</v>
          </cell>
          <cell r="H228">
            <v>81.253731343283576</v>
          </cell>
          <cell r="I228">
            <v>81.253731343283576</v>
          </cell>
          <cell r="J228">
            <v>81.253731343283576</v>
          </cell>
        </row>
        <row r="229">
          <cell r="A229" t="str">
            <v>Roemark</v>
          </cell>
          <cell r="B229" t="str">
            <v>Konventionel</v>
          </cell>
          <cell r="C229" t="str">
            <v>JB1-10</v>
          </cell>
          <cell r="D229" t="str">
            <v>Areal-roer</v>
          </cell>
          <cell r="E229" t="str">
            <v>Hektar</v>
          </cell>
          <cell r="F229" t="str">
            <v>Gødning</v>
          </cell>
          <cell r="G229" t="str">
            <v>kg N</v>
          </cell>
          <cell r="H229">
            <v>-135</v>
          </cell>
          <cell r="I229">
            <v>-135</v>
          </cell>
          <cell r="J229">
            <v>-135</v>
          </cell>
        </row>
        <row r="230">
          <cell r="A230" t="str">
            <v>Roemark</v>
          </cell>
          <cell r="B230" t="str">
            <v>Konventionel</v>
          </cell>
          <cell r="C230" t="str">
            <v>JB1-10</v>
          </cell>
          <cell r="D230" t="str">
            <v>Areal-roer</v>
          </cell>
          <cell r="E230" t="str">
            <v>Hektar</v>
          </cell>
          <cell r="F230" t="str">
            <v>CO2 - atmosfære</v>
          </cell>
          <cell r="G230" t="str">
            <v>t CO2-ækvivalenter</v>
          </cell>
          <cell r="H230">
            <v>2.2736943674854606</v>
          </cell>
          <cell r="I230">
            <v>2.2736943674854606</v>
          </cell>
          <cell r="J230">
            <v>2.2736943674854606</v>
          </cell>
        </row>
        <row r="231">
          <cell r="A231" t="str">
            <v>Roemark</v>
          </cell>
          <cell r="B231" t="str">
            <v>Konventionel</v>
          </cell>
          <cell r="C231" t="str">
            <v>OC6</v>
          </cell>
          <cell r="D231" t="str">
            <v>Areal-roer</v>
          </cell>
          <cell r="E231" t="str">
            <v>Hektar</v>
          </cell>
          <cell r="F231" t="str">
            <v>Roer</v>
          </cell>
          <cell r="G231" t="str">
            <v>Ton</v>
          </cell>
          <cell r="H231">
            <v>97.504477611940288</v>
          </cell>
          <cell r="I231">
            <v>97.504477611940288</v>
          </cell>
          <cell r="J231">
            <v>97.504477611940288</v>
          </cell>
        </row>
        <row r="232">
          <cell r="A232" t="str">
            <v>Roemark</v>
          </cell>
          <cell r="B232" t="str">
            <v>Konventionel</v>
          </cell>
          <cell r="C232" t="str">
            <v>OC6</v>
          </cell>
          <cell r="D232" t="str">
            <v>Areal-roer</v>
          </cell>
          <cell r="E232" t="str">
            <v>Hektar</v>
          </cell>
          <cell r="F232" t="str">
            <v>Gødning</v>
          </cell>
          <cell r="G232" t="str">
            <v>kg N</v>
          </cell>
          <cell r="H232">
            <v>-105</v>
          </cell>
          <cell r="I232">
            <v>-105</v>
          </cell>
          <cell r="J232">
            <v>-105</v>
          </cell>
        </row>
        <row r="233">
          <cell r="A233" t="str">
            <v>Roemark</v>
          </cell>
          <cell r="B233" t="str">
            <v>Konventionel</v>
          </cell>
          <cell r="C233" t="str">
            <v>OC6</v>
          </cell>
          <cell r="D233" t="str">
            <v>Areal-roer</v>
          </cell>
          <cell r="E233" t="str">
            <v>Hektar</v>
          </cell>
          <cell r="F233" t="str">
            <v>CO2 - atmosfære</v>
          </cell>
          <cell r="G233" t="str">
            <v>t CO2-ækvivalenter</v>
          </cell>
          <cell r="H233">
            <v>15.99169436748546</v>
          </cell>
          <cell r="I233">
            <v>15.99169436748546</v>
          </cell>
          <cell r="J233">
            <v>15.99169436748546</v>
          </cell>
        </row>
        <row r="234">
          <cell r="A234" t="str">
            <v>Roemark</v>
          </cell>
          <cell r="B234" t="str">
            <v>Konventionel</v>
          </cell>
          <cell r="C234" t="str">
            <v>OC12</v>
          </cell>
          <cell r="D234" t="str">
            <v>Areal-roer</v>
          </cell>
          <cell r="E234" t="str">
            <v>Hektar</v>
          </cell>
          <cell r="F234" t="str">
            <v>Roer</v>
          </cell>
          <cell r="G234" t="str">
            <v>Ton</v>
          </cell>
          <cell r="H234">
            <v>113.755223880597</v>
          </cell>
          <cell r="I234">
            <v>113.755223880597</v>
          </cell>
          <cell r="J234">
            <v>113.755223880597</v>
          </cell>
        </row>
        <row r="235">
          <cell r="A235" t="str">
            <v>Roemark</v>
          </cell>
          <cell r="B235" t="str">
            <v>Konventionel</v>
          </cell>
          <cell r="C235" t="str">
            <v>OC12</v>
          </cell>
          <cell r="D235" t="str">
            <v>Areal-roer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-75</v>
          </cell>
          <cell r="I235">
            <v>-75</v>
          </cell>
          <cell r="J235">
            <v>-75</v>
          </cell>
        </row>
        <row r="236">
          <cell r="A236" t="str">
            <v>Roemark</v>
          </cell>
          <cell r="B236" t="str">
            <v>Konventionel</v>
          </cell>
          <cell r="C236" t="str">
            <v>OC12</v>
          </cell>
          <cell r="D236" t="str">
            <v>Areal-roer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Roemark</v>
          </cell>
          <cell r="B237" t="str">
            <v>Økologisk</v>
          </cell>
          <cell r="C237" t="str">
            <v>JB1-10</v>
          </cell>
          <cell r="D237" t="str">
            <v>Areal-roer</v>
          </cell>
          <cell r="E237" t="str">
            <v>Hektar</v>
          </cell>
          <cell r="F237" t="str">
            <v>Roer</v>
          </cell>
          <cell r="G237" t="str">
            <v>Ton</v>
          </cell>
          <cell r="H237">
            <v>46.314626865671634</v>
          </cell>
          <cell r="I237">
            <v>46.314626865671634</v>
          </cell>
          <cell r="J237">
            <v>46.314626865671634</v>
          </cell>
        </row>
        <row r="238">
          <cell r="A238" t="str">
            <v>Roemark</v>
          </cell>
          <cell r="B238" t="str">
            <v>Økologisk</v>
          </cell>
          <cell r="C238" t="str">
            <v>JB1-10</v>
          </cell>
          <cell r="D238" t="str">
            <v>Areal-roer</v>
          </cell>
          <cell r="E238" t="str">
            <v>Hektar</v>
          </cell>
          <cell r="F238" t="str">
            <v>Gødning</v>
          </cell>
          <cell r="G238" t="str">
            <v>kg N</v>
          </cell>
          <cell r="H238">
            <v>-76.949999999999989</v>
          </cell>
          <cell r="I238">
            <v>-76.949999999999989</v>
          </cell>
          <cell r="J238">
            <v>-76.949999999999989</v>
          </cell>
        </row>
        <row r="239">
          <cell r="A239" t="str">
            <v>Roemark</v>
          </cell>
          <cell r="B239" t="str">
            <v>Økologisk</v>
          </cell>
          <cell r="C239" t="str">
            <v>JB1-10</v>
          </cell>
          <cell r="D239" t="str">
            <v>Areal-roer</v>
          </cell>
          <cell r="E239" t="str">
            <v>Hektar</v>
          </cell>
          <cell r="F239" t="str">
            <v>CO2 - atmosfære</v>
          </cell>
          <cell r="G239" t="str">
            <v>t CO2-ækvivalenter</v>
          </cell>
          <cell r="H239">
            <v>2.2736943674854606</v>
          </cell>
          <cell r="I239">
            <v>2.2736943674854606</v>
          </cell>
          <cell r="J239">
            <v>2.2736943674854606</v>
          </cell>
        </row>
        <row r="240">
          <cell r="A240" t="str">
            <v>Roemark</v>
          </cell>
          <cell r="B240" t="str">
            <v>Økologisk</v>
          </cell>
          <cell r="C240" t="str">
            <v>OC6</v>
          </cell>
          <cell r="D240" t="str">
            <v>Areal-roer</v>
          </cell>
          <cell r="E240" t="str">
            <v>Hektar</v>
          </cell>
          <cell r="F240" t="str">
            <v>Roer</v>
          </cell>
          <cell r="G240" t="str">
            <v>Ton</v>
          </cell>
          <cell r="H240">
            <v>55.577552238805957</v>
          </cell>
          <cell r="I240">
            <v>55.577552238805957</v>
          </cell>
          <cell r="J240">
            <v>55.577552238805957</v>
          </cell>
        </row>
        <row r="241">
          <cell r="A241" t="str">
            <v>Roemark</v>
          </cell>
          <cell r="B241" t="str">
            <v>Økologisk</v>
          </cell>
          <cell r="C241" t="str">
            <v>OC6</v>
          </cell>
          <cell r="D241" t="str">
            <v>Areal-roer</v>
          </cell>
          <cell r="E241" t="str">
            <v>Hektar</v>
          </cell>
          <cell r="F241" t="str">
            <v>Gødning</v>
          </cell>
          <cell r="G241" t="str">
            <v>kg N</v>
          </cell>
          <cell r="H241">
            <v>-59.849999999999994</v>
          </cell>
          <cell r="I241">
            <v>-59.849999999999994</v>
          </cell>
          <cell r="J241">
            <v>-59.849999999999994</v>
          </cell>
        </row>
        <row r="242">
          <cell r="A242" t="str">
            <v>Roemark</v>
          </cell>
          <cell r="B242" t="str">
            <v>Økologisk</v>
          </cell>
          <cell r="C242" t="str">
            <v>OC6</v>
          </cell>
          <cell r="D242" t="str">
            <v>Areal-roer</v>
          </cell>
          <cell r="E242" t="str">
            <v>Hektar</v>
          </cell>
          <cell r="F242" t="str">
            <v>CO2 - atmosfære</v>
          </cell>
          <cell r="G242" t="str">
            <v>t CO2-ækvivalenter</v>
          </cell>
          <cell r="H242">
            <v>15.99169436748546</v>
          </cell>
          <cell r="I242">
            <v>15.99169436748546</v>
          </cell>
          <cell r="J242">
            <v>15.99169436748546</v>
          </cell>
        </row>
        <row r="243">
          <cell r="A243" t="str">
            <v>Roemark</v>
          </cell>
          <cell r="B243" t="str">
            <v>Økologisk</v>
          </cell>
          <cell r="C243" t="str">
            <v>OC12</v>
          </cell>
          <cell r="D243" t="str">
            <v>Areal-roer</v>
          </cell>
          <cell r="E243" t="str">
            <v>Hektar</v>
          </cell>
          <cell r="F243" t="str">
            <v>Roer</v>
          </cell>
          <cell r="G243" t="str">
            <v>Ton</v>
          </cell>
          <cell r="H243">
            <v>64.840477611940287</v>
          </cell>
          <cell r="I243">
            <v>64.840477611940287</v>
          </cell>
          <cell r="J243">
            <v>64.840477611940287</v>
          </cell>
        </row>
        <row r="244">
          <cell r="A244" t="str">
            <v>Roemark</v>
          </cell>
          <cell r="B244" t="str">
            <v>Økologisk</v>
          </cell>
          <cell r="C244" t="str">
            <v>OC12</v>
          </cell>
          <cell r="D244" t="str">
            <v>Areal-roer</v>
          </cell>
          <cell r="E244" t="str">
            <v>Hektar</v>
          </cell>
          <cell r="F244" t="str">
            <v>Gødning</v>
          </cell>
          <cell r="G244" t="str">
            <v>kg N</v>
          </cell>
          <cell r="H244">
            <v>-42.749999999999993</v>
          </cell>
          <cell r="I244">
            <v>-42.749999999999993</v>
          </cell>
          <cell r="J244">
            <v>-42.749999999999993</v>
          </cell>
        </row>
        <row r="245">
          <cell r="A245" t="str">
            <v>Roemark</v>
          </cell>
          <cell r="B245" t="str">
            <v>Økologisk</v>
          </cell>
          <cell r="C245" t="str">
            <v>OC12</v>
          </cell>
          <cell r="D245" t="str">
            <v>Areal-roer</v>
          </cell>
          <cell r="E245" t="str">
            <v>Hektar</v>
          </cell>
          <cell r="F245" t="str">
            <v>CO2 - atmosfære</v>
          </cell>
          <cell r="G245" t="str">
            <v>t CO2-ækvivalenter</v>
          </cell>
          <cell r="H245">
            <v>40.951694367485452</v>
          </cell>
          <cell r="I245">
            <v>40.951694367485452</v>
          </cell>
          <cell r="J245">
            <v>40.951694367485452</v>
          </cell>
        </row>
        <row r="246">
          <cell r="A246" t="str">
            <v>Frugtmark</v>
          </cell>
          <cell r="B246" t="str">
            <v>Konventionel</v>
          </cell>
          <cell r="C246" t="str">
            <v>JB1-10</v>
          </cell>
          <cell r="D246" t="str">
            <v>Areal-frugt</v>
          </cell>
          <cell r="E246" t="str">
            <v>Hektar</v>
          </cell>
          <cell r="F246" t="str">
            <v>Frugt</v>
          </cell>
          <cell r="G246" t="str">
            <v>Ton</v>
          </cell>
          <cell r="H246">
            <v>8.49</v>
          </cell>
          <cell r="I246">
            <v>8.49</v>
          </cell>
          <cell r="J246">
            <v>8.49</v>
          </cell>
        </row>
        <row r="247">
          <cell r="A247" t="str">
            <v>Frugtmark</v>
          </cell>
          <cell r="B247" t="str">
            <v>Konventionel</v>
          </cell>
          <cell r="C247" t="str">
            <v>JB1-10</v>
          </cell>
          <cell r="D247" t="str">
            <v>Areal-frugt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-140</v>
          </cell>
          <cell r="I247">
            <v>-140</v>
          </cell>
          <cell r="J247">
            <v>-140</v>
          </cell>
        </row>
        <row r="248">
          <cell r="A248" t="str">
            <v>Frugtmark</v>
          </cell>
          <cell r="B248" t="str">
            <v>Konventionel</v>
          </cell>
          <cell r="C248" t="str">
            <v>JB1-10</v>
          </cell>
          <cell r="D248" t="str">
            <v>Areal-frugt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1.9656943674854606</v>
          </cell>
          <cell r="I248">
            <v>1.9656943674854606</v>
          </cell>
          <cell r="J248">
            <v>1.9656943674854606</v>
          </cell>
        </row>
        <row r="249">
          <cell r="A249" t="str">
            <v>Frugtmark</v>
          </cell>
          <cell r="B249" t="str">
            <v>Konventionel</v>
          </cell>
          <cell r="C249" t="str">
            <v>OC6</v>
          </cell>
          <cell r="D249" t="str">
            <v>Areal-frugt</v>
          </cell>
          <cell r="E249" t="str">
            <v>Hektar</v>
          </cell>
          <cell r="F249" t="str">
            <v>Frugt</v>
          </cell>
          <cell r="G249" t="str">
            <v>Ton</v>
          </cell>
          <cell r="H249">
            <v>10.188000000000001</v>
          </cell>
          <cell r="I249">
            <v>10.188000000000001</v>
          </cell>
          <cell r="J249">
            <v>10.188000000000001</v>
          </cell>
        </row>
        <row r="250">
          <cell r="A250" t="str">
            <v>Frugtmark</v>
          </cell>
          <cell r="B250" t="str">
            <v>Konventionel</v>
          </cell>
          <cell r="C250" t="str">
            <v>OC6</v>
          </cell>
          <cell r="D250" t="str">
            <v>Areal-frugt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-140</v>
          </cell>
          <cell r="I250">
            <v>-140</v>
          </cell>
          <cell r="J250">
            <v>-140</v>
          </cell>
        </row>
        <row r="251">
          <cell r="A251" t="str">
            <v>Frugtmark</v>
          </cell>
          <cell r="B251" t="str">
            <v>Konventionel</v>
          </cell>
          <cell r="C251" t="str">
            <v>OC6</v>
          </cell>
          <cell r="D251" t="str">
            <v>Areal-frugt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10.661694367485461</v>
          </cell>
          <cell r="I251">
            <v>10.661694367485461</v>
          </cell>
          <cell r="J251">
            <v>10.661694367485461</v>
          </cell>
        </row>
        <row r="252">
          <cell r="A252" t="str">
            <v>Frugtmark</v>
          </cell>
          <cell r="B252" t="str">
            <v>Konventionel</v>
          </cell>
          <cell r="C252" t="str">
            <v>OC12</v>
          </cell>
          <cell r="D252" t="str">
            <v>Areal-frugt</v>
          </cell>
          <cell r="E252" t="str">
            <v>Hektar</v>
          </cell>
          <cell r="F252" t="str">
            <v>Frugt</v>
          </cell>
          <cell r="G252" t="str">
            <v>Ton</v>
          </cell>
          <cell r="H252">
            <v>11.885999999999999</v>
          </cell>
          <cell r="I252">
            <v>11.885999999999999</v>
          </cell>
          <cell r="J252">
            <v>11.885999999999999</v>
          </cell>
        </row>
        <row r="253">
          <cell r="A253" t="str">
            <v>Frugtmark</v>
          </cell>
          <cell r="B253" t="str">
            <v>Konventionel</v>
          </cell>
          <cell r="C253" t="str">
            <v>OC12</v>
          </cell>
          <cell r="D253" t="str">
            <v>Areal-frugt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-140</v>
          </cell>
          <cell r="I253">
            <v>-140</v>
          </cell>
          <cell r="J253">
            <v>-140</v>
          </cell>
        </row>
        <row r="254">
          <cell r="A254" t="str">
            <v>Frugtmark</v>
          </cell>
          <cell r="B254" t="str">
            <v>Konventionel</v>
          </cell>
          <cell r="C254" t="str">
            <v>OC12</v>
          </cell>
          <cell r="D254" t="str">
            <v>Areal-frugt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28.501694367485467</v>
          </cell>
          <cell r="I254">
            <v>28.501694367485467</v>
          </cell>
          <cell r="J254">
            <v>28.501694367485467</v>
          </cell>
        </row>
        <row r="255">
          <cell r="A255" t="str">
            <v>Frugtmark</v>
          </cell>
          <cell r="B255" t="str">
            <v>Økologisk</v>
          </cell>
          <cell r="C255" t="str">
            <v>JB1-10</v>
          </cell>
          <cell r="D255" t="str">
            <v>Areal-frugt</v>
          </cell>
          <cell r="E255" t="str">
            <v>Hektar</v>
          </cell>
          <cell r="F255" t="str">
            <v>Frugt</v>
          </cell>
          <cell r="G255" t="str">
            <v>Ton</v>
          </cell>
          <cell r="H255">
            <v>4.8392999999999997</v>
          </cell>
          <cell r="I255">
            <v>4.8392999999999997</v>
          </cell>
          <cell r="J255">
            <v>4.8392999999999997</v>
          </cell>
        </row>
        <row r="256">
          <cell r="A256" t="str">
            <v>Frugtmark</v>
          </cell>
          <cell r="B256" t="str">
            <v>Økologisk</v>
          </cell>
          <cell r="C256" t="str">
            <v>JB1-10</v>
          </cell>
          <cell r="D256" t="str">
            <v>Areal-frugt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-79.8</v>
          </cell>
          <cell r="I256">
            <v>-79.8</v>
          </cell>
          <cell r="J256">
            <v>-79.8</v>
          </cell>
        </row>
        <row r="257">
          <cell r="A257" t="str">
            <v>Frugtmark</v>
          </cell>
          <cell r="B257" t="str">
            <v>Økologisk</v>
          </cell>
          <cell r="C257" t="str">
            <v>JB1-10</v>
          </cell>
          <cell r="D257" t="str">
            <v>Areal-frugt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1.9656943674854606</v>
          </cell>
          <cell r="I257">
            <v>1.9656943674854606</v>
          </cell>
          <cell r="J257">
            <v>1.9656943674854606</v>
          </cell>
        </row>
        <row r="258">
          <cell r="A258" t="str">
            <v>Frugtmark</v>
          </cell>
          <cell r="B258" t="str">
            <v>Økologisk</v>
          </cell>
          <cell r="C258" t="str">
            <v>OC6</v>
          </cell>
          <cell r="D258" t="str">
            <v>Areal-frugt</v>
          </cell>
          <cell r="E258" t="str">
            <v>Hektar</v>
          </cell>
          <cell r="F258" t="str">
            <v>Frugt</v>
          </cell>
          <cell r="G258" t="str">
            <v>Ton</v>
          </cell>
          <cell r="H258">
            <v>5.8071599999999997</v>
          </cell>
          <cell r="I258">
            <v>5.8071599999999997</v>
          </cell>
          <cell r="J258">
            <v>5.8071599999999997</v>
          </cell>
        </row>
        <row r="259">
          <cell r="A259" t="str">
            <v>Frugtmark</v>
          </cell>
          <cell r="B259" t="str">
            <v>Økologisk</v>
          </cell>
          <cell r="C259" t="str">
            <v>OC6</v>
          </cell>
          <cell r="D259" t="str">
            <v>Areal-frugt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-79.8</v>
          </cell>
          <cell r="I259">
            <v>-79.8</v>
          </cell>
          <cell r="J259">
            <v>-79.8</v>
          </cell>
        </row>
        <row r="260">
          <cell r="A260" t="str">
            <v>Frugtmark</v>
          </cell>
          <cell r="B260" t="str">
            <v>Økologisk</v>
          </cell>
          <cell r="C260" t="str">
            <v>OC6</v>
          </cell>
          <cell r="D260" t="str">
            <v>Areal-frugt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10.661694367485461</v>
          </cell>
          <cell r="I260">
            <v>10.661694367485461</v>
          </cell>
          <cell r="J260">
            <v>10.661694367485461</v>
          </cell>
        </row>
        <row r="261">
          <cell r="A261" t="str">
            <v>Frugtmark</v>
          </cell>
          <cell r="B261" t="str">
            <v>Økologisk</v>
          </cell>
          <cell r="C261" t="str">
            <v>OC12</v>
          </cell>
          <cell r="D261" t="str">
            <v>Areal-frugt</v>
          </cell>
          <cell r="E261" t="str">
            <v>Hektar</v>
          </cell>
          <cell r="F261" t="str">
            <v>Frugt</v>
          </cell>
          <cell r="G261" t="str">
            <v>Ton</v>
          </cell>
          <cell r="H261">
            <v>6.7750199999999987</v>
          </cell>
          <cell r="I261">
            <v>6.7750199999999987</v>
          </cell>
          <cell r="J261">
            <v>6.7750199999999987</v>
          </cell>
        </row>
        <row r="262">
          <cell r="A262" t="str">
            <v>Frugtmark</v>
          </cell>
          <cell r="B262" t="str">
            <v>Økologisk</v>
          </cell>
          <cell r="C262" t="str">
            <v>OC12</v>
          </cell>
          <cell r="D262" t="str">
            <v>Areal-frugt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-79.8</v>
          </cell>
          <cell r="I262">
            <v>-79.8</v>
          </cell>
          <cell r="J262">
            <v>-79.8</v>
          </cell>
        </row>
        <row r="263">
          <cell r="A263" t="str">
            <v>Frugtmark</v>
          </cell>
          <cell r="B263" t="str">
            <v>Økologisk</v>
          </cell>
          <cell r="C263" t="str">
            <v>OC12</v>
          </cell>
          <cell r="D263" t="str">
            <v>Areal-frugt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28.501694367485467</v>
          </cell>
          <cell r="I263">
            <v>28.501694367485467</v>
          </cell>
          <cell r="J263">
            <v>28.501694367485467</v>
          </cell>
        </row>
        <row r="264">
          <cell r="A264" t="str">
            <v>Øvrig mark</v>
          </cell>
          <cell r="B264" t="str">
            <v>Konventionel</v>
          </cell>
          <cell r="C264" t="str">
            <v>JB1-10</v>
          </cell>
          <cell r="D264" t="str">
            <v>Areal-øvrige</v>
          </cell>
          <cell r="E264" t="str">
            <v>Hektar</v>
          </cell>
          <cell r="F264" t="str">
            <v>Øvrige</v>
          </cell>
          <cell r="G264" t="str">
            <v>Ton</v>
          </cell>
          <cell r="H264">
            <v>29.795943508186305</v>
          </cell>
          <cell r="I264">
            <v>29.795943508186305</v>
          </cell>
          <cell r="J264">
            <v>29.795943508186305</v>
          </cell>
        </row>
        <row r="265">
          <cell r="A265" t="str">
            <v>Øvrig mark</v>
          </cell>
          <cell r="B265" t="str">
            <v>Konventionel</v>
          </cell>
          <cell r="C265" t="str">
            <v>JB1-10</v>
          </cell>
          <cell r="D265" t="str">
            <v>Areal-øvrige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-142.08333333333334</v>
          </cell>
          <cell r="I265">
            <v>-142.08333333333334</v>
          </cell>
          <cell r="J265">
            <v>-142.08333333333334</v>
          </cell>
        </row>
        <row r="266">
          <cell r="A266" t="str">
            <v>Øvrig mark</v>
          </cell>
          <cell r="B266" t="str">
            <v>Konventionel</v>
          </cell>
          <cell r="C266" t="str">
            <v>JB1-10</v>
          </cell>
          <cell r="D266" t="str">
            <v>Areal-øvrige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2.2736943674854606</v>
          </cell>
          <cell r="I266">
            <v>2.2736943674854606</v>
          </cell>
          <cell r="J266">
            <v>2.2736943674854606</v>
          </cell>
        </row>
        <row r="267">
          <cell r="A267" t="str">
            <v>Øvrig mark</v>
          </cell>
          <cell r="B267" t="str">
            <v>Konventionel</v>
          </cell>
          <cell r="C267" t="str">
            <v>OC6</v>
          </cell>
          <cell r="D267" t="str">
            <v>Areal-øvrige</v>
          </cell>
          <cell r="E267" t="str">
            <v>Hektar</v>
          </cell>
          <cell r="F267" t="str">
            <v>Øvrige</v>
          </cell>
          <cell r="G267" t="str">
            <v>Ton</v>
          </cell>
          <cell r="H267">
            <v>35.755132209823564</v>
          </cell>
          <cell r="I267">
            <v>35.755132209823564</v>
          </cell>
          <cell r="J267">
            <v>35.755132209823564</v>
          </cell>
        </row>
        <row r="268">
          <cell r="A268" t="str">
            <v>Øvrig mark</v>
          </cell>
          <cell r="B268" t="str">
            <v>Konventionel</v>
          </cell>
          <cell r="C268" t="str">
            <v>OC6</v>
          </cell>
          <cell r="D268" t="str">
            <v>Areal-øvrige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-125</v>
          </cell>
          <cell r="I268">
            <v>-125</v>
          </cell>
          <cell r="J268">
            <v>-125</v>
          </cell>
        </row>
        <row r="269">
          <cell r="A269" t="str">
            <v>Øvrig mark</v>
          </cell>
          <cell r="B269" t="str">
            <v>Konventionel</v>
          </cell>
          <cell r="C269" t="str">
            <v>OC6</v>
          </cell>
          <cell r="D269" t="str">
            <v>Areal-øvrige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15.99169436748546</v>
          </cell>
          <cell r="I269">
            <v>15.99169436748546</v>
          </cell>
          <cell r="J269">
            <v>15.99169436748546</v>
          </cell>
        </row>
        <row r="270">
          <cell r="A270" t="str">
            <v>Øvrig mark</v>
          </cell>
          <cell r="B270" t="str">
            <v>Konventionel</v>
          </cell>
          <cell r="C270" t="str">
            <v>OC12</v>
          </cell>
          <cell r="D270" t="str">
            <v>Areal-øvrige</v>
          </cell>
          <cell r="E270" t="str">
            <v>Hektar</v>
          </cell>
          <cell r="F270" t="str">
            <v>Øvrige</v>
          </cell>
          <cell r="G270" t="str">
            <v>Ton</v>
          </cell>
          <cell r="H270">
            <v>41.714320911460824</v>
          </cell>
          <cell r="I270">
            <v>41.714320911460824</v>
          </cell>
          <cell r="J270">
            <v>41.714320911460824</v>
          </cell>
        </row>
        <row r="271">
          <cell r="A271" t="str">
            <v>Øvrig mark</v>
          </cell>
          <cell r="B271" t="str">
            <v>Konventionel</v>
          </cell>
          <cell r="C271" t="str">
            <v>OC12</v>
          </cell>
          <cell r="D271" t="str">
            <v>Areal-øvrige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-107.91666666666667</v>
          </cell>
          <cell r="I271">
            <v>-107.91666666666667</v>
          </cell>
          <cell r="J271">
            <v>-107.91666666666667</v>
          </cell>
        </row>
        <row r="272">
          <cell r="A272" t="str">
            <v>Øvrig mark</v>
          </cell>
          <cell r="B272" t="str">
            <v>Konventionel</v>
          </cell>
          <cell r="C272" t="str">
            <v>OC12</v>
          </cell>
          <cell r="D272" t="str">
            <v>Areal-øvrige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40.951694367485452</v>
          </cell>
          <cell r="I272">
            <v>40.951694367485452</v>
          </cell>
          <cell r="J272">
            <v>40.951694367485452</v>
          </cell>
        </row>
        <row r="273">
          <cell r="A273" t="str">
            <v>Øvrig mark</v>
          </cell>
          <cell r="B273" t="str">
            <v>Økologisk</v>
          </cell>
          <cell r="C273" t="str">
            <v>JB1-10</v>
          </cell>
          <cell r="D273" t="str">
            <v>Areal-øvrige</v>
          </cell>
          <cell r="E273" t="str">
            <v>Hektar</v>
          </cell>
          <cell r="F273" t="str">
            <v>Øvrige</v>
          </cell>
          <cell r="G273" t="str">
            <v>Ton</v>
          </cell>
          <cell r="H273">
            <v>16.983687799666193</v>
          </cell>
          <cell r="I273">
            <v>16.983687799666193</v>
          </cell>
          <cell r="J273">
            <v>16.983687799666193</v>
          </cell>
        </row>
        <row r="274">
          <cell r="A274" t="str">
            <v>Øvrig mark</v>
          </cell>
          <cell r="B274" t="str">
            <v>Økologisk</v>
          </cell>
          <cell r="C274" t="str">
            <v>JB1-10</v>
          </cell>
          <cell r="D274" t="str">
            <v>Areal-øvrige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-80.987499999999997</v>
          </cell>
          <cell r="I274">
            <v>-80.987499999999997</v>
          </cell>
          <cell r="J274">
            <v>-80.987499999999997</v>
          </cell>
        </row>
        <row r="275">
          <cell r="A275" t="str">
            <v>Øvrig mark</v>
          </cell>
          <cell r="B275" t="str">
            <v>Økologisk</v>
          </cell>
          <cell r="C275" t="str">
            <v>JB1-10</v>
          </cell>
          <cell r="D275" t="str">
            <v>Areal-øvrige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2.2736943674854606</v>
          </cell>
          <cell r="I275">
            <v>2.2736943674854606</v>
          </cell>
          <cell r="J275">
            <v>2.2736943674854606</v>
          </cell>
        </row>
        <row r="276">
          <cell r="A276" t="str">
            <v>Øvrig mark</v>
          </cell>
          <cell r="B276" t="str">
            <v>Økologisk</v>
          </cell>
          <cell r="C276" t="str">
            <v>OC6</v>
          </cell>
          <cell r="D276" t="str">
            <v>Areal-øvrige</v>
          </cell>
          <cell r="E276" t="str">
            <v>Hektar</v>
          </cell>
          <cell r="F276" t="str">
            <v>Øvrige</v>
          </cell>
          <cell r="G276" t="str">
            <v>Ton</v>
          </cell>
          <cell r="H276">
            <v>20.380425359599428</v>
          </cell>
          <cell r="I276">
            <v>20.380425359599428</v>
          </cell>
          <cell r="J276">
            <v>20.380425359599428</v>
          </cell>
        </row>
        <row r="277">
          <cell r="A277" t="str">
            <v>Øvrig mark</v>
          </cell>
          <cell r="B277" t="str">
            <v>Økologisk</v>
          </cell>
          <cell r="C277" t="str">
            <v>OC6</v>
          </cell>
          <cell r="D277" t="str">
            <v>Areal-øvrige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-71.25</v>
          </cell>
          <cell r="I277">
            <v>-71.25</v>
          </cell>
          <cell r="J277">
            <v>-71.25</v>
          </cell>
        </row>
        <row r="278">
          <cell r="A278" t="str">
            <v>Øvrig mark</v>
          </cell>
          <cell r="B278" t="str">
            <v>Økologisk</v>
          </cell>
          <cell r="C278" t="str">
            <v>OC6</v>
          </cell>
          <cell r="D278" t="str">
            <v>Areal-øvrige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15.99169436748546</v>
          </cell>
          <cell r="I278">
            <v>15.99169436748546</v>
          </cell>
          <cell r="J278">
            <v>15.99169436748546</v>
          </cell>
        </row>
        <row r="279">
          <cell r="A279" t="str">
            <v>Øvrig mark</v>
          </cell>
          <cell r="B279" t="str">
            <v>Økologisk</v>
          </cell>
          <cell r="C279" t="str">
            <v>OC12</v>
          </cell>
          <cell r="D279" t="str">
            <v>Areal-øvrige</v>
          </cell>
          <cell r="E279" t="str">
            <v>Hektar</v>
          </cell>
          <cell r="F279" t="str">
            <v>Øvrige</v>
          </cell>
          <cell r="G279" t="str">
            <v>Ton</v>
          </cell>
          <cell r="H279">
            <v>23.777162919532667</v>
          </cell>
          <cell r="I279">
            <v>23.777162919532667</v>
          </cell>
          <cell r="J279">
            <v>23.777162919532667</v>
          </cell>
        </row>
        <row r="280">
          <cell r="A280" t="str">
            <v>Øvrig mark</v>
          </cell>
          <cell r="B280" t="str">
            <v>Økologisk</v>
          </cell>
          <cell r="C280" t="str">
            <v>OC12</v>
          </cell>
          <cell r="D280" t="str">
            <v>Areal-øvrige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-61.512499999999996</v>
          </cell>
          <cell r="I280">
            <v>-61.512499999999996</v>
          </cell>
          <cell r="J280">
            <v>-61.512499999999996</v>
          </cell>
        </row>
        <row r="281">
          <cell r="A281" t="str">
            <v>Øvrig mark</v>
          </cell>
          <cell r="B281" t="str">
            <v>Økologisk</v>
          </cell>
          <cell r="C281" t="str">
            <v>OC12</v>
          </cell>
          <cell r="D281" t="str">
            <v>Areal-øvrige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40.951694367485452</v>
          </cell>
          <cell r="I281">
            <v>40.951694367485452</v>
          </cell>
          <cell r="J281">
            <v>40.951694367485452</v>
          </cell>
        </row>
        <row r="282">
          <cell r="A282" t="str">
            <v>Majsmark</v>
          </cell>
          <cell r="B282" t="str">
            <v>Konventionel</v>
          </cell>
          <cell r="C282" t="str">
            <v>JB1-10</v>
          </cell>
          <cell r="D282" t="str">
            <v>Areal-majs</v>
          </cell>
          <cell r="E282" t="str">
            <v>Hektar</v>
          </cell>
          <cell r="F282" t="str">
            <v>Majs</v>
          </cell>
          <cell r="G282" t="str">
            <v>Ton</v>
          </cell>
          <cell r="H282">
            <v>44.510000000000005</v>
          </cell>
          <cell r="I282">
            <v>44.510000000000005</v>
          </cell>
          <cell r="J282">
            <v>44.510000000000005</v>
          </cell>
        </row>
        <row r="283">
          <cell r="A283" t="str">
            <v>Majsmark</v>
          </cell>
          <cell r="B283" t="str">
            <v>Konventionel</v>
          </cell>
          <cell r="C283" t="str">
            <v>JB1-10</v>
          </cell>
          <cell r="D283" t="str">
            <v>Areal-majs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-160</v>
          </cell>
          <cell r="I283">
            <v>-160</v>
          </cell>
          <cell r="J283">
            <v>-160</v>
          </cell>
        </row>
        <row r="284">
          <cell r="A284" t="str">
            <v>Majsmark</v>
          </cell>
          <cell r="B284" t="str">
            <v>Konventionel</v>
          </cell>
          <cell r="C284" t="str">
            <v>JB1-10</v>
          </cell>
          <cell r="D284" t="str">
            <v>Areal-majs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2.2736943674854606</v>
          </cell>
          <cell r="I284">
            <v>2.2736943674854606</v>
          </cell>
          <cell r="J284">
            <v>2.2736943674854606</v>
          </cell>
        </row>
        <row r="285">
          <cell r="A285" t="str">
            <v>Majsmark</v>
          </cell>
          <cell r="B285" t="str">
            <v>Konventionel</v>
          </cell>
          <cell r="C285" t="str">
            <v>OC6</v>
          </cell>
          <cell r="D285" t="str">
            <v>Areal-majs</v>
          </cell>
          <cell r="E285" t="str">
            <v>Hektar</v>
          </cell>
          <cell r="F285" t="str">
            <v>Majs</v>
          </cell>
          <cell r="G285" t="str">
            <v>Ton</v>
          </cell>
          <cell r="H285">
            <v>53.412000000000006</v>
          </cell>
          <cell r="I285">
            <v>53.412000000000006</v>
          </cell>
          <cell r="J285">
            <v>53.412000000000006</v>
          </cell>
        </row>
        <row r="286">
          <cell r="A286" t="str">
            <v>Majsmark</v>
          </cell>
          <cell r="B286" t="str">
            <v>Konventionel</v>
          </cell>
          <cell r="C286" t="str">
            <v>OC6</v>
          </cell>
          <cell r="D286" t="str">
            <v>Areal-majs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-130</v>
          </cell>
          <cell r="I286">
            <v>-130</v>
          </cell>
          <cell r="J286">
            <v>-130</v>
          </cell>
        </row>
        <row r="287">
          <cell r="A287" t="str">
            <v>Majsmark</v>
          </cell>
          <cell r="B287" t="str">
            <v>Konventionel</v>
          </cell>
          <cell r="C287" t="str">
            <v>OC6</v>
          </cell>
          <cell r="D287" t="str">
            <v>Areal-majs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15.99169436748546</v>
          </cell>
          <cell r="I287">
            <v>15.99169436748546</v>
          </cell>
          <cell r="J287">
            <v>15.99169436748546</v>
          </cell>
        </row>
        <row r="288">
          <cell r="A288" t="str">
            <v>Majsmark</v>
          </cell>
          <cell r="B288" t="str">
            <v>Konventionel</v>
          </cell>
          <cell r="C288" t="str">
            <v>OC12</v>
          </cell>
          <cell r="D288" t="str">
            <v>Areal-majs</v>
          </cell>
          <cell r="E288" t="str">
            <v>Hektar</v>
          </cell>
          <cell r="F288" t="str">
            <v>Majs</v>
          </cell>
          <cell r="G288" t="str">
            <v>Ton</v>
          </cell>
          <cell r="H288">
            <v>62.314</v>
          </cell>
          <cell r="I288">
            <v>62.314</v>
          </cell>
          <cell r="J288">
            <v>62.314</v>
          </cell>
        </row>
        <row r="289">
          <cell r="A289" t="str">
            <v>Majsmark</v>
          </cell>
          <cell r="B289" t="str">
            <v>Konventionel</v>
          </cell>
          <cell r="C289" t="str">
            <v>OC12</v>
          </cell>
          <cell r="D289" t="str">
            <v>Areal-majs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-100</v>
          </cell>
          <cell r="I289">
            <v>-100</v>
          </cell>
          <cell r="J289">
            <v>-100</v>
          </cell>
        </row>
        <row r="290">
          <cell r="A290" t="str">
            <v>Majsmark</v>
          </cell>
          <cell r="B290" t="str">
            <v>Konventionel</v>
          </cell>
          <cell r="C290" t="str">
            <v>OC12</v>
          </cell>
          <cell r="D290" t="str">
            <v>Areal-majs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40.951694367485452</v>
          </cell>
          <cell r="I290">
            <v>40.951694367485452</v>
          </cell>
          <cell r="J290">
            <v>40.951694367485452</v>
          </cell>
        </row>
        <row r="291">
          <cell r="A291" t="str">
            <v>Majsmark</v>
          </cell>
          <cell r="B291" t="str">
            <v>Økologisk</v>
          </cell>
          <cell r="C291" t="str">
            <v>JB1-10</v>
          </cell>
          <cell r="D291" t="str">
            <v>Areal-majs</v>
          </cell>
          <cell r="E291" t="str">
            <v>Hektar</v>
          </cell>
          <cell r="F291" t="str">
            <v>Majs</v>
          </cell>
          <cell r="G291" t="str">
            <v>Ton</v>
          </cell>
          <cell r="H291">
            <v>36.943300000000001</v>
          </cell>
          <cell r="I291">
            <v>36.943300000000001</v>
          </cell>
          <cell r="J291">
            <v>36.943300000000001</v>
          </cell>
        </row>
        <row r="292">
          <cell r="A292" t="str">
            <v>Majsmark</v>
          </cell>
          <cell r="B292" t="str">
            <v>Økologisk</v>
          </cell>
          <cell r="C292" t="str">
            <v>JB1-10</v>
          </cell>
          <cell r="D292" t="str">
            <v>Areal-majs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-132.79999999999998</v>
          </cell>
          <cell r="I292">
            <v>-132.79999999999998</v>
          </cell>
          <cell r="J292">
            <v>-132.79999999999998</v>
          </cell>
        </row>
        <row r="293">
          <cell r="A293" t="str">
            <v>Majsmark</v>
          </cell>
          <cell r="B293" t="str">
            <v>Økologisk</v>
          </cell>
          <cell r="C293" t="str">
            <v>JB1-10</v>
          </cell>
          <cell r="D293" t="str">
            <v>Areal-majs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2.2736943674854606</v>
          </cell>
          <cell r="I293">
            <v>2.2736943674854606</v>
          </cell>
          <cell r="J293">
            <v>2.2736943674854606</v>
          </cell>
        </row>
        <row r="294">
          <cell r="A294" t="str">
            <v>Majsmark</v>
          </cell>
          <cell r="B294" t="str">
            <v>Økologisk</v>
          </cell>
          <cell r="C294" t="str">
            <v>OC6</v>
          </cell>
          <cell r="D294" t="str">
            <v>Areal-majs</v>
          </cell>
          <cell r="E294" t="str">
            <v>Hektar</v>
          </cell>
          <cell r="F294" t="str">
            <v>Majs</v>
          </cell>
          <cell r="G294" t="str">
            <v>Ton</v>
          </cell>
          <cell r="H294">
            <v>44.331960000000002</v>
          </cell>
          <cell r="I294">
            <v>44.331960000000002</v>
          </cell>
          <cell r="J294">
            <v>44.331960000000002</v>
          </cell>
        </row>
        <row r="295">
          <cell r="A295" t="str">
            <v>Majsmark</v>
          </cell>
          <cell r="B295" t="str">
            <v>Økologisk</v>
          </cell>
          <cell r="C295" t="str">
            <v>OC6</v>
          </cell>
          <cell r="D295" t="str">
            <v>Areal-majs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-107.89999999999999</v>
          </cell>
          <cell r="I295">
            <v>-107.89999999999999</v>
          </cell>
          <cell r="J295">
            <v>-107.89999999999999</v>
          </cell>
        </row>
        <row r="296">
          <cell r="A296" t="str">
            <v>Majsmark</v>
          </cell>
          <cell r="B296" t="str">
            <v>Økologisk</v>
          </cell>
          <cell r="C296" t="str">
            <v>OC6</v>
          </cell>
          <cell r="D296" t="str">
            <v>Areal-majs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15.99169436748546</v>
          </cell>
          <cell r="I296">
            <v>15.99169436748546</v>
          </cell>
          <cell r="J296">
            <v>15.99169436748546</v>
          </cell>
        </row>
        <row r="297">
          <cell r="A297" t="str">
            <v>Majsmark</v>
          </cell>
          <cell r="B297" t="str">
            <v>Økologisk</v>
          </cell>
          <cell r="C297" t="str">
            <v>OC12</v>
          </cell>
          <cell r="D297" t="str">
            <v>Areal-majs</v>
          </cell>
          <cell r="E297" t="str">
            <v>Hektar</v>
          </cell>
          <cell r="F297" t="str">
            <v>Majs</v>
          </cell>
          <cell r="G297" t="str">
            <v>Ton</v>
          </cell>
          <cell r="H297">
            <v>51.720619999999997</v>
          </cell>
          <cell r="I297">
            <v>51.720619999999997</v>
          </cell>
          <cell r="J297">
            <v>51.720619999999997</v>
          </cell>
        </row>
        <row r="298">
          <cell r="A298" t="str">
            <v>Majsmark</v>
          </cell>
          <cell r="B298" t="str">
            <v>Økologisk</v>
          </cell>
          <cell r="C298" t="str">
            <v>OC12</v>
          </cell>
          <cell r="D298" t="str">
            <v>Areal-majs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-83</v>
          </cell>
          <cell r="I298">
            <v>-83</v>
          </cell>
          <cell r="J298">
            <v>-83</v>
          </cell>
        </row>
        <row r="299">
          <cell r="A299" t="str">
            <v>Majsmark</v>
          </cell>
          <cell r="B299" t="str">
            <v>Økologisk</v>
          </cell>
          <cell r="C299" t="str">
            <v>OC12</v>
          </cell>
          <cell r="D299" t="str">
            <v>Areal-majs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40.951694367485452</v>
          </cell>
          <cell r="I299">
            <v>40.951694367485452</v>
          </cell>
          <cell r="J299">
            <v>40.951694367485452</v>
          </cell>
        </row>
        <row r="300">
          <cell r="A300" t="str">
            <v>Rapsmark</v>
          </cell>
          <cell r="B300" t="str">
            <v>Konventionel</v>
          </cell>
          <cell r="C300" t="str">
            <v>JB1-10</v>
          </cell>
          <cell r="D300" t="str">
            <v>Areal-raps</v>
          </cell>
          <cell r="E300" t="str">
            <v>Hektar</v>
          </cell>
          <cell r="F300" t="str">
            <v>Raps</v>
          </cell>
          <cell r="G300" t="str">
            <v>Ton</v>
          </cell>
          <cell r="H300">
            <v>4.4000000000000004</v>
          </cell>
          <cell r="I300">
            <v>4.4000000000000004</v>
          </cell>
          <cell r="J300">
            <v>4.4000000000000004</v>
          </cell>
        </row>
        <row r="301">
          <cell r="A301" t="str">
            <v>Rapsmark</v>
          </cell>
          <cell r="B301" t="str">
            <v>Konventionel</v>
          </cell>
          <cell r="C301" t="str">
            <v>JB1-10</v>
          </cell>
          <cell r="D301" t="str">
            <v>Areal-raps</v>
          </cell>
          <cell r="E301" t="str">
            <v>Hektar</v>
          </cell>
          <cell r="F301" t="str">
            <v>Halm</v>
          </cell>
          <cell r="G301" t="str">
            <v>Ton</v>
          </cell>
          <cell r="H301">
            <v>3.96</v>
          </cell>
          <cell r="I301">
            <v>3.96</v>
          </cell>
          <cell r="J301">
            <v>3.96</v>
          </cell>
        </row>
        <row r="302">
          <cell r="A302" t="str">
            <v>Rapsmark</v>
          </cell>
          <cell r="B302" t="str">
            <v>Konventionel</v>
          </cell>
          <cell r="C302" t="str">
            <v>JB1-10</v>
          </cell>
          <cell r="D302" t="str">
            <v>Areal-raps</v>
          </cell>
          <cell r="E302" t="str">
            <v>Hektar</v>
          </cell>
          <cell r="F302" t="str">
            <v>Gødning</v>
          </cell>
          <cell r="G302" t="str">
            <v>kg N</v>
          </cell>
          <cell r="H302">
            <v>-175</v>
          </cell>
          <cell r="I302">
            <v>-175</v>
          </cell>
          <cell r="J302">
            <v>-175</v>
          </cell>
        </row>
        <row r="303">
          <cell r="A303" t="str">
            <v>Rapsmark</v>
          </cell>
          <cell r="B303" t="str">
            <v>Konventionel</v>
          </cell>
          <cell r="C303" t="str">
            <v>JB1-10</v>
          </cell>
          <cell r="D303" t="str">
            <v>Areal-raps</v>
          </cell>
          <cell r="E303" t="str">
            <v>Hektar</v>
          </cell>
          <cell r="F303" t="str">
            <v>CO2 - atmosfære</v>
          </cell>
          <cell r="G303" t="str">
            <v>t CO2-ækvivalenter</v>
          </cell>
          <cell r="H303">
            <v>2.2736943674854606</v>
          </cell>
          <cell r="I303">
            <v>2.2736943674854606</v>
          </cell>
          <cell r="J303">
            <v>2.2736943674854606</v>
          </cell>
        </row>
        <row r="304">
          <cell r="A304" t="str">
            <v>Rapsmark</v>
          </cell>
          <cell r="B304" t="str">
            <v>Konventionel</v>
          </cell>
          <cell r="C304" t="str">
            <v>OC6</v>
          </cell>
          <cell r="D304" t="str">
            <v>Areal-raps</v>
          </cell>
          <cell r="E304" t="str">
            <v>Hektar</v>
          </cell>
          <cell r="F304" t="str">
            <v>Raps</v>
          </cell>
          <cell r="G304" t="str">
            <v>Ton</v>
          </cell>
          <cell r="H304">
            <v>5.28</v>
          </cell>
          <cell r="I304">
            <v>5.28</v>
          </cell>
          <cell r="J304">
            <v>5.28</v>
          </cell>
        </row>
        <row r="305">
          <cell r="A305" t="str">
            <v>Rapsmark</v>
          </cell>
          <cell r="B305" t="str">
            <v>Konventionel</v>
          </cell>
          <cell r="C305" t="str">
            <v>OC6</v>
          </cell>
          <cell r="D305" t="str">
            <v>Areal-raps</v>
          </cell>
          <cell r="E305" t="str">
            <v>Hektar</v>
          </cell>
          <cell r="F305" t="str">
            <v>Halm</v>
          </cell>
          <cell r="G305" t="str">
            <v>Ton</v>
          </cell>
          <cell r="H305">
            <v>4.7519999999999998</v>
          </cell>
          <cell r="I305">
            <v>4.7519999999999998</v>
          </cell>
          <cell r="J305">
            <v>4.7519999999999998</v>
          </cell>
        </row>
        <row r="306">
          <cell r="A306" t="str">
            <v>Rapsmark</v>
          </cell>
          <cell r="B306" t="str">
            <v>Konventionel</v>
          </cell>
          <cell r="C306" t="str">
            <v>OC6</v>
          </cell>
          <cell r="D306" t="str">
            <v>Areal-raps</v>
          </cell>
          <cell r="E306" t="str">
            <v>Hektar</v>
          </cell>
          <cell r="F306" t="str">
            <v>Gødning</v>
          </cell>
          <cell r="G306" t="str">
            <v>kg N</v>
          </cell>
          <cell r="H306">
            <v>-145</v>
          </cell>
          <cell r="I306">
            <v>-145</v>
          </cell>
          <cell r="J306">
            <v>-145</v>
          </cell>
        </row>
        <row r="307">
          <cell r="A307" t="str">
            <v>Rapsmark</v>
          </cell>
          <cell r="B307" t="str">
            <v>Konventionel</v>
          </cell>
          <cell r="C307" t="str">
            <v>OC6</v>
          </cell>
          <cell r="D307" t="str">
            <v>Areal-raps</v>
          </cell>
          <cell r="E307" t="str">
            <v>Hektar</v>
          </cell>
          <cell r="F307" t="str">
            <v>CO2 - atmosfære</v>
          </cell>
          <cell r="G307" t="str">
            <v>t CO2-ækvivalenter</v>
          </cell>
          <cell r="H307">
            <v>15.99169436748546</v>
          </cell>
          <cell r="I307">
            <v>15.99169436748546</v>
          </cell>
          <cell r="J307">
            <v>15.99169436748546</v>
          </cell>
        </row>
        <row r="308">
          <cell r="A308" t="str">
            <v>Rapsmark</v>
          </cell>
          <cell r="B308" t="str">
            <v>Konventionel</v>
          </cell>
          <cell r="C308" t="str">
            <v>OC12</v>
          </cell>
          <cell r="D308" t="str">
            <v>Areal-raps</v>
          </cell>
          <cell r="E308" t="str">
            <v>Hektar</v>
          </cell>
          <cell r="F308" t="str">
            <v>Raps</v>
          </cell>
          <cell r="G308" t="str">
            <v>Ton</v>
          </cell>
          <cell r="H308">
            <v>6.16</v>
          </cell>
          <cell r="I308">
            <v>6.16</v>
          </cell>
          <cell r="J308">
            <v>6.16</v>
          </cell>
        </row>
        <row r="309">
          <cell r="A309" t="str">
            <v>Rapsmark</v>
          </cell>
          <cell r="B309" t="str">
            <v>Konventionel</v>
          </cell>
          <cell r="C309" t="str">
            <v>OC12</v>
          </cell>
          <cell r="D309" t="str">
            <v>Areal-raps</v>
          </cell>
          <cell r="E309" t="str">
            <v>Hektar</v>
          </cell>
          <cell r="F309" t="str">
            <v>Halm</v>
          </cell>
          <cell r="G309" t="str">
            <v>Ton</v>
          </cell>
          <cell r="H309">
            <v>5.5439999999999996</v>
          </cell>
          <cell r="I309">
            <v>5.5439999999999996</v>
          </cell>
          <cell r="J309">
            <v>5.5439999999999996</v>
          </cell>
        </row>
        <row r="310">
          <cell r="A310" t="str">
            <v>Rapsmark</v>
          </cell>
          <cell r="B310" t="str">
            <v>Konventionel</v>
          </cell>
          <cell r="C310" t="str">
            <v>OC12</v>
          </cell>
          <cell r="D310" t="str">
            <v>Areal-raps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-115</v>
          </cell>
          <cell r="I310">
            <v>-115</v>
          </cell>
          <cell r="J310">
            <v>-115</v>
          </cell>
        </row>
        <row r="311">
          <cell r="A311" t="str">
            <v>Rapsmark</v>
          </cell>
          <cell r="B311" t="str">
            <v>Konventionel</v>
          </cell>
          <cell r="C311" t="str">
            <v>OC12</v>
          </cell>
          <cell r="D311" t="str">
            <v>Areal-raps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Rapsmark</v>
          </cell>
          <cell r="B312" t="str">
            <v>Økologisk</v>
          </cell>
          <cell r="C312" t="str">
            <v>JB1-10</v>
          </cell>
          <cell r="D312" t="str">
            <v>Areal-raps</v>
          </cell>
          <cell r="E312" t="str">
            <v>Hektar</v>
          </cell>
          <cell r="F312" t="str">
            <v>Raps</v>
          </cell>
          <cell r="G312" t="str">
            <v>Ton</v>
          </cell>
          <cell r="H312">
            <v>2.4200000000000004</v>
          </cell>
          <cell r="I312">
            <v>2.4200000000000004</v>
          </cell>
          <cell r="J312">
            <v>2.4200000000000004</v>
          </cell>
        </row>
        <row r="313">
          <cell r="A313" t="str">
            <v>Rapsmark</v>
          </cell>
          <cell r="B313" t="str">
            <v>Økologisk</v>
          </cell>
          <cell r="C313" t="str">
            <v>JB1-10</v>
          </cell>
          <cell r="D313" t="str">
            <v>Areal-raps</v>
          </cell>
          <cell r="E313" t="str">
            <v>Hektar</v>
          </cell>
          <cell r="F313" t="str">
            <v>Halm</v>
          </cell>
          <cell r="G313" t="str">
            <v>Ton</v>
          </cell>
          <cell r="H313">
            <v>2.1779999999999999</v>
          </cell>
          <cell r="I313">
            <v>2.1779999999999999</v>
          </cell>
          <cell r="J313">
            <v>2.1779999999999999</v>
          </cell>
        </row>
        <row r="314">
          <cell r="A314" t="str">
            <v>Rapsmark</v>
          </cell>
          <cell r="B314" t="str">
            <v>Økologisk</v>
          </cell>
          <cell r="C314" t="str">
            <v>JB1-10</v>
          </cell>
          <cell r="D314" t="str">
            <v>Areal-raps</v>
          </cell>
          <cell r="E314" t="str">
            <v>Hektar</v>
          </cell>
          <cell r="F314" t="str">
            <v>Gødning</v>
          </cell>
          <cell r="G314" t="str">
            <v>kg N</v>
          </cell>
          <cell r="H314">
            <v>-96.250000000000014</v>
          </cell>
          <cell r="I314">
            <v>-96.250000000000014</v>
          </cell>
          <cell r="J314">
            <v>-96.250000000000014</v>
          </cell>
        </row>
        <row r="315">
          <cell r="A315" t="str">
            <v>Rapsmark</v>
          </cell>
          <cell r="B315" t="str">
            <v>Økologisk</v>
          </cell>
          <cell r="C315" t="str">
            <v>JB1-10</v>
          </cell>
          <cell r="D315" t="str">
            <v>Areal-raps</v>
          </cell>
          <cell r="E315" t="str">
            <v>Hektar</v>
          </cell>
          <cell r="F315" t="str">
            <v>CO2 - atmosfære</v>
          </cell>
          <cell r="G315" t="str">
            <v>t CO2-ækvivalenter</v>
          </cell>
          <cell r="H315">
            <v>2.2736943674854606</v>
          </cell>
          <cell r="I315">
            <v>2.2736943674854606</v>
          </cell>
          <cell r="J315">
            <v>2.2736943674854606</v>
          </cell>
        </row>
        <row r="316">
          <cell r="A316" t="str">
            <v>Rapsmark</v>
          </cell>
          <cell r="B316" t="str">
            <v>Økologisk</v>
          </cell>
          <cell r="C316" t="str">
            <v>OC6</v>
          </cell>
          <cell r="D316" t="str">
            <v>Areal-raps</v>
          </cell>
          <cell r="E316" t="str">
            <v>Hektar</v>
          </cell>
          <cell r="F316" t="str">
            <v>Raps</v>
          </cell>
          <cell r="G316" t="str">
            <v>Ton</v>
          </cell>
          <cell r="H316">
            <v>2.9040000000000004</v>
          </cell>
          <cell r="I316">
            <v>2.9040000000000004</v>
          </cell>
          <cell r="J316">
            <v>2.9040000000000004</v>
          </cell>
        </row>
        <row r="317">
          <cell r="A317" t="str">
            <v>Rapsmark</v>
          </cell>
          <cell r="B317" t="str">
            <v>Økologisk</v>
          </cell>
          <cell r="C317" t="str">
            <v>OC6</v>
          </cell>
          <cell r="D317" t="str">
            <v>Areal-raps</v>
          </cell>
          <cell r="E317" t="str">
            <v>Hektar</v>
          </cell>
          <cell r="F317" t="str">
            <v>Halm</v>
          </cell>
          <cell r="G317" t="str">
            <v>Ton</v>
          </cell>
          <cell r="H317">
            <v>2.6135999999999999</v>
          </cell>
          <cell r="I317">
            <v>2.6135999999999999</v>
          </cell>
          <cell r="J317">
            <v>2.6135999999999999</v>
          </cell>
        </row>
        <row r="318">
          <cell r="A318" t="str">
            <v>Rapsmark</v>
          </cell>
          <cell r="B318" t="str">
            <v>Økologisk</v>
          </cell>
          <cell r="C318" t="str">
            <v>OC6</v>
          </cell>
          <cell r="D318" t="str">
            <v>Areal-raps</v>
          </cell>
          <cell r="E318" t="str">
            <v>Hektar</v>
          </cell>
          <cell r="F318" t="str">
            <v>Gødning</v>
          </cell>
          <cell r="G318" t="str">
            <v>kg N</v>
          </cell>
          <cell r="H318">
            <v>-79.75</v>
          </cell>
          <cell r="I318">
            <v>-79.75</v>
          </cell>
          <cell r="J318">
            <v>-79.75</v>
          </cell>
        </row>
        <row r="319">
          <cell r="A319" t="str">
            <v>Rapsmark</v>
          </cell>
          <cell r="B319" t="str">
            <v>Økologisk</v>
          </cell>
          <cell r="C319" t="str">
            <v>OC6</v>
          </cell>
          <cell r="D319" t="str">
            <v>Areal-raps</v>
          </cell>
          <cell r="E319" t="str">
            <v>Hektar</v>
          </cell>
          <cell r="F319" t="str">
            <v>CO2 - atmosfære</v>
          </cell>
          <cell r="G319" t="str">
            <v>t CO2-ækvivalenter</v>
          </cell>
          <cell r="H319">
            <v>15.99169436748546</v>
          </cell>
          <cell r="I319">
            <v>15.99169436748546</v>
          </cell>
          <cell r="J319">
            <v>15.99169436748546</v>
          </cell>
        </row>
        <row r="320">
          <cell r="A320" t="str">
            <v>Rapsmark</v>
          </cell>
          <cell r="B320" t="str">
            <v>Økologisk</v>
          </cell>
          <cell r="C320" t="str">
            <v>OC12</v>
          </cell>
          <cell r="D320" t="str">
            <v>Areal-raps</v>
          </cell>
          <cell r="E320" t="str">
            <v>Hektar</v>
          </cell>
          <cell r="F320" t="str">
            <v>Raps</v>
          </cell>
          <cell r="G320" t="str">
            <v>Ton</v>
          </cell>
          <cell r="H320">
            <v>3.3880000000000003</v>
          </cell>
          <cell r="I320">
            <v>3.3880000000000003</v>
          </cell>
          <cell r="J320">
            <v>3.3880000000000003</v>
          </cell>
        </row>
        <row r="321">
          <cell r="A321" t="str">
            <v>Rapsmark</v>
          </cell>
          <cell r="B321" t="str">
            <v>Økologisk</v>
          </cell>
          <cell r="C321" t="str">
            <v>OC12</v>
          </cell>
          <cell r="D321" t="str">
            <v>Areal-raps</v>
          </cell>
          <cell r="E321" t="str">
            <v>Hektar</v>
          </cell>
          <cell r="F321" t="str">
            <v>Halm</v>
          </cell>
          <cell r="G321" t="str">
            <v>Ton</v>
          </cell>
          <cell r="H321">
            <v>3.0491999999999999</v>
          </cell>
          <cell r="I321">
            <v>3.0491999999999999</v>
          </cell>
          <cell r="J321">
            <v>3.0491999999999999</v>
          </cell>
        </row>
        <row r="322">
          <cell r="A322" t="str">
            <v>Rapsmark</v>
          </cell>
          <cell r="B322" t="str">
            <v>Økologisk</v>
          </cell>
          <cell r="C322" t="str">
            <v>OC12</v>
          </cell>
          <cell r="D322" t="str">
            <v>Areal-raps</v>
          </cell>
          <cell r="E322" t="str">
            <v>Hektar</v>
          </cell>
          <cell r="F322" t="str">
            <v>Gødning</v>
          </cell>
          <cell r="G322" t="str">
            <v>kg N</v>
          </cell>
          <cell r="H322">
            <v>-63.250000000000007</v>
          </cell>
          <cell r="I322">
            <v>-63.250000000000007</v>
          </cell>
          <cell r="J322">
            <v>-63.250000000000007</v>
          </cell>
        </row>
        <row r="323">
          <cell r="A323" t="str">
            <v>Rapsmark</v>
          </cell>
          <cell r="B323" t="str">
            <v>Økologisk</v>
          </cell>
          <cell r="C323" t="str">
            <v>OC12</v>
          </cell>
          <cell r="D323" t="str">
            <v>Areal-raps</v>
          </cell>
          <cell r="E323" t="str">
            <v>Hektar</v>
          </cell>
          <cell r="F323" t="str">
            <v>CO2 - atmosfære</v>
          </cell>
          <cell r="G323" t="str">
            <v>t CO2-ækvivalenter</v>
          </cell>
          <cell r="H323">
            <v>40.951694367485452</v>
          </cell>
          <cell r="I323">
            <v>40.951694367485452</v>
          </cell>
          <cell r="J323">
            <v>40.951694367485452</v>
          </cell>
        </row>
        <row r="324">
          <cell r="A324" t="str">
            <v>Frøgræsmark</v>
          </cell>
          <cell r="B324" t="str">
            <v>Konventionel</v>
          </cell>
          <cell r="C324" t="str">
            <v>JB1-10</v>
          </cell>
          <cell r="D324" t="str">
            <v>Areal-frøgræs</v>
          </cell>
          <cell r="E324" t="str">
            <v>Hektar</v>
          </cell>
          <cell r="F324" t="str">
            <v>Frø</v>
          </cell>
          <cell r="G324" t="str">
            <v>Ton</v>
          </cell>
          <cell r="H324">
            <v>14.288860759493669</v>
          </cell>
          <cell r="I324">
            <v>14.288860759493669</v>
          </cell>
          <cell r="J324">
            <v>14.288860759493669</v>
          </cell>
        </row>
        <row r="325">
          <cell r="A325" t="str">
            <v>Frøgræsmark</v>
          </cell>
          <cell r="B325" t="str">
            <v>Konventionel</v>
          </cell>
          <cell r="C325" t="str">
            <v>JB1-10</v>
          </cell>
          <cell r="D325" t="str">
            <v>Areal-frøgræs</v>
          </cell>
          <cell r="E325" t="str">
            <v>Hektar</v>
          </cell>
          <cell r="F325" t="str">
            <v>Halm</v>
          </cell>
          <cell r="G325" t="str">
            <v>Ton</v>
          </cell>
          <cell r="H325">
            <v>4</v>
          </cell>
          <cell r="I325">
            <v>4</v>
          </cell>
          <cell r="J325">
            <v>4</v>
          </cell>
        </row>
        <row r="326">
          <cell r="A326" t="str">
            <v>Frøgræsmark</v>
          </cell>
          <cell r="B326" t="str">
            <v>Konventionel</v>
          </cell>
          <cell r="C326" t="str">
            <v>JB1-10</v>
          </cell>
          <cell r="D326" t="str">
            <v>Areal-frøgræs</v>
          </cell>
          <cell r="E326" t="str">
            <v>Hektar</v>
          </cell>
          <cell r="F326" t="str">
            <v>Gødning</v>
          </cell>
          <cell r="G326" t="str">
            <v>kg N</v>
          </cell>
          <cell r="H326">
            <v>-150</v>
          </cell>
          <cell r="I326">
            <v>-150</v>
          </cell>
          <cell r="J326">
            <v>-150</v>
          </cell>
        </row>
        <row r="327">
          <cell r="A327" t="str">
            <v>Frøgræsmark</v>
          </cell>
          <cell r="B327" t="str">
            <v>Konventionel</v>
          </cell>
          <cell r="C327" t="str">
            <v>JB1-10</v>
          </cell>
          <cell r="D327" t="str">
            <v>Areal-frøgræs</v>
          </cell>
          <cell r="E327" t="str">
            <v>Hektar</v>
          </cell>
          <cell r="F327" t="str">
            <v>CO2 - atmosfære</v>
          </cell>
          <cell r="G327" t="str">
            <v>t CO2-ækvivalenter</v>
          </cell>
          <cell r="H327">
            <v>2.2736943674854606</v>
          </cell>
          <cell r="I327">
            <v>2.2736943674854606</v>
          </cell>
          <cell r="J327">
            <v>2.2736943674854606</v>
          </cell>
        </row>
        <row r="328">
          <cell r="A328" t="str">
            <v>Frøgræsmark</v>
          </cell>
          <cell r="B328" t="str">
            <v>Konventionel</v>
          </cell>
          <cell r="C328" t="str">
            <v>OC6</v>
          </cell>
          <cell r="D328" t="str">
            <v>Areal-frøgræs</v>
          </cell>
          <cell r="E328" t="str">
            <v>Hektar</v>
          </cell>
          <cell r="F328" t="str">
            <v>Frø</v>
          </cell>
          <cell r="G328" t="str">
            <v>Ton</v>
          </cell>
          <cell r="H328">
            <v>17.146632911392402</v>
          </cell>
          <cell r="I328">
            <v>17.146632911392402</v>
          </cell>
          <cell r="J328">
            <v>17.146632911392402</v>
          </cell>
        </row>
        <row r="329">
          <cell r="A329" t="str">
            <v>Frøgræsmark</v>
          </cell>
          <cell r="B329" t="str">
            <v>Konventionel</v>
          </cell>
          <cell r="C329" t="str">
            <v>OC6</v>
          </cell>
          <cell r="D329" t="str">
            <v>Areal-frøgræs</v>
          </cell>
          <cell r="E329" t="str">
            <v>Hektar</v>
          </cell>
          <cell r="F329" t="str">
            <v>Halm</v>
          </cell>
          <cell r="G329" t="str">
            <v>Ton</v>
          </cell>
          <cell r="H329">
            <v>4.8</v>
          </cell>
          <cell r="I329">
            <v>4.8</v>
          </cell>
          <cell r="J329">
            <v>4.8</v>
          </cell>
        </row>
        <row r="330">
          <cell r="A330" t="str">
            <v>Frøgræsmark</v>
          </cell>
          <cell r="B330" t="str">
            <v>Konventionel</v>
          </cell>
          <cell r="C330" t="str">
            <v>OC6</v>
          </cell>
          <cell r="D330" t="str">
            <v>Areal-frøgræs</v>
          </cell>
          <cell r="E330" t="str">
            <v>Hektar</v>
          </cell>
          <cell r="F330" t="str">
            <v>Gødning</v>
          </cell>
          <cell r="G330" t="str">
            <v>kg N</v>
          </cell>
          <cell r="H330">
            <v>-135</v>
          </cell>
          <cell r="I330">
            <v>-135</v>
          </cell>
          <cell r="J330">
            <v>-135</v>
          </cell>
        </row>
        <row r="331">
          <cell r="A331" t="str">
            <v>Frøgræsmark</v>
          </cell>
          <cell r="B331" t="str">
            <v>Konventionel</v>
          </cell>
          <cell r="C331" t="str">
            <v>OC6</v>
          </cell>
          <cell r="D331" t="str">
            <v>Areal-frøgræs</v>
          </cell>
          <cell r="E331" t="str">
            <v>Hektar</v>
          </cell>
          <cell r="F331" t="str">
            <v>CO2 - atmosfære</v>
          </cell>
          <cell r="G331" t="str">
            <v>t CO2-ækvivalenter</v>
          </cell>
          <cell r="H331">
            <v>15.99169436748546</v>
          </cell>
          <cell r="I331">
            <v>15.99169436748546</v>
          </cell>
          <cell r="J331">
            <v>15.99169436748546</v>
          </cell>
        </row>
        <row r="332">
          <cell r="A332" t="str">
            <v>Frøgræsmark</v>
          </cell>
          <cell r="B332" t="str">
            <v>Konventionel</v>
          </cell>
          <cell r="C332" t="str">
            <v>OC12</v>
          </cell>
          <cell r="D332" t="str">
            <v>Areal-frøgræs</v>
          </cell>
          <cell r="E332" t="str">
            <v>Hektar</v>
          </cell>
          <cell r="F332" t="str">
            <v>Frø</v>
          </cell>
          <cell r="G332" t="str">
            <v>Ton</v>
          </cell>
          <cell r="H332">
            <v>20.004405063291134</v>
          </cell>
          <cell r="I332">
            <v>20.004405063291134</v>
          </cell>
          <cell r="J332">
            <v>20.004405063291134</v>
          </cell>
        </row>
        <row r="333">
          <cell r="A333" t="str">
            <v>Frøgræsmark</v>
          </cell>
          <cell r="B333" t="str">
            <v>Konventionel</v>
          </cell>
          <cell r="C333" t="str">
            <v>OC12</v>
          </cell>
          <cell r="D333" t="str">
            <v>Areal-frøgræs</v>
          </cell>
          <cell r="E333" t="str">
            <v>Hektar</v>
          </cell>
          <cell r="F333" t="str">
            <v>Halm</v>
          </cell>
          <cell r="G333" t="str">
            <v>Ton</v>
          </cell>
          <cell r="H333">
            <v>5.6</v>
          </cell>
          <cell r="I333">
            <v>5.6</v>
          </cell>
          <cell r="J333">
            <v>5.6</v>
          </cell>
        </row>
        <row r="334">
          <cell r="A334" t="str">
            <v>Frøgræsmark</v>
          </cell>
          <cell r="B334" t="str">
            <v>Konventionel</v>
          </cell>
          <cell r="C334" t="str">
            <v>OC12</v>
          </cell>
          <cell r="D334" t="str">
            <v>Areal-frøgræs</v>
          </cell>
          <cell r="E334" t="str">
            <v>Hektar</v>
          </cell>
          <cell r="F334" t="str">
            <v>Gødning</v>
          </cell>
          <cell r="G334" t="str">
            <v>kg N</v>
          </cell>
          <cell r="H334">
            <v>-120</v>
          </cell>
          <cell r="I334">
            <v>-120</v>
          </cell>
          <cell r="J334">
            <v>-120</v>
          </cell>
        </row>
        <row r="335">
          <cell r="A335" t="str">
            <v>Frøgræsmark</v>
          </cell>
          <cell r="B335" t="str">
            <v>Konventionel</v>
          </cell>
          <cell r="C335" t="str">
            <v>OC12</v>
          </cell>
          <cell r="D335" t="str">
            <v>Areal-frøgræs</v>
          </cell>
          <cell r="E335" t="str">
            <v>Hektar</v>
          </cell>
          <cell r="F335" t="str">
            <v>CO2 - atmosfære</v>
          </cell>
          <cell r="G335" t="str">
            <v>t CO2-ækvivalenter</v>
          </cell>
          <cell r="H335">
            <v>40.951694367485452</v>
          </cell>
          <cell r="I335">
            <v>40.951694367485452</v>
          </cell>
          <cell r="J335">
            <v>40.951694367485452</v>
          </cell>
        </row>
        <row r="336">
          <cell r="A336" t="str">
            <v>Frøgræsmark</v>
          </cell>
          <cell r="B336" t="str">
            <v>Økologisk</v>
          </cell>
          <cell r="C336" t="str">
            <v>JB1-10</v>
          </cell>
          <cell r="D336" t="str">
            <v>Areal-frøgræs</v>
          </cell>
          <cell r="E336" t="str">
            <v>Hektar</v>
          </cell>
          <cell r="F336" t="str">
            <v>Frø</v>
          </cell>
          <cell r="G336" t="str">
            <v>Ton</v>
          </cell>
          <cell r="H336">
            <v>8.1446506329113912</v>
          </cell>
          <cell r="I336">
            <v>8.1446506329113912</v>
          </cell>
          <cell r="J336">
            <v>8.1446506329113912</v>
          </cell>
        </row>
        <row r="337">
          <cell r="A337" t="str">
            <v>Frøgræsmark</v>
          </cell>
          <cell r="B337" t="str">
            <v>Økologisk</v>
          </cell>
          <cell r="C337" t="str">
            <v>JB1-10</v>
          </cell>
          <cell r="D337" t="str">
            <v>Areal-frøgræs</v>
          </cell>
          <cell r="E337" t="str">
            <v>Hektar</v>
          </cell>
          <cell r="F337" t="str">
            <v>Halm</v>
          </cell>
          <cell r="G337" t="str">
            <v>Ton</v>
          </cell>
          <cell r="H337">
            <v>2.2799999999999998</v>
          </cell>
          <cell r="I337">
            <v>2.2799999999999998</v>
          </cell>
          <cell r="J337">
            <v>2.2799999999999998</v>
          </cell>
        </row>
        <row r="338">
          <cell r="A338" t="str">
            <v>Frøgræsmark</v>
          </cell>
          <cell r="B338" t="str">
            <v>Økologisk</v>
          </cell>
          <cell r="C338" t="str">
            <v>JB1-10</v>
          </cell>
          <cell r="D338" t="str">
            <v>Areal-frøgræs</v>
          </cell>
          <cell r="E338" t="str">
            <v>Hektar</v>
          </cell>
          <cell r="F338" t="str">
            <v>Gødning</v>
          </cell>
          <cell r="G338" t="str">
            <v>kg N</v>
          </cell>
          <cell r="H338">
            <v>-85.499999999999986</v>
          </cell>
          <cell r="I338">
            <v>-85.499999999999986</v>
          </cell>
          <cell r="J338">
            <v>-85.499999999999986</v>
          </cell>
        </row>
        <row r="339">
          <cell r="A339" t="str">
            <v>Frøgræsmark</v>
          </cell>
          <cell r="B339" t="str">
            <v>Økologisk</v>
          </cell>
          <cell r="C339" t="str">
            <v>JB1-10</v>
          </cell>
          <cell r="D339" t="str">
            <v>Areal-frøgræs</v>
          </cell>
          <cell r="E339" t="str">
            <v>Hektar</v>
          </cell>
          <cell r="F339" t="str">
            <v>CO2 - atmosfære</v>
          </cell>
          <cell r="G339" t="str">
            <v>t CO2-ækvivalenter</v>
          </cell>
          <cell r="H339">
            <v>2.2736943674854606</v>
          </cell>
          <cell r="I339">
            <v>2.2736943674854606</v>
          </cell>
          <cell r="J339">
            <v>2.2736943674854606</v>
          </cell>
        </row>
        <row r="340">
          <cell r="A340" t="str">
            <v>Frøgræsmark</v>
          </cell>
          <cell r="B340" t="str">
            <v>Økologisk</v>
          </cell>
          <cell r="C340" t="str">
            <v>OC6</v>
          </cell>
          <cell r="D340" t="str">
            <v>Areal-frøgræs</v>
          </cell>
          <cell r="E340" t="str">
            <v>Hektar</v>
          </cell>
          <cell r="F340" t="str">
            <v>Frø</v>
          </cell>
          <cell r="G340" t="str">
            <v>Ton</v>
          </cell>
          <cell r="H340">
            <v>9.7735807594936688</v>
          </cell>
          <cell r="I340">
            <v>9.7735807594936688</v>
          </cell>
          <cell r="J340">
            <v>9.7735807594936688</v>
          </cell>
        </row>
        <row r="341">
          <cell r="A341" t="str">
            <v>Frøgræsmark</v>
          </cell>
          <cell r="B341" t="str">
            <v>Økologisk</v>
          </cell>
          <cell r="C341" t="str">
            <v>OC6</v>
          </cell>
          <cell r="D341" t="str">
            <v>Areal-frøgræs</v>
          </cell>
          <cell r="E341" t="str">
            <v>Hektar</v>
          </cell>
          <cell r="F341" t="str">
            <v>Halm</v>
          </cell>
          <cell r="G341" t="str">
            <v>Ton</v>
          </cell>
          <cell r="H341">
            <v>2.7359999999999998</v>
          </cell>
          <cell r="I341">
            <v>2.7359999999999998</v>
          </cell>
          <cell r="J341">
            <v>2.7359999999999998</v>
          </cell>
        </row>
        <row r="342">
          <cell r="A342" t="str">
            <v>Frøgræsmark</v>
          </cell>
          <cell r="B342" t="str">
            <v>Økologisk</v>
          </cell>
          <cell r="C342" t="str">
            <v>OC6</v>
          </cell>
          <cell r="D342" t="str">
            <v>Areal-frøgræs</v>
          </cell>
          <cell r="E342" t="str">
            <v>Hektar</v>
          </cell>
          <cell r="F342" t="str">
            <v>Gødning</v>
          </cell>
          <cell r="G342" t="str">
            <v>kg N</v>
          </cell>
          <cell r="H342">
            <v>-76.949999999999989</v>
          </cell>
          <cell r="I342">
            <v>-76.949999999999989</v>
          </cell>
          <cell r="J342">
            <v>-76.949999999999989</v>
          </cell>
        </row>
        <row r="343">
          <cell r="A343" t="str">
            <v>Frøgræsmark</v>
          </cell>
          <cell r="B343" t="str">
            <v>Økologisk</v>
          </cell>
          <cell r="C343" t="str">
            <v>OC6</v>
          </cell>
          <cell r="D343" t="str">
            <v>Areal-frøgræs</v>
          </cell>
          <cell r="E343" t="str">
            <v>Hektar</v>
          </cell>
          <cell r="F343" t="str">
            <v>CO2 - atmosfære</v>
          </cell>
          <cell r="G343" t="str">
            <v>t CO2-ækvivalenter</v>
          </cell>
          <cell r="H343">
            <v>15.99169436748546</v>
          </cell>
          <cell r="I343">
            <v>15.99169436748546</v>
          </cell>
          <cell r="J343">
            <v>15.99169436748546</v>
          </cell>
        </row>
        <row r="344">
          <cell r="A344" t="str">
            <v>Frøgræsmark</v>
          </cell>
          <cell r="B344" t="str">
            <v>Økologisk</v>
          </cell>
          <cell r="C344" t="str">
            <v>OC12</v>
          </cell>
          <cell r="D344" t="str">
            <v>Areal-frøgræs</v>
          </cell>
          <cell r="E344" t="str">
            <v>Hektar</v>
          </cell>
          <cell r="F344" t="str">
            <v>Frø</v>
          </cell>
          <cell r="G344" t="str">
            <v>Ton</v>
          </cell>
          <cell r="H344">
            <v>11.402510886075946</v>
          </cell>
          <cell r="I344">
            <v>11.402510886075946</v>
          </cell>
          <cell r="J344">
            <v>11.402510886075946</v>
          </cell>
        </row>
        <row r="345">
          <cell r="A345" t="str">
            <v>Frøgræsmark</v>
          </cell>
          <cell r="B345" t="str">
            <v>Økologisk</v>
          </cell>
          <cell r="C345" t="str">
            <v>OC12</v>
          </cell>
          <cell r="D345" t="str">
            <v>Areal-frøgræs</v>
          </cell>
          <cell r="E345" t="str">
            <v>Hektar</v>
          </cell>
          <cell r="F345" t="str">
            <v>Halm</v>
          </cell>
          <cell r="G345" t="str">
            <v>Ton</v>
          </cell>
          <cell r="H345">
            <v>3.1919999999999997</v>
          </cell>
          <cell r="I345">
            <v>3.1919999999999997</v>
          </cell>
          <cell r="J345">
            <v>3.1919999999999997</v>
          </cell>
        </row>
        <row r="346">
          <cell r="A346" t="str">
            <v>Frøgræsmark</v>
          </cell>
          <cell r="B346" t="str">
            <v>Økologisk</v>
          </cell>
          <cell r="C346" t="str">
            <v>OC12</v>
          </cell>
          <cell r="D346" t="str">
            <v>Areal-frøgræs</v>
          </cell>
          <cell r="E346" t="str">
            <v>Hektar</v>
          </cell>
          <cell r="F346" t="str">
            <v>Gødning</v>
          </cell>
          <cell r="G346" t="str">
            <v>kg N</v>
          </cell>
          <cell r="H346">
            <v>-68.399999999999991</v>
          </cell>
          <cell r="I346">
            <v>-68.399999999999991</v>
          </cell>
          <cell r="J346">
            <v>-68.399999999999991</v>
          </cell>
        </row>
        <row r="347">
          <cell r="A347" t="str">
            <v>Frøgræsmark</v>
          </cell>
          <cell r="B347" t="str">
            <v>Økologisk</v>
          </cell>
          <cell r="C347" t="str">
            <v>OC12</v>
          </cell>
          <cell r="D347" t="str">
            <v>Areal-frøgræs</v>
          </cell>
          <cell r="E347" t="str">
            <v>Hektar</v>
          </cell>
          <cell r="F347" t="str">
            <v>CO2 - atmosfære</v>
          </cell>
          <cell r="G347" t="str">
            <v>t CO2-ækvivalenter</v>
          </cell>
          <cell r="H347">
            <v>40.951694367485452</v>
          </cell>
          <cell r="I347">
            <v>40.951694367485452</v>
          </cell>
          <cell r="J347">
            <v>40.951694367485452</v>
          </cell>
        </row>
        <row r="348">
          <cell r="A348" t="str">
            <v>Juletræsmark</v>
          </cell>
          <cell r="B348" t="str">
            <v>Konventionel</v>
          </cell>
          <cell r="C348" t="str">
            <v>JB1-10</v>
          </cell>
          <cell r="D348" t="str">
            <v>Areal-juletræer</v>
          </cell>
          <cell r="E348" t="str">
            <v>Hektar</v>
          </cell>
          <cell r="F348" t="str">
            <v>Juletræer</v>
          </cell>
          <cell r="G348" t="str">
            <v>Ton</v>
          </cell>
          <cell r="H348">
            <v>50</v>
          </cell>
          <cell r="I348">
            <v>50</v>
          </cell>
          <cell r="J348">
            <v>50</v>
          </cell>
        </row>
        <row r="349">
          <cell r="A349" t="str">
            <v>Juletræsmark</v>
          </cell>
          <cell r="B349" t="str">
            <v>Konventionel</v>
          </cell>
          <cell r="C349" t="str">
            <v>JB1-10</v>
          </cell>
          <cell r="D349" t="str">
            <v>Areal-juletræer</v>
          </cell>
          <cell r="E349" t="str">
            <v>Hektar</v>
          </cell>
          <cell r="F349" t="str">
            <v>Gødning</v>
          </cell>
          <cell r="G349" t="str">
            <v>kg N</v>
          </cell>
          <cell r="H349">
            <v>-110</v>
          </cell>
          <cell r="I349">
            <v>-110</v>
          </cell>
          <cell r="J349">
            <v>-110</v>
          </cell>
        </row>
        <row r="350">
          <cell r="A350" t="str">
            <v>Juletræsmark</v>
          </cell>
          <cell r="B350" t="str">
            <v>Konventionel</v>
          </cell>
          <cell r="C350" t="str">
            <v>JB1-10</v>
          </cell>
          <cell r="D350" t="str">
            <v>Areal-juletræer</v>
          </cell>
          <cell r="E350" t="str">
            <v>Hektar</v>
          </cell>
          <cell r="F350" t="str">
            <v>CO2 - atmosfære</v>
          </cell>
          <cell r="G350" t="str">
            <v>t CO2-ækvivalenter</v>
          </cell>
          <cell r="H350">
            <v>1.9656943674854606</v>
          </cell>
          <cell r="I350">
            <v>1.9656943674854606</v>
          </cell>
          <cell r="J350">
            <v>1.9656943674854606</v>
          </cell>
        </row>
        <row r="351">
          <cell r="A351" t="str">
            <v>Juletræsmark</v>
          </cell>
          <cell r="B351" t="str">
            <v>Konventionel</v>
          </cell>
          <cell r="C351" t="str">
            <v>OC6</v>
          </cell>
          <cell r="D351" t="str">
            <v>Areal-juletræer</v>
          </cell>
          <cell r="E351" t="str">
            <v>Hektar</v>
          </cell>
          <cell r="F351" t="str">
            <v>Juletræer</v>
          </cell>
          <cell r="G351" t="str">
            <v>Ton</v>
          </cell>
          <cell r="H351">
            <v>60</v>
          </cell>
          <cell r="I351">
            <v>60</v>
          </cell>
          <cell r="J351">
            <v>60</v>
          </cell>
        </row>
        <row r="352">
          <cell r="A352" t="str">
            <v>Juletræsmark</v>
          </cell>
          <cell r="B352" t="str">
            <v>Konventionel</v>
          </cell>
          <cell r="C352" t="str">
            <v>OC6</v>
          </cell>
          <cell r="D352" t="str">
            <v>Areal-juletræer</v>
          </cell>
          <cell r="E352" t="str">
            <v>Hektar</v>
          </cell>
          <cell r="F352" t="str">
            <v>Gødning</v>
          </cell>
          <cell r="G352" t="str">
            <v>kg N</v>
          </cell>
          <cell r="H352">
            <v>-100</v>
          </cell>
          <cell r="I352">
            <v>-100</v>
          </cell>
          <cell r="J352">
            <v>-100</v>
          </cell>
        </row>
        <row r="353">
          <cell r="A353" t="str">
            <v>Juletræsmark</v>
          </cell>
          <cell r="B353" t="str">
            <v>Konventionel</v>
          </cell>
          <cell r="C353" t="str">
            <v>OC6</v>
          </cell>
          <cell r="D353" t="str">
            <v>Areal-juletræer</v>
          </cell>
          <cell r="E353" t="str">
            <v>Hektar</v>
          </cell>
          <cell r="F353" t="str">
            <v>CO2 - atmosfære</v>
          </cell>
          <cell r="G353" t="str">
            <v>t CO2-ækvivalenter</v>
          </cell>
          <cell r="H353">
            <v>10.661694367485461</v>
          </cell>
          <cell r="I353">
            <v>10.661694367485461</v>
          </cell>
          <cell r="J353">
            <v>10.661694367485461</v>
          </cell>
        </row>
        <row r="354">
          <cell r="A354" t="str">
            <v>Juletræsmark</v>
          </cell>
          <cell r="B354" t="str">
            <v>Konventionel</v>
          </cell>
          <cell r="C354" t="str">
            <v>OC12</v>
          </cell>
          <cell r="D354" t="str">
            <v>Areal-juletræer</v>
          </cell>
          <cell r="E354" t="str">
            <v>Hektar</v>
          </cell>
          <cell r="F354" t="str">
            <v>Juletræer</v>
          </cell>
          <cell r="G354" t="str">
            <v>Ton</v>
          </cell>
          <cell r="H354">
            <v>70</v>
          </cell>
          <cell r="I354">
            <v>70</v>
          </cell>
          <cell r="J354">
            <v>70</v>
          </cell>
        </row>
        <row r="355">
          <cell r="A355" t="str">
            <v>Juletræsmark</v>
          </cell>
          <cell r="B355" t="str">
            <v>Konventionel</v>
          </cell>
          <cell r="C355" t="str">
            <v>OC12</v>
          </cell>
          <cell r="D355" t="str">
            <v>Areal-juletræer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-90</v>
          </cell>
          <cell r="I355">
            <v>-90</v>
          </cell>
          <cell r="J355">
            <v>-90</v>
          </cell>
        </row>
        <row r="356">
          <cell r="A356" t="str">
            <v>Juletræsmark</v>
          </cell>
          <cell r="B356" t="str">
            <v>Konventionel</v>
          </cell>
          <cell r="C356" t="str">
            <v>OC12</v>
          </cell>
          <cell r="D356" t="str">
            <v>Areal-juletræer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28.501694367485467</v>
          </cell>
          <cell r="I356">
            <v>28.501694367485467</v>
          </cell>
          <cell r="J356">
            <v>28.501694367485467</v>
          </cell>
        </row>
        <row r="357">
          <cell r="A357" t="str">
            <v>Juletræsmark</v>
          </cell>
          <cell r="B357" t="str">
            <v>Økologisk</v>
          </cell>
          <cell r="C357" t="str">
            <v>JB1-10</v>
          </cell>
          <cell r="D357" t="str">
            <v>Areal-juletræer</v>
          </cell>
          <cell r="E357" t="str">
            <v>Hektar</v>
          </cell>
          <cell r="F357" t="str">
            <v>Juletræer</v>
          </cell>
          <cell r="G357" t="str">
            <v>Ton</v>
          </cell>
          <cell r="H357">
            <v>28.499999999999996</v>
          </cell>
          <cell r="I357">
            <v>28.499999999999996</v>
          </cell>
          <cell r="J357">
            <v>28.499999999999996</v>
          </cell>
        </row>
        <row r="358">
          <cell r="A358" t="str">
            <v>Juletræsmark</v>
          </cell>
          <cell r="B358" t="str">
            <v>Økologisk</v>
          </cell>
          <cell r="C358" t="str">
            <v>JB1-10</v>
          </cell>
          <cell r="D358" t="str">
            <v>Areal-juletræer</v>
          </cell>
          <cell r="E358" t="str">
            <v>Hektar</v>
          </cell>
          <cell r="F358" t="str">
            <v>Gødning</v>
          </cell>
          <cell r="G358" t="str">
            <v>kg N</v>
          </cell>
          <cell r="H358">
            <v>-62.699999999999996</v>
          </cell>
          <cell r="I358">
            <v>-62.699999999999996</v>
          </cell>
          <cell r="J358">
            <v>-62.699999999999996</v>
          </cell>
        </row>
        <row r="359">
          <cell r="A359" t="str">
            <v>Juletræsmark</v>
          </cell>
          <cell r="B359" t="str">
            <v>Økologisk</v>
          </cell>
          <cell r="C359" t="str">
            <v>JB1-10</v>
          </cell>
          <cell r="D359" t="str">
            <v>Areal-juletræer</v>
          </cell>
          <cell r="E359" t="str">
            <v>Hektar</v>
          </cell>
          <cell r="F359" t="str">
            <v>CO2 - atmosfære</v>
          </cell>
          <cell r="G359" t="str">
            <v>t CO2-ækvivalenter</v>
          </cell>
          <cell r="H359">
            <v>1.9656943674854606</v>
          </cell>
          <cell r="I359">
            <v>1.9656943674854606</v>
          </cell>
          <cell r="J359">
            <v>1.9656943674854606</v>
          </cell>
        </row>
        <row r="360">
          <cell r="A360" t="str">
            <v>Juletræsmark</v>
          </cell>
          <cell r="B360" t="str">
            <v>Økologisk</v>
          </cell>
          <cell r="C360" t="str">
            <v>OC6</v>
          </cell>
          <cell r="D360" t="str">
            <v>Areal-juletræer</v>
          </cell>
          <cell r="E360" t="str">
            <v>Hektar</v>
          </cell>
          <cell r="F360" t="str">
            <v>Juletræer</v>
          </cell>
          <cell r="G360" t="str">
            <v>Ton</v>
          </cell>
          <cell r="H360">
            <v>34.199999999999996</v>
          </cell>
          <cell r="I360">
            <v>34.199999999999996</v>
          </cell>
          <cell r="J360">
            <v>34.199999999999996</v>
          </cell>
        </row>
        <row r="361">
          <cell r="A361" t="str">
            <v>Juletræsmark</v>
          </cell>
          <cell r="B361" t="str">
            <v>Økologisk</v>
          </cell>
          <cell r="C361" t="str">
            <v>OC6</v>
          </cell>
          <cell r="D361" t="str">
            <v>Areal-juletræer</v>
          </cell>
          <cell r="E361" t="str">
            <v>Hektar</v>
          </cell>
          <cell r="F361" t="str">
            <v>Gødning</v>
          </cell>
          <cell r="G361" t="str">
            <v>kg N</v>
          </cell>
          <cell r="H361">
            <v>-56.999999999999993</v>
          </cell>
          <cell r="I361">
            <v>-56.999999999999993</v>
          </cell>
          <cell r="J361">
            <v>-56.999999999999993</v>
          </cell>
        </row>
        <row r="362">
          <cell r="A362" t="str">
            <v>Juletræsmark</v>
          </cell>
          <cell r="B362" t="str">
            <v>Økologisk</v>
          </cell>
          <cell r="C362" t="str">
            <v>OC6</v>
          </cell>
          <cell r="D362" t="str">
            <v>Areal-juletræer</v>
          </cell>
          <cell r="E362" t="str">
            <v>Hektar</v>
          </cell>
          <cell r="F362" t="str">
            <v>CO2 - atmosfære</v>
          </cell>
          <cell r="G362" t="str">
            <v>t CO2-ækvivalenter</v>
          </cell>
          <cell r="H362">
            <v>10.661694367485461</v>
          </cell>
          <cell r="I362">
            <v>10.661694367485461</v>
          </cell>
          <cell r="J362">
            <v>10.661694367485461</v>
          </cell>
        </row>
        <row r="363">
          <cell r="A363" t="str">
            <v>Juletræsmark</v>
          </cell>
          <cell r="B363" t="str">
            <v>Økologisk</v>
          </cell>
          <cell r="C363" t="str">
            <v>OC12</v>
          </cell>
          <cell r="D363" t="str">
            <v>Areal-juletræer</v>
          </cell>
          <cell r="E363" t="str">
            <v>Hektar</v>
          </cell>
          <cell r="F363" t="str">
            <v>Juletræer</v>
          </cell>
          <cell r="G363" t="str">
            <v>Ton</v>
          </cell>
          <cell r="H363">
            <v>39.9</v>
          </cell>
          <cell r="I363">
            <v>39.9</v>
          </cell>
          <cell r="J363">
            <v>39.9</v>
          </cell>
        </row>
        <row r="364">
          <cell r="A364" t="str">
            <v>Juletræsmark</v>
          </cell>
          <cell r="B364" t="str">
            <v>Økologisk</v>
          </cell>
          <cell r="C364" t="str">
            <v>OC12</v>
          </cell>
          <cell r="D364" t="str">
            <v>Areal-juletræer</v>
          </cell>
          <cell r="E364" t="str">
            <v>Hektar</v>
          </cell>
          <cell r="F364" t="str">
            <v>Gødning</v>
          </cell>
          <cell r="G364" t="str">
            <v>kg N</v>
          </cell>
          <cell r="H364">
            <v>-51.3</v>
          </cell>
          <cell r="I364">
            <v>-51.3</v>
          </cell>
          <cell r="J364">
            <v>-51.3</v>
          </cell>
        </row>
        <row r="365">
          <cell r="A365" t="str">
            <v>Juletræsmark</v>
          </cell>
          <cell r="B365" t="str">
            <v>Økologisk</v>
          </cell>
          <cell r="C365" t="str">
            <v>OC12</v>
          </cell>
          <cell r="D365" t="str">
            <v>Areal-juletræer</v>
          </cell>
          <cell r="E365" t="str">
            <v>Hektar</v>
          </cell>
          <cell r="F365" t="str">
            <v>CO2 - atmosfære</v>
          </cell>
          <cell r="G365" t="str">
            <v>t CO2-ækvivalenter</v>
          </cell>
          <cell r="H365">
            <v>28.501694367485467</v>
          </cell>
          <cell r="I365">
            <v>28.501694367485467</v>
          </cell>
          <cell r="J365">
            <v>28.501694367485467</v>
          </cell>
        </row>
        <row r="366">
          <cell r="A366" t="str">
            <v>Pil- og poppeldyrkning</v>
          </cell>
          <cell r="B366" t="str">
            <v>Konventionel</v>
          </cell>
          <cell r="C366" t="str">
            <v>JB1-10</v>
          </cell>
          <cell r="D366" t="str">
            <v>Areal-pil-poppel</v>
          </cell>
          <cell r="E366" t="str">
            <v>Hektar</v>
          </cell>
          <cell r="F366" t="str">
            <v>Pil &amp; poppel</v>
          </cell>
          <cell r="G366" t="str">
            <v>Ton</v>
          </cell>
          <cell r="H366">
            <v>24.390243902439025</v>
          </cell>
          <cell r="I366">
            <v>24.390243902439025</v>
          </cell>
          <cell r="J366">
            <v>24.390243902439025</v>
          </cell>
        </row>
        <row r="367">
          <cell r="A367" t="str">
            <v>Pil- og poppeldyrkning</v>
          </cell>
          <cell r="B367" t="str">
            <v>Konventionel</v>
          </cell>
          <cell r="C367" t="str">
            <v>JB1-10</v>
          </cell>
          <cell r="D367" t="str">
            <v>Areal-pil-poppel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-120</v>
          </cell>
          <cell r="I367">
            <v>-120</v>
          </cell>
          <cell r="J367">
            <v>-120</v>
          </cell>
        </row>
        <row r="368">
          <cell r="A368" t="str">
            <v>Pil- og poppeldyrkning</v>
          </cell>
          <cell r="B368" t="str">
            <v>Konventionel</v>
          </cell>
          <cell r="C368" t="str">
            <v>JB1-10</v>
          </cell>
          <cell r="D368" t="str">
            <v>Areal-pil-poppel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1.9656943674854606</v>
          </cell>
          <cell r="I368">
            <v>1.9656943674854606</v>
          </cell>
          <cell r="J368">
            <v>1.9656943674854606</v>
          </cell>
        </row>
        <row r="369">
          <cell r="A369" t="str">
            <v>Pil- og poppeldyrkning</v>
          </cell>
          <cell r="B369" t="str">
            <v>Konventionel</v>
          </cell>
          <cell r="C369" t="str">
            <v>OC6</v>
          </cell>
          <cell r="D369" t="str">
            <v>Areal-pil-poppel</v>
          </cell>
          <cell r="E369" t="str">
            <v>Hektar</v>
          </cell>
          <cell r="F369" t="str">
            <v>Pil &amp; poppel</v>
          </cell>
          <cell r="G369" t="str">
            <v>Ton</v>
          </cell>
          <cell r="H369">
            <v>29.268292682926827</v>
          </cell>
          <cell r="I369">
            <v>29.268292682926827</v>
          </cell>
          <cell r="J369">
            <v>29.268292682926827</v>
          </cell>
        </row>
        <row r="370">
          <cell r="A370" t="str">
            <v>Pil- og poppeldyrkning</v>
          </cell>
          <cell r="B370" t="str">
            <v>Konventionel</v>
          </cell>
          <cell r="C370" t="str">
            <v>OC6</v>
          </cell>
          <cell r="D370" t="str">
            <v>Areal-pil-poppel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-120</v>
          </cell>
          <cell r="I370">
            <v>-120</v>
          </cell>
          <cell r="J370">
            <v>-120</v>
          </cell>
        </row>
        <row r="371">
          <cell r="A371" t="str">
            <v>Pil- og poppeldyrkning</v>
          </cell>
          <cell r="B371" t="str">
            <v>Konventionel</v>
          </cell>
          <cell r="C371" t="str">
            <v>OC6</v>
          </cell>
          <cell r="D371" t="str">
            <v>Areal-pil-poppel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10.661694367485461</v>
          </cell>
          <cell r="I371">
            <v>10.661694367485461</v>
          </cell>
          <cell r="J371">
            <v>10.661694367485461</v>
          </cell>
        </row>
        <row r="372">
          <cell r="A372" t="str">
            <v>Pil- og poppeldyrkning</v>
          </cell>
          <cell r="B372" t="str">
            <v>Konventionel</v>
          </cell>
          <cell r="C372" t="str">
            <v>OC12</v>
          </cell>
          <cell r="D372" t="str">
            <v>Areal-pil-poppel</v>
          </cell>
          <cell r="E372" t="str">
            <v>Hektar</v>
          </cell>
          <cell r="F372" t="str">
            <v>Pil &amp; poppel</v>
          </cell>
          <cell r="G372" t="str">
            <v>Ton</v>
          </cell>
          <cell r="H372">
            <v>34.146341463414629</v>
          </cell>
          <cell r="I372">
            <v>34.146341463414629</v>
          </cell>
          <cell r="J372">
            <v>34.146341463414629</v>
          </cell>
        </row>
        <row r="373">
          <cell r="A373" t="str">
            <v>Pil- og poppeldyrkning</v>
          </cell>
          <cell r="B373" t="str">
            <v>Konventionel</v>
          </cell>
          <cell r="C373" t="str">
            <v>OC12</v>
          </cell>
          <cell r="D373" t="str">
            <v>Areal-pil-poppel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-120</v>
          </cell>
          <cell r="I373">
            <v>-120</v>
          </cell>
          <cell r="J373">
            <v>-120</v>
          </cell>
        </row>
        <row r="374">
          <cell r="A374" t="str">
            <v>Pil- og poppeldyrkning</v>
          </cell>
          <cell r="B374" t="str">
            <v>Konventionel</v>
          </cell>
          <cell r="C374" t="str">
            <v>OC12</v>
          </cell>
          <cell r="D374" t="str">
            <v>Areal-pil-poppel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28.501694367485467</v>
          </cell>
          <cell r="I374">
            <v>28.501694367485467</v>
          </cell>
          <cell r="J374">
            <v>28.501694367485467</v>
          </cell>
        </row>
        <row r="375">
          <cell r="A375" t="str">
            <v>Pil- og poppeldyrkning</v>
          </cell>
          <cell r="B375" t="str">
            <v>Økologisk</v>
          </cell>
          <cell r="C375" t="str">
            <v>JB1-10</v>
          </cell>
          <cell r="D375" t="str">
            <v>Areal-pil-poppel</v>
          </cell>
          <cell r="E375" t="str">
            <v>Hektar</v>
          </cell>
          <cell r="F375" t="str">
            <v>Pil &amp; poppel</v>
          </cell>
          <cell r="G375" t="str">
            <v>Ton</v>
          </cell>
          <cell r="H375">
            <v>13.902439024390242</v>
          </cell>
          <cell r="I375">
            <v>13.902439024390242</v>
          </cell>
          <cell r="J375">
            <v>13.902439024390242</v>
          </cell>
        </row>
        <row r="376">
          <cell r="A376" t="str">
            <v>Pil- og poppeldyrkning</v>
          </cell>
          <cell r="B376" t="str">
            <v>Økologisk</v>
          </cell>
          <cell r="C376" t="str">
            <v>JB1-10</v>
          </cell>
          <cell r="D376" t="str">
            <v>Areal-pil-poppel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-68.399999999999991</v>
          </cell>
          <cell r="I376">
            <v>-68.399999999999991</v>
          </cell>
          <cell r="J376">
            <v>-68.399999999999991</v>
          </cell>
        </row>
        <row r="377">
          <cell r="A377" t="str">
            <v>Pil- og poppeldyrkning</v>
          </cell>
          <cell r="B377" t="str">
            <v>Økologisk</v>
          </cell>
          <cell r="C377" t="str">
            <v>JB1-10</v>
          </cell>
          <cell r="D377" t="str">
            <v>Areal-pil-poppel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1.9656943674854606</v>
          </cell>
          <cell r="I377">
            <v>1.9656943674854606</v>
          </cell>
          <cell r="J377">
            <v>1.9656943674854606</v>
          </cell>
        </row>
        <row r="378">
          <cell r="A378" t="str">
            <v>Pil- og poppeldyrkning</v>
          </cell>
          <cell r="B378" t="str">
            <v>Økologisk</v>
          </cell>
          <cell r="C378" t="str">
            <v>OC6</v>
          </cell>
          <cell r="D378" t="str">
            <v>Areal-pil-poppel</v>
          </cell>
          <cell r="E378" t="str">
            <v>Hektar</v>
          </cell>
          <cell r="F378" t="str">
            <v>Pil &amp; poppel</v>
          </cell>
          <cell r="G378" t="str">
            <v>Ton</v>
          </cell>
          <cell r="H378">
            <v>16.68292682926829</v>
          </cell>
          <cell r="I378">
            <v>16.68292682926829</v>
          </cell>
          <cell r="J378">
            <v>16.68292682926829</v>
          </cell>
        </row>
        <row r="379">
          <cell r="A379" t="str">
            <v>Pil- og poppeldyrkning</v>
          </cell>
          <cell r="B379" t="str">
            <v>Økologisk</v>
          </cell>
          <cell r="C379" t="str">
            <v>OC6</v>
          </cell>
          <cell r="D379" t="str">
            <v>Areal-pil-poppel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-68.399999999999991</v>
          </cell>
          <cell r="I379">
            <v>-68.399999999999991</v>
          </cell>
          <cell r="J379">
            <v>-68.399999999999991</v>
          </cell>
        </row>
        <row r="380">
          <cell r="A380" t="str">
            <v>Pil- og poppeldyrkning</v>
          </cell>
          <cell r="B380" t="str">
            <v>Økologisk</v>
          </cell>
          <cell r="C380" t="str">
            <v>OC6</v>
          </cell>
          <cell r="D380" t="str">
            <v>Areal-pil-poppel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10.661694367485461</v>
          </cell>
          <cell r="I380">
            <v>10.661694367485461</v>
          </cell>
          <cell r="J380">
            <v>10.661694367485461</v>
          </cell>
        </row>
        <row r="381">
          <cell r="A381" t="str">
            <v>Pil- og poppeldyrkning</v>
          </cell>
          <cell r="B381" t="str">
            <v>Økologisk</v>
          </cell>
          <cell r="C381" t="str">
            <v>OC12</v>
          </cell>
          <cell r="D381" t="str">
            <v>Areal-pil-poppel</v>
          </cell>
          <cell r="E381" t="str">
            <v>Hektar</v>
          </cell>
          <cell r="F381" t="str">
            <v>Pil &amp; poppel</v>
          </cell>
          <cell r="G381" t="str">
            <v>Ton</v>
          </cell>
          <cell r="H381">
            <v>19.463414634146336</v>
          </cell>
          <cell r="I381">
            <v>19.463414634146336</v>
          </cell>
          <cell r="J381">
            <v>19.463414634146336</v>
          </cell>
        </row>
        <row r="382">
          <cell r="A382" t="str">
            <v>Pil- og poppeldyrkning</v>
          </cell>
          <cell r="B382" t="str">
            <v>Økologisk</v>
          </cell>
          <cell r="C382" t="str">
            <v>OC12</v>
          </cell>
          <cell r="D382" t="str">
            <v>Areal-pil-poppel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-68.399999999999991</v>
          </cell>
          <cell r="I382">
            <v>-68.399999999999991</v>
          </cell>
          <cell r="J382">
            <v>-68.399999999999991</v>
          </cell>
        </row>
        <row r="383">
          <cell r="A383" t="str">
            <v>Pil- og poppeldyrkning</v>
          </cell>
          <cell r="B383" t="str">
            <v>Økologisk</v>
          </cell>
          <cell r="C383" t="str">
            <v>OC12</v>
          </cell>
          <cell r="D383" t="str">
            <v>Areal-pil-poppel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28.501694367485467</v>
          </cell>
          <cell r="I383">
            <v>28.501694367485467</v>
          </cell>
          <cell r="J383">
            <v>28.501694367485467</v>
          </cell>
        </row>
        <row r="384">
          <cell r="A384" t="str">
            <v>Permanent græs</v>
          </cell>
          <cell r="B384" t="str">
            <v>Konventionel</v>
          </cell>
          <cell r="C384" t="str">
            <v>JB1-10</v>
          </cell>
          <cell r="D384" t="str">
            <v>Areal-permanent græs</v>
          </cell>
          <cell r="E384" t="str">
            <v>Hektar</v>
          </cell>
          <cell r="F384" t="str">
            <v>Græs</v>
          </cell>
          <cell r="G384" t="str">
            <v>Ton</v>
          </cell>
          <cell r="H384">
            <v>13.790000000000001</v>
          </cell>
          <cell r="I384">
            <v>13.790000000000001</v>
          </cell>
          <cell r="J384">
            <v>13.790000000000001</v>
          </cell>
        </row>
        <row r="385">
          <cell r="A385" t="str">
            <v>Permanent græs</v>
          </cell>
          <cell r="B385" t="str">
            <v>Konventionel</v>
          </cell>
          <cell r="C385" t="str">
            <v>JB1-10</v>
          </cell>
          <cell r="D385" t="str">
            <v>Areal-permanent græs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-50</v>
          </cell>
          <cell r="I385">
            <v>-50</v>
          </cell>
          <cell r="J385">
            <v>-50</v>
          </cell>
        </row>
        <row r="386">
          <cell r="A386" t="str">
            <v>Permanent græs</v>
          </cell>
          <cell r="B386" t="str">
            <v>Konventionel</v>
          </cell>
          <cell r="C386" t="str">
            <v>JB1-10</v>
          </cell>
          <cell r="D386" t="str">
            <v>Areal-permanent græs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1.9656943674854606</v>
          </cell>
          <cell r="I386">
            <v>1.9656943674854606</v>
          </cell>
          <cell r="J386">
            <v>1.9656943674854606</v>
          </cell>
        </row>
        <row r="387">
          <cell r="A387" t="str">
            <v>Permanent græs</v>
          </cell>
          <cell r="B387" t="str">
            <v>Konventionel</v>
          </cell>
          <cell r="C387" t="str">
            <v>OC6</v>
          </cell>
          <cell r="D387" t="str">
            <v>Areal-permanent græs</v>
          </cell>
          <cell r="E387" t="str">
            <v>Hektar</v>
          </cell>
          <cell r="F387" t="str">
            <v>Græs</v>
          </cell>
          <cell r="G387" t="str">
            <v>Ton</v>
          </cell>
          <cell r="H387">
            <v>16.548000000000002</v>
          </cell>
          <cell r="I387">
            <v>16.548000000000002</v>
          </cell>
          <cell r="J387">
            <v>16.548000000000002</v>
          </cell>
        </row>
        <row r="388">
          <cell r="A388" t="str">
            <v>Permanent græs</v>
          </cell>
          <cell r="B388" t="str">
            <v>Konventionel</v>
          </cell>
          <cell r="C388" t="str">
            <v>OC6</v>
          </cell>
          <cell r="D388" t="str">
            <v>Areal-permanent græs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-50</v>
          </cell>
          <cell r="I388">
            <v>-50</v>
          </cell>
          <cell r="J388">
            <v>-50</v>
          </cell>
        </row>
        <row r="389">
          <cell r="A389" t="str">
            <v>Permanent græs</v>
          </cell>
          <cell r="B389" t="str">
            <v>Konventionel</v>
          </cell>
          <cell r="C389" t="str">
            <v>OC6</v>
          </cell>
          <cell r="D389" t="str">
            <v>Areal-permanent græs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10.661694367485461</v>
          </cell>
          <cell r="I389">
            <v>10.661694367485461</v>
          </cell>
          <cell r="J389">
            <v>10.661694367485461</v>
          </cell>
        </row>
        <row r="390">
          <cell r="A390" t="str">
            <v>Permanent græs</v>
          </cell>
          <cell r="B390" t="str">
            <v>Konventionel</v>
          </cell>
          <cell r="C390" t="str">
            <v>OC12</v>
          </cell>
          <cell r="D390" t="str">
            <v>Areal-permanent græs</v>
          </cell>
          <cell r="E390" t="str">
            <v>Hektar</v>
          </cell>
          <cell r="F390" t="str">
            <v>Græs</v>
          </cell>
          <cell r="G390" t="str">
            <v>Ton</v>
          </cell>
          <cell r="H390">
            <v>19.306000000000001</v>
          </cell>
          <cell r="I390">
            <v>19.306000000000001</v>
          </cell>
          <cell r="J390">
            <v>19.306000000000001</v>
          </cell>
        </row>
        <row r="391">
          <cell r="A391" t="str">
            <v>Permanent græs</v>
          </cell>
          <cell r="B391" t="str">
            <v>Konventionel</v>
          </cell>
          <cell r="C391" t="str">
            <v>OC12</v>
          </cell>
          <cell r="D391" t="str">
            <v>Areal-permanent græs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-50</v>
          </cell>
          <cell r="I391">
            <v>-50</v>
          </cell>
          <cell r="J391">
            <v>-50</v>
          </cell>
        </row>
        <row r="392">
          <cell r="A392" t="str">
            <v>Permanent græs</v>
          </cell>
          <cell r="B392" t="str">
            <v>Konventionel</v>
          </cell>
          <cell r="C392" t="str">
            <v>OC12</v>
          </cell>
          <cell r="D392" t="str">
            <v>Areal-permanent græs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28.501694367485467</v>
          </cell>
          <cell r="I392">
            <v>28.501694367485467</v>
          </cell>
          <cell r="J392">
            <v>28.501694367485467</v>
          </cell>
        </row>
        <row r="393">
          <cell r="A393" t="str">
            <v>Permanent græs</v>
          </cell>
          <cell r="B393" t="str">
            <v>Økologisk</v>
          </cell>
          <cell r="C393" t="str">
            <v>JB1-10</v>
          </cell>
          <cell r="D393" t="str">
            <v>Areal-permanent græs</v>
          </cell>
          <cell r="E393" t="str">
            <v>Hektar</v>
          </cell>
          <cell r="F393" t="str">
            <v>Græs</v>
          </cell>
          <cell r="G393" t="str">
            <v>Ton</v>
          </cell>
          <cell r="H393">
            <v>13.790000000000001</v>
          </cell>
          <cell r="I393">
            <v>13.790000000000001</v>
          </cell>
          <cell r="J393">
            <v>13.790000000000001</v>
          </cell>
        </row>
        <row r="394">
          <cell r="A394" t="str">
            <v>Permanent græs</v>
          </cell>
          <cell r="B394" t="str">
            <v>Økologisk</v>
          </cell>
          <cell r="C394" t="str">
            <v>JB1-10</v>
          </cell>
          <cell r="D394" t="str">
            <v>Areal-permanent græs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-50</v>
          </cell>
          <cell r="I394">
            <v>-50</v>
          </cell>
          <cell r="J394">
            <v>-50</v>
          </cell>
        </row>
        <row r="395">
          <cell r="A395" t="str">
            <v>Permanent græs</v>
          </cell>
          <cell r="B395" t="str">
            <v>Økologisk</v>
          </cell>
          <cell r="C395" t="str">
            <v>JB1-10</v>
          </cell>
          <cell r="D395" t="str">
            <v>Areal-permanent græs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1.9656943674854606</v>
          </cell>
          <cell r="I395">
            <v>1.9656943674854606</v>
          </cell>
          <cell r="J395">
            <v>1.9656943674854606</v>
          </cell>
        </row>
        <row r="396">
          <cell r="A396" t="str">
            <v>Permanent græs</v>
          </cell>
          <cell r="B396" t="str">
            <v>Økologisk</v>
          </cell>
          <cell r="C396" t="str">
            <v>OC6</v>
          </cell>
          <cell r="D396" t="str">
            <v>Areal-permanent græs</v>
          </cell>
          <cell r="E396" t="str">
            <v>Hektar</v>
          </cell>
          <cell r="F396" t="str">
            <v>Græs</v>
          </cell>
          <cell r="G396" t="str">
            <v>Ton</v>
          </cell>
          <cell r="H396">
            <v>16.548000000000002</v>
          </cell>
          <cell r="I396">
            <v>16.548000000000002</v>
          </cell>
          <cell r="J396">
            <v>16.548000000000002</v>
          </cell>
        </row>
        <row r="397">
          <cell r="A397" t="str">
            <v>Permanent græs</v>
          </cell>
          <cell r="B397" t="str">
            <v>Økologisk</v>
          </cell>
          <cell r="C397" t="str">
            <v>OC6</v>
          </cell>
          <cell r="D397" t="str">
            <v>Areal-permanent græs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-50</v>
          </cell>
          <cell r="I397">
            <v>-50</v>
          </cell>
          <cell r="J397">
            <v>-50</v>
          </cell>
        </row>
        <row r="398">
          <cell r="A398" t="str">
            <v>Permanent græs</v>
          </cell>
          <cell r="B398" t="str">
            <v>Økologisk</v>
          </cell>
          <cell r="C398" t="str">
            <v>OC6</v>
          </cell>
          <cell r="D398" t="str">
            <v>Areal-permanent græs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10.661694367485461</v>
          </cell>
          <cell r="I398">
            <v>10.661694367485461</v>
          </cell>
          <cell r="J398">
            <v>10.661694367485461</v>
          </cell>
        </row>
        <row r="399">
          <cell r="A399" t="str">
            <v>Permanent græs</v>
          </cell>
          <cell r="B399" t="str">
            <v>Økologisk</v>
          </cell>
          <cell r="C399" t="str">
            <v>OC12</v>
          </cell>
          <cell r="D399" t="str">
            <v>Areal-permanent græs</v>
          </cell>
          <cell r="E399" t="str">
            <v>Hektar</v>
          </cell>
          <cell r="F399" t="str">
            <v>Græs</v>
          </cell>
          <cell r="G399" t="str">
            <v>Ton</v>
          </cell>
          <cell r="H399">
            <v>19.306000000000001</v>
          </cell>
          <cell r="I399">
            <v>19.306000000000001</v>
          </cell>
          <cell r="J399">
            <v>19.306000000000001</v>
          </cell>
        </row>
        <row r="400">
          <cell r="A400" t="str">
            <v>Permanent græs</v>
          </cell>
          <cell r="B400" t="str">
            <v>Økologisk</v>
          </cell>
          <cell r="C400" t="str">
            <v>OC12</v>
          </cell>
          <cell r="D400" t="str">
            <v>Areal-permanent græs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-50</v>
          </cell>
          <cell r="I400">
            <v>-50</v>
          </cell>
          <cell r="J400">
            <v>-50</v>
          </cell>
        </row>
        <row r="401">
          <cell r="A401" t="str">
            <v>Permanent græs</v>
          </cell>
          <cell r="B401" t="str">
            <v>Økologisk</v>
          </cell>
          <cell r="C401" t="str">
            <v>OC12</v>
          </cell>
          <cell r="D401" t="str">
            <v>Areal-permanent græs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28.501694367485467</v>
          </cell>
          <cell r="I401">
            <v>28.501694367485467</v>
          </cell>
          <cell r="J401">
            <v>28.501694367485467</v>
          </cell>
        </row>
        <row r="402">
          <cell r="A402" t="str">
            <v>Tømmerproduktion</v>
          </cell>
          <cell r="D402" t="str">
            <v>Træer</v>
          </cell>
          <cell r="E402" t="str">
            <v>m3</v>
          </cell>
          <cell r="F402" t="str">
            <v>Træmaterialer</v>
          </cell>
          <cell r="G402" t="str">
            <v>m3</v>
          </cell>
          <cell r="H402">
            <v>0.48</v>
          </cell>
          <cell r="I402">
            <v>0.48</v>
          </cell>
          <cell r="J402">
            <v>0.48</v>
          </cell>
        </row>
        <row r="403">
          <cell r="A403" t="str">
            <v>Tømmerproduktion</v>
          </cell>
          <cell r="D403" t="str">
            <v>Træer</v>
          </cell>
          <cell r="E403" t="str">
            <v>m3</v>
          </cell>
          <cell r="F403" t="str">
            <v>Træ til energi</v>
          </cell>
          <cell r="G403" t="str">
            <v>m3</v>
          </cell>
          <cell r="H403">
            <v>0.52</v>
          </cell>
          <cell r="I403">
            <v>0.52</v>
          </cell>
          <cell r="J403">
            <v>0.52</v>
          </cell>
        </row>
        <row r="404">
          <cell r="A404" t="str">
            <v>Mejeri</v>
          </cell>
          <cell r="D404" t="str">
            <v>Råmælk</v>
          </cell>
          <cell r="E404" t="str">
            <v>Ton</v>
          </cell>
          <cell r="F404" t="str">
            <v>Mejeriprodukter</v>
          </cell>
          <cell r="G404" t="str">
            <v>Ton</v>
          </cell>
          <cell r="H404">
            <v>0.64217654203833741</v>
          </cell>
          <cell r="I404">
            <v>0.64217654203833741</v>
          </cell>
          <cell r="J404">
            <v>0.64217654203833741</v>
          </cell>
        </row>
        <row r="405">
          <cell r="A405" t="str">
            <v>Mejeri</v>
          </cell>
          <cell r="D405" t="str">
            <v>Råmælk</v>
          </cell>
          <cell r="E405" t="str">
            <v>Ton</v>
          </cell>
          <cell r="F405" t="str">
            <v>Spildevandsslam</v>
          </cell>
          <cell r="G405" t="str">
            <v>Ton</v>
          </cell>
          <cell r="H405">
            <v>2.5000000000000001E-2</v>
          </cell>
          <cell r="I405">
            <v>2.5000000000000001E-2</v>
          </cell>
          <cell r="J405">
            <v>2.5000000000000001E-2</v>
          </cell>
        </row>
        <row r="406">
          <cell r="A406" t="str">
            <v>Mejeri</v>
          </cell>
          <cell r="D406" t="str">
            <v>Råmælk</v>
          </cell>
          <cell r="E406" t="str">
            <v>Ton</v>
          </cell>
          <cell r="F406" t="str">
            <v>Industriaffald</v>
          </cell>
          <cell r="G406" t="str">
            <v>Ton</v>
          </cell>
          <cell r="H406">
            <v>3.2850000000000002E-3</v>
          </cell>
          <cell r="I406">
            <v>3.2850000000000002E-3</v>
          </cell>
          <cell r="J406">
            <v>3.2850000000000002E-3</v>
          </cell>
        </row>
        <row r="407">
          <cell r="A407" t="str">
            <v>Mejeri</v>
          </cell>
          <cell r="D407" t="str">
            <v>Råmælk</v>
          </cell>
          <cell r="E407" t="str">
            <v>Ton</v>
          </cell>
          <cell r="F407" t="str">
            <v>Mælk til foder</v>
          </cell>
          <cell r="G407" t="str">
            <v>Ton</v>
          </cell>
          <cell r="H407">
            <v>0.33282345796166263</v>
          </cell>
          <cell r="I407">
            <v>0.33282345796166263</v>
          </cell>
          <cell r="J407">
            <v>0.33282345796166263</v>
          </cell>
        </row>
        <row r="408">
          <cell r="A408" t="str">
            <v>Slagteri</v>
          </cell>
          <cell r="D408" t="str">
            <v>Slagtesvin</v>
          </cell>
          <cell r="E408" t="str">
            <v>Antal</v>
          </cell>
          <cell r="F408" t="str">
            <v>Svinekød</v>
          </cell>
          <cell r="G408" t="str">
            <v>Ton</v>
          </cell>
          <cell r="H408">
            <v>9.6453475702767494E-2</v>
          </cell>
          <cell r="I408">
            <v>9.6453475702767494E-2</v>
          </cell>
          <cell r="J408">
            <v>9.6453475702767494E-2</v>
          </cell>
        </row>
        <row r="409">
          <cell r="A409" t="str">
            <v>Slagteri</v>
          </cell>
          <cell r="D409" t="str">
            <v>Slagtesvin</v>
          </cell>
          <cell r="E409" t="str">
            <v>Antal</v>
          </cell>
          <cell r="F409" t="str">
            <v>Industriaffald</v>
          </cell>
          <cell r="G409" t="str">
            <v>Ton</v>
          </cell>
          <cell r="H409">
            <v>1.3691762911309652E-3</v>
          </cell>
          <cell r="I409">
            <v>1.8478971453475702E-3</v>
          </cell>
          <cell r="J409">
            <v>1.8478971453475702E-3</v>
          </cell>
        </row>
        <row r="410">
          <cell r="A410" t="str">
            <v>Slagteri</v>
          </cell>
          <cell r="D410" t="str">
            <v>Slagtesvin</v>
          </cell>
          <cell r="E410" t="str">
            <v>Antal</v>
          </cell>
          <cell r="F410" t="str">
            <v>Slagteriaffald til foder</v>
          </cell>
          <cell r="G410" t="str">
            <v>Ton</v>
          </cell>
          <cell r="H410">
            <v>8.602091959032469E-3</v>
          </cell>
          <cell r="I410">
            <v>8.602091959032469E-3</v>
          </cell>
          <cell r="J410">
            <v>8.602091959032469E-3</v>
          </cell>
        </row>
        <row r="411">
          <cell r="A411" t="str">
            <v>Slagteri</v>
          </cell>
          <cell r="D411" t="str">
            <v>Slagtesvin</v>
          </cell>
          <cell r="E411" t="str">
            <v>Antal</v>
          </cell>
          <cell r="F411" t="str">
            <v>Slagteriaffald til andet</v>
          </cell>
          <cell r="G411" t="str">
            <v>Ton</v>
          </cell>
          <cell r="H411">
            <v>8.4876879494443225E-3</v>
          </cell>
          <cell r="I411">
            <v>8.4876879494443225E-3</v>
          </cell>
          <cell r="J411">
            <v>8.4876879494443225E-3</v>
          </cell>
        </row>
        <row r="412">
          <cell r="A412" t="str">
            <v>Slagteri</v>
          </cell>
          <cell r="D412" t="str">
            <v>Slagtekøer</v>
          </cell>
          <cell r="E412" t="str">
            <v>Antal</v>
          </cell>
          <cell r="F412" t="str">
            <v>Oksekød</v>
          </cell>
          <cell r="G412" t="str">
            <v>Ton</v>
          </cell>
          <cell r="H412">
            <v>0.24929292929292929</v>
          </cell>
          <cell r="I412">
            <v>0.24929292929292929</v>
          </cell>
          <cell r="J412">
            <v>0.24929292929292929</v>
          </cell>
        </row>
        <row r="413">
          <cell r="A413" t="str">
            <v>Slagteri</v>
          </cell>
          <cell r="D413" t="str">
            <v>Slagtekøer</v>
          </cell>
          <cell r="E413" t="str">
            <v>Antal</v>
          </cell>
          <cell r="F413" t="str">
            <v>Industriaffald</v>
          </cell>
          <cell r="G413" t="str">
            <v>Ton</v>
          </cell>
          <cell r="H413">
            <v>0.10777272727272727</v>
          </cell>
          <cell r="I413">
            <v>0.12090909090909092</v>
          </cell>
          <cell r="J413">
            <v>0.12090909090909092</v>
          </cell>
        </row>
        <row r="414">
          <cell r="A414" t="str">
            <v>Slagteri</v>
          </cell>
          <cell r="D414" t="str">
            <v>Slagtekøer</v>
          </cell>
          <cell r="E414" t="str">
            <v>Antal</v>
          </cell>
          <cell r="F414" t="str">
            <v>Slagteriaffald til foder</v>
          </cell>
          <cell r="G414" t="str">
            <v>Ton</v>
          </cell>
          <cell r="H414">
            <v>1.5959595959595962E-2</v>
          </cell>
          <cell r="I414">
            <v>1.5959595959595962E-2</v>
          </cell>
          <cell r="J414">
            <v>1.5959595959595962E-2</v>
          </cell>
        </row>
        <row r="415">
          <cell r="A415" t="str">
            <v>Slagteri</v>
          </cell>
          <cell r="D415" t="str">
            <v>Slagtekøer</v>
          </cell>
          <cell r="E415" t="str">
            <v>Antal</v>
          </cell>
          <cell r="F415" t="str">
            <v>Slagteriaffald til andet</v>
          </cell>
          <cell r="G415" t="str">
            <v>Ton</v>
          </cell>
          <cell r="H415">
            <v>0.16404040404040401</v>
          </cell>
          <cell r="I415">
            <v>0.16404040404040401</v>
          </cell>
          <cell r="J415">
            <v>0.16404040404040401</v>
          </cell>
        </row>
        <row r="416">
          <cell r="A416" t="str">
            <v>Slagteri</v>
          </cell>
          <cell r="D416" t="str">
            <v>Slagtefjerkræ</v>
          </cell>
          <cell r="E416" t="str">
            <v>Antal</v>
          </cell>
          <cell r="F416" t="str">
            <v>Fjerkrækød</v>
          </cell>
          <cell r="G416" t="str">
            <v>Ton</v>
          </cell>
          <cell r="H416">
            <v>1.8872748768472907E-3</v>
          </cell>
          <cell r="I416">
            <v>1.8872748768472907E-3</v>
          </cell>
          <cell r="J416">
            <v>1.8872748768472907E-3</v>
          </cell>
        </row>
        <row r="417">
          <cell r="A417" t="str">
            <v>Slagteri</v>
          </cell>
          <cell r="D417" t="str">
            <v>Slagtefjerkræ</v>
          </cell>
          <cell r="E417" t="str">
            <v>Antal</v>
          </cell>
          <cell r="F417" t="str">
            <v>Industriaffald</v>
          </cell>
          <cell r="G417" t="str">
            <v>Ton</v>
          </cell>
          <cell r="H417">
            <v>5.1578009852216749E-6</v>
          </cell>
          <cell r="I417">
            <v>6.9611822660098529E-6</v>
          </cell>
          <cell r="J417">
            <v>6.9611822660098529E-6</v>
          </cell>
        </row>
        <row r="418">
          <cell r="A418" t="str">
            <v>Foderproduktion</v>
          </cell>
          <cell r="D418" t="str">
            <v>Korn</v>
          </cell>
          <cell r="E418" t="str">
            <v>Ton</v>
          </cell>
          <cell r="F418" t="str">
            <v>Foder</v>
          </cell>
          <cell r="G418" t="str">
            <v>FE</v>
          </cell>
          <cell r="H418">
            <v>899.89334145969838</v>
          </cell>
          <cell r="I418">
            <v>899.89334145969838</v>
          </cell>
          <cell r="J418">
            <v>899.89334145969838</v>
          </cell>
        </row>
        <row r="419">
          <cell r="A419" t="str">
            <v>Foderproduktion</v>
          </cell>
          <cell r="D419" t="str">
            <v>Halm</v>
          </cell>
          <cell r="E419" t="str">
            <v>Ton</v>
          </cell>
          <cell r="F419" t="str">
            <v>Foder</v>
          </cell>
          <cell r="G419" t="str">
            <v>FE</v>
          </cell>
          <cell r="H419">
            <v>190.03476245654693</v>
          </cell>
          <cell r="I419">
            <v>190.03476245654693</v>
          </cell>
          <cell r="J419">
            <v>190.03476245654693</v>
          </cell>
        </row>
        <row r="420">
          <cell r="A420" t="str">
            <v>Foderproduktion</v>
          </cell>
          <cell r="D420" t="str">
            <v>Kartofler</v>
          </cell>
          <cell r="E420" t="str">
            <v>Ton</v>
          </cell>
          <cell r="F420" t="str">
            <v>Foder</v>
          </cell>
          <cell r="G420" t="str">
            <v>FE</v>
          </cell>
          <cell r="H420">
            <v>250</v>
          </cell>
          <cell r="I420">
            <v>250</v>
          </cell>
          <cell r="J420">
            <v>250</v>
          </cell>
        </row>
        <row r="421">
          <cell r="A421" t="str">
            <v>Foderproduktion</v>
          </cell>
          <cell r="D421" t="str">
            <v>Bælgsæd</v>
          </cell>
          <cell r="E421" t="str">
            <v>Ton</v>
          </cell>
          <cell r="F421" t="str">
            <v>Foder</v>
          </cell>
          <cell r="G421" t="str">
            <v>FE</v>
          </cell>
          <cell r="H421">
            <v>1083.3333333333333</v>
          </cell>
          <cell r="I421">
            <v>1083.3333333333333</v>
          </cell>
          <cell r="J421">
            <v>1083.3333333333333</v>
          </cell>
        </row>
        <row r="422">
          <cell r="A422" t="str">
            <v>Foderproduktion</v>
          </cell>
          <cell r="D422" t="str">
            <v>Roer</v>
          </cell>
          <cell r="E422" t="str">
            <v>Ton</v>
          </cell>
          <cell r="F422" t="str">
            <v>Foder</v>
          </cell>
          <cell r="G422" t="str">
            <v>FE</v>
          </cell>
          <cell r="H422">
            <v>152.28966986155484</v>
          </cell>
          <cell r="I422">
            <v>152.28966986155484</v>
          </cell>
          <cell r="J422">
            <v>152.28966986155484</v>
          </cell>
        </row>
        <row r="423">
          <cell r="A423" t="str">
            <v>Foderproduktion</v>
          </cell>
          <cell r="D423" t="str">
            <v>Majs</v>
          </cell>
          <cell r="E423" t="str">
            <v>Ton</v>
          </cell>
          <cell r="F423" t="str">
            <v>Foder</v>
          </cell>
          <cell r="G423" t="str">
            <v>FE</v>
          </cell>
          <cell r="H423">
            <v>264.92478226444973</v>
          </cell>
          <cell r="I423">
            <v>264.92478226444973</v>
          </cell>
          <cell r="J423">
            <v>264.92478226444973</v>
          </cell>
        </row>
        <row r="424">
          <cell r="A424" t="str">
            <v>Foderproduktion</v>
          </cell>
          <cell r="D424" t="str">
            <v>Rapskage</v>
          </cell>
          <cell r="E424" t="str">
            <v>Ton</v>
          </cell>
          <cell r="F424" t="str">
            <v>Foder</v>
          </cell>
          <cell r="G424" t="str">
            <v>FE</v>
          </cell>
          <cell r="H424">
            <v>1008.3682008368201</v>
          </cell>
          <cell r="I424">
            <v>1008.3682008368201</v>
          </cell>
          <cell r="J424">
            <v>1008.3682008368201</v>
          </cell>
        </row>
        <row r="425">
          <cell r="A425" t="str">
            <v>Foderproduktion</v>
          </cell>
          <cell r="D425" t="str">
            <v>Tang</v>
          </cell>
          <cell r="E425" t="str">
            <v>Ton</v>
          </cell>
          <cell r="F425" t="str">
            <v>Foder</v>
          </cell>
          <cell r="G425" t="str">
            <v>FE</v>
          </cell>
          <cell r="H425">
            <v>1360</v>
          </cell>
          <cell r="I425">
            <v>1360</v>
          </cell>
          <cell r="J425">
            <v>1360</v>
          </cell>
        </row>
        <row r="426">
          <cell r="A426" t="str">
            <v>Foderproduktion</v>
          </cell>
          <cell r="D426" t="str">
            <v>Muslinger</v>
          </cell>
          <cell r="E426" t="str">
            <v>Ton</v>
          </cell>
          <cell r="F426" t="str">
            <v>Foder</v>
          </cell>
          <cell r="G426" t="str">
            <v>FE</v>
          </cell>
          <cell r="H426">
            <v>1410</v>
          </cell>
          <cell r="I426">
            <v>1410</v>
          </cell>
          <cell r="J426">
            <v>1410</v>
          </cell>
        </row>
        <row r="427">
          <cell r="A427" t="str">
            <v>Foderproduktion</v>
          </cell>
          <cell r="D427" t="str">
            <v>Græs</v>
          </cell>
          <cell r="E427" t="str">
            <v>Ton</v>
          </cell>
          <cell r="F427" t="str">
            <v>Foder</v>
          </cell>
          <cell r="G427" t="str">
            <v>FE</v>
          </cell>
          <cell r="H427">
            <v>166.31286143034919</v>
          </cell>
          <cell r="I427">
            <v>166.31286143034919</v>
          </cell>
          <cell r="J427">
            <v>166.31286143034919</v>
          </cell>
        </row>
        <row r="428">
          <cell r="A428" t="str">
            <v>Foderproduktion</v>
          </cell>
          <cell r="D428" t="str">
            <v>Mælk til foder</v>
          </cell>
          <cell r="E428" t="str">
            <v>Ton</v>
          </cell>
          <cell r="F428" t="str">
            <v>Foder</v>
          </cell>
          <cell r="G428" t="str">
            <v>FE</v>
          </cell>
          <cell r="H428">
            <v>96.335697399527191</v>
          </cell>
          <cell r="I428">
            <v>96.335697399527191</v>
          </cell>
          <cell r="J428">
            <v>96.335697399527191</v>
          </cell>
        </row>
        <row r="429">
          <cell r="A429" t="str">
            <v>Foderproduktion</v>
          </cell>
          <cell r="D429" t="str">
            <v>Fiberfraktion</v>
          </cell>
          <cell r="E429" t="str">
            <v>Ton</v>
          </cell>
          <cell r="F429" t="str">
            <v>Foder</v>
          </cell>
          <cell r="G429" t="str">
            <v>FE</v>
          </cell>
          <cell r="H429">
            <v>309.40000000000003</v>
          </cell>
          <cell r="I429">
            <v>309.40000000000003</v>
          </cell>
          <cell r="J429">
            <v>309.40000000000003</v>
          </cell>
        </row>
        <row r="430">
          <cell r="A430" t="str">
            <v>Foderproduktion</v>
          </cell>
          <cell r="D430" t="str">
            <v>Græsprotein</v>
          </cell>
          <cell r="E430" t="str">
            <v>Ton</v>
          </cell>
          <cell r="F430" t="str">
            <v>Foder</v>
          </cell>
          <cell r="G430" t="str">
            <v>FE</v>
          </cell>
          <cell r="H430">
            <v>2750</v>
          </cell>
          <cell r="I430">
            <v>2750</v>
          </cell>
          <cell r="J430">
            <v>2750</v>
          </cell>
        </row>
        <row r="431">
          <cell r="A431" t="str">
            <v>Foderproduktion</v>
          </cell>
          <cell r="D431" t="str">
            <v>Slagteriaffald til foder</v>
          </cell>
          <cell r="E431" t="str">
            <v>Ton</v>
          </cell>
          <cell r="F431" t="str">
            <v>Foder</v>
          </cell>
          <cell r="G431" t="str">
            <v>FE</v>
          </cell>
          <cell r="H431">
            <v>2750</v>
          </cell>
          <cell r="I431">
            <v>2750</v>
          </cell>
          <cell r="J431">
            <v>2750</v>
          </cell>
        </row>
        <row r="432">
          <cell r="A432" t="str">
            <v>Foderproduktion</v>
          </cell>
          <cell r="D432" t="str">
            <v>Import af foder</v>
          </cell>
          <cell r="E432" t="str">
            <v>Ton</v>
          </cell>
          <cell r="F432" t="str">
            <v>Foder</v>
          </cell>
          <cell r="G432" t="str">
            <v>FE</v>
          </cell>
          <cell r="H432">
            <v>743.22820037105748</v>
          </cell>
          <cell r="I432">
            <v>743.22820037105748</v>
          </cell>
          <cell r="J432">
            <v>743.22820037105748</v>
          </cell>
        </row>
        <row r="433">
          <cell r="A433" t="str">
            <v>Biogasanlæg</v>
          </cell>
          <cell r="D433" t="str">
            <v>Halm</v>
          </cell>
          <cell r="E433" t="str">
            <v>Ton</v>
          </cell>
          <cell r="F433" t="str">
            <v>Biogas</v>
          </cell>
          <cell r="G433" t="str">
            <v>Nm3 CH4</v>
          </cell>
          <cell r="H433">
            <v>160.6</v>
          </cell>
          <cell r="I433">
            <v>160.6</v>
          </cell>
          <cell r="J433">
            <v>160.6</v>
          </cell>
        </row>
        <row r="434">
          <cell r="A434" t="str">
            <v>Biogasanlæg</v>
          </cell>
          <cell r="D434" t="str">
            <v>Korn</v>
          </cell>
          <cell r="E434" t="str">
            <v>Ton</v>
          </cell>
          <cell r="F434" t="str">
            <v>Biogas</v>
          </cell>
          <cell r="G434" t="str">
            <v>Nm3 CH4</v>
          </cell>
          <cell r="H434">
            <v>95.4</v>
          </cell>
          <cell r="I434">
            <v>95.4</v>
          </cell>
          <cell r="J434">
            <v>95.4</v>
          </cell>
        </row>
        <row r="435">
          <cell r="A435" t="str">
            <v>Biogasanlæg</v>
          </cell>
          <cell r="D435" t="str">
            <v>Græs</v>
          </cell>
          <cell r="E435" t="str">
            <v>Ton</v>
          </cell>
          <cell r="F435" t="str">
            <v>Biogas</v>
          </cell>
          <cell r="G435" t="str">
            <v>Nm3 CH4</v>
          </cell>
          <cell r="H435">
            <v>51.25</v>
          </cell>
          <cell r="I435">
            <v>51.25</v>
          </cell>
          <cell r="J435">
            <v>51.25</v>
          </cell>
        </row>
        <row r="436">
          <cell r="A436" t="str">
            <v>Biogasanlæg</v>
          </cell>
          <cell r="D436" t="str">
            <v>Svinegylle</v>
          </cell>
          <cell r="E436" t="str">
            <v>Ton</v>
          </cell>
          <cell r="F436" t="str">
            <v>Biogas</v>
          </cell>
          <cell r="G436" t="str">
            <v>Nm3 CH4</v>
          </cell>
          <cell r="H436">
            <v>12</v>
          </cell>
          <cell r="I436">
            <v>12</v>
          </cell>
          <cell r="J436">
            <v>12</v>
          </cell>
        </row>
        <row r="437">
          <cell r="A437" t="str">
            <v>Biogasanlæg</v>
          </cell>
          <cell r="D437" t="str">
            <v>Svinegylle</v>
          </cell>
          <cell r="E437" t="str">
            <v>Ton</v>
          </cell>
          <cell r="F437" t="str">
            <v>CO2 - atmosfære</v>
          </cell>
          <cell r="G437" t="str">
            <v>t CO2-ækvivalenter</v>
          </cell>
          <cell r="H437">
            <v>-1.2727600045138086E-2</v>
          </cell>
          <cell r="I437">
            <v>-1.2727600045138086E-2</v>
          </cell>
          <cell r="J437">
            <v>-1.2727600045138086E-2</v>
          </cell>
        </row>
        <row r="438">
          <cell r="A438" t="str">
            <v>Biogasanlæg</v>
          </cell>
          <cell r="D438" t="str">
            <v>Kvæggylle</v>
          </cell>
          <cell r="E438" t="str">
            <v>Ton</v>
          </cell>
          <cell r="F438" t="str">
            <v>Biogas</v>
          </cell>
          <cell r="G438" t="str">
            <v>Nm3 CH4</v>
          </cell>
          <cell r="H438">
            <v>14.1</v>
          </cell>
          <cell r="I438">
            <v>14.1</v>
          </cell>
          <cell r="J438">
            <v>14.1</v>
          </cell>
        </row>
        <row r="439">
          <cell r="A439" t="str">
            <v>Biogasanlæg</v>
          </cell>
          <cell r="D439" t="str">
            <v>Kvæggylle</v>
          </cell>
          <cell r="E439" t="str">
            <v>Ton</v>
          </cell>
          <cell r="F439" t="str">
            <v>CO2 - atmosfære</v>
          </cell>
          <cell r="G439" t="str">
            <v>t CO2-ækvivalenter</v>
          </cell>
          <cell r="H439">
            <v>-2.942635474487016E-2</v>
          </cell>
          <cell r="I439">
            <v>-2.942635474487016E-2</v>
          </cell>
          <cell r="J439">
            <v>-2.942635474487016E-2</v>
          </cell>
        </row>
        <row r="440">
          <cell r="A440" t="str">
            <v>Biogasanlæg</v>
          </cell>
          <cell r="D440" t="str">
            <v>Fjerkrægylle</v>
          </cell>
          <cell r="E440" t="str">
            <v>Ton</v>
          </cell>
          <cell r="F440" t="str">
            <v>Biogas</v>
          </cell>
          <cell r="G440" t="str">
            <v>Nm3 CH4</v>
          </cell>
          <cell r="H440">
            <v>13.1</v>
          </cell>
          <cell r="I440">
            <v>13.1</v>
          </cell>
          <cell r="J440">
            <v>13.1</v>
          </cell>
        </row>
        <row r="441">
          <cell r="A441" t="str">
            <v>Biogasanlæg</v>
          </cell>
          <cell r="D441" t="str">
            <v>Dybstrøelse</v>
          </cell>
          <cell r="E441" t="str">
            <v>Ton</v>
          </cell>
          <cell r="F441" t="str">
            <v>Biogas</v>
          </cell>
          <cell r="G441" t="str">
            <v>Nm3 CH4</v>
          </cell>
          <cell r="H441">
            <v>60</v>
          </cell>
          <cell r="I441">
            <v>60</v>
          </cell>
          <cell r="J441">
            <v>60</v>
          </cell>
        </row>
        <row r="442">
          <cell r="A442" t="str">
            <v>Biogasanlæg</v>
          </cell>
          <cell r="D442" t="str">
            <v>Majs</v>
          </cell>
          <cell r="E442" t="str">
            <v>Ton</v>
          </cell>
          <cell r="F442" t="str">
            <v>Biogas</v>
          </cell>
          <cell r="G442" t="str">
            <v>Nm3 CH4</v>
          </cell>
          <cell r="H442">
            <v>100</v>
          </cell>
          <cell r="I442">
            <v>100</v>
          </cell>
          <cell r="J442">
            <v>100</v>
          </cell>
        </row>
        <row r="443">
          <cell r="A443" t="str">
            <v>Biogasanlæg</v>
          </cell>
          <cell r="D443" t="str">
            <v>Roer</v>
          </cell>
          <cell r="E443" t="str">
            <v>Ton</v>
          </cell>
          <cell r="F443" t="str">
            <v>Biogas</v>
          </cell>
          <cell r="G443" t="str">
            <v>Nm3 CH4</v>
          </cell>
          <cell r="H443">
            <v>75.599999999999994</v>
          </cell>
          <cell r="I443">
            <v>75.599999999999994</v>
          </cell>
          <cell r="J443">
            <v>75.599999999999994</v>
          </cell>
        </row>
        <row r="444">
          <cell r="A444" t="str">
            <v>Biogasanlæg</v>
          </cell>
          <cell r="D444" t="str">
            <v>Bioaffald</v>
          </cell>
          <cell r="E444" t="str">
            <v>Ton</v>
          </cell>
          <cell r="F444" t="str">
            <v>Biogas</v>
          </cell>
          <cell r="G444" t="str">
            <v>Nm3 CH4</v>
          </cell>
          <cell r="H444">
            <v>94.9</v>
          </cell>
          <cell r="I444">
            <v>94.9</v>
          </cell>
          <cell r="J444">
            <v>94.9</v>
          </cell>
        </row>
        <row r="445">
          <cell r="A445" t="str">
            <v>Biogasanlæg</v>
          </cell>
          <cell r="D445" t="str">
            <v>Industriaffald</v>
          </cell>
          <cell r="E445" t="str">
            <v>Ton</v>
          </cell>
          <cell r="F445" t="str">
            <v>Biogas</v>
          </cell>
          <cell r="G445" t="str">
            <v>Nm3 CH4</v>
          </cell>
          <cell r="H445">
            <v>120.7</v>
          </cell>
          <cell r="I445">
            <v>120.7</v>
          </cell>
          <cell r="J445">
            <v>120.7</v>
          </cell>
        </row>
        <row r="446">
          <cell r="A446" t="str">
            <v>Biogasanlæg</v>
          </cell>
          <cell r="D446" t="str">
            <v>Muslinger</v>
          </cell>
          <cell r="E446" t="str">
            <v>Ton</v>
          </cell>
          <cell r="F446" t="str">
            <v>Biogas</v>
          </cell>
          <cell r="G446" t="str">
            <v>Nm3 CH4</v>
          </cell>
          <cell r="H446">
            <v>25</v>
          </cell>
          <cell r="I446">
            <v>25</v>
          </cell>
          <cell r="J446">
            <v>25</v>
          </cell>
        </row>
        <row r="447">
          <cell r="A447" t="str">
            <v>Biogasanlæg</v>
          </cell>
          <cell r="D447" t="str">
            <v>Tang</v>
          </cell>
          <cell r="E447" t="str">
            <v>Ton</v>
          </cell>
          <cell r="F447" t="str">
            <v>Biogas</v>
          </cell>
          <cell r="G447" t="str">
            <v>Nm3 CH4</v>
          </cell>
          <cell r="H447">
            <v>25</v>
          </cell>
          <cell r="I447">
            <v>25</v>
          </cell>
          <cell r="J447">
            <v>25</v>
          </cell>
        </row>
        <row r="448">
          <cell r="A448" t="str">
            <v>Biogasanlæg</v>
          </cell>
          <cell r="D448" t="str">
            <v>Have/parkaffald</v>
          </cell>
          <cell r="E448" t="str">
            <v>Ton</v>
          </cell>
          <cell r="F448" t="str">
            <v>Biogas</v>
          </cell>
          <cell r="G448" t="str">
            <v>Nm3 CH4</v>
          </cell>
          <cell r="H448">
            <v>47.3</v>
          </cell>
          <cell r="I448">
            <v>47.3</v>
          </cell>
          <cell r="J448">
            <v>47.3</v>
          </cell>
        </row>
        <row r="449">
          <cell r="A449" t="str">
            <v>Biogasanlæg</v>
          </cell>
          <cell r="D449" t="str">
            <v>Brun saft</v>
          </cell>
          <cell r="E449" t="str">
            <v>PJ</v>
          </cell>
          <cell r="F449" t="str">
            <v>Biogas</v>
          </cell>
          <cell r="G449" t="str">
            <v>Nm3 CH4</v>
          </cell>
          <cell r="H449">
            <v>15.822453396634783</v>
          </cell>
          <cell r="I449">
            <v>15.822453396634783</v>
          </cell>
          <cell r="J449">
            <v>15.822453396634783</v>
          </cell>
        </row>
        <row r="450">
          <cell r="A450" t="str">
            <v>Biogasanlæg</v>
          </cell>
          <cell r="D450" t="str">
            <v>Glycerin</v>
          </cell>
          <cell r="E450" t="str">
            <v>Ton</v>
          </cell>
          <cell r="F450" t="str">
            <v>Biogas</v>
          </cell>
          <cell r="G450" t="str">
            <v>Nm3 CH4</v>
          </cell>
          <cell r="H450">
            <v>423.36</v>
          </cell>
          <cell r="I450">
            <v>423.36</v>
          </cell>
          <cell r="J450">
            <v>423.36</v>
          </cell>
        </row>
        <row r="451">
          <cell r="A451" t="str">
            <v>Biogasanlæg</v>
          </cell>
          <cell r="D451" t="str">
            <v>Spildevandsslam</v>
          </cell>
          <cell r="E451" t="str">
            <v>Ton</v>
          </cell>
          <cell r="F451" t="str">
            <v>Biogas</v>
          </cell>
          <cell r="G451" t="str">
            <v>Nm3 CH4</v>
          </cell>
          <cell r="H451">
            <v>13.9</v>
          </cell>
          <cell r="I451">
            <v>13.9</v>
          </cell>
          <cell r="J451">
            <v>13.9</v>
          </cell>
        </row>
        <row r="452">
          <cell r="A452" t="str">
            <v>Biogasanlæg</v>
          </cell>
          <cell r="D452" t="str">
            <v>Total til biogas</v>
          </cell>
          <cell r="E452" t="str">
            <v>Ton</v>
          </cell>
          <cell r="F452" t="str">
            <v>Biogasgylle</v>
          </cell>
          <cell r="G452" t="str">
            <v>Ton</v>
          </cell>
          <cell r="H452">
            <v>0.91930000000000001</v>
          </cell>
          <cell r="I452">
            <v>0.91930000000000001</v>
          </cell>
          <cell r="J452">
            <v>0.91930000000000001</v>
          </cell>
        </row>
        <row r="453">
          <cell r="A453" t="str">
            <v>Gødning</v>
          </cell>
          <cell r="D453" t="str">
            <v>Svinegylle</v>
          </cell>
          <cell r="E453" t="str">
            <v>Ton</v>
          </cell>
          <cell r="F453" t="str">
            <v>Gødning</v>
          </cell>
          <cell r="G453" t="str">
            <v>kg N</v>
          </cell>
          <cell r="H453">
            <v>5.3</v>
          </cell>
          <cell r="I453">
            <v>5.3</v>
          </cell>
          <cell r="J453">
            <v>5.3</v>
          </cell>
        </row>
        <row r="454">
          <cell r="A454" t="str">
            <v>Gødning</v>
          </cell>
          <cell r="D454" t="str">
            <v>Kvæggylle</v>
          </cell>
          <cell r="E454" t="str">
            <v>Ton</v>
          </cell>
          <cell r="F454" t="str">
            <v>Gødning</v>
          </cell>
          <cell r="G454" t="str">
            <v>kg N</v>
          </cell>
          <cell r="H454">
            <v>8</v>
          </cell>
          <cell r="I454">
            <v>8</v>
          </cell>
          <cell r="J454">
            <v>8</v>
          </cell>
        </row>
        <row r="455">
          <cell r="A455" t="str">
            <v>Gødning</v>
          </cell>
          <cell r="D455" t="str">
            <v>Fjerkrægylle</v>
          </cell>
          <cell r="E455" t="str">
            <v>Ton</v>
          </cell>
          <cell r="F455" t="str">
            <v>Gødning</v>
          </cell>
          <cell r="G455" t="str">
            <v>kg N</v>
          </cell>
          <cell r="H455">
            <v>7</v>
          </cell>
          <cell r="I455">
            <v>7</v>
          </cell>
          <cell r="J455">
            <v>7</v>
          </cell>
        </row>
        <row r="456">
          <cell r="A456" t="str">
            <v>Gødning</v>
          </cell>
          <cell r="D456" t="str">
            <v>Dybstrøelse</v>
          </cell>
          <cell r="E456" t="str">
            <v>Ton</v>
          </cell>
          <cell r="F456" t="str">
            <v>Gødning</v>
          </cell>
          <cell r="G456" t="str">
            <v>kg N</v>
          </cell>
          <cell r="H456">
            <v>14</v>
          </cell>
          <cell r="I456">
            <v>14</v>
          </cell>
          <cell r="J456">
            <v>14</v>
          </cell>
        </row>
        <row r="457">
          <cell r="A457" t="str">
            <v>Gødning</v>
          </cell>
          <cell r="D457" t="str">
            <v>Biogasgylle</v>
          </cell>
          <cell r="E457" t="str">
            <v>Ton</v>
          </cell>
          <cell r="F457" t="str">
            <v>Gødning</v>
          </cell>
          <cell r="G457" t="str">
            <v>kg N</v>
          </cell>
          <cell r="H457">
            <v>7</v>
          </cell>
          <cell r="I457">
            <v>7</v>
          </cell>
          <cell r="J457">
            <v>7</v>
          </cell>
        </row>
        <row r="458">
          <cell r="A458" t="str">
            <v>Gødning</v>
          </cell>
          <cell r="D458" t="str">
            <v>Kunstgødning</v>
          </cell>
          <cell r="E458" t="str">
            <v>Ton</v>
          </cell>
          <cell r="F458" t="str">
            <v>Gødning</v>
          </cell>
          <cell r="G458" t="str">
            <v>kg N</v>
          </cell>
          <cell r="H458">
            <v>160</v>
          </cell>
          <cell r="I458">
            <v>160</v>
          </cell>
          <cell r="J458">
            <v>160</v>
          </cell>
        </row>
        <row r="459">
          <cell r="A459" t="str">
            <v>Til energi</v>
          </cell>
          <cell r="D459" t="str">
            <v>Halm</v>
          </cell>
          <cell r="E459" t="str">
            <v>Ton</v>
          </cell>
          <cell r="F459" t="str">
            <v>Energi</v>
          </cell>
          <cell r="G459" t="str">
            <v>PJ</v>
          </cell>
          <cell r="H459">
            <v>1.0335806339134365E-5</v>
          </cell>
          <cell r="I459">
            <v>1.0335806339134365E-5</v>
          </cell>
          <cell r="J459">
            <v>1.0335806339134365E-5</v>
          </cell>
        </row>
        <row r="460">
          <cell r="A460" t="str">
            <v>Til energi</v>
          </cell>
          <cell r="D460" t="str">
            <v>Rapsolie</v>
          </cell>
          <cell r="E460" t="str">
            <v>Ton</v>
          </cell>
          <cell r="F460" t="str">
            <v>Energi</v>
          </cell>
          <cell r="G460" t="str">
            <v>PJ</v>
          </cell>
          <cell r="H460">
            <v>3.4999999999999997E-5</v>
          </cell>
          <cell r="I460">
            <v>3.4999999999999997E-5</v>
          </cell>
          <cell r="J460">
            <v>3.4999999999999997E-5</v>
          </cell>
        </row>
        <row r="461">
          <cell r="A461" t="str">
            <v>Til energi</v>
          </cell>
          <cell r="D461" t="str">
            <v>Pil &amp; poppel</v>
          </cell>
          <cell r="E461" t="str">
            <v>Ton</v>
          </cell>
          <cell r="F461" t="str">
            <v>Energi</v>
          </cell>
          <cell r="G461" t="str">
            <v>PJ</v>
          </cell>
          <cell r="H461">
            <v>1.8399999999999997E-5</v>
          </cell>
          <cell r="I461">
            <v>1.8399999999999997E-5</v>
          </cell>
          <cell r="J461">
            <v>1.8399999999999997E-5</v>
          </cell>
        </row>
        <row r="462">
          <cell r="A462" t="str">
            <v>Til energi</v>
          </cell>
          <cell r="D462" t="str">
            <v>Træ til energi</v>
          </cell>
          <cell r="E462" t="str">
            <v>m3</v>
          </cell>
          <cell r="F462" t="str">
            <v>Energi</v>
          </cell>
          <cell r="G462" t="str">
            <v>PJ</v>
          </cell>
          <cell r="H462">
            <v>1.449356890077532E-5</v>
          </cell>
          <cell r="I462">
            <v>1.449356890077532E-5</v>
          </cell>
          <cell r="J462">
            <v>1.449356890077532E-5</v>
          </cell>
        </row>
        <row r="463">
          <cell r="A463" t="str">
            <v>Til energi</v>
          </cell>
          <cell r="D463" t="str">
            <v>Have/parkaffald</v>
          </cell>
          <cell r="E463" t="str">
            <v>Ton</v>
          </cell>
          <cell r="F463" t="str">
            <v>Energi</v>
          </cell>
          <cell r="G463" t="str">
            <v>PJ</v>
          </cell>
          <cell r="H463">
            <v>1.7852220520673815E-5</v>
          </cell>
          <cell r="I463">
            <v>1.7852220520673815E-5</v>
          </cell>
          <cell r="J463">
            <v>1.7852220520673815E-5</v>
          </cell>
        </row>
        <row r="464">
          <cell r="A464" t="str">
            <v>Til energi</v>
          </cell>
          <cell r="D464" t="str">
            <v>Bioaffald</v>
          </cell>
          <cell r="E464" t="str">
            <v>Ton</v>
          </cell>
          <cell r="F464" t="str">
            <v>Energi</v>
          </cell>
          <cell r="G464" t="str">
            <v>PJ</v>
          </cell>
          <cell r="H464">
            <v>1.7852220520673815E-5</v>
          </cell>
          <cell r="I464">
            <v>1.7852220520673815E-5</v>
          </cell>
          <cell r="J464">
            <v>1.7852220520673815E-5</v>
          </cell>
        </row>
        <row r="465">
          <cell r="A465" t="str">
            <v>Til energi</v>
          </cell>
          <cell r="D465" t="str">
            <v>Pyrolyseolie</v>
          </cell>
          <cell r="E465" t="str">
            <v>Ton</v>
          </cell>
          <cell r="F465" t="str">
            <v>Energi</v>
          </cell>
          <cell r="G465" t="str">
            <v>PJ</v>
          </cell>
          <cell r="H465">
            <v>3.326857142857142E-5</v>
          </cell>
          <cell r="I465">
            <v>3.326857142857142E-5</v>
          </cell>
          <cell r="J465">
            <v>3.326857142857142E-5</v>
          </cell>
        </row>
        <row r="466">
          <cell r="A466" t="str">
            <v>Til energi</v>
          </cell>
          <cell r="D466" t="str">
            <v>Pyrolysegas</v>
          </cell>
          <cell r="E466" t="str">
            <v>Ton</v>
          </cell>
          <cell r="F466" t="str">
            <v>Energi</v>
          </cell>
          <cell r="G466" t="str">
            <v>PJ</v>
          </cell>
          <cell r="H466">
            <v>8.9614285714285689E-6</v>
          </cell>
          <cell r="I466">
            <v>8.9614285714285689E-6</v>
          </cell>
          <cell r="J466">
            <v>8.9614285714285689E-6</v>
          </cell>
        </row>
        <row r="467">
          <cell r="A467" t="str">
            <v>Til energi</v>
          </cell>
          <cell r="D467" t="str">
            <v>Biogas</v>
          </cell>
          <cell r="E467" t="str">
            <v>Nm3 CH4</v>
          </cell>
          <cell r="F467" t="str">
            <v>Energi</v>
          </cell>
          <cell r="G467" t="str">
            <v>PJ</v>
          </cell>
          <cell r="H467">
            <v>3.5900000000000004E-8</v>
          </cell>
          <cell r="I467">
            <v>3.5900000000000004E-8</v>
          </cell>
          <cell r="J467">
            <v>3.5900000000000004E-8</v>
          </cell>
        </row>
        <row r="468">
          <cell r="A468" t="str">
            <v>Proteinproces</v>
          </cell>
          <cell r="D468" t="str">
            <v>Græs</v>
          </cell>
          <cell r="E468" t="str">
            <v>Ton</v>
          </cell>
          <cell r="F468" t="str">
            <v>Græsprotein</v>
          </cell>
          <cell r="G468" t="str">
            <v>Ton</v>
          </cell>
          <cell r="H468">
            <v>0.16717139181723129</v>
          </cell>
          <cell r="I468">
            <v>0.16717139181723129</v>
          </cell>
          <cell r="J468">
            <v>0.16717139181723129</v>
          </cell>
        </row>
        <row r="469">
          <cell r="A469" t="str">
            <v>Proteinproces</v>
          </cell>
          <cell r="D469" t="str">
            <v>Græs</v>
          </cell>
          <cell r="E469" t="str">
            <v>Ton</v>
          </cell>
          <cell r="F469" t="str">
            <v>Fiberfraktion</v>
          </cell>
          <cell r="G469" t="str">
            <v>Ton</v>
          </cell>
          <cell r="H469">
            <v>0.34417639491782914</v>
          </cell>
          <cell r="I469">
            <v>0.34417639491782914</v>
          </cell>
          <cell r="J469">
            <v>0.34417639491782914</v>
          </cell>
        </row>
        <row r="470">
          <cell r="A470" t="str">
            <v>Proteinproces</v>
          </cell>
          <cell r="D470" t="str">
            <v>Græs</v>
          </cell>
          <cell r="E470" t="str">
            <v>Ton</v>
          </cell>
          <cell r="F470" t="str">
            <v>Brun saft</v>
          </cell>
          <cell r="G470" t="str">
            <v>PJ</v>
          </cell>
          <cell r="H470">
            <v>0.48865221326493952</v>
          </cell>
          <cell r="I470">
            <v>0.48865221326493952</v>
          </cell>
          <cell r="J470">
            <v>0.48865221326493952</v>
          </cell>
        </row>
        <row r="471">
          <cell r="A471" t="str">
            <v>Rapskageproduktion</v>
          </cell>
          <cell r="D471" t="str">
            <v>Raps</v>
          </cell>
          <cell r="E471" t="str">
            <v>Ton</v>
          </cell>
          <cell r="F471" t="str">
            <v>Rapskage</v>
          </cell>
          <cell r="G471" t="str">
            <v>Ton</v>
          </cell>
          <cell r="H471">
            <v>0.5</v>
          </cell>
          <cell r="I471">
            <v>0.5</v>
          </cell>
          <cell r="J471">
            <v>0.5</v>
          </cell>
        </row>
        <row r="472">
          <cell r="A472" t="str">
            <v>Rapskageproduktion</v>
          </cell>
          <cell r="D472" t="str">
            <v>Raps</v>
          </cell>
          <cell r="E472" t="str">
            <v>Ton</v>
          </cell>
          <cell r="F472" t="str">
            <v>Rapsolie</v>
          </cell>
          <cell r="G472" t="str">
            <v>Ton</v>
          </cell>
          <cell r="H472">
            <v>0.32</v>
          </cell>
          <cell r="I472">
            <v>0.32</v>
          </cell>
          <cell r="J472">
            <v>0.32</v>
          </cell>
        </row>
        <row r="473">
          <cell r="A473" t="str">
            <v>Pyrolyseproces</v>
          </cell>
          <cell r="D473" t="str">
            <v>Halm</v>
          </cell>
          <cell r="E473" t="str">
            <v>Ton</v>
          </cell>
          <cell r="F473" t="str">
            <v>CO2 - atmosfære</v>
          </cell>
          <cell r="G473" t="str">
            <v>t CO2-ækvivalenter</v>
          </cell>
          <cell r="H473">
            <v>-0.65266666666666662</v>
          </cell>
          <cell r="I473">
            <v>-0.65266666666666662</v>
          </cell>
          <cell r="J473">
            <v>-0.65266666666666662</v>
          </cell>
        </row>
        <row r="474">
          <cell r="A474" t="str">
            <v>Pyrolyseproces</v>
          </cell>
          <cell r="D474" t="str">
            <v>Halm</v>
          </cell>
          <cell r="E474" t="str">
            <v>Ton</v>
          </cell>
          <cell r="F474" t="str">
            <v>Pyrolyseolie</v>
          </cell>
          <cell r="G474" t="str">
            <v>Ton</v>
          </cell>
          <cell r="H474">
            <v>0.14000000000000001</v>
          </cell>
          <cell r="I474">
            <v>0.14000000000000001</v>
          </cell>
          <cell r="J474">
            <v>0.14000000000000001</v>
          </cell>
        </row>
        <row r="475">
          <cell r="A475" t="str">
            <v>Pyrolyseproces</v>
          </cell>
          <cell r="D475" t="str">
            <v>Halm</v>
          </cell>
          <cell r="E475" t="str">
            <v>Ton</v>
          </cell>
          <cell r="F475" t="str">
            <v>Pyrolysegas</v>
          </cell>
          <cell r="G475" t="str">
            <v>Ton</v>
          </cell>
          <cell r="H475">
            <v>0.56000000000000005</v>
          </cell>
          <cell r="I475">
            <v>0.56000000000000005</v>
          </cell>
          <cell r="J475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  <sheetData sheetId="1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904166664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3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4170727.4363370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904513887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904629633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6463363.6023058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90486111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904976849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36104134.2428202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893966.0004921574"/>
    </cacheField>
    <cacheField name="Gødning" numFmtId="3">
      <sharedItems containsSemiMixedTypes="0" containsString="0" containsNumber="1" minValue="0" maxValue="14170727.436337013"/>
    </cacheField>
    <cacheField name="Energi" numFmtId="3">
      <sharedItems containsSemiMixedTypes="0" containsString="0" containsNumber="1" minValue="0" maxValue="436104134.24282026"/>
    </cacheField>
    <cacheField name="Materialer og processer" numFmtId="3">
      <sharedItems containsSemiMixedTypes="0" containsString="0" containsNumber="1" minValue="0" maxValue="507790.70515370794"/>
    </cacheField>
    <cacheField name="Produktion minus forbrug [ton]" numFmtId="3">
      <sharedItems containsSemiMixedTypes="0" containsString="0" containsNumber="1" minValue="-4828427.5390456235" maxValue="6597597.615337275"/>
    </cacheField>
    <cacheField name="Potentiale til energi [ton]" numFmtId="3">
      <sharedItems containsSemiMixedTypes="0" containsString="0" containsNumber="1" minValue="0" maxValue="6597597.615337275"/>
    </cacheField>
    <cacheField name="Forbrug energi [ton/m3]" numFmtId="3">
      <sharedItems containsSemiMixedTypes="0" containsString="0" containsNumber="1" minValue="0" maxValue="436104134.24282026"/>
    </cacheField>
    <cacheField name="Potentiale til energi [PJ]" numFmtId="0">
      <sharedItems containsSemiMixedTypes="0" containsString="0" containsNumber="1" minValue="0" maxValue="12.13875491251866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3.9958466497891258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847327.3322944371"/>
    </cacheField>
    <cacheField name="Forbrug/potentiale [Ton TS]" numFmtId="0">
      <sharedItems containsSemiMixedTypes="0" containsString="0" containsNumber="1" minValue="0" maxValue="1868499.2689717831"/>
    </cacheField>
    <cacheField name="Biogasproduktion [Ton TS]" numFmtId="0">
      <sharedItems containsSemiMixedTypes="0" containsString="0" containsNumber="1" minValue="0" maxValue="599941.41603740398"/>
    </cacheField>
    <cacheField name="Biomasser til energi eksl. biogas [Ton TS]" numFmtId="0">
      <sharedItems containsSemiMixedTypes="0" containsString="0" containsNumber="1" minValue="0" maxValue="1847327.3322944371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905208334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36104134.2428202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893966.0004921574"/>
    </cacheField>
    <cacheField name="Gødning" numFmtId="3">
      <sharedItems containsSemiMixedTypes="0" containsString="0" containsNumber="1" minValue="0" maxValue="14170727.436337013"/>
    </cacheField>
    <cacheField name="Energi" numFmtId="3">
      <sharedItems containsSemiMixedTypes="0" containsString="0" containsNumber="1" minValue="0" maxValue="436104134.24282026"/>
    </cacheField>
    <cacheField name="Materialer og processer" numFmtId="3">
      <sharedItems containsSemiMixedTypes="0" containsString="0" containsNumber="1" minValue="0" maxValue="507790.70515370794"/>
    </cacheField>
    <cacheField name="Produktion minus forbrug [ton]" numFmtId="3">
      <sharedItems containsSemiMixedTypes="0" containsString="0" containsNumber="1" minValue="-4828427.5390456235" maxValue="6597597.615337275"/>
    </cacheField>
    <cacheField name="Potentiale til energi [ton]" numFmtId="3">
      <sharedItems containsSemiMixedTypes="0" containsString="0" containsNumber="1" minValue="0" maxValue="6597597.615337275"/>
    </cacheField>
    <cacheField name="Forbrug energi [ton/m3]" numFmtId="3">
      <sharedItems containsSemiMixedTypes="0" containsString="0" containsNumber="1" minValue="0" maxValue="436104134.24282026"/>
    </cacheField>
    <cacheField name="Potentiale til energi [PJ]" numFmtId="0">
      <sharedItems containsSemiMixedTypes="0" containsString="0" containsNumber="1" minValue="0" maxValue="12.13875491251866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3.9958466497891258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847327.3322944371"/>
    </cacheField>
    <cacheField name="Forbrug/potentiale [Ton TS]" numFmtId="0">
      <sharedItems containsSemiMixedTypes="0" containsString="0" containsNumber="1" minValue="0" maxValue="1868499.2689717831"/>
    </cacheField>
    <cacheField name="Biogasproduktion [Ton TS]" numFmtId="0">
      <sharedItems containsSemiMixedTypes="0" containsString="0" containsNumber="1" minValue="0" maxValue="599941.41603740398"/>
    </cacheField>
    <cacheField name="Biomasser til energi eksl. biogas [Ton TS]" numFmtId="0">
      <sharedItems containsSemiMixedTypes="0" containsString="0" containsNumber="1" minValue="0" maxValue="1847327.3322944371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905671296" createdVersion="7" refreshedVersion="7" minRefreshableVersion="3" recordCount="54" xr:uid="{AF2992CF-3A57-490B-B2C1-71BF0E3C8484}">
  <cacheSource type="worksheet">
    <worksheetSource ref="A1:E55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58781.6445090303" maxValue="12546079.333675962"/>
    </cacheField>
    <cacheField name="Sted" numFmtId="0">
      <sharedItems/>
    </cacheField>
    <cacheField name="Sted2" numFmtId="0">
      <sharedItems count="7">
        <s v="CO2 - atmosfære"/>
        <s v="Husdyr"/>
        <s v="Marker"/>
        <s v="Hav"/>
        <s v="Skov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90590278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36104134.2428202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893966.0004921574"/>
    </cacheField>
    <cacheField name="Gødning" numFmtId="3">
      <sharedItems containsSemiMixedTypes="0" containsString="0" containsNumber="1" minValue="0" maxValue="14170727.436337013"/>
    </cacheField>
    <cacheField name="Energi" numFmtId="3">
      <sharedItems containsSemiMixedTypes="0" containsString="0" containsNumber="1" minValue="0" maxValue="436104134.24282026"/>
    </cacheField>
    <cacheField name="Materialer og processer" numFmtId="3">
      <sharedItems containsSemiMixedTypes="0" containsString="0" containsNumber="1" minValue="0" maxValue="507790.70515370794"/>
    </cacheField>
    <cacheField name="Produktion minus forbrug [ton]" numFmtId="3">
      <sharedItems containsSemiMixedTypes="0" containsString="0" containsNumber="1" minValue="-4828427.5390456235" maxValue="6597597.615337275"/>
    </cacheField>
    <cacheField name="Potentiale til energi [ton]" numFmtId="3">
      <sharedItems containsSemiMixedTypes="0" containsString="0" containsNumber="1" minValue="0" maxValue="6597597.615337275"/>
    </cacheField>
    <cacheField name="Forbrug energi [ton/m3]" numFmtId="3">
      <sharedItems containsSemiMixedTypes="0" containsString="0" containsNumber="1" minValue="0" maxValue="436104134.24282026"/>
    </cacheField>
    <cacheField name="Potentiale til energi [PJ]" numFmtId="0">
      <sharedItems containsSemiMixedTypes="0" containsString="0" containsNumber="1" minValue="0" maxValue="12.13875491251866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3.9958466497891258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847327.3322944371"/>
    </cacheField>
    <cacheField name="Forbrug/potentiale [Ton TS]" numFmtId="0">
      <sharedItems containsSemiMixedTypes="0" containsString="0" containsNumber="1" minValue="0" maxValue="1868499.2689717831"/>
    </cacheField>
    <cacheField name="Biogasproduktion [Ton TS]" numFmtId="0">
      <sharedItems containsSemiMixedTypes="0" containsString="0" containsNumber="1" minValue="0" maxValue="599941.41603740398"/>
    </cacheField>
    <cacheField name="Biomasser til energi eksl. biogas [Ton TS]" numFmtId="0">
      <sharedItems containsSemiMixedTypes="0" containsString="0" containsNumber="1" minValue="0" maxValue="1847327.332294437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6391729.2665735735"/>
  </r>
  <r>
    <x v="1"/>
    <s v="Vestdanmark"/>
    <x v="15"/>
    <x v="1"/>
    <n v="7893966.0004921574"/>
  </r>
  <r>
    <x v="1"/>
    <s v="Vestdanmark"/>
    <x v="16"/>
    <x v="1"/>
    <n v="3337.0904542181925"/>
  </r>
  <r>
    <x v="1"/>
    <s v="Vestdanmark"/>
    <x v="17"/>
    <x v="1"/>
    <n v="1497865.6247316466"/>
  </r>
  <r>
    <x v="1"/>
    <s v="Vestdanmark"/>
    <x v="18"/>
    <x v="1"/>
    <n v="195082.24112879002"/>
  </r>
  <r>
    <x v="1"/>
    <s v="Vestdanmark"/>
    <x v="19"/>
    <x v="1"/>
    <n v="508461.98144503916"/>
  </r>
  <r>
    <x v="1"/>
    <s v="Vestdanmark"/>
    <x v="20"/>
    <x v="1"/>
    <n v="1061170.3273835385"/>
  </r>
  <r>
    <x v="1"/>
    <s v="Vestdanmark"/>
    <x v="21"/>
    <x v="1"/>
    <n v="0"/>
  </r>
  <r>
    <x v="1"/>
    <s v="Vestdanmark"/>
    <x v="22"/>
    <x v="1"/>
    <n v="53644.580306161413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6119291.7094537346"/>
  </r>
  <r>
    <x v="1"/>
    <s v="Vestdanmark"/>
    <x v="15"/>
    <x v="2"/>
    <n v="7743127.1535502924"/>
  </r>
  <r>
    <x v="1"/>
    <s v="Vestdanmark"/>
    <x v="16"/>
    <x v="2"/>
    <n v="3446.2126889929687"/>
  </r>
  <r>
    <x v="1"/>
    <s v="Vestdanmark"/>
    <x v="17"/>
    <x v="2"/>
    <n v="1554136.2730559006"/>
  </r>
  <r>
    <x v="1"/>
    <s v="Vestdanmark"/>
    <x v="18"/>
    <x v="2"/>
    <n v="197484.23354298095"/>
  </r>
  <r>
    <x v="1"/>
    <s v="Vestdanmark"/>
    <x v="19"/>
    <x v="2"/>
    <n v="505095.54922592157"/>
  </r>
  <r>
    <x v="1"/>
    <s v="Vestdanmark"/>
    <x v="20"/>
    <x v="2"/>
    <n v="1111191.0910754299"/>
  </r>
  <r>
    <x v="1"/>
    <s v="Vestdanmark"/>
    <x v="21"/>
    <x v="2"/>
    <n v="0"/>
  </r>
  <r>
    <x v="1"/>
    <s v="Vestdanmark"/>
    <x v="22"/>
    <x v="2"/>
    <n v="53363.755309158871"/>
  </r>
  <r>
    <x v="1"/>
    <s v="Vestdanmark"/>
    <x v="0"/>
    <x v="2"/>
    <n v="2825.7560217041437"/>
  </r>
  <r>
    <x v="1"/>
    <s v="Vestdanmark"/>
    <x v="23"/>
    <x v="2"/>
    <n v="75527.053678542041"/>
  </r>
  <r>
    <x v="1"/>
    <s v="Vestdanmark"/>
    <x v="24"/>
    <x v="2"/>
    <n v="314525.12457946909"/>
  </r>
  <r>
    <x v="1"/>
    <s v="Vestdanmark"/>
    <x v="25"/>
    <x v="2"/>
    <n v="4034.07077562927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926143.13133016659"/>
  </r>
  <r>
    <x v="1"/>
    <s v="Østdanmark"/>
    <x v="15"/>
    <x v="1"/>
    <n v="561055.81698105508"/>
  </r>
  <r>
    <x v="1"/>
    <s v="Østdanmark"/>
    <x v="16"/>
    <x v="1"/>
    <n v="280.08077006114183"/>
  </r>
  <r>
    <x v="1"/>
    <s v="Østdanmark"/>
    <x v="17"/>
    <x v="1"/>
    <n v="1267572.2425659813"/>
  </r>
  <r>
    <x v="1"/>
    <s v="Østdanmark"/>
    <x v="18"/>
    <x v="1"/>
    <n v="168912.75887120995"/>
  </r>
  <r>
    <x v="1"/>
    <s v="Østdanmark"/>
    <x v="19"/>
    <x v="1"/>
    <n v="217506.01855496093"/>
  </r>
  <r>
    <x v="1"/>
    <s v="Østdanmark"/>
    <x v="20"/>
    <x v="1"/>
    <n v="143222.04383687259"/>
  </r>
  <r>
    <x v="1"/>
    <s v="Østdanmark"/>
    <x v="21"/>
    <x v="1"/>
    <n v="0"/>
  </r>
  <r>
    <x v="1"/>
    <s v="Østdanmark"/>
    <x v="22"/>
    <x v="1"/>
    <n v="22289.419693838598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886667.7152542026"/>
  </r>
  <r>
    <x v="1"/>
    <s v="Østdanmark"/>
    <x v="15"/>
    <x v="2"/>
    <n v="550335.09529335448"/>
  </r>
  <r>
    <x v="1"/>
    <s v="Østdanmark"/>
    <x v="16"/>
    <x v="2"/>
    <n v="289.23935894742124"/>
  </r>
  <r>
    <x v="1"/>
    <s v="Østdanmark"/>
    <x v="17"/>
    <x v="2"/>
    <n v="1326833.4967577588"/>
  </r>
  <r>
    <x v="1"/>
    <s v="Østdanmark"/>
    <x v="18"/>
    <x v="2"/>
    <n v="172292.76645701908"/>
  </r>
  <r>
    <x v="1"/>
    <s v="Østdanmark"/>
    <x v="19"/>
    <x v="2"/>
    <n v="217936.45077407858"/>
  </r>
  <r>
    <x v="1"/>
    <s v="Østdanmark"/>
    <x v="20"/>
    <x v="2"/>
    <n v="150823.24280639994"/>
  </r>
  <r>
    <x v="1"/>
    <s v="Østdanmark"/>
    <x v="21"/>
    <x v="2"/>
    <n v="0"/>
  </r>
  <r>
    <x v="1"/>
    <s v="Østdanmark"/>
    <x v="22"/>
    <x v="2"/>
    <n v="22570.244690841144"/>
  </r>
  <r>
    <x v="1"/>
    <s v="Østdanmark"/>
    <x v="0"/>
    <x v="2"/>
    <n v="960.24397829585632"/>
  </r>
  <r>
    <x v="1"/>
    <s v="Østdanmark"/>
    <x v="23"/>
    <x v="2"/>
    <n v="10149.946321457959"/>
  </r>
  <r>
    <x v="1"/>
    <s v="Østdanmark"/>
    <x v="24"/>
    <x v="2"/>
    <n v="15500.875420530891"/>
  </r>
  <r>
    <x v="1"/>
    <s v="Østdanmark"/>
    <x v="25"/>
    <x v="2"/>
    <n v="24610.929224370728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4703372.1615964994"/>
  </r>
  <r>
    <x v="2"/>
    <s v="Vestdanmark"/>
    <x v="22"/>
    <x v="1"/>
    <n v="618468.71483434096"/>
  </r>
  <r>
    <x v="2"/>
    <s v="Vestdanmark"/>
    <x v="2"/>
    <x v="1"/>
    <n v="0"/>
  </r>
  <r>
    <x v="2"/>
    <s v="Vestdanmark"/>
    <x v="5"/>
    <x v="1"/>
    <n v="51598.780380153592"/>
  </r>
  <r>
    <x v="2"/>
    <s v="Vestdanmark"/>
    <x v="25"/>
    <x v="1"/>
    <n v="672934.09412450308"/>
  </r>
  <r>
    <x v="2"/>
    <s v="Vestdanmark"/>
    <x v="24"/>
    <x v="1"/>
    <n v="4525643.0291759707"/>
  </r>
  <r>
    <x v="2"/>
    <s v="Vestdanmark"/>
    <x v="28"/>
    <x v="1"/>
    <n v="171279.2848730098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9790151.9274066389"/>
  </r>
  <r>
    <x v="2"/>
    <s v="Vestdanmark"/>
    <x v="29"/>
    <x v="1"/>
    <n v="1212571.3389336092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1532.588010093863"/>
  </r>
  <r>
    <x v="2"/>
    <s v="Vestdanmark"/>
    <x v="33"/>
    <x v="1"/>
    <n v="3862742.0312364982"/>
  </r>
  <r>
    <x v="2"/>
    <s v="Vestdanmark"/>
    <x v="0"/>
    <x v="2"/>
    <n v="4703372.1615964994"/>
  </r>
  <r>
    <x v="2"/>
    <s v="Vestdanmark"/>
    <x v="22"/>
    <x v="2"/>
    <n v="618468.71483434096"/>
  </r>
  <r>
    <x v="2"/>
    <s v="Vestdanmark"/>
    <x v="2"/>
    <x v="2"/>
    <n v="0"/>
  </r>
  <r>
    <x v="2"/>
    <s v="Vestdanmark"/>
    <x v="5"/>
    <x v="2"/>
    <n v="51598.780380153592"/>
  </r>
  <r>
    <x v="2"/>
    <s v="Vestdanmark"/>
    <x v="25"/>
    <x v="2"/>
    <n v="672934.09412450308"/>
  </r>
  <r>
    <x v="2"/>
    <s v="Vestdanmark"/>
    <x v="24"/>
    <x v="2"/>
    <n v="4525643.0291759707"/>
  </r>
  <r>
    <x v="2"/>
    <s v="Vestdanmark"/>
    <x v="28"/>
    <x v="2"/>
    <n v="171279.2848730098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9790151.9274066389"/>
  </r>
  <r>
    <x v="2"/>
    <s v="Vestdanmark"/>
    <x v="29"/>
    <x v="2"/>
    <n v="1212571.3389336092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1532.588010093863"/>
  </r>
  <r>
    <x v="2"/>
    <s v="Vestdanmark"/>
    <x v="33"/>
    <x v="2"/>
    <n v="3862742.0312364982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577297.28616440261"/>
  </r>
  <r>
    <x v="2"/>
    <s v="Østdanmark"/>
    <x v="22"/>
    <x v="1"/>
    <n v="75911.558427530035"/>
  </r>
  <r>
    <x v="2"/>
    <s v="Østdanmark"/>
    <x v="2"/>
    <x v="1"/>
    <n v="0"/>
  </r>
  <r>
    <x v="2"/>
    <s v="Østdanmark"/>
    <x v="5"/>
    <x v="1"/>
    <n v="6333.2934029920762"/>
  </r>
  <r>
    <x v="2"/>
    <s v="Østdanmark"/>
    <x v="25"/>
    <x v="1"/>
    <n v="82596.701464021666"/>
  </r>
  <r>
    <x v="2"/>
    <s v="Østdanmark"/>
    <x v="24"/>
    <x v="1"/>
    <n v="555482.60888742993"/>
  </r>
  <r>
    <x v="2"/>
    <s v="Østdanmark"/>
    <x v="28"/>
    <x v="1"/>
    <n v="21023.015601598698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201654.4608093714"/>
  </r>
  <r>
    <x v="2"/>
    <s v="Østdanmark"/>
    <x v="29"/>
    <x v="1"/>
    <n v="148832.3949703137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3870.3459684951581"/>
  </r>
  <r>
    <x v="2"/>
    <s v="Østdanmark"/>
    <x v="33"/>
    <x v="1"/>
    <n v="474117.38114065683"/>
  </r>
  <r>
    <x v="2"/>
    <s v="Østdanmark"/>
    <x v="0"/>
    <x v="2"/>
    <n v="577297.28616440273"/>
  </r>
  <r>
    <x v="2"/>
    <s v="Østdanmark"/>
    <x v="22"/>
    <x v="2"/>
    <n v="75911.55842753005"/>
  </r>
  <r>
    <x v="2"/>
    <s v="Østdanmark"/>
    <x v="2"/>
    <x v="2"/>
    <n v="0"/>
  </r>
  <r>
    <x v="2"/>
    <s v="Østdanmark"/>
    <x v="5"/>
    <x v="2"/>
    <n v="6333.293402992078"/>
  </r>
  <r>
    <x v="2"/>
    <s v="Østdanmark"/>
    <x v="25"/>
    <x v="2"/>
    <n v="82596.70146402168"/>
  </r>
  <r>
    <x v="2"/>
    <s v="Østdanmark"/>
    <x v="24"/>
    <x v="2"/>
    <n v="555482.60888743005"/>
  </r>
  <r>
    <x v="2"/>
    <s v="Østdanmark"/>
    <x v="28"/>
    <x v="2"/>
    <n v="21023.015601598701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201654.4608093717"/>
  </r>
  <r>
    <x v="2"/>
    <s v="Østdanmark"/>
    <x v="29"/>
    <x v="2"/>
    <n v="148832.39497031382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3870.345968495159"/>
  </r>
  <r>
    <x v="2"/>
    <s v="Østdanmark"/>
    <x v="33"/>
    <x v="2"/>
    <n v="474117.381140657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6"/>
    <x v="0"/>
    <n v="0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6"/>
    <x v="0"/>
    <n v="0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385491.0293729189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6"/>
    <x v="1"/>
    <n v="0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56737.32303016982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6"/>
    <x v="1"/>
    <n v="0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303036.156330572"/>
  </r>
  <r>
    <x v="3"/>
    <s v="Vestdanmark"/>
    <x v="34"/>
    <x v="2"/>
    <n v="156492.78628542495"/>
  </r>
  <r>
    <x v="3"/>
    <s v="Vestdanmark"/>
    <x v="35"/>
    <x v="2"/>
    <n v="171775.11908496951"/>
  </r>
  <r>
    <x v="3"/>
    <s v="Vestdanmark"/>
    <x v="36"/>
    <x v="2"/>
    <n v="2001135.6433479721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6"/>
    <x v="2"/>
    <n v="0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736790.52495436871"/>
  </r>
  <r>
    <x v="3"/>
    <s v="Østdanmark"/>
    <x v="34"/>
    <x v="2"/>
    <n v="63732.21710113556"/>
  </r>
  <r>
    <x v="3"/>
    <s v="Østdanmark"/>
    <x v="35"/>
    <x v="2"/>
    <n v="38470.033999756291"/>
  </r>
  <r>
    <x v="3"/>
    <s v="Østdanmark"/>
    <x v="36"/>
    <x v="2"/>
    <n v="585110.82295504375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6"/>
    <x v="2"/>
    <n v="0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6000958.9027446285"/>
  </r>
  <r>
    <x v="5"/>
    <s v="Vestdanmark"/>
    <x v="16"/>
    <x v="0"/>
    <n v="3107.1675348074377"/>
  </r>
  <r>
    <x v="5"/>
    <s v="Vestdanmark"/>
    <x v="20"/>
    <x v="0"/>
    <n v="730307.97492940596"/>
  </r>
  <r>
    <x v="5"/>
    <s v="Vestdanmark"/>
    <x v="37"/>
    <x v="0"/>
    <n v="7001759.6428652545"/>
  </r>
  <r>
    <x v="5"/>
    <s v="Vestdanmark"/>
    <x v="38"/>
    <x v="0"/>
    <n v="720643.40546424"/>
  </r>
  <r>
    <x v="5"/>
    <s v="Vestdanmark"/>
    <x v="14"/>
    <x v="1"/>
    <n v="5668137.2741312822"/>
  </r>
  <r>
    <x v="5"/>
    <s v="Vestdanmark"/>
    <x v="15"/>
    <x v="1"/>
    <n v="1651500.7816819118"/>
  </r>
  <r>
    <x v="5"/>
    <s v="Vestdanmark"/>
    <x v="16"/>
    <x v="1"/>
    <n v="2526.6542010509174"/>
  </r>
  <r>
    <x v="5"/>
    <s v="Vestdanmark"/>
    <x v="20"/>
    <x v="1"/>
    <n v="401728.76679519669"/>
  </r>
  <r>
    <x v="5"/>
    <s v="Vestdanmark"/>
    <x v="37"/>
    <x v="1"/>
    <n v="14170727.436337013"/>
  </r>
  <r>
    <x v="5"/>
    <s v="Vestdanmark"/>
    <x v="38"/>
    <x v="1"/>
    <n v="851831.85374033672"/>
  </r>
  <r>
    <x v="5"/>
    <s v="Vestdanmark"/>
    <x v="14"/>
    <x v="2"/>
    <n v="5426541.7046099147"/>
  </r>
  <r>
    <x v="5"/>
    <s v="Vestdanmark"/>
    <x v="15"/>
    <x v="2"/>
    <n v="1619943.7071243373"/>
  </r>
  <r>
    <x v="5"/>
    <s v="Vestdanmark"/>
    <x v="16"/>
    <x v="2"/>
    <n v="2609.2753216661044"/>
  </r>
  <r>
    <x v="5"/>
    <s v="Vestdanmark"/>
    <x v="20"/>
    <x v="2"/>
    <n v="420665.19876426988"/>
  </r>
  <r>
    <x v="5"/>
    <s v="Vestdanmark"/>
    <x v="37"/>
    <x v="2"/>
    <n v="13769683.498114759"/>
  </r>
  <r>
    <x v="5"/>
    <s v="Vestdanmark"/>
    <x v="38"/>
    <x v="2"/>
    <n v="822588.45729733328"/>
  </r>
  <r>
    <x v="5"/>
    <s v="Østdanmark"/>
    <x v="14"/>
    <x v="0"/>
    <n v="1924034.2327518209"/>
  </r>
  <r>
    <x v="5"/>
    <s v="Østdanmark"/>
    <x v="15"/>
    <x v="0"/>
    <n v="422965.94308870414"/>
  </r>
  <r>
    <x v="5"/>
    <s v="Østdanmark"/>
    <x v="16"/>
    <x v="0"/>
    <n v="255.68246519256246"/>
  </r>
  <r>
    <x v="5"/>
    <s v="Østdanmark"/>
    <x v="20"/>
    <x v="0"/>
    <n v="93457.017927737121"/>
  </r>
  <r>
    <x v="5"/>
    <s v="Østdanmark"/>
    <x v="37"/>
    <x v="0"/>
    <n v="1801732.0926432305"/>
  </r>
  <r>
    <x v="5"/>
    <s v="Østdanmark"/>
    <x v="38"/>
    <x v="0"/>
    <n v="387847.14852834243"/>
  </r>
  <r>
    <x v="5"/>
    <s v="Østdanmark"/>
    <x v="14"/>
    <x v="1"/>
    <n v="821296.73910410993"/>
  </r>
  <r>
    <x v="5"/>
    <s v="Østdanmark"/>
    <x v="15"/>
    <x v="1"/>
    <n v="117378.78276314179"/>
  </r>
  <r>
    <x v="5"/>
    <s v="Østdanmark"/>
    <x v="16"/>
    <x v="1"/>
    <n v="212.06115447486451"/>
  </r>
  <r>
    <x v="5"/>
    <s v="Østdanmark"/>
    <x v="20"/>
    <x v="1"/>
    <n v="54219.773738244621"/>
  </r>
  <r>
    <x v="5"/>
    <s v="Østdanmark"/>
    <x v="37"/>
    <x v="1"/>
    <n v="2648877.5690380111"/>
  </r>
  <r>
    <x v="5"/>
    <s v="Østdanmark"/>
    <x v="38"/>
    <x v="1"/>
    <n v="398766.23112041334"/>
  </r>
  <r>
    <x v="5"/>
    <s v="Østdanmark"/>
    <x v="14"/>
    <x v="2"/>
    <n v="786290.23805561347"/>
  </r>
  <r>
    <x v="5"/>
    <s v="Østdanmark"/>
    <x v="15"/>
    <x v="2"/>
    <n v="115135.89493637283"/>
  </r>
  <r>
    <x v="5"/>
    <s v="Østdanmark"/>
    <x v="16"/>
    <x v="2"/>
    <n v="218.99551463161893"/>
  </r>
  <r>
    <x v="5"/>
    <s v="Østdanmark"/>
    <x v="20"/>
    <x v="2"/>
    <n v="57097.370490994261"/>
  </r>
  <r>
    <x v="5"/>
    <s v="Østdanmark"/>
    <x v="37"/>
    <x v="2"/>
    <n v="2636262.8953785724"/>
  </r>
  <r>
    <x v="5"/>
    <s v="Østdanmark"/>
    <x v="38"/>
    <x v="2"/>
    <n v="388599.4488834205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39"/>
    <x v="0"/>
    <n v="484833.6848947219"/>
  </r>
  <r>
    <x v="7"/>
    <s v="Vestdanmark"/>
    <x v="39"/>
    <x v="1"/>
    <n v="507790.70515370794"/>
  </r>
  <r>
    <x v="7"/>
    <s v="Vestdanmark"/>
    <x v="39"/>
    <x v="2"/>
    <n v="489039.95714195294"/>
  </r>
  <r>
    <x v="7"/>
    <s v="Østdanmark"/>
    <x v="39"/>
    <x v="0"/>
    <n v="193574.13238370849"/>
  </r>
  <r>
    <x v="7"/>
    <s v="Østdanmark"/>
    <x v="39"/>
    <x v="1"/>
    <n v="204407.79128636757"/>
  </r>
  <r>
    <x v="7"/>
    <s v="Østdanmark"/>
    <x v="39"/>
    <x v="2"/>
    <n v="199163.17844104863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0"/>
    <x v="0"/>
    <n v="0"/>
  </r>
  <r>
    <x v="3"/>
    <s v="Vestdanmark"/>
    <x v="41"/>
    <x v="0"/>
    <n v="0"/>
  </r>
  <r>
    <x v="3"/>
    <s v="Vestdanmark"/>
    <x v="40"/>
    <x v="1"/>
    <n v="0"/>
  </r>
  <r>
    <x v="3"/>
    <s v="Vestdanmark"/>
    <x v="41"/>
    <x v="1"/>
    <n v="0"/>
  </r>
  <r>
    <x v="3"/>
    <s v="Vestdanmark"/>
    <x v="40"/>
    <x v="2"/>
    <n v="0"/>
  </r>
  <r>
    <x v="3"/>
    <s v="Vestdanmark"/>
    <x v="41"/>
    <x v="2"/>
    <n v="0"/>
  </r>
  <r>
    <x v="3"/>
    <s v="Østdanmark"/>
    <x v="40"/>
    <x v="0"/>
    <n v="0"/>
  </r>
  <r>
    <x v="3"/>
    <s v="Østdanmark"/>
    <x v="41"/>
    <x v="0"/>
    <n v="0"/>
  </r>
  <r>
    <x v="3"/>
    <s v="Østdanmark"/>
    <x v="40"/>
    <x v="1"/>
    <n v="0"/>
  </r>
  <r>
    <x v="3"/>
    <s v="Østdanmark"/>
    <x v="41"/>
    <x v="1"/>
    <n v="0"/>
  </r>
  <r>
    <x v="3"/>
    <s v="Østdanmark"/>
    <x v="40"/>
    <x v="2"/>
    <n v="0"/>
  </r>
  <r>
    <x v="3"/>
    <s v="Østdanmark"/>
    <x v="41"/>
    <x v="2"/>
    <n v="0"/>
  </r>
  <r>
    <x v="9"/>
    <m/>
    <x v="42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6945589.6789912721"/>
  </r>
  <r>
    <x v="1"/>
    <x v="0"/>
    <x v="2"/>
    <n v="260463.0327135307"/>
  </r>
  <r>
    <x v="2"/>
    <x v="0"/>
    <x v="2"/>
    <n v="489039.95714195294"/>
  </r>
  <r>
    <x v="3"/>
    <x v="0"/>
    <x v="2"/>
    <n v="16099999.551723864"/>
  </r>
  <r>
    <x v="4"/>
    <x v="0"/>
    <x v="2"/>
    <n v="185255.23058853028"/>
  </r>
  <r>
    <x v="5"/>
    <x v="0"/>
    <x v="2"/>
    <n v="2162497.7416876755"/>
  </r>
  <r>
    <x v="6"/>
    <x v="0"/>
    <x v="2"/>
    <n v="380710.74225422333"/>
  </r>
  <r>
    <x v="7"/>
    <x v="0"/>
    <x v="2"/>
    <n v="7786550.4071108392"/>
  </r>
  <r>
    <x v="8"/>
    <x v="0"/>
    <x v="2"/>
    <n v="26150.496751056631"/>
  </r>
  <r>
    <x v="9"/>
    <x v="0"/>
    <x v="2"/>
    <n v="1623142.2943438755"/>
  </r>
  <r>
    <x v="10"/>
    <x v="0"/>
    <x v="2"/>
    <n v="893493.81900150096"/>
  </r>
  <r>
    <x v="11"/>
    <x v="0"/>
    <x v="2"/>
    <n v="772432.08575229661"/>
  </r>
  <r>
    <x v="12"/>
    <x v="0"/>
    <x v="2"/>
    <n v="171775.11908496951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360239.3885877775"/>
  </r>
  <r>
    <x v="1"/>
    <x v="1"/>
    <x v="2"/>
    <n v="27846.800257878294"/>
  </r>
  <r>
    <x v="2"/>
    <x v="1"/>
    <x v="2"/>
    <n v="199163.17844104863"/>
  </r>
  <r>
    <x v="3"/>
    <x v="1"/>
    <x v="2"/>
    <n v="2163650.2851152783"/>
  </r>
  <r>
    <x v="4"/>
    <x v="1"/>
    <x v="2"/>
    <n v="98333.203509519633"/>
  </r>
  <r>
    <x v="5"/>
    <x v="1"/>
    <x v="2"/>
    <n v="119824.59197839584"/>
  </r>
  <r>
    <x v="6"/>
    <x v="1"/>
    <x v="2"/>
    <n v="2322627.8500566902"/>
  </r>
  <r>
    <x v="7"/>
    <x v="1"/>
    <x v="2"/>
    <n v="383747.87380717852"/>
  </r>
  <r>
    <x v="8"/>
    <x v="1"/>
    <x v="2"/>
    <n v="16274.021455837808"/>
  </r>
  <r>
    <x v="9"/>
    <x v="1"/>
    <x v="2"/>
    <n v="407823.31273083866"/>
  </r>
  <r>
    <x v="10"/>
    <x v="1"/>
    <x v="2"/>
    <n v="629229.83697533351"/>
  </r>
  <r>
    <x v="11"/>
    <x v="1"/>
    <x v="2"/>
    <n v="150184.32869116802"/>
  </r>
  <r>
    <x v="12"/>
    <x v="1"/>
    <x v="2"/>
    <n v="38470.03399975629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x v="0"/>
  </r>
  <r>
    <x v="0"/>
    <s v="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51598.780380153592"/>
    <n v="0"/>
    <n v="0"/>
    <n v="0"/>
    <n v="0"/>
    <n v="0"/>
    <n v="0"/>
    <n v="218519.66268109329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436104134.24282026"/>
    <n v="0"/>
    <n v="0"/>
    <n v="0"/>
    <n v="0"/>
    <n v="0"/>
    <n v="436104134.24282026"/>
    <n v="0"/>
    <n v="0"/>
    <n v="0"/>
    <n v="436104134.24282026"/>
    <n v="0"/>
    <n v="0"/>
    <n v="0"/>
    <n v="0"/>
    <n v="0"/>
    <n v="0"/>
    <n v="0"/>
    <n v="0"/>
    <x v="0"/>
  </r>
  <r>
    <x v="4"/>
    <s v=""/>
    <n v="0"/>
    <x v="1"/>
    <s v="Vestdanmark"/>
    <n v="16654690.164173149"/>
    <n v="0"/>
    <n v="0"/>
    <n v="0"/>
    <n v="0"/>
    <n v="14170727.436337013"/>
    <n v="0"/>
    <n v="0"/>
    <n v="2483962.7278361358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6674.1809084363849"/>
    <n v="0"/>
    <n v="0"/>
    <n v="0"/>
    <n v="3337.0904542181925"/>
    <n v="2526.6542010509174"/>
    <n v="0"/>
    <n v="0"/>
    <n v="810.43625316727503"/>
    <n v="810.43625316727503"/>
    <n v="3337.0904542181925"/>
    <n v="3.8114006550203779E-4"/>
    <n v="1.9505403352163115E-3"/>
    <n v="1.5694002697142738E-3"/>
    <n v="3.8114006550203769E-4"/>
    <n v="51.05748394953833"/>
    <n v="261.29418256528447"/>
    <n v="210.23669861574612"/>
    <n v="51.057483949538351"/>
    <x v="0"/>
  </r>
  <r>
    <x v="9"/>
    <s v="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463363.602305863"/>
    <n v="9790151.9274066389"/>
    <n v="0"/>
    <n v="0"/>
    <n v="75614.059561949907"/>
    <n v="0"/>
    <n v="0"/>
    <n v="0"/>
    <n v="6597597.615337275"/>
    <n v="6597597.615337275"/>
    <n v="75614.059561949907"/>
    <n v="12.138754912518669"/>
    <n v="12.277875330355212"/>
    <n v="0.13912041783654258"/>
    <n v="12.138754912518669"/>
    <n v="1847327.3322944371"/>
    <n v="1868499.2689717831"/>
    <n v="21171.936677345977"/>
    <n v="1847327.3322944371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39184.2877324577"/>
    <n v="618468.71483434096"/>
    <n v="581579.9632190367"/>
    <n v="0"/>
    <n v="53644.580306161413"/>
    <n v="0"/>
    <n v="1385491.0293729189"/>
    <n v="0"/>
    <n v="0"/>
    <n v="0"/>
    <n v="1439135.6096790803"/>
    <n v="0"/>
    <n v="14.629456937744798"/>
    <n v="0.30928997353838589"/>
    <n v="14.320166964206413"/>
    <n v="0"/>
    <n v="1223265.2682272182"/>
    <n v="45597.893260237201"/>
    <n v="1177667.3749669809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  <x v="1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4703372.1615964994"/>
    <n v="0"/>
    <n v="295933.04302308214"/>
    <n v="2833.9333697705197"/>
    <n v="0"/>
    <n v="0"/>
    <n v="0"/>
    <n v="2169017.6219496708"/>
    <n v="2169017.6219496708"/>
    <n v="2833.9333697705197"/>
    <n v="7.4285816927105506"/>
    <n v="7.438287517751343"/>
    <n v="9.7058250407922632E-3"/>
    <n v="7.4285816927105506"/>
    <n v="672395.46280439792"/>
    <n v="673273.98214902682"/>
    <n v="878.51934462886106"/>
    <n v="672395.46280439792"/>
    <x v="0"/>
  </r>
  <r>
    <x v="23"/>
    <s v=""/>
    <n v="0"/>
    <x v="1"/>
    <s v="Vestdanmark"/>
    <n v="0"/>
    <n v="0"/>
    <n v="0"/>
    <n v="0"/>
    <n v="0"/>
    <n v="851831.85374033672"/>
    <n v="0"/>
    <n v="0"/>
    <n v="-851831.85374033672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0386797.369068628"/>
    <n v="0"/>
    <n v="0"/>
    <n v="0"/>
    <n v="7893966.0004921574"/>
    <n v="1651500.7816819118"/>
    <n v="0"/>
    <n v="0"/>
    <n v="841330.58689455874"/>
    <n v="841330.58689455874"/>
    <n v="7893966.0004921574"/>
    <n v="0.42587312978015673"/>
    <n v="4.4217197795692824"/>
    <n v="3.9958466497891258"/>
    <n v="0.42587312978015657"/>
    <n v="63941.124603986464"/>
    <n v="663882.54064139037"/>
    <n v="599941.41603740398"/>
    <n v="63941.124603986391"/>
    <x v="0"/>
  </r>
  <r>
    <x v="25"/>
    <s v="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4525643.0291759707"/>
    <n v="0"/>
    <n v="0"/>
    <n v="314692.31350359169"/>
    <n v="0"/>
    <n v="0"/>
    <n v="0"/>
    <n v="3142972.4098101053"/>
    <n v="2961150.4845719668"/>
    <n v="314692.31350359169"/>
    <n v="10.630530239613362"/>
    <n v="11.760275645091257"/>
    <n v="1.1297454054778944"/>
    <n v="10.630530239613362"/>
    <n v="888345.14537159004"/>
    <n v="982752.83942266752"/>
    <n v="94407.694051077502"/>
    <n v="888345.14537159004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  <x v="1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171279.2848730098"/>
    <n v="0"/>
    <n v="0"/>
    <n v="0"/>
    <n v="0"/>
    <n v="0"/>
    <n v="0"/>
    <n v="82616.067703844164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x v="0"/>
  </r>
  <r>
    <x v="38"/>
    <s v="Græs og urter"/>
    <n v="1"/>
    <x v="1"/>
    <s v="Vestdanmark"/>
    <n v="395099.15710561507"/>
    <n v="672934.09412450308"/>
    <n v="0"/>
    <n v="0"/>
    <n v="4075.7207832735812"/>
    <n v="0"/>
    <n v="0"/>
    <n v="0"/>
    <n v="-281910.65780216159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  <x v="0"/>
  </r>
  <r>
    <x v="40"/>
    <s v="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  <x v="0"/>
  </r>
  <r>
    <x v="42"/>
    <s v="Husdyrgødning"/>
    <n v="1"/>
    <x v="1"/>
    <s v="Vestdanmark"/>
    <n v="12059866.540704856"/>
    <n v="0"/>
    <n v="0"/>
    <n v="0"/>
    <n v="6391729.2665735735"/>
    <n v="5668137.2741312822"/>
    <n v="0"/>
    <n v="0"/>
    <n v="0"/>
    <n v="0"/>
    <n v="6391729.2665735735"/>
    <n v="0"/>
    <n v="2.7535569680398959"/>
    <n v="2.7535569680398959"/>
    <n v="0"/>
    <n v="0"/>
    <n v="319586.46332867868"/>
    <n v="319586.46332867868"/>
    <n v="0"/>
    <x v="0"/>
  </r>
  <r>
    <x v="43"/>
    <s v="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x v="0"/>
  </r>
  <r>
    <x v="0"/>
    <s v="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51598.780380153592"/>
    <n v="0"/>
    <n v="0"/>
    <n v="0"/>
    <n v="0"/>
    <n v="0"/>
    <n v="0"/>
    <n v="208864.25233337711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34305248.86575383"/>
    <n v="0"/>
    <n v="0"/>
    <n v="0"/>
    <n v="0"/>
    <n v="0"/>
    <n v="434305248.86575383"/>
    <n v="0"/>
    <n v="0"/>
    <n v="0"/>
    <n v="434305248.86575383"/>
    <n v="0"/>
    <n v="0"/>
    <n v="0"/>
    <n v="0"/>
    <n v="0"/>
    <n v="0"/>
    <n v="0"/>
    <n v="0"/>
    <x v="0"/>
  </r>
  <r>
    <x v="4"/>
    <s v=""/>
    <n v="0"/>
    <x v="2"/>
    <s v="Vestdanmark"/>
    <n v="16361961.782417906"/>
    <n v="0"/>
    <n v="0"/>
    <n v="0"/>
    <n v="0"/>
    <n v="13769683.498114759"/>
    <n v="0"/>
    <n v="0"/>
    <n v="2592278.2843031473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6892.4253779859373"/>
    <n v="0"/>
    <n v="0"/>
    <n v="0"/>
    <n v="3446.2126889929687"/>
    <n v="2609.2753216661044"/>
    <n v="0"/>
    <n v="0"/>
    <n v="836.93736732686375"/>
    <n v="836.93736732686375"/>
    <n v="3446.2126889929687"/>
    <n v="3.9360327448015076E-4"/>
    <n v="2.0143226399866538E-3"/>
    <n v="1.6207193655065032E-3"/>
    <n v="3.936032744801506E-4"/>
    <n v="52.727054141592419"/>
    <n v="269.83845354814946"/>
    <n v="217.11139940655701"/>
    <n v="52.727054141592447"/>
    <x v="0"/>
  </r>
  <r>
    <x v="9"/>
    <s v="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6099999.551723864"/>
    <n v="9790151.9274066389"/>
    <n v="0"/>
    <n v="0"/>
    <n v="75527.053678542041"/>
    <n v="0"/>
    <n v="0"/>
    <n v="0"/>
    <n v="6234320.5706386827"/>
    <n v="6234320.5706386827"/>
    <n v="75527.053678542041"/>
    <n v="11.470370559903847"/>
    <n v="11.609330897790654"/>
    <n v="0.13896033788680753"/>
    <n v="11.470370559903847"/>
    <n v="1745609.7597788314"/>
    <n v="1766757.3348088232"/>
    <n v="21147.575029991774"/>
    <n v="1745609.7597788314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54079.4309541653"/>
    <n v="618468.71483434096"/>
    <n v="579210.80448009283"/>
    <n v="0"/>
    <n v="53363.755309158871"/>
    <n v="0"/>
    <n v="1303036.156330572"/>
    <n v="0"/>
    <n v="0"/>
    <n v="0"/>
    <n v="1356399.9116397309"/>
    <n v="0"/>
    <n v="13.775600230507971"/>
    <n v="0.30767086578516784"/>
    <n v="13.467929364722803"/>
    <n v="0"/>
    <n v="1152939.9248937713"/>
    <n v="45359.192012785039"/>
    <n v="1107580.7328809863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  <x v="1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4703372.1615964994"/>
    <n v="0"/>
    <n v="307470.55071854044"/>
    <n v="2825.7560217041437"/>
    <n v="0"/>
    <n v="0"/>
    <n v="0"/>
    <n v="1931921.2106545279"/>
    <n v="1931921.2106545279"/>
    <n v="2825.7560217041437"/>
    <n v="6.6165596775222673"/>
    <n v="6.6262374962907611"/>
    <n v="9.6778187684936554E-3"/>
    <n v="6.6165596775222673"/>
    <n v="598895.57530290366"/>
    <n v="599771.55966963188"/>
    <n v="875.9843667282845"/>
    <n v="598895.57530290354"/>
    <x v="0"/>
  </r>
  <r>
    <x v="23"/>
    <s v=""/>
    <n v="0"/>
    <x v="2"/>
    <s v="Vestdanmark"/>
    <n v="0"/>
    <n v="0"/>
    <n v="0"/>
    <n v="0"/>
    <n v="0"/>
    <n v="822588.45729733328"/>
    <n v="0"/>
    <n v="0"/>
    <n v="-822588.45729733328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0188325.202039858"/>
    <n v="0"/>
    <n v="0"/>
    <n v="0"/>
    <n v="7743127.1535502924"/>
    <n v="1619943.7071243373"/>
    <n v="0"/>
    <n v="0"/>
    <n v="825254.34136522934"/>
    <n v="825254.34136522934"/>
    <n v="7743127.1535502924"/>
    <n v="0.41773549505566548"/>
    <n v="4.3372290289112883"/>
    <n v="3.9194935338556229"/>
    <n v="0.41773549505566532"/>
    <n v="62719.329943757431"/>
    <n v="651196.99361357966"/>
    <n v="588477.66366982216"/>
    <n v="62719.329943757504"/>
    <x v="0"/>
  </r>
  <r>
    <x v="25"/>
    <s v="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4525643.0291759707"/>
    <n v="0"/>
    <n v="0"/>
    <n v="314525.12457946909"/>
    <n v="0"/>
    <n v="0"/>
    <n v="0"/>
    <n v="2946382.2533553997"/>
    <n v="2759146.6428546174"/>
    <n v="314525.12457946909"/>
    <n v="9.905336447848077"/>
    <n v="11.034481645088372"/>
    <n v="1.1291451972402942"/>
    <n v="9.905336447848077"/>
    <n v="827743.99285638519"/>
    <n v="922101.530230226"/>
    <n v="94357.537373840722"/>
    <n v="827743.9928563853"/>
    <x v="0"/>
  </r>
  <r>
    <x v="27"/>
    <s v="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  <x v="1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44519.97857097647"/>
    <n v="171279.2848730098"/>
    <n v="0"/>
    <n v="0"/>
    <n v="0"/>
    <n v="0"/>
    <n v="0"/>
    <n v="0"/>
    <n v="73240.693697966664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x v="0"/>
  </r>
  <r>
    <x v="38"/>
    <s v="Græs og urter"/>
    <n v="1"/>
    <x v="2"/>
    <s v="Vestdanmark"/>
    <n v="380710.74225422333"/>
    <n v="672934.09412450308"/>
    <n v="0"/>
    <n v="0"/>
    <n v="4034.07077562927"/>
    <n v="0"/>
    <n v="0"/>
    <n v="0"/>
    <n v="-296257.42264590901"/>
    <n v="0"/>
    <n v="4034.07077562927"/>
    <n v="0"/>
    <n v="1.0948629447888865E-2"/>
    <n v="1.0948629447888865E-2"/>
    <n v="0"/>
    <n v="0"/>
    <n v="806.81415512585409"/>
    <n v="806.81415512585409"/>
    <n v="0"/>
    <x v="0"/>
  </r>
  <r>
    <x v="39"/>
    <s v="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  <x v="0"/>
  </r>
  <r>
    <x v="40"/>
    <s v="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  <x v="0"/>
  </r>
  <r>
    <x v="42"/>
    <s v="Husdyrgødning"/>
    <n v="1"/>
    <x v="2"/>
    <s v="Vestdanmark"/>
    <n v="11545833.414063649"/>
    <n v="0"/>
    <n v="0"/>
    <n v="0"/>
    <n v="6119291.7094537346"/>
    <n v="5426541.7046099147"/>
    <n v="0"/>
    <n v="0"/>
    <n v="0"/>
    <n v="0"/>
    <n v="6119291.7094537346"/>
    <n v="0"/>
    <n v="2.6361908684326694"/>
    <n v="2.6361908684326694"/>
    <n v="0"/>
    <n v="0"/>
    <n v="305964.58547268674"/>
    <n v="305964.58547268674"/>
    <n v="0"/>
    <x v="0"/>
  </r>
  <r>
    <x v="43"/>
    <s v="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  <x v="0"/>
  </r>
  <r>
    <x v="47"/>
    <s v=""/>
    <n v="0"/>
    <x v="2"/>
    <s v="Vestdanmark"/>
    <n v="551646.84040095157"/>
    <n v="0"/>
    <n v="0"/>
    <n v="0"/>
    <n v="0"/>
    <n v="0"/>
    <n v="0"/>
    <n v="0"/>
    <n v="551646.84040095157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x v="0"/>
  </r>
  <r>
    <x v="0"/>
    <s v="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6333.2934029920762"/>
    <n v="0"/>
    <n v="0"/>
    <n v="0"/>
    <n v="0"/>
    <n v="0"/>
    <n v="0"/>
    <n v="22219.132039015061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3250703.76009664"/>
    <n v="0"/>
    <n v="0"/>
    <n v="0"/>
    <n v="0"/>
    <n v="0"/>
    <n v="103250703.76009664"/>
    <n v="0"/>
    <n v="0"/>
    <n v="0"/>
    <n v="103250703.76009664"/>
    <n v="0"/>
    <n v="0"/>
    <n v="0"/>
    <n v="0"/>
    <n v="0"/>
    <n v="0"/>
    <n v="0"/>
    <n v="0"/>
    <x v="0"/>
  </r>
  <r>
    <x v="4"/>
    <s v=""/>
    <n v="0"/>
    <x v="1"/>
    <s v="Østdanmark"/>
    <n v="3113194.8160989988"/>
    <n v="0"/>
    <n v="0"/>
    <n v="0"/>
    <n v="0"/>
    <n v="2648877.5690380111"/>
    <n v="0"/>
    <n v="0"/>
    <n v="464317.24706098763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560.16154012228367"/>
    <n v="0"/>
    <n v="0"/>
    <n v="0"/>
    <n v="280.08077006114183"/>
    <n v="212.06115447486451"/>
    <n v="0"/>
    <n v="0"/>
    <n v="68.019615586277325"/>
    <n v="68.019615586277325"/>
    <n v="280.08077006114183"/>
    <n v="3.1988945014070367E-5"/>
    <n v="1.6370813036612478E-4"/>
    <n v="1.317191853520544E-4"/>
    <n v="3.198894501407038E-5"/>
    <n v="4.2852357819354712"/>
    <n v="21.930324295787408"/>
    <n v="17.645088513851935"/>
    <n v="4.2852357819354729"/>
    <x v="0"/>
  </r>
  <r>
    <x v="9"/>
    <s v="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190992.6315255472"/>
    <n v="1201654.4608093714"/>
    <n v="0"/>
    <n v="0"/>
    <n v="10062.940438050116"/>
    <n v="0"/>
    <n v="0"/>
    <n v="0"/>
    <n v="979275.23027812573"/>
    <n v="979275.23027812573"/>
    <n v="10062.940438050116"/>
    <n v="1.8017440143079666"/>
    <n v="1.820258566846424"/>
    <n v="1.8514552538457459E-2"/>
    <n v="1.8017440143079666"/>
    <n v="274197.06447787525"/>
    <n v="277014.68780052924"/>
    <n v="2817.623322654033"/>
    <n v="274197.06447787519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7754.98883303662"/>
    <n v="75911.558427530035"/>
    <n v="82816.687681498166"/>
    <n v="0"/>
    <n v="22289.419693838598"/>
    <n v="0"/>
    <n v="756737.32303016982"/>
    <n v="0"/>
    <n v="0"/>
    <n v="0"/>
    <n v="779026.74272400839"/>
    <n v="0"/>
    <n v="7.9500009612564133"/>
    <n v="0.1285105408216142"/>
    <n v="7.8214904204347988"/>
    <n v="0"/>
    <n v="662172.73131540709"/>
    <n v="18946.006739762808"/>
    <n v="643226.72457564424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  <x v="1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577297.28616440261"/>
    <n v="0"/>
    <n v="256234.83946537593"/>
    <n v="952.06663022948101"/>
    <n v="0"/>
    <n v="0"/>
    <n v="0"/>
    <n v="1574682.9124116749"/>
    <n v="1574682.9124116749"/>
    <n v="952.06663022948101"/>
    <n v="5.3930685194022496"/>
    <n v="5.3963292143214572"/>
    <n v="3.2606949192077409E-3"/>
    <n v="5.3930685194022496"/>
    <n v="488151.70284761919"/>
    <n v="488446.84350299038"/>
    <n v="295.14065537113913"/>
    <n v="488151.70284761925"/>
    <x v="0"/>
  </r>
  <r>
    <x v="23"/>
    <s v=""/>
    <n v="0"/>
    <x v="1"/>
    <s v="Østdanmark"/>
    <n v="0"/>
    <n v="0"/>
    <n v="0"/>
    <n v="0"/>
    <n v="0"/>
    <n v="398766.23112041334"/>
    <n v="0"/>
    <n v="0"/>
    <n v="-398766.23112041334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738231.33813296724"/>
    <n v="0"/>
    <n v="0"/>
    <n v="0"/>
    <n v="561055.81698105508"/>
    <n v="117378.78276314179"/>
    <n v="0"/>
    <n v="0"/>
    <n v="59796.738388770376"/>
    <n v="59796.738388770376"/>
    <n v="561055.81698105508"/>
    <n v="3.026851100501168E-2"/>
    <n v="0.31426935500265196"/>
    <n v="0.28400084399764031"/>
    <n v="3.0268511005011656E-2"/>
    <n v="4544.5521175465483"/>
    <n v="47184.79420810673"/>
    <n v="42640.242090560183"/>
    <n v="4544.5521175465474"/>
    <x v="0"/>
  </r>
  <r>
    <x v="25"/>
    <s v="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555482.60888742993"/>
    <n v="0"/>
    <n v="0"/>
    <n v="15333.686496408332"/>
    <n v="0"/>
    <n v="0"/>
    <n v="0"/>
    <n v="-181821.92523813841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  <x v="1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21023.015601598698"/>
    <n v="0"/>
    <n v="0"/>
    <n v="0"/>
    <n v="0"/>
    <n v="0"/>
    <n v="0"/>
    <n v="81180.880041585086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x v="0"/>
  </r>
  <r>
    <x v="38"/>
    <s v="Græs og urter"/>
    <n v="1"/>
    <x v="1"/>
    <s v="Østdanmark"/>
    <n v="2381738.5992335565"/>
    <n v="82596.701464021666"/>
    <n v="0"/>
    <n v="0"/>
    <n v="24569.279216726416"/>
    <n v="0"/>
    <n v="0"/>
    <n v="0"/>
    <n v="2274572.6185528086"/>
    <n v="1992661.9607506471"/>
    <n v="24569.279216726416"/>
    <n v="5.4081642679556863"/>
    <n v="5.4748462745210507"/>
    <n v="6.668200656536416E-2"/>
    <n v="5.4081642679556863"/>
    <n v="398532.39215012942"/>
    <n v="403446.24799347471"/>
    <n v="4913.8558433452836"/>
    <n v="398532.39215012942"/>
    <x v="0"/>
  </r>
  <r>
    <x v="39"/>
    <s v="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  <x v="0"/>
  </r>
  <r>
    <x v="40"/>
    <s v="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  <x v="0"/>
  </r>
  <r>
    <x v="42"/>
    <s v="Husdyrgødning"/>
    <n v="1"/>
    <x v="1"/>
    <s v="Østdanmark"/>
    <n v="1747439.8704342765"/>
    <n v="0"/>
    <n v="0"/>
    <n v="0"/>
    <n v="926143.13133016659"/>
    <n v="821296.73910410993"/>
    <n v="0"/>
    <n v="0"/>
    <n v="0"/>
    <n v="0"/>
    <n v="926143.13133016659"/>
    <n v="0"/>
    <n v="0.39898246097703582"/>
    <n v="0.39898246097703582"/>
    <n v="0"/>
    <n v="0"/>
    <n v="46307.156566508333"/>
    <n v="46307.156566508333"/>
    <n v="0"/>
    <x v="0"/>
  </r>
  <r>
    <x v="43"/>
    <s v="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x v="0"/>
  </r>
  <r>
    <x v="0"/>
    <s v="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6333.293402992078"/>
    <n v="0"/>
    <n v="0"/>
    <n v="0"/>
    <n v="0"/>
    <n v="0"/>
    <n v="0"/>
    <n v="21513.506854886218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04340897.10458454"/>
    <n v="0"/>
    <n v="0"/>
    <n v="0"/>
    <n v="0"/>
    <n v="0"/>
    <n v="104340897.10458454"/>
    <n v="0"/>
    <n v="0"/>
    <n v="0"/>
    <n v="104340897.10458454"/>
    <n v="0"/>
    <n v="0"/>
    <n v="0"/>
    <n v="0"/>
    <n v="0"/>
    <n v="0"/>
    <n v="0"/>
    <n v="0"/>
    <x v="0"/>
  </r>
  <r>
    <x v="4"/>
    <s v=""/>
    <n v="0"/>
    <x v="2"/>
    <s v="Østdanmark"/>
    <n v="3132565.3017730014"/>
    <n v="0"/>
    <n v="0"/>
    <n v="0"/>
    <n v="0"/>
    <n v="2636262.8953785724"/>
    <n v="0"/>
    <n v="0"/>
    <n v="496302.40639442904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578.47871789484248"/>
    <n v="0"/>
    <n v="0"/>
    <n v="0"/>
    <n v="289.23935894742124"/>
    <n v="218.99551463161893"/>
    <n v="0"/>
    <n v="0"/>
    <n v="70.243844315802335"/>
    <n v="70.243844315802335"/>
    <n v="289.23935894742124"/>
    <n v="3.3034977543278681E-5"/>
    <n v="1.690613556626614E-4"/>
    <n v="1.3602637811938273E-4"/>
    <n v="3.3034977543278674E-5"/>
    <n v="4.4253621918955472"/>
    <n v="22.647441805583085"/>
    <n v="18.222079613687537"/>
    <n v="4.4253621918955481"/>
    <x v="0"/>
  </r>
  <r>
    <x v="9"/>
    <s v="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163650.2851152783"/>
    <n v="1201654.4608093717"/>
    <n v="0"/>
    <n v="0"/>
    <n v="10149.946321457959"/>
    <n v="0"/>
    <n v="0"/>
    <n v="0"/>
    <n v="951845.8779844488"/>
    <n v="951845.8779844488"/>
    <n v="10149.946321457959"/>
    <n v="1.7512774347566378"/>
    <n v="1.7699520672448303"/>
    <n v="1.8674632488192462E-2"/>
    <n v="1.7512774347566378"/>
    <n v="266516.84583564568"/>
    <n v="269358.83080565394"/>
    <n v="2841.9849700082286"/>
    <n v="266516.84583564568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7722.26759868616"/>
    <n v="75911.55842753005"/>
    <n v="82449.939525946174"/>
    <n v="0"/>
    <n v="22570.244690841144"/>
    <n v="0"/>
    <n v="736790.52495436871"/>
    <n v="0"/>
    <n v="0"/>
    <n v="0"/>
    <n v="759360.76964520989"/>
    <n v="0"/>
    <n v="7.7454538270123328"/>
    <n v="0.13012964857483225"/>
    <n v="7.6153241784375005"/>
    <n v="0"/>
    <n v="645456.65419842838"/>
    <n v="19184.707987214973"/>
    <n v="626271.94621121336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  <x v="1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577297.28616440273"/>
    <n v="0"/>
    <n v="268249.01834925939"/>
    <n v="960.24397829585632"/>
    <n v="0"/>
    <n v="0"/>
    <n v="0"/>
    <n v="1513732.8400958194"/>
    <n v="1513732.8400958194"/>
    <n v="960.24397829585632"/>
    <n v="5.1843230547305694"/>
    <n v="5.1876117559220756"/>
    <n v="3.288701191506347E-3"/>
    <n v="5.1843230547305694"/>
    <n v="469257.18042970402"/>
    <n v="469554.85606297577"/>
    <n v="297.67563327171547"/>
    <n v="469257.18042970408"/>
    <x v="0"/>
  </r>
  <r>
    <x v="23"/>
    <s v=""/>
    <n v="0"/>
    <x v="2"/>
    <s v="Østdanmark"/>
    <n v="0"/>
    <n v="0"/>
    <n v="0"/>
    <n v="0"/>
    <n v="0"/>
    <n v="388599.4488834205"/>
    <n v="0"/>
    <n v="0"/>
    <n v="-388599.4488834205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724125.12538599269"/>
    <n v="0"/>
    <n v="0"/>
    <n v="0"/>
    <n v="550335.09529335448"/>
    <n v="115135.89493637283"/>
    <n v="0"/>
    <n v="0"/>
    <n v="58654.135156265344"/>
    <n v="58654.135156265344"/>
    <n v="550335.09529335448"/>
    <n v="2.9690136674749956E-2"/>
    <n v="0.30826425856129308"/>
    <n v="0.27857412188654312"/>
    <n v="2.9690136674749956E-2"/>
    <n v="4457.7142718761661"/>
    <n v="46283.181514171105"/>
    <n v="41825.467242294937"/>
    <n v="4457.7142718761679"/>
    <x v="0"/>
  </r>
  <r>
    <x v="25"/>
    <s v="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555482.60888743005"/>
    <n v="0"/>
    <n v="0"/>
    <n v="15500.875420530891"/>
    <n v="0"/>
    <n v="0"/>
    <n v="0"/>
    <n v="-187235.61050078244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  <x v="1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99581.589220524314"/>
    <n v="21023.015601598701"/>
    <n v="0"/>
    <n v="0"/>
    <n v="0"/>
    <n v="0"/>
    <n v="0"/>
    <n v="0"/>
    <n v="78558.573618925613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x v="0"/>
  </r>
  <r>
    <x v="38"/>
    <s v="Græs og urter"/>
    <n v="1"/>
    <x v="2"/>
    <s v="Østdanmark"/>
    <n v="2322627.8500566902"/>
    <n v="82596.70146402168"/>
    <n v="0"/>
    <n v="0"/>
    <n v="24610.929224370728"/>
    <n v="0"/>
    <n v="0"/>
    <n v="0"/>
    <n v="2215420.2193682976"/>
    <n v="1919162.7967223886"/>
    <n v="24610.929224370728"/>
    <n v="5.2086845968164317"/>
    <n v="5.2754796431685431"/>
    <n v="6.6795046352111129E-2"/>
    <n v="5.2086845968164317"/>
    <n v="383832.55934447772"/>
    <n v="388754.7451893519"/>
    <n v="4922.1858448741459"/>
    <n v="383832.55934447778"/>
    <x v="0"/>
  </r>
  <r>
    <x v="39"/>
    <s v="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  <x v="0"/>
  </r>
  <r>
    <x v="40"/>
    <s v="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  <x v="0"/>
  </r>
  <r>
    <x v="42"/>
    <s v="Husdyrgødning"/>
    <n v="1"/>
    <x v="2"/>
    <s v="Østdanmark"/>
    <n v="1672957.9533098161"/>
    <n v="0"/>
    <n v="0"/>
    <n v="0"/>
    <n v="886667.7152542026"/>
    <n v="786290.23805561347"/>
    <n v="0"/>
    <n v="0"/>
    <n v="0"/>
    <n v="0"/>
    <n v="886667.7152542026"/>
    <n v="0"/>
    <n v="0.38197645173151057"/>
    <n v="0.38197645173151057"/>
    <n v="0"/>
    <n v="0"/>
    <n v="44333.385762710132"/>
    <n v="44333.385762710132"/>
    <n v="0"/>
    <x v="0"/>
  </r>
  <r>
    <x v="43"/>
    <s v="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  <x v="0"/>
  </r>
  <r>
    <x v="47"/>
    <s v=""/>
    <n v="0"/>
    <x v="2"/>
    <s v="Østdanmark"/>
    <n v="161179.02528703219"/>
    <n v="0"/>
    <n v="0"/>
    <n v="0"/>
    <n v="0"/>
    <n v="0"/>
    <n v="0"/>
    <n v="0"/>
    <n v="161179.02528703219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51598.780380153592"/>
    <n v="0"/>
    <n v="0"/>
    <n v="0"/>
    <n v="0"/>
    <n v="0"/>
    <n v="0"/>
    <n v="218519.6626810932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436104134.24282026"/>
    <n v="0"/>
    <n v="0"/>
    <n v="0"/>
    <n v="0"/>
    <n v="0"/>
    <n v="436104134.24282026"/>
    <n v="0"/>
    <n v="0"/>
    <n v="0"/>
    <n v="436104134.24282026"/>
    <n v="0"/>
    <n v="0"/>
    <n v="0"/>
    <n v="0"/>
    <n v="0"/>
    <n v="0"/>
    <n v="0"/>
    <n v="0"/>
    <n v="0"/>
    <x v="1"/>
  </r>
  <r>
    <x v="4"/>
    <s v=""/>
    <n v="0"/>
    <x v="1"/>
    <s v="Vestdanmark"/>
    <n v="16654690.164173149"/>
    <n v="0"/>
    <n v="0"/>
    <n v="0"/>
    <n v="0"/>
    <n v="14170727.436337013"/>
    <n v="0"/>
    <n v="0"/>
    <n v="2483962.7278361358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6674.1809084363849"/>
    <n v="0"/>
    <n v="0"/>
    <n v="0"/>
    <n v="3337.0904542181925"/>
    <n v="2526.6542010509174"/>
    <n v="0"/>
    <n v="0"/>
    <n v="810.43625316727503"/>
    <n v="810.43625316727503"/>
    <n v="3337.0904542181925"/>
    <n v="3.8114006550203779E-4"/>
    <n v="1.9505403352163115E-3"/>
    <n v="1.5694002697142738E-3"/>
    <n v="3.8114006550203769E-4"/>
    <n v="51.05748394953833"/>
    <n v="261.29418256528447"/>
    <n v="210.23669861574612"/>
    <n v="51.057483949538351"/>
    <n v="0"/>
    <x v="0"/>
  </r>
  <r>
    <x v="9"/>
    <s v="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463363.602305863"/>
    <n v="9790151.9274066389"/>
    <n v="0"/>
    <n v="0"/>
    <n v="75614.059561949907"/>
    <n v="0"/>
    <n v="0"/>
    <n v="0"/>
    <n v="6597597.615337275"/>
    <n v="6597597.615337275"/>
    <n v="75614.059561949907"/>
    <n v="12.138754912518669"/>
    <n v="12.277875330355212"/>
    <n v="0.13912041783654258"/>
    <n v="12.138754912518669"/>
    <n v="1847327.3322944371"/>
    <n v="1868499.2689717831"/>
    <n v="21171.936677345977"/>
    <n v="1847327.3322944371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39184.2877324577"/>
    <n v="618468.71483434096"/>
    <n v="581579.9632190367"/>
    <n v="0"/>
    <n v="53644.580306161413"/>
    <n v="0"/>
    <n v="1385491.0293729189"/>
    <n v="0"/>
    <n v="0"/>
    <n v="0"/>
    <n v="1439135.6096790803"/>
    <n v="0"/>
    <n v="14.629456937744798"/>
    <n v="0.30928997353838589"/>
    <n v="14.320166964206413"/>
    <n v="0"/>
    <n v="1223265.2682272182"/>
    <n v="45597.893260237201"/>
    <n v="1177667.3749669809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  <n v="1"/>
    <x v="1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4703372.1615964994"/>
    <n v="0"/>
    <n v="295933.04302308214"/>
    <n v="2833.9333697705197"/>
    <n v="0"/>
    <n v="0"/>
    <n v="0"/>
    <n v="2169017.6219496708"/>
    <n v="2169017.6219496708"/>
    <n v="2833.9333697705197"/>
    <n v="7.4285816927105506"/>
    <n v="7.438287517751343"/>
    <n v="9.7058250407922632E-3"/>
    <n v="7.4285816927105506"/>
    <n v="672395.46280439792"/>
    <n v="673273.98214902682"/>
    <n v="878.51934462886106"/>
    <n v="672395.46280439792"/>
    <n v="0"/>
    <x v="0"/>
  </r>
  <r>
    <x v="23"/>
    <s v=""/>
    <n v="0"/>
    <x v="1"/>
    <s v="Vestdanmark"/>
    <n v="0"/>
    <n v="0"/>
    <n v="0"/>
    <n v="0"/>
    <n v="0"/>
    <n v="851831.85374033672"/>
    <n v="0"/>
    <n v="0"/>
    <n v="-851831.85374033672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0386797.369068628"/>
    <n v="0"/>
    <n v="0"/>
    <n v="0"/>
    <n v="7893966.0004921574"/>
    <n v="1651500.7816819118"/>
    <n v="0"/>
    <n v="0"/>
    <n v="841330.58689455874"/>
    <n v="841330.58689455874"/>
    <n v="7893966.0004921574"/>
    <n v="0.42587312978015673"/>
    <n v="4.4217197795692824"/>
    <n v="3.9958466497891258"/>
    <n v="0.42587312978015657"/>
    <n v="63941.124603986464"/>
    <n v="663882.54064139037"/>
    <n v="599941.41603740398"/>
    <n v="63941.124603986391"/>
    <n v="0"/>
    <x v="0"/>
  </r>
  <r>
    <x v="25"/>
    <s v="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4525643.0291759707"/>
    <n v="0"/>
    <n v="0"/>
    <n v="314692.31350359169"/>
    <n v="0"/>
    <n v="0"/>
    <n v="0"/>
    <n v="3142972.4098101053"/>
    <n v="2961150.4845719668"/>
    <n v="314692.31350359169"/>
    <n v="10.630530239613362"/>
    <n v="11.760275645091257"/>
    <n v="1.1297454054778944"/>
    <n v="10.630530239613362"/>
    <n v="888345.14537159004"/>
    <n v="982752.83942266752"/>
    <n v="94407.694051077502"/>
    <n v="888345.14537159004"/>
    <n v="0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  <n v="1"/>
    <x v="1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3895.35257685397"/>
    <n v="171279.2848730098"/>
    <n v="0"/>
    <n v="0"/>
    <n v="0"/>
    <n v="0"/>
    <n v="0"/>
    <n v="0"/>
    <n v="82616.067703844164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n v="0"/>
    <x v="1"/>
  </r>
  <r>
    <x v="38"/>
    <s v="Græs og urter"/>
    <n v="1"/>
    <x v="1"/>
    <s v="Vestdanmark"/>
    <n v="395099.15710561507"/>
    <n v="672934.09412450308"/>
    <n v="0"/>
    <n v="0"/>
    <n v="4075.7207832735812"/>
    <n v="0"/>
    <n v="0"/>
    <n v="0"/>
    <n v="-281910.65780216159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  <n v="0"/>
    <x v="0"/>
  </r>
  <r>
    <x v="42"/>
    <s v="Husdyrgødning"/>
    <n v="1"/>
    <x v="1"/>
    <s v="Vestdanmark"/>
    <n v="12059866.540704856"/>
    <n v="0"/>
    <n v="0"/>
    <n v="0"/>
    <n v="6391729.2665735735"/>
    <n v="5668137.2741312822"/>
    <n v="0"/>
    <n v="0"/>
    <n v="0"/>
    <n v="0"/>
    <n v="6391729.2665735735"/>
    <n v="0"/>
    <n v="2.7535569680398959"/>
    <n v="2.7535569680398959"/>
    <n v="0"/>
    <n v="0"/>
    <n v="319586.46332867868"/>
    <n v="319586.46332867868"/>
    <n v="0"/>
    <n v="0"/>
    <x v="1"/>
  </r>
  <r>
    <x v="43"/>
    <s v="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51598.780380153592"/>
    <n v="0"/>
    <n v="0"/>
    <n v="0"/>
    <n v="0"/>
    <n v="0"/>
    <n v="0"/>
    <n v="208864.25233337711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34305248.86575383"/>
    <n v="0"/>
    <n v="0"/>
    <n v="0"/>
    <n v="0"/>
    <n v="0"/>
    <n v="434305248.86575383"/>
    <n v="0"/>
    <n v="0"/>
    <n v="0"/>
    <n v="434305248.86575383"/>
    <n v="0"/>
    <n v="0"/>
    <n v="0"/>
    <n v="0"/>
    <n v="0"/>
    <n v="0"/>
    <n v="0"/>
    <n v="0"/>
    <n v="0"/>
    <x v="1"/>
  </r>
  <r>
    <x v="4"/>
    <s v=""/>
    <n v="0"/>
    <x v="2"/>
    <s v="Vestdanmark"/>
    <n v="16361961.782417906"/>
    <n v="0"/>
    <n v="0"/>
    <n v="0"/>
    <n v="0"/>
    <n v="13769683.498114759"/>
    <n v="0"/>
    <n v="0"/>
    <n v="2592278.2843031473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6892.4253779859373"/>
    <n v="0"/>
    <n v="0"/>
    <n v="0"/>
    <n v="3446.2126889929687"/>
    <n v="2609.2753216661044"/>
    <n v="0"/>
    <n v="0"/>
    <n v="836.93736732686375"/>
    <n v="836.93736732686375"/>
    <n v="3446.2126889929687"/>
    <n v="3.9360327448015076E-4"/>
    <n v="2.0143226399866538E-3"/>
    <n v="1.6207193655065032E-3"/>
    <n v="3.936032744801506E-4"/>
    <n v="52.727054141592419"/>
    <n v="269.83845354814946"/>
    <n v="217.11139940655701"/>
    <n v="52.727054141592447"/>
    <n v="0"/>
    <x v="0"/>
  </r>
  <r>
    <x v="9"/>
    <s v="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6099999.551723864"/>
    <n v="9790151.9274066389"/>
    <n v="0"/>
    <n v="0"/>
    <n v="75527.053678542041"/>
    <n v="0"/>
    <n v="0"/>
    <n v="0"/>
    <n v="6234320.5706386827"/>
    <n v="6234320.5706386827"/>
    <n v="75527.053678542041"/>
    <n v="11.470370559903847"/>
    <n v="11.609330897790654"/>
    <n v="0.13896033788680753"/>
    <n v="11.470370559903847"/>
    <n v="1745609.7597788314"/>
    <n v="1766757.3348088232"/>
    <n v="21147.575029991774"/>
    <n v="1745609.7597788314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54079.4309541653"/>
    <n v="618468.71483434096"/>
    <n v="579210.80448009283"/>
    <n v="0"/>
    <n v="53363.755309158871"/>
    <n v="0"/>
    <n v="1303036.156330572"/>
    <n v="0"/>
    <n v="0"/>
    <n v="0"/>
    <n v="1356399.9116397309"/>
    <n v="0"/>
    <n v="13.775600230507971"/>
    <n v="0.30767086578516784"/>
    <n v="13.467929364722803"/>
    <n v="0"/>
    <n v="1152939.9248937713"/>
    <n v="45359.192012785039"/>
    <n v="1107580.7328809863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  <n v="1"/>
    <x v="1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4703372.1615964994"/>
    <n v="0"/>
    <n v="307470.55071854044"/>
    <n v="2825.7560217041437"/>
    <n v="0"/>
    <n v="0"/>
    <n v="0"/>
    <n v="1931921.2106545279"/>
    <n v="1931921.2106545279"/>
    <n v="2825.7560217041437"/>
    <n v="6.6165596775222673"/>
    <n v="6.6262374962907611"/>
    <n v="9.6778187684936554E-3"/>
    <n v="6.6165596775222673"/>
    <n v="598895.57530290366"/>
    <n v="599771.55966963188"/>
    <n v="875.9843667282845"/>
    <n v="598895.57530290354"/>
    <n v="0"/>
    <x v="0"/>
  </r>
  <r>
    <x v="23"/>
    <s v=""/>
    <n v="0"/>
    <x v="2"/>
    <s v="Vestdanmark"/>
    <n v="0"/>
    <n v="0"/>
    <n v="0"/>
    <n v="0"/>
    <n v="0"/>
    <n v="822588.45729733328"/>
    <n v="0"/>
    <n v="0"/>
    <n v="-822588.45729733328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0188325.202039858"/>
    <n v="0"/>
    <n v="0"/>
    <n v="0"/>
    <n v="7743127.1535502924"/>
    <n v="1619943.7071243373"/>
    <n v="0"/>
    <n v="0"/>
    <n v="825254.34136522934"/>
    <n v="825254.34136522934"/>
    <n v="7743127.1535502924"/>
    <n v="0.41773549505566548"/>
    <n v="4.3372290289112883"/>
    <n v="3.9194935338556229"/>
    <n v="0.41773549505566532"/>
    <n v="62719.329943757431"/>
    <n v="651196.99361357966"/>
    <n v="588477.66366982216"/>
    <n v="62719.329943757504"/>
    <n v="0"/>
    <x v="0"/>
  </r>
  <r>
    <x v="25"/>
    <s v="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4525643.0291759707"/>
    <n v="0"/>
    <n v="0"/>
    <n v="314525.12457946909"/>
    <n v="0"/>
    <n v="0"/>
    <n v="0"/>
    <n v="2946382.2533553997"/>
    <n v="2759146.6428546174"/>
    <n v="314525.12457946909"/>
    <n v="9.905336447848077"/>
    <n v="11.034481645088372"/>
    <n v="1.1291451972402942"/>
    <n v="9.905336447848077"/>
    <n v="827743.99285638519"/>
    <n v="922101.530230226"/>
    <n v="94357.537373840722"/>
    <n v="827743.9928563853"/>
    <n v="0"/>
    <x v="0"/>
  </r>
  <r>
    <x v="27"/>
    <s v="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44519.97857097647"/>
    <n v="171279.2848730098"/>
    <n v="0"/>
    <n v="0"/>
    <n v="0"/>
    <n v="0"/>
    <n v="0"/>
    <n v="0"/>
    <n v="73240.693697966664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n v="0"/>
    <x v="1"/>
  </r>
  <r>
    <x v="38"/>
    <s v="Græs og urter"/>
    <n v="1"/>
    <x v="2"/>
    <s v="Vestdanmark"/>
    <n v="380710.74225422333"/>
    <n v="672934.09412450308"/>
    <n v="0"/>
    <n v="0"/>
    <n v="4034.07077562927"/>
    <n v="0"/>
    <n v="0"/>
    <n v="0"/>
    <n v="-296257.42264590901"/>
    <n v="0"/>
    <n v="4034.07077562927"/>
    <n v="0"/>
    <n v="1.0948629447888865E-2"/>
    <n v="1.0948629447888865E-2"/>
    <n v="0"/>
    <n v="0"/>
    <n v="806.81415512585409"/>
    <n v="806.81415512585409"/>
    <n v="0"/>
    <n v="0"/>
    <x v="0"/>
  </r>
  <r>
    <x v="39"/>
    <s v="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  <n v="0"/>
    <x v="0"/>
  </r>
  <r>
    <x v="42"/>
    <s v="Husdyrgødning"/>
    <n v="1"/>
    <x v="2"/>
    <s v="Vestdanmark"/>
    <n v="11545833.414063649"/>
    <n v="0"/>
    <n v="0"/>
    <n v="0"/>
    <n v="6119291.7094537346"/>
    <n v="5426541.7046099147"/>
    <n v="0"/>
    <n v="0"/>
    <n v="0"/>
    <n v="0"/>
    <n v="6119291.7094537346"/>
    <n v="0"/>
    <n v="2.6361908684326694"/>
    <n v="2.6361908684326694"/>
    <n v="0"/>
    <n v="0"/>
    <n v="305964.58547268674"/>
    <n v="305964.58547268674"/>
    <n v="0"/>
    <n v="0"/>
    <x v="1"/>
  </r>
  <r>
    <x v="43"/>
    <s v="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  <n v="0"/>
    <x v="1"/>
  </r>
  <r>
    <x v="47"/>
    <s v=""/>
    <n v="0"/>
    <x v="2"/>
    <s v="Vestdanmark"/>
    <n v="551646.84040095157"/>
    <n v="0"/>
    <n v="0"/>
    <n v="0"/>
    <n v="0"/>
    <n v="0"/>
    <n v="0"/>
    <n v="0"/>
    <n v="551646.84040095157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6333.2934029920762"/>
    <n v="0"/>
    <n v="0"/>
    <n v="0"/>
    <n v="0"/>
    <n v="0"/>
    <n v="0"/>
    <n v="22219.13203901506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3250703.76009664"/>
    <n v="0"/>
    <n v="0"/>
    <n v="0"/>
    <n v="0"/>
    <n v="0"/>
    <n v="103250703.76009664"/>
    <n v="0"/>
    <n v="0"/>
    <n v="0"/>
    <n v="103250703.76009664"/>
    <n v="0"/>
    <n v="0"/>
    <n v="0"/>
    <n v="0"/>
    <n v="0"/>
    <n v="0"/>
    <n v="0"/>
    <n v="0"/>
    <n v="0"/>
    <x v="1"/>
  </r>
  <r>
    <x v="4"/>
    <s v=""/>
    <n v="0"/>
    <x v="1"/>
    <s v="Østdanmark"/>
    <n v="3113194.8160989988"/>
    <n v="0"/>
    <n v="0"/>
    <n v="0"/>
    <n v="0"/>
    <n v="2648877.5690380111"/>
    <n v="0"/>
    <n v="0"/>
    <n v="464317.24706098763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560.16154012228367"/>
    <n v="0"/>
    <n v="0"/>
    <n v="0"/>
    <n v="280.08077006114183"/>
    <n v="212.06115447486451"/>
    <n v="0"/>
    <n v="0"/>
    <n v="68.019615586277325"/>
    <n v="68.019615586277325"/>
    <n v="280.08077006114183"/>
    <n v="3.1988945014070367E-5"/>
    <n v="1.6370813036612478E-4"/>
    <n v="1.317191853520544E-4"/>
    <n v="3.198894501407038E-5"/>
    <n v="4.2852357819354712"/>
    <n v="21.930324295787408"/>
    <n v="17.645088513851935"/>
    <n v="4.2852357819354729"/>
    <n v="0"/>
    <x v="0"/>
  </r>
  <r>
    <x v="9"/>
    <s v="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190992.6315255472"/>
    <n v="1201654.4608093714"/>
    <n v="0"/>
    <n v="0"/>
    <n v="10062.940438050116"/>
    <n v="0"/>
    <n v="0"/>
    <n v="0"/>
    <n v="979275.23027812573"/>
    <n v="979275.23027812573"/>
    <n v="10062.940438050116"/>
    <n v="1.8017440143079666"/>
    <n v="1.820258566846424"/>
    <n v="1.8514552538457459E-2"/>
    <n v="1.8017440143079666"/>
    <n v="274197.06447787525"/>
    <n v="277014.68780052924"/>
    <n v="2817.623322654033"/>
    <n v="274197.06447787519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7754.98883303662"/>
    <n v="75911.558427530035"/>
    <n v="82816.687681498166"/>
    <n v="0"/>
    <n v="22289.419693838598"/>
    <n v="0"/>
    <n v="756737.32303016982"/>
    <n v="0"/>
    <n v="0"/>
    <n v="0"/>
    <n v="779026.74272400839"/>
    <n v="0"/>
    <n v="7.9500009612564133"/>
    <n v="0.1285105408216142"/>
    <n v="7.8214904204347988"/>
    <n v="0"/>
    <n v="662172.73131540709"/>
    <n v="18946.006739762808"/>
    <n v="643226.72457564424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  <n v="1"/>
    <x v="1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577297.28616440261"/>
    <n v="0"/>
    <n v="256234.83946537593"/>
    <n v="952.06663022948101"/>
    <n v="0"/>
    <n v="0"/>
    <n v="0"/>
    <n v="1574682.9124116749"/>
    <n v="1574682.9124116749"/>
    <n v="952.06663022948101"/>
    <n v="5.3930685194022496"/>
    <n v="5.3963292143214572"/>
    <n v="3.2606949192077409E-3"/>
    <n v="5.3930685194022496"/>
    <n v="488151.70284761919"/>
    <n v="488446.84350299038"/>
    <n v="295.14065537113913"/>
    <n v="488151.70284761925"/>
    <n v="0"/>
    <x v="0"/>
  </r>
  <r>
    <x v="23"/>
    <s v=""/>
    <n v="0"/>
    <x v="1"/>
    <s v="Østdanmark"/>
    <n v="0"/>
    <n v="0"/>
    <n v="0"/>
    <n v="0"/>
    <n v="0"/>
    <n v="398766.23112041334"/>
    <n v="0"/>
    <n v="0"/>
    <n v="-398766.23112041334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738231.33813296724"/>
    <n v="0"/>
    <n v="0"/>
    <n v="0"/>
    <n v="561055.81698105508"/>
    <n v="117378.78276314179"/>
    <n v="0"/>
    <n v="0"/>
    <n v="59796.738388770376"/>
    <n v="59796.738388770376"/>
    <n v="561055.81698105508"/>
    <n v="3.026851100501168E-2"/>
    <n v="0.31426935500265196"/>
    <n v="0.28400084399764031"/>
    <n v="3.0268511005011656E-2"/>
    <n v="4544.5521175465483"/>
    <n v="47184.79420810673"/>
    <n v="42640.242090560183"/>
    <n v="4544.5521175465474"/>
    <n v="0"/>
    <x v="0"/>
  </r>
  <r>
    <x v="25"/>
    <s v="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555482.60888742993"/>
    <n v="0"/>
    <n v="0"/>
    <n v="15333.686496408332"/>
    <n v="0"/>
    <n v="0"/>
    <n v="0"/>
    <n v="-181821.92523813841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  <n v="1"/>
    <x v="1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2203.89564318379"/>
    <n v="21023.015601598698"/>
    <n v="0"/>
    <n v="0"/>
    <n v="0"/>
    <n v="0"/>
    <n v="0"/>
    <n v="0"/>
    <n v="81180.880041585086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n v="0"/>
    <x v="1"/>
  </r>
  <r>
    <x v="38"/>
    <s v="Græs og urter"/>
    <n v="1"/>
    <x v="1"/>
    <s v="Østdanmark"/>
    <n v="2381738.5992335565"/>
    <n v="82596.701464021666"/>
    <n v="0"/>
    <n v="0"/>
    <n v="24569.279216726416"/>
    <n v="0"/>
    <n v="0"/>
    <n v="0"/>
    <n v="2274572.6185528086"/>
    <n v="1992661.9607506471"/>
    <n v="24569.279216726416"/>
    <n v="5.4081642679556863"/>
    <n v="5.4748462745210507"/>
    <n v="6.668200656536416E-2"/>
    <n v="5.4081642679556863"/>
    <n v="398532.39215012942"/>
    <n v="403446.24799347471"/>
    <n v="4913.8558433452836"/>
    <n v="398532.39215012942"/>
    <n v="0"/>
    <x v="0"/>
  </r>
  <r>
    <x v="39"/>
    <s v="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  <n v="0"/>
    <x v="0"/>
  </r>
  <r>
    <x v="42"/>
    <s v="Husdyrgødning"/>
    <n v="1"/>
    <x v="1"/>
    <s v="Østdanmark"/>
    <n v="1747439.8704342765"/>
    <n v="0"/>
    <n v="0"/>
    <n v="0"/>
    <n v="926143.13133016659"/>
    <n v="821296.73910410993"/>
    <n v="0"/>
    <n v="0"/>
    <n v="0"/>
    <n v="0"/>
    <n v="926143.13133016659"/>
    <n v="0"/>
    <n v="0.39898246097703582"/>
    <n v="0.39898246097703582"/>
    <n v="0"/>
    <n v="0"/>
    <n v="46307.156566508333"/>
    <n v="46307.156566508333"/>
    <n v="0"/>
    <n v="0"/>
    <x v="1"/>
  </r>
  <r>
    <x v="43"/>
    <s v="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6333.293402992078"/>
    <n v="0"/>
    <n v="0"/>
    <n v="0"/>
    <n v="0"/>
    <n v="0"/>
    <n v="0"/>
    <n v="21513.506854886218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04340897.10458454"/>
    <n v="0"/>
    <n v="0"/>
    <n v="0"/>
    <n v="0"/>
    <n v="0"/>
    <n v="104340897.10458454"/>
    <n v="0"/>
    <n v="0"/>
    <n v="0"/>
    <n v="104340897.10458454"/>
    <n v="0"/>
    <n v="0"/>
    <n v="0"/>
    <n v="0"/>
    <n v="0"/>
    <n v="0"/>
    <n v="0"/>
    <n v="0"/>
    <n v="0"/>
    <x v="1"/>
  </r>
  <r>
    <x v="4"/>
    <s v=""/>
    <n v="0"/>
    <x v="2"/>
    <s v="Østdanmark"/>
    <n v="3132565.3017730014"/>
    <n v="0"/>
    <n v="0"/>
    <n v="0"/>
    <n v="0"/>
    <n v="2636262.8953785724"/>
    <n v="0"/>
    <n v="0"/>
    <n v="496302.40639442904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578.47871789484248"/>
    <n v="0"/>
    <n v="0"/>
    <n v="0"/>
    <n v="289.23935894742124"/>
    <n v="218.99551463161893"/>
    <n v="0"/>
    <n v="0"/>
    <n v="70.243844315802335"/>
    <n v="70.243844315802335"/>
    <n v="289.23935894742124"/>
    <n v="3.3034977543278681E-5"/>
    <n v="1.690613556626614E-4"/>
    <n v="1.3602637811938273E-4"/>
    <n v="3.3034977543278674E-5"/>
    <n v="4.4253621918955472"/>
    <n v="22.647441805583085"/>
    <n v="18.222079613687537"/>
    <n v="4.4253621918955481"/>
    <n v="0"/>
    <x v="0"/>
  </r>
  <r>
    <x v="9"/>
    <s v="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163650.2851152783"/>
    <n v="1201654.4608093717"/>
    <n v="0"/>
    <n v="0"/>
    <n v="10149.946321457959"/>
    <n v="0"/>
    <n v="0"/>
    <n v="0"/>
    <n v="951845.8779844488"/>
    <n v="951845.8779844488"/>
    <n v="10149.946321457959"/>
    <n v="1.7512774347566378"/>
    <n v="1.7699520672448303"/>
    <n v="1.8674632488192462E-2"/>
    <n v="1.7512774347566378"/>
    <n v="266516.84583564568"/>
    <n v="269358.83080565394"/>
    <n v="2841.9849700082286"/>
    <n v="266516.84583564568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7722.26759868616"/>
    <n v="75911.55842753005"/>
    <n v="82449.939525946174"/>
    <n v="0"/>
    <n v="22570.244690841144"/>
    <n v="0"/>
    <n v="736790.52495436871"/>
    <n v="0"/>
    <n v="0"/>
    <n v="0"/>
    <n v="759360.76964520989"/>
    <n v="0"/>
    <n v="7.7454538270123328"/>
    <n v="0.13012964857483225"/>
    <n v="7.6153241784375005"/>
    <n v="0"/>
    <n v="645456.65419842838"/>
    <n v="19184.707987214973"/>
    <n v="626271.94621121336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  <n v="1"/>
    <x v="1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577297.28616440273"/>
    <n v="0"/>
    <n v="268249.01834925939"/>
    <n v="960.24397829585632"/>
    <n v="0"/>
    <n v="0"/>
    <n v="0"/>
    <n v="1513732.8400958194"/>
    <n v="1513732.8400958194"/>
    <n v="960.24397829585632"/>
    <n v="5.1843230547305694"/>
    <n v="5.1876117559220756"/>
    <n v="3.288701191506347E-3"/>
    <n v="5.1843230547305694"/>
    <n v="469257.18042970402"/>
    <n v="469554.85606297577"/>
    <n v="297.67563327171547"/>
    <n v="469257.18042970408"/>
    <n v="0"/>
    <x v="0"/>
  </r>
  <r>
    <x v="23"/>
    <s v=""/>
    <n v="0"/>
    <x v="2"/>
    <s v="Østdanmark"/>
    <n v="0"/>
    <n v="0"/>
    <n v="0"/>
    <n v="0"/>
    <n v="0"/>
    <n v="388599.4488834205"/>
    <n v="0"/>
    <n v="0"/>
    <n v="-388599.4488834205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724125.12538599269"/>
    <n v="0"/>
    <n v="0"/>
    <n v="0"/>
    <n v="550335.09529335448"/>
    <n v="115135.89493637283"/>
    <n v="0"/>
    <n v="0"/>
    <n v="58654.135156265344"/>
    <n v="58654.135156265344"/>
    <n v="550335.09529335448"/>
    <n v="2.9690136674749956E-2"/>
    <n v="0.30826425856129308"/>
    <n v="0.27857412188654312"/>
    <n v="2.9690136674749956E-2"/>
    <n v="4457.7142718761661"/>
    <n v="46283.181514171105"/>
    <n v="41825.467242294937"/>
    <n v="4457.7142718761679"/>
    <n v="0"/>
    <x v="0"/>
  </r>
  <r>
    <x v="25"/>
    <s v="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555482.60888743005"/>
    <n v="0"/>
    <n v="0"/>
    <n v="15500.875420530891"/>
    <n v="0"/>
    <n v="0"/>
    <n v="0"/>
    <n v="-187235.61050078244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99581.589220524314"/>
    <n v="21023.015601598701"/>
    <n v="0"/>
    <n v="0"/>
    <n v="0"/>
    <n v="0"/>
    <n v="0"/>
    <n v="0"/>
    <n v="78558.573618925613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n v="0"/>
    <x v="1"/>
  </r>
  <r>
    <x v="38"/>
    <s v="Græs og urter"/>
    <n v="1"/>
    <x v="2"/>
    <s v="Østdanmark"/>
    <n v="2322627.8500566902"/>
    <n v="82596.70146402168"/>
    <n v="0"/>
    <n v="0"/>
    <n v="24610.929224370728"/>
    <n v="0"/>
    <n v="0"/>
    <n v="0"/>
    <n v="2215420.2193682976"/>
    <n v="1919162.7967223886"/>
    <n v="24610.929224370728"/>
    <n v="5.2086845968164317"/>
    <n v="5.2754796431685431"/>
    <n v="6.6795046352111129E-2"/>
    <n v="5.2086845968164317"/>
    <n v="383832.55934447772"/>
    <n v="388754.7451893519"/>
    <n v="4922.1858448741459"/>
    <n v="383832.55934447778"/>
    <n v="0"/>
    <x v="0"/>
  </r>
  <r>
    <x v="39"/>
    <s v="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  <n v="0"/>
    <x v="0"/>
  </r>
  <r>
    <x v="42"/>
    <s v="Husdyrgødning"/>
    <n v="1"/>
    <x v="2"/>
    <s v="Østdanmark"/>
    <n v="1672957.9533098161"/>
    <n v="0"/>
    <n v="0"/>
    <n v="0"/>
    <n v="886667.7152542026"/>
    <n v="786290.23805561347"/>
    <n v="0"/>
    <n v="0"/>
    <n v="0"/>
    <n v="0"/>
    <n v="886667.7152542026"/>
    <n v="0"/>
    <n v="0.38197645173151057"/>
    <n v="0.38197645173151057"/>
    <n v="0"/>
    <n v="0"/>
    <n v="44333.385762710132"/>
    <n v="44333.385762710132"/>
    <n v="0"/>
    <n v="0"/>
    <x v="1"/>
  </r>
  <r>
    <x v="43"/>
    <s v="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  <n v="0"/>
    <x v="1"/>
  </r>
  <r>
    <x v="47"/>
    <s v=""/>
    <n v="0"/>
    <x v="2"/>
    <s v="Østdanmark"/>
    <n v="161179.02528703219"/>
    <n v="0"/>
    <n v="0"/>
    <n v="0"/>
    <n v="0"/>
    <n v="0"/>
    <n v="0"/>
    <n v="0"/>
    <n v="161179.02528703219"/>
    <n v="0"/>
    <n v="0"/>
    <n v="0"/>
    <n v="0"/>
    <n v="0"/>
    <n v="0"/>
    <n v="0"/>
    <n v="0"/>
    <n v="0"/>
    <n v="0"/>
    <n v="0"/>
    <x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s v="Vestdanmark"/>
    <x v="0"/>
    <n v="12546079.333675962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151930.36566196129"/>
    <s v="Biogasanlæg"/>
    <x v="5"/>
  </r>
  <r>
    <s v="Vestdanmark"/>
    <x v="0"/>
    <n v="0"/>
    <s v="Pyrolyseproces"/>
    <x v="6"/>
  </r>
  <r>
    <s v="Vestdanmark"/>
    <x v="1"/>
    <n v="10853893.509390926"/>
    <s v="CO2 - atmosfære"/>
    <x v="0"/>
  </r>
  <r>
    <s v="Vestdanmark"/>
    <x v="1"/>
    <n v="4046578.8260529838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23936.112883057391"/>
    <s v="Hav"/>
    <x v="3"/>
  </r>
  <r>
    <s v="Vestdanmark"/>
    <x v="1"/>
    <n v="-528318.41235179966"/>
    <s v="Skov"/>
    <x v="4"/>
  </r>
  <r>
    <s v="Vestdanmark"/>
    <x v="1"/>
    <n v="-313642.01757617836"/>
    <s v="Biogasanlæg"/>
    <x v="5"/>
  </r>
  <r>
    <s v="Vestdanmark"/>
    <x v="1"/>
    <n v="0"/>
    <s v="Pyrolyseproces"/>
    <x v="6"/>
  </r>
  <r>
    <s v="Vestdanmark"/>
    <x v="2"/>
    <n v="10029238.357747888"/>
    <s v="CO2 - atmosfære"/>
    <x v="0"/>
  </r>
  <r>
    <s v="Vestdanmark"/>
    <x v="2"/>
    <n v="4029816.5016583097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2111.211335450222"/>
    <s v="Hav"/>
    <x v="3"/>
  </r>
  <r>
    <s v="Vestdanmark"/>
    <x v="2"/>
    <n v="-1258781.6445090303"/>
    <s v="Skov"/>
    <x v="4"/>
  </r>
  <r>
    <s v="Vestdanmark"/>
    <x v="2"/>
    <n v="-305735.90389246412"/>
    <s v="Biogasanlæg"/>
    <x v="5"/>
  </r>
  <r>
    <s v="Vestdanmark"/>
    <x v="2"/>
    <n v="0"/>
    <s v="Pyrolyseproces"/>
    <x v="6"/>
  </r>
  <r>
    <s v="Østdanmark"/>
    <x v="0"/>
    <n v="1971383.1086998824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276.84523309844"/>
    <s v="Biogasanlæg"/>
    <x v="5"/>
  </r>
  <r>
    <s v="Østdanmark"/>
    <x v="0"/>
    <n v="0"/>
    <s v="Pyrolyseproces"/>
    <x v="6"/>
  </r>
  <r>
    <s v="Østdanmark"/>
    <x v="1"/>
    <n v="1808957.2968950507"/>
    <s v="CO2 - atmosfære"/>
    <x v="0"/>
  </r>
  <r>
    <s v="Østdanmark"/>
    <x v="1"/>
    <n v="359274.67944464367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674.70029884327505"/>
    <s v="Hav"/>
    <x v="3"/>
  </r>
  <r>
    <s v="Østdanmark"/>
    <x v="1"/>
    <n v="-144967.5468532106"/>
    <s v="Skov"/>
    <x v="4"/>
  </r>
  <r>
    <s v="Østdanmark"/>
    <x v="1"/>
    <n v="-28297.406862279633"/>
    <s v="Biogasanlæg"/>
    <x v="5"/>
  </r>
  <r>
    <s v="Østdanmark"/>
    <x v="1"/>
    <n v="0"/>
    <s v="Pyrolyseproces"/>
    <x v="6"/>
  </r>
  <r>
    <s v="Østdanmark"/>
    <x v="2"/>
    <n v="1644035.3956530073"/>
    <s v="CO2 - atmosfære"/>
    <x v="0"/>
  </r>
  <r>
    <s v="Østdanmark"/>
    <x v="2"/>
    <n v="358368.22621777962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8067.9044826491263"/>
    <s v="Hav"/>
    <x v="3"/>
  </r>
  <r>
    <s v="Østdanmark"/>
    <x v="2"/>
    <n v="-294074.24017031107"/>
    <s v="Skov"/>
    <x v="4"/>
  </r>
  <r>
    <s v="Østdanmark"/>
    <x v="2"/>
    <n v="-27479.507795346046"/>
    <s v="Biogasanlæg"/>
    <x v="5"/>
  </r>
  <r>
    <s v="Østdanmark"/>
    <x v="2"/>
    <n v="0"/>
    <s v="Pyrolyseproces"/>
    <x v="6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</r>
  <r>
    <x v="0"/>
    <x v="10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51598.780380153592"/>
    <n v="0"/>
    <n v="0"/>
    <n v="0"/>
    <n v="0"/>
    <n v="0"/>
    <n v="0"/>
    <n v="218519.66268109329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436104134.24282026"/>
    <n v="0"/>
    <n v="0"/>
    <n v="0"/>
    <n v="0"/>
    <n v="0"/>
    <n v="436104134.24282026"/>
    <n v="0"/>
    <n v="0"/>
    <n v="0"/>
    <n v="436104134.24282026"/>
    <n v="0"/>
    <n v="0"/>
    <n v="0"/>
    <n v="0"/>
    <n v="0"/>
    <n v="0"/>
    <n v="0"/>
    <n v="0"/>
  </r>
  <r>
    <x v="4"/>
    <x v="10"/>
    <n v="0"/>
    <x v="1"/>
    <s v="Vestdanmark"/>
    <n v="16654690.164173149"/>
    <n v="0"/>
    <n v="0"/>
    <n v="0"/>
    <n v="0"/>
    <n v="14170727.436337013"/>
    <n v="0"/>
    <n v="0"/>
    <n v="2483962.7278361358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6674.1809084363849"/>
    <n v="0"/>
    <n v="0"/>
    <n v="0"/>
    <n v="3337.0904542181925"/>
    <n v="2526.6542010509174"/>
    <n v="0"/>
    <n v="0"/>
    <n v="810.43625316727503"/>
    <n v="810.43625316727503"/>
    <n v="3337.0904542181925"/>
    <n v="3.8114006550203779E-4"/>
    <n v="1.9505403352163115E-3"/>
    <n v="1.5694002697142738E-3"/>
    <n v="3.8114006550203769E-4"/>
    <n v="51.05748394953833"/>
    <n v="261.29418256528447"/>
    <n v="210.23669861574612"/>
    <n v="51.057483949538351"/>
  </r>
  <r>
    <x v="9"/>
    <x v="10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9790151.9274066389"/>
    <n v="0"/>
    <n v="0"/>
    <n v="75614.059561949907"/>
    <n v="0"/>
    <n v="0"/>
    <n v="0"/>
    <n v="6597597.615337275"/>
    <n v="6597597.615337275"/>
    <n v="75614.059561949907"/>
    <n v="12.138754912518669"/>
    <n v="12.277875330355212"/>
    <n v="0.13912041783654258"/>
    <n v="12.138754912518669"/>
    <n v="1847327.3322944371"/>
    <n v="1868499.2689717831"/>
    <n v="21171.936677345977"/>
    <n v="1847327.3322944371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618468.71483434096"/>
    <n v="581579.9632190367"/>
    <n v="0"/>
    <n v="53644.580306161413"/>
    <n v="0"/>
    <n v="1385491.0293729189"/>
    <n v="0"/>
    <n v="0"/>
    <n v="0"/>
    <n v="1439135.6096790803"/>
    <n v="0"/>
    <n v="14.629456937744798"/>
    <n v="0.30928997353838589"/>
    <n v="14.320166964206413"/>
    <n v="0"/>
    <n v="1223265.2682272182"/>
    <n v="45597.893260237201"/>
    <n v="1177667.3749669809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</r>
  <r>
    <x v="19"/>
    <x v="1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4703372.1615964994"/>
    <n v="0"/>
    <n v="295933.04302308214"/>
    <n v="2833.9333697705197"/>
    <n v="0"/>
    <n v="0"/>
    <n v="0"/>
    <n v="2169017.6219496708"/>
    <n v="2169017.6219496708"/>
    <n v="2833.9333697705197"/>
    <n v="7.4285816927105506"/>
    <n v="7.438287517751343"/>
    <n v="9.7058250407922632E-3"/>
    <n v="7.4285816927105506"/>
    <n v="672395.46280439792"/>
    <n v="673273.98214902682"/>
    <n v="878.51934462886106"/>
    <n v="672395.46280439792"/>
  </r>
  <r>
    <x v="23"/>
    <x v="10"/>
    <n v="0"/>
    <x v="1"/>
    <s v="Vestdanmark"/>
    <n v="0"/>
    <n v="0"/>
    <n v="0"/>
    <n v="0"/>
    <n v="0"/>
    <n v="851831.85374033672"/>
    <n v="0"/>
    <n v="0"/>
    <n v="-851831.85374033672"/>
    <n v="0"/>
    <n v="0"/>
    <n v="0"/>
    <n v="0"/>
    <n v="0"/>
    <n v="0"/>
    <n v="0"/>
    <n v="0"/>
    <n v="0"/>
    <n v="0"/>
  </r>
  <r>
    <x v="24"/>
    <x v="2"/>
    <n v="1"/>
    <x v="1"/>
    <s v="Vestdanmark"/>
    <n v="10386797.369068628"/>
    <n v="0"/>
    <n v="0"/>
    <n v="0"/>
    <n v="7893966.0004921574"/>
    <n v="1651500.7816819118"/>
    <n v="0"/>
    <n v="0"/>
    <n v="841330.58689455874"/>
    <n v="841330.58689455874"/>
    <n v="7893966.0004921574"/>
    <n v="0.42587312978015673"/>
    <n v="4.4217197795692824"/>
    <n v="3.9958466497891258"/>
    <n v="0.42587312978015657"/>
    <n v="63941.124603986464"/>
    <n v="663882.54064139037"/>
    <n v="599941.41603740398"/>
    <n v="63941.124603986391"/>
  </r>
  <r>
    <x v="25"/>
    <x v="10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4525643.0291759707"/>
    <n v="0"/>
    <n v="0"/>
    <n v="314692.31350359169"/>
    <n v="0"/>
    <n v="0"/>
    <n v="0"/>
    <n v="3142972.4098101053"/>
    <n v="2961150.4845719668"/>
    <n v="314692.31350359169"/>
    <n v="10.630530239613362"/>
    <n v="11.760275645091257"/>
    <n v="1.1297454054778944"/>
    <n v="10.630530239613362"/>
    <n v="888345.14537159004"/>
    <n v="982752.83942266752"/>
    <n v="94407.694051077502"/>
    <n v="888345.14537159004"/>
  </r>
  <r>
    <x v="27"/>
    <x v="10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171279.2848730098"/>
    <n v="0"/>
    <n v="0"/>
    <n v="0"/>
    <n v="0"/>
    <n v="0"/>
    <n v="0"/>
    <n v="82616.067703844164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</r>
  <r>
    <x v="38"/>
    <x v="4"/>
    <n v="1"/>
    <x v="1"/>
    <s v="Vestdanmark"/>
    <n v="395099.15710561507"/>
    <n v="672934.09412450308"/>
    <n v="0"/>
    <n v="0"/>
    <n v="4075.7207832735812"/>
    <n v="0"/>
    <n v="0"/>
    <n v="0"/>
    <n v="-281910.65780216159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</r>
  <r>
    <x v="40"/>
    <x v="10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</r>
  <r>
    <x v="41"/>
    <x v="1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</r>
  <r>
    <x v="42"/>
    <x v="2"/>
    <n v="1"/>
    <x v="1"/>
    <s v="Vestdanmark"/>
    <n v="12059866.540704856"/>
    <n v="0"/>
    <n v="0"/>
    <n v="0"/>
    <n v="6391729.2665735735"/>
    <n v="5668137.2741312822"/>
    <n v="0"/>
    <n v="0"/>
    <n v="0"/>
    <n v="0"/>
    <n v="6391729.2665735735"/>
    <n v="0"/>
    <n v="2.7535569680398959"/>
    <n v="2.7535569680398959"/>
    <n v="0"/>
    <n v="0"/>
    <n v="319586.46332867868"/>
    <n v="319586.46332867868"/>
    <n v="0"/>
  </r>
  <r>
    <x v="43"/>
    <x v="10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0"/>
    <n v="605932.0339558397"/>
    <n v="0"/>
    <n v="0"/>
    <n v="0"/>
    <n v="0"/>
    <n v="0"/>
    <n v="0"/>
    <n v="0"/>
    <n v="0"/>
    <n v="0"/>
    <n v="0"/>
  </r>
  <r>
    <x v="0"/>
    <x v="10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</r>
  <r>
    <x v="1"/>
    <x v="10"/>
    <n v="0"/>
    <x v="2"/>
    <s v="Vestdanmark"/>
    <n v="260463.0327135307"/>
    <n v="51598.780380153592"/>
    <n v="0"/>
    <n v="0"/>
    <n v="0"/>
    <n v="0"/>
    <n v="0"/>
    <n v="0"/>
    <n v="208864.25233337711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34305248.86575383"/>
    <n v="0"/>
    <n v="0"/>
    <n v="0"/>
    <n v="0"/>
    <n v="0"/>
    <n v="434305248.86575383"/>
    <n v="0"/>
    <n v="0"/>
    <n v="0"/>
    <n v="434305248.86575383"/>
    <n v="0"/>
    <n v="0"/>
    <n v="0"/>
    <n v="0"/>
    <n v="0"/>
    <n v="0"/>
    <n v="0"/>
    <n v="0"/>
  </r>
  <r>
    <x v="4"/>
    <x v="10"/>
    <n v="0"/>
    <x v="2"/>
    <s v="Vestdanmark"/>
    <n v="16361961.782417906"/>
    <n v="0"/>
    <n v="0"/>
    <n v="0"/>
    <n v="0"/>
    <n v="13769683.498114759"/>
    <n v="0"/>
    <n v="0"/>
    <n v="2592278.2843031473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6892.4253779859373"/>
    <n v="0"/>
    <n v="0"/>
    <n v="0"/>
    <n v="3446.2126889929687"/>
    <n v="2609.2753216661044"/>
    <n v="0"/>
    <n v="0"/>
    <n v="836.93736732686375"/>
    <n v="836.93736732686375"/>
    <n v="3446.2126889929687"/>
    <n v="3.9360327448015076E-4"/>
    <n v="2.0143226399866538E-3"/>
    <n v="1.6207193655065032E-3"/>
    <n v="3.936032744801506E-4"/>
    <n v="52.727054141592419"/>
    <n v="269.83845354814946"/>
    <n v="217.11139940655701"/>
    <n v="52.727054141592447"/>
  </r>
  <r>
    <x v="9"/>
    <x v="10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</r>
  <r>
    <x v="10"/>
    <x v="10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</r>
  <r>
    <x v="11"/>
    <x v="10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6099999.551723864"/>
    <n v="9790151.9274066389"/>
    <n v="0"/>
    <n v="0"/>
    <n v="75527.053678542041"/>
    <n v="0"/>
    <n v="0"/>
    <n v="0"/>
    <n v="6234320.5706386827"/>
    <n v="6234320.5706386827"/>
    <n v="75527.053678542041"/>
    <n v="11.470370559903847"/>
    <n v="11.609330897790654"/>
    <n v="0.13896033788680753"/>
    <n v="11.470370559903847"/>
    <n v="1745609.7597788314"/>
    <n v="1766757.3348088232"/>
    <n v="21147.575029991774"/>
    <n v="1745609.7597788314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618468.71483434096"/>
    <n v="579210.80448009283"/>
    <n v="0"/>
    <n v="53363.755309158871"/>
    <n v="0"/>
    <n v="1303036.156330572"/>
    <n v="0"/>
    <n v="0"/>
    <n v="0"/>
    <n v="1356399.9116397309"/>
    <n v="0"/>
    <n v="13.775600230507971"/>
    <n v="0.30767086578516784"/>
    <n v="13.467929364722803"/>
    <n v="0"/>
    <n v="1152939.9248937713"/>
    <n v="45359.192012785039"/>
    <n v="1107580.7328809863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</r>
  <r>
    <x v="19"/>
    <x v="1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</r>
  <r>
    <x v="20"/>
    <x v="10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</r>
  <r>
    <x v="21"/>
    <x v="10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</r>
  <r>
    <x v="22"/>
    <x v="5"/>
    <n v="1"/>
    <x v="2"/>
    <s v="Vestdanmark"/>
    <n v="6945589.6789912721"/>
    <n v="4703372.1615964994"/>
    <n v="0"/>
    <n v="307470.55071854044"/>
    <n v="2825.7560217041437"/>
    <n v="0"/>
    <n v="0"/>
    <n v="0"/>
    <n v="1931921.2106545279"/>
    <n v="1931921.2106545279"/>
    <n v="2825.7560217041437"/>
    <n v="6.6165596775222673"/>
    <n v="6.6262374962907611"/>
    <n v="9.6778187684936554E-3"/>
    <n v="6.6165596775222673"/>
    <n v="598895.57530290366"/>
    <n v="599771.55966963188"/>
    <n v="875.9843667282845"/>
    <n v="598895.57530290354"/>
  </r>
  <r>
    <x v="23"/>
    <x v="10"/>
    <n v="0"/>
    <x v="2"/>
    <s v="Vestdanmark"/>
    <n v="0"/>
    <n v="0"/>
    <n v="0"/>
    <n v="0"/>
    <n v="0"/>
    <n v="822588.45729733328"/>
    <n v="0"/>
    <n v="0"/>
    <n v="-822588.45729733328"/>
    <n v="0"/>
    <n v="0"/>
    <n v="0"/>
    <n v="0"/>
    <n v="0"/>
    <n v="0"/>
    <n v="0"/>
    <n v="0"/>
    <n v="0"/>
    <n v="0"/>
  </r>
  <r>
    <x v="24"/>
    <x v="2"/>
    <n v="1"/>
    <x v="2"/>
    <s v="Vestdanmark"/>
    <n v="10188325.202039858"/>
    <n v="0"/>
    <n v="0"/>
    <n v="0"/>
    <n v="7743127.1535502924"/>
    <n v="1619943.7071243373"/>
    <n v="0"/>
    <n v="0"/>
    <n v="825254.34136522934"/>
    <n v="825254.34136522934"/>
    <n v="7743127.1535502924"/>
    <n v="0.41773549505566548"/>
    <n v="4.3372290289112883"/>
    <n v="3.9194935338556229"/>
    <n v="0.41773549505566532"/>
    <n v="62719.329943757431"/>
    <n v="651196.99361357966"/>
    <n v="588477.66366982216"/>
    <n v="62719.329943757504"/>
  </r>
  <r>
    <x v="25"/>
    <x v="10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</r>
  <r>
    <x v="26"/>
    <x v="4"/>
    <n v="1"/>
    <x v="2"/>
    <s v="Vestdanmark"/>
    <n v="7786550.4071108392"/>
    <n v="4525643.0291759707"/>
    <n v="0"/>
    <n v="0"/>
    <n v="314525.12457946909"/>
    <n v="0"/>
    <n v="0"/>
    <n v="0"/>
    <n v="2946382.2533553997"/>
    <n v="2759146.6428546174"/>
    <n v="314525.12457946909"/>
    <n v="9.905336447848077"/>
    <n v="11.034481645088372"/>
    <n v="1.1291451972402942"/>
    <n v="9.905336447848077"/>
    <n v="827743.99285638519"/>
    <n v="922101.530230226"/>
    <n v="94357.537373840722"/>
    <n v="827743.9928563853"/>
  </r>
  <r>
    <x v="27"/>
    <x v="10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</r>
  <r>
    <x v="30"/>
    <x v="10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</r>
  <r>
    <x v="31"/>
    <x v="7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</r>
  <r>
    <x v="35"/>
    <x v="10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44519.97857097647"/>
    <n v="171279.2848730098"/>
    <n v="0"/>
    <n v="0"/>
    <n v="0"/>
    <n v="0"/>
    <n v="0"/>
    <n v="0"/>
    <n v="73240.693697966664"/>
    <n v="0"/>
    <n v="0"/>
    <n v="0"/>
    <n v="0"/>
    <n v="0"/>
    <n v="0"/>
    <n v="0"/>
    <n v="0"/>
    <n v="0"/>
    <n v="0"/>
  </r>
  <r>
    <x v="37"/>
    <x v="9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</r>
  <r>
    <x v="38"/>
    <x v="4"/>
    <n v="1"/>
    <x v="2"/>
    <s v="Vestdanmark"/>
    <n v="380710.74225422333"/>
    <n v="672934.09412450308"/>
    <n v="0"/>
    <n v="0"/>
    <n v="4034.07077562927"/>
    <n v="0"/>
    <n v="0"/>
    <n v="0"/>
    <n v="-296257.42264590901"/>
    <n v="0"/>
    <n v="4034.07077562927"/>
    <n v="0"/>
    <n v="1.0948629447888865E-2"/>
    <n v="1.0948629447888865E-2"/>
    <n v="0"/>
    <n v="0"/>
    <n v="806.81415512585409"/>
    <n v="806.81415512585409"/>
    <n v="0"/>
  </r>
  <r>
    <x v="39"/>
    <x v="10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</r>
  <r>
    <x v="40"/>
    <x v="10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</r>
  <r>
    <x v="41"/>
    <x v="1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</r>
  <r>
    <x v="42"/>
    <x v="2"/>
    <n v="1"/>
    <x v="2"/>
    <s v="Vestdanmark"/>
    <n v="11545833.414063649"/>
    <n v="0"/>
    <n v="0"/>
    <n v="0"/>
    <n v="6119291.7094537346"/>
    <n v="5426541.7046099147"/>
    <n v="0"/>
    <n v="0"/>
    <n v="0"/>
    <n v="0"/>
    <n v="6119291.7094537346"/>
    <n v="0"/>
    <n v="2.6361908684326694"/>
    <n v="2.6361908684326694"/>
    <n v="0"/>
    <n v="0"/>
    <n v="305964.58547268674"/>
    <n v="305964.58547268674"/>
    <n v="0"/>
  </r>
  <r>
    <x v="43"/>
    <x v="10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</r>
  <r>
    <x v="47"/>
    <x v="10"/>
    <n v="0"/>
    <x v="2"/>
    <s v="Vestdanmark"/>
    <n v="551646.84040095157"/>
    <n v="0"/>
    <n v="0"/>
    <n v="0"/>
    <n v="0"/>
    <n v="0"/>
    <n v="0"/>
    <n v="0"/>
    <n v="551646.84040095157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</r>
  <r>
    <x v="0"/>
    <x v="10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6333.2934029920762"/>
    <n v="0"/>
    <n v="0"/>
    <n v="0"/>
    <n v="0"/>
    <n v="0"/>
    <n v="0"/>
    <n v="22219.132039015061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3250703.76009664"/>
    <n v="0"/>
    <n v="0"/>
    <n v="0"/>
    <n v="0"/>
    <n v="0"/>
    <n v="103250703.76009664"/>
    <n v="0"/>
    <n v="0"/>
    <n v="0"/>
    <n v="103250703.76009664"/>
    <n v="0"/>
    <n v="0"/>
    <n v="0"/>
    <n v="0"/>
    <n v="0"/>
    <n v="0"/>
    <n v="0"/>
    <n v="0"/>
  </r>
  <r>
    <x v="4"/>
    <x v="10"/>
    <n v="0"/>
    <x v="1"/>
    <s v="Østdanmark"/>
    <n v="3113194.8160989988"/>
    <n v="0"/>
    <n v="0"/>
    <n v="0"/>
    <n v="0"/>
    <n v="2648877.5690380111"/>
    <n v="0"/>
    <n v="0"/>
    <n v="464317.24706098763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560.16154012228367"/>
    <n v="0"/>
    <n v="0"/>
    <n v="0"/>
    <n v="280.08077006114183"/>
    <n v="212.06115447486451"/>
    <n v="0"/>
    <n v="0"/>
    <n v="68.019615586277325"/>
    <n v="68.019615586277325"/>
    <n v="280.08077006114183"/>
    <n v="3.1988945014070367E-5"/>
    <n v="1.6370813036612478E-4"/>
    <n v="1.317191853520544E-4"/>
    <n v="3.198894501407038E-5"/>
    <n v="4.2852357819354712"/>
    <n v="21.930324295787408"/>
    <n v="17.645088513851935"/>
    <n v="4.2852357819354729"/>
  </r>
  <r>
    <x v="9"/>
    <x v="10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201654.4608093714"/>
    <n v="0"/>
    <n v="0"/>
    <n v="10062.940438050116"/>
    <n v="0"/>
    <n v="0"/>
    <n v="0"/>
    <n v="979275.23027812573"/>
    <n v="979275.23027812573"/>
    <n v="10062.940438050116"/>
    <n v="1.8017440143079666"/>
    <n v="1.820258566846424"/>
    <n v="1.8514552538457459E-2"/>
    <n v="1.8017440143079666"/>
    <n v="274197.06447787525"/>
    <n v="277014.68780052924"/>
    <n v="2817.623322654033"/>
    <n v="274197.06447787519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75911.558427530035"/>
    <n v="82816.687681498166"/>
    <n v="0"/>
    <n v="22289.419693838598"/>
    <n v="0"/>
    <n v="756737.32303016982"/>
    <n v="0"/>
    <n v="0"/>
    <n v="0"/>
    <n v="779026.74272400839"/>
    <n v="0"/>
    <n v="7.9500009612564133"/>
    <n v="0.1285105408216142"/>
    <n v="7.8214904204347988"/>
    <n v="0"/>
    <n v="662172.73131540709"/>
    <n v="18946.006739762808"/>
    <n v="643226.72457564424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</r>
  <r>
    <x v="19"/>
    <x v="1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577297.28616440261"/>
    <n v="0"/>
    <n v="256234.83946537593"/>
    <n v="952.06663022948101"/>
    <n v="0"/>
    <n v="0"/>
    <n v="0"/>
    <n v="1574682.9124116749"/>
    <n v="1574682.9124116749"/>
    <n v="952.06663022948101"/>
    <n v="5.3930685194022496"/>
    <n v="5.3963292143214572"/>
    <n v="3.2606949192077409E-3"/>
    <n v="5.3930685194022496"/>
    <n v="488151.70284761919"/>
    <n v="488446.84350299038"/>
    <n v="295.14065537113913"/>
    <n v="488151.70284761925"/>
  </r>
  <r>
    <x v="23"/>
    <x v="10"/>
    <n v="0"/>
    <x v="1"/>
    <s v="Østdanmark"/>
    <n v="0"/>
    <n v="0"/>
    <n v="0"/>
    <n v="0"/>
    <n v="0"/>
    <n v="398766.23112041334"/>
    <n v="0"/>
    <n v="0"/>
    <n v="-398766.23112041334"/>
    <n v="0"/>
    <n v="0"/>
    <n v="0"/>
    <n v="0"/>
    <n v="0"/>
    <n v="0"/>
    <n v="0"/>
    <n v="0"/>
    <n v="0"/>
    <n v="0"/>
  </r>
  <r>
    <x v="24"/>
    <x v="2"/>
    <n v="1"/>
    <x v="1"/>
    <s v="Østdanmark"/>
    <n v="738231.33813296724"/>
    <n v="0"/>
    <n v="0"/>
    <n v="0"/>
    <n v="561055.81698105508"/>
    <n v="117378.78276314179"/>
    <n v="0"/>
    <n v="0"/>
    <n v="59796.738388770376"/>
    <n v="59796.738388770376"/>
    <n v="561055.81698105508"/>
    <n v="3.026851100501168E-2"/>
    <n v="0.31426935500265196"/>
    <n v="0.28400084399764031"/>
    <n v="3.0268511005011656E-2"/>
    <n v="4544.5521175465483"/>
    <n v="47184.79420810673"/>
    <n v="42640.242090560183"/>
    <n v="4544.5521175465474"/>
  </r>
  <r>
    <x v="25"/>
    <x v="10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555482.60888742993"/>
    <n v="0"/>
    <n v="0"/>
    <n v="15333.686496408332"/>
    <n v="0"/>
    <n v="0"/>
    <n v="0"/>
    <n v="-181821.92523813841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21023.015601598698"/>
    <n v="0"/>
    <n v="0"/>
    <n v="0"/>
    <n v="0"/>
    <n v="0"/>
    <n v="0"/>
    <n v="81180.880041585086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</r>
  <r>
    <x v="38"/>
    <x v="4"/>
    <n v="1"/>
    <x v="1"/>
    <s v="Østdanmark"/>
    <n v="2381738.5992335565"/>
    <n v="82596.701464021666"/>
    <n v="0"/>
    <n v="0"/>
    <n v="24569.279216726416"/>
    <n v="0"/>
    <n v="0"/>
    <n v="0"/>
    <n v="2274572.6185528086"/>
    <n v="1992661.9607506471"/>
    <n v="24569.279216726416"/>
    <n v="5.4081642679556863"/>
    <n v="5.4748462745210507"/>
    <n v="6.668200656536416E-2"/>
    <n v="5.4081642679556863"/>
    <n v="398532.39215012942"/>
    <n v="403446.24799347471"/>
    <n v="4913.8558433452836"/>
    <n v="398532.39215012942"/>
  </r>
  <r>
    <x v="39"/>
    <x v="10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</r>
  <r>
    <x v="40"/>
    <x v="10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</r>
  <r>
    <x v="41"/>
    <x v="1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</r>
  <r>
    <x v="42"/>
    <x v="2"/>
    <n v="1"/>
    <x v="1"/>
    <s v="Østdanmark"/>
    <n v="1747439.8704342765"/>
    <n v="0"/>
    <n v="0"/>
    <n v="0"/>
    <n v="926143.13133016659"/>
    <n v="821296.73910410993"/>
    <n v="0"/>
    <n v="0"/>
    <n v="0"/>
    <n v="0"/>
    <n v="926143.13133016659"/>
    <n v="0"/>
    <n v="0.39898246097703582"/>
    <n v="0.39898246097703582"/>
    <n v="0"/>
    <n v="0"/>
    <n v="46307.156566508333"/>
    <n v="46307.156566508333"/>
    <n v="0"/>
  </r>
  <r>
    <x v="43"/>
    <x v="10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0"/>
    <n v="177359.22120275494"/>
    <n v="0"/>
    <n v="0"/>
    <n v="0"/>
    <n v="0"/>
    <n v="0"/>
    <n v="0"/>
    <n v="0"/>
    <n v="0"/>
    <n v="0"/>
    <n v="0"/>
  </r>
  <r>
    <x v="0"/>
    <x v="10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</r>
  <r>
    <x v="1"/>
    <x v="10"/>
    <n v="0"/>
    <x v="2"/>
    <s v="Østdanmark"/>
    <n v="27846.800257878294"/>
    <n v="6333.293402992078"/>
    <n v="0"/>
    <n v="0"/>
    <n v="0"/>
    <n v="0"/>
    <n v="0"/>
    <n v="0"/>
    <n v="21513.506854886218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04340897.10458454"/>
    <n v="0"/>
    <n v="0"/>
    <n v="0"/>
    <n v="0"/>
    <n v="0"/>
    <n v="104340897.10458454"/>
    <n v="0"/>
    <n v="0"/>
    <n v="0"/>
    <n v="104340897.10458454"/>
    <n v="0"/>
    <n v="0"/>
    <n v="0"/>
    <n v="0"/>
    <n v="0"/>
    <n v="0"/>
    <n v="0"/>
    <n v="0"/>
  </r>
  <r>
    <x v="4"/>
    <x v="10"/>
    <n v="0"/>
    <x v="2"/>
    <s v="Østdanmark"/>
    <n v="3132565.3017730014"/>
    <n v="0"/>
    <n v="0"/>
    <n v="0"/>
    <n v="0"/>
    <n v="2636262.8953785724"/>
    <n v="0"/>
    <n v="0"/>
    <n v="496302.40639442904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578.47871789484248"/>
    <n v="0"/>
    <n v="0"/>
    <n v="0"/>
    <n v="289.23935894742124"/>
    <n v="218.99551463161893"/>
    <n v="0"/>
    <n v="0"/>
    <n v="70.243844315802335"/>
    <n v="70.243844315802335"/>
    <n v="289.23935894742124"/>
    <n v="3.3034977543278681E-5"/>
    <n v="1.690613556626614E-4"/>
    <n v="1.3602637811938273E-4"/>
    <n v="3.3034977543278674E-5"/>
    <n v="4.4253621918955472"/>
    <n v="22.647441805583085"/>
    <n v="18.222079613687537"/>
    <n v="4.4253621918955481"/>
  </r>
  <r>
    <x v="9"/>
    <x v="10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</r>
  <r>
    <x v="10"/>
    <x v="10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</r>
  <r>
    <x v="11"/>
    <x v="10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163650.2851152783"/>
    <n v="1201654.4608093717"/>
    <n v="0"/>
    <n v="0"/>
    <n v="10149.946321457959"/>
    <n v="0"/>
    <n v="0"/>
    <n v="0"/>
    <n v="951845.8779844488"/>
    <n v="951845.8779844488"/>
    <n v="10149.946321457959"/>
    <n v="1.7512774347566378"/>
    <n v="1.7699520672448303"/>
    <n v="1.8674632488192462E-2"/>
    <n v="1.7512774347566378"/>
    <n v="266516.84583564568"/>
    <n v="269358.83080565394"/>
    <n v="2841.9849700082286"/>
    <n v="266516.84583564568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75911.55842753005"/>
    <n v="82449.939525946174"/>
    <n v="0"/>
    <n v="22570.244690841144"/>
    <n v="0"/>
    <n v="736790.52495436871"/>
    <n v="0"/>
    <n v="0"/>
    <n v="0"/>
    <n v="759360.76964520989"/>
    <n v="0"/>
    <n v="7.7454538270123328"/>
    <n v="0.13012964857483225"/>
    <n v="7.6153241784375005"/>
    <n v="0"/>
    <n v="645456.65419842838"/>
    <n v="19184.707987214973"/>
    <n v="626271.94621121336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</r>
  <r>
    <x v="19"/>
    <x v="1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</r>
  <r>
    <x v="20"/>
    <x v="10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</r>
  <r>
    <x v="21"/>
    <x v="10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</r>
  <r>
    <x v="22"/>
    <x v="5"/>
    <n v="1"/>
    <x v="2"/>
    <s v="Østdanmark"/>
    <n v="2360239.3885877775"/>
    <n v="577297.28616440273"/>
    <n v="0"/>
    <n v="268249.01834925939"/>
    <n v="960.24397829585632"/>
    <n v="0"/>
    <n v="0"/>
    <n v="0"/>
    <n v="1513732.8400958194"/>
    <n v="1513732.8400958194"/>
    <n v="960.24397829585632"/>
    <n v="5.1843230547305694"/>
    <n v="5.1876117559220756"/>
    <n v="3.288701191506347E-3"/>
    <n v="5.1843230547305694"/>
    <n v="469257.18042970402"/>
    <n v="469554.85606297577"/>
    <n v="297.67563327171547"/>
    <n v="469257.18042970408"/>
  </r>
  <r>
    <x v="23"/>
    <x v="10"/>
    <n v="0"/>
    <x v="2"/>
    <s v="Østdanmark"/>
    <n v="0"/>
    <n v="0"/>
    <n v="0"/>
    <n v="0"/>
    <n v="0"/>
    <n v="388599.4488834205"/>
    <n v="0"/>
    <n v="0"/>
    <n v="-388599.4488834205"/>
    <n v="0"/>
    <n v="0"/>
    <n v="0"/>
    <n v="0"/>
    <n v="0"/>
    <n v="0"/>
    <n v="0"/>
    <n v="0"/>
    <n v="0"/>
    <n v="0"/>
  </r>
  <r>
    <x v="24"/>
    <x v="2"/>
    <n v="1"/>
    <x v="2"/>
    <s v="Østdanmark"/>
    <n v="724125.12538599269"/>
    <n v="0"/>
    <n v="0"/>
    <n v="0"/>
    <n v="550335.09529335448"/>
    <n v="115135.89493637283"/>
    <n v="0"/>
    <n v="0"/>
    <n v="58654.135156265344"/>
    <n v="58654.135156265344"/>
    <n v="550335.09529335448"/>
    <n v="2.9690136674749956E-2"/>
    <n v="0.30826425856129308"/>
    <n v="0.27857412188654312"/>
    <n v="2.9690136674749956E-2"/>
    <n v="4457.7142718761661"/>
    <n v="46283.181514171105"/>
    <n v="41825.467242294937"/>
    <n v="4457.7142718761679"/>
  </r>
  <r>
    <x v="25"/>
    <x v="10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</r>
  <r>
    <x v="26"/>
    <x v="4"/>
    <n v="1"/>
    <x v="2"/>
    <s v="Østdanmark"/>
    <n v="383747.87380717852"/>
    <n v="555482.60888743005"/>
    <n v="0"/>
    <n v="0"/>
    <n v="15500.875420530891"/>
    <n v="0"/>
    <n v="0"/>
    <n v="0"/>
    <n v="-187235.61050078244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</r>
  <r>
    <x v="30"/>
    <x v="10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</r>
  <r>
    <x v="31"/>
    <x v="7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</r>
  <r>
    <x v="35"/>
    <x v="10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</r>
  <r>
    <x v="36"/>
    <x v="10"/>
    <n v="0"/>
    <x v="2"/>
    <s v="Østdanmark"/>
    <n v="99581.589220524314"/>
    <n v="21023.015601598701"/>
    <n v="0"/>
    <n v="0"/>
    <n v="0"/>
    <n v="0"/>
    <n v="0"/>
    <n v="0"/>
    <n v="78558.573618925613"/>
    <n v="0"/>
    <n v="0"/>
    <n v="0"/>
    <n v="0"/>
    <n v="0"/>
    <n v="0"/>
    <n v="0"/>
    <n v="0"/>
    <n v="0"/>
    <n v="0"/>
  </r>
  <r>
    <x v="37"/>
    <x v="9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</r>
  <r>
    <x v="38"/>
    <x v="4"/>
    <n v="1"/>
    <x v="2"/>
    <s v="Østdanmark"/>
    <n v="2322627.8500566902"/>
    <n v="82596.70146402168"/>
    <n v="0"/>
    <n v="0"/>
    <n v="24610.929224370728"/>
    <n v="0"/>
    <n v="0"/>
    <n v="0"/>
    <n v="2215420.2193682976"/>
    <n v="1919162.7967223886"/>
    <n v="24610.929224370728"/>
    <n v="5.2086845968164317"/>
    <n v="5.2754796431685431"/>
    <n v="6.6795046352111129E-2"/>
    <n v="5.2086845968164317"/>
    <n v="383832.55934447772"/>
    <n v="388754.7451893519"/>
    <n v="4922.1858448741459"/>
    <n v="383832.55934447778"/>
  </r>
  <r>
    <x v="39"/>
    <x v="10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</r>
  <r>
    <x v="40"/>
    <x v="10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</r>
  <r>
    <x v="41"/>
    <x v="1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</r>
  <r>
    <x v="42"/>
    <x v="2"/>
    <n v="1"/>
    <x v="2"/>
    <s v="Østdanmark"/>
    <n v="1672957.9533098161"/>
    <n v="0"/>
    <n v="0"/>
    <n v="0"/>
    <n v="886667.7152542026"/>
    <n v="786290.23805561347"/>
    <n v="0"/>
    <n v="0"/>
    <n v="0"/>
    <n v="0"/>
    <n v="886667.7152542026"/>
    <n v="0"/>
    <n v="0.38197645173151057"/>
    <n v="0.38197645173151057"/>
    <n v="0"/>
    <n v="0"/>
    <n v="44333.385762710132"/>
    <n v="44333.385762710132"/>
    <n v="0"/>
  </r>
  <r>
    <x v="43"/>
    <x v="10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</r>
  <r>
    <x v="47"/>
    <x v="10"/>
    <n v="0"/>
    <x v="2"/>
    <s v="Østdanmark"/>
    <n v="161179.02528703219"/>
    <n v="0"/>
    <n v="0"/>
    <n v="0"/>
    <n v="0"/>
    <n v="0"/>
    <n v="0"/>
    <n v="0"/>
    <n v="161179.02528703219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2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J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4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39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7"/>
        <item x="38"/>
        <item x="40"/>
        <item x="41"/>
        <item x="42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0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24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6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25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4">
  <location ref="A4:AC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8">
    <i>
      <x/>
    </i>
    <i>
      <x v="1"/>
    </i>
    <i>
      <x v="3"/>
    </i>
    <i>
      <x v="4"/>
    </i>
    <i>
      <x v="5"/>
    </i>
    <i>
      <x v="6"/>
    </i>
    <i>
      <x v="7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28"/>
    </i>
    <i>
      <x v="30"/>
    </i>
    <i>
      <x v="31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27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3:K14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h="1" m="1" x="11"/>
        <item x="9"/>
        <item x="7"/>
        <item h="1" x="0"/>
        <item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1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2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2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1:I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8">
        <item x="0"/>
        <item x="3"/>
        <item x="1"/>
        <item x="2"/>
        <item x="4"/>
        <item x="5"/>
        <item x="6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33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2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chartFormats count="13"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2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2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2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5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2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42">
    <chartFormat chart="4" format="241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4" format="24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4" format="24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4" format="244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245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4" format="246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4" format="24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4" format="248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4" format="249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4" format="250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4" format="251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4" format="25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4" format="253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4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4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4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B3" sqref="B3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337" t="s">
        <v>279</v>
      </c>
      <c r="B1" s="337"/>
      <c r="D1" s="75" t="s">
        <v>292</v>
      </c>
    </row>
    <row r="2" spans="1:6" ht="30" x14ac:dyDescent="0.25">
      <c r="A2" s="6" t="s">
        <v>0</v>
      </c>
      <c r="B2" s="227" t="s">
        <v>338</v>
      </c>
    </row>
    <row r="4" spans="1:6" ht="30" customHeight="1" thickBot="1" x14ac:dyDescent="0.3">
      <c r="A4" s="336" t="s">
        <v>278</v>
      </c>
      <c r="B4" s="336"/>
      <c r="D4" s="75"/>
    </row>
    <row r="5" spans="1:6" ht="15.75" thickTop="1" x14ac:dyDescent="0.25">
      <c r="A5" s="259" t="s">
        <v>86</v>
      </c>
      <c r="B5" s="258" t="s">
        <v>312</v>
      </c>
      <c r="D5" s="215" t="s">
        <v>43</v>
      </c>
      <c r="E5" s="216"/>
      <c r="F5" s="12"/>
    </row>
    <row r="6" spans="1:6" x14ac:dyDescent="0.25">
      <c r="A6" s="209" t="s">
        <v>84</v>
      </c>
      <c r="B6" s="210" t="s">
        <v>262</v>
      </c>
      <c r="D6" s="217" t="str" cm="1">
        <f t="array" ref="D6">[1]!Jordbund1</f>
        <v>JB1-10</v>
      </c>
      <c r="E6" s="218" t="s">
        <v>44</v>
      </c>
      <c r="F6" s="12"/>
    </row>
    <row r="7" spans="1:6" x14ac:dyDescent="0.25">
      <c r="A7" s="209"/>
      <c r="B7" s="210" t="s">
        <v>2</v>
      </c>
      <c r="D7" s="217" t="str" cm="1">
        <f t="array" ref="D7">[1]!Organ6</f>
        <v>OC6</v>
      </c>
      <c r="E7" s="218" t="s">
        <v>45</v>
      </c>
      <c r="F7" s="12"/>
    </row>
    <row r="8" spans="1:6" x14ac:dyDescent="0.25">
      <c r="A8" s="225" t="s">
        <v>92</v>
      </c>
      <c r="B8" s="210" t="s">
        <v>263</v>
      </c>
      <c r="D8" s="217" t="str" cm="1">
        <f t="array" ref="D8">[1]!Organ12</f>
        <v>OC12</v>
      </c>
      <c r="E8" s="218" t="s">
        <v>46</v>
      </c>
      <c r="F8" s="12"/>
    </row>
    <row r="9" spans="1:6" x14ac:dyDescent="0.25">
      <c r="A9" s="211" t="s">
        <v>93</v>
      </c>
      <c r="B9" s="210" t="s">
        <v>264</v>
      </c>
      <c r="D9" s="217"/>
      <c r="E9" s="218"/>
      <c r="F9" s="12"/>
    </row>
    <row r="10" spans="1:6" x14ac:dyDescent="0.25">
      <c r="A10" s="209"/>
      <c r="B10" s="210"/>
      <c r="D10" s="219" t="s">
        <v>47</v>
      </c>
      <c r="E10" s="218"/>
      <c r="F10" s="12"/>
    </row>
    <row r="11" spans="1:6" x14ac:dyDescent="0.25">
      <c r="A11" s="225" t="s">
        <v>69</v>
      </c>
      <c r="B11" s="226" t="s">
        <v>265</v>
      </c>
      <c r="D11" s="217" t="str" cm="1">
        <f t="array" ref="D11">[1]!Bebyg</f>
        <v>Bebyggelse &amp; infrastruktur</v>
      </c>
      <c r="E11" s="218"/>
      <c r="F11" s="12"/>
    </row>
    <row r="12" spans="1:6" x14ac:dyDescent="0.25">
      <c r="A12" s="209" t="s">
        <v>259</v>
      </c>
      <c r="B12" s="210" t="s">
        <v>266</v>
      </c>
      <c r="D12" s="217" t="str" cm="1">
        <f t="array" ref="D12">[1]!Afgrøder</f>
        <v>Landbrugsafgrøder</v>
      </c>
      <c r="E12" s="218"/>
      <c r="F12" s="12"/>
    </row>
    <row r="13" spans="1:6" x14ac:dyDescent="0.25">
      <c r="A13" s="209"/>
      <c r="B13" s="210"/>
      <c r="D13" s="217" t="str" cm="1">
        <f t="array" ref="D13">[1]!SkovAreal</f>
        <v>Skov</v>
      </c>
      <c r="E13" s="218"/>
      <c r="F13" s="12"/>
    </row>
    <row r="14" spans="1:6" x14ac:dyDescent="0.25">
      <c r="A14" s="225" t="s">
        <v>70</v>
      </c>
      <c r="B14" s="226" t="s">
        <v>267</v>
      </c>
      <c r="D14" s="217" t="str" cm="1">
        <f t="array" ref="D14">[1]!NaturAreal</f>
        <v>Natur</v>
      </c>
      <c r="E14" s="218"/>
      <c r="F14" s="12"/>
    </row>
    <row r="15" spans="1:6" x14ac:dyDescent="0.25">
      <c r="A15" s="209" t="s">
        <v>71</v>
      </c>
      <c r="B15" s="210" t="s">
        <v>268</v>
      </c>
      <c r="D15" s="217" t="str" cm="1">
        <f t="array" ref="D15">[1]!IKareal</f>
        <v>Ikke klassificeret</v>
      </c>
      <c r="E15" s="218"/>
      <c r="F15" s="12"/>
    </row>
    <row r="16" spans="1:6" x14ac:dyDescent="0.25">
      <c r="A16" s="209" t="s">
        <v>72</v>
      </c>
      <c r="B16" s="210"/>
      <c r="D16" s="220"/>
      <c r="E16" s="218"/>
    </row>
    <row r="17" spans="1:5" x14ac:dyDescent="0.25">
      <c r="A17" s="209" t="s">
        <v>73</v>
      </c>
      <c r="B17" s="226" t="s">
        <v>275</v>
      </c>
      <c r="D17" s="221" t="s">
        <v>94</v>
      </c>
      <c r="E17" s="218"/>
    </row>
    <row r="18" spans="1:5" x14ac:dyDescent="0.25">
      <c r="A18" s="209" t="s">
        <v>74</v>
      </c>
      <c r="B18" s="338" t="s">
        <v>280</v>
      </c>
      <c r="D18" s="217" cm="1">
        <f t="array" ref="D18">[1]!År1</f>
        <v>2019</v>
      </c>
      <c r="E18" s="218"/>
    </row>
    <row r="19" spans="1:5" x14ac:dyDescent="0.25">
      <c r="A19" s="209" t="s">
        <v>260</v>
      </c>
      <c r="B19" s="338"/>
      <c r="D19" s="217" cm="1">
        <f t="array" ref="D19">[1]!År2</f>
        <v>2030</v>
      </c>
      <c r="E19" s="218"/>
    </row>
    <row r="20" spans="1:5" ht="15.75" thickBot="1" x14ac:dyDescent="0.3">
      <c r="A20" s="209" t="s">
        <v>261</v>
      </c>
      <c r="B20" s="210"/>
      <c r="D20" s="222" cm="1">
        <f t="array" ref="D20">[1]!År3</f>
        <v>2050</v>
      </c>
      <c r="E20" s="223"/>
    </row>
    <row r="21" spans="1:5" ht="15.75" thickTop="1" x14ac:dyDescent="0.25">
      <c r="A21" s="209" t="s">
        <v>75</v>
      </c>
      <c r="B21" s="210"/>
    </row>
    <row r="22" spans="1:5" x14ac:dyDescent="0.25">
      <c r="A22" s="209"/>
      <c r="B22" s="210"/>
    </row>
    <row r="23" spans="1:5" x14ac:dyDescent="0.25">
      <c r="A23" s="260" t="s">
        <v>313</v>
      </c>
      <c r="B23" s="210"/>
    </row>
    <row r="24" spans="1:5" ht="15.75" thickBot="1" x14ac:dyDescent="0.3">
      <c r="A24" s="212" t="s">
        <v>1</v>
      </c>
      <c r="B24" s="213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Q123"/>
  <sheetViews>
    <sheetView zoomScale="60" zoomScaleNormal="60" workbookViewId="0">
      <selection activeCell="T57" sqref="T57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384" width="9.140625" style="1"/>
  </cols>
  <sheetData>
    <row r="1" spans="1:17" ht="15" customHeight="1" x14ac:dyDescent="0.25">
      <c r="A1" s="257" t="s">
        <v>306</v>
      </c>
      <c r="B1" s="256"/>
      <c r="C1" s="339" t="s">
        <v>305</v>
      </c>
      <c r="D1" s="339"/>
      <c r="E1" s="339"/>
      <c r="F1" s="339"/>
      <c r="G1" s="339"/>
      <c r="H1" s="339"/>
      <c r="I1" s="339"/>
      <c r="J1" s="339"/>
      <c r="K1" s="339"/>
      <c r="L1" s="339"/>
      <c r="M1" s="339"/>
      <c r="N1" s="339"/>
      <c r="O1" s="339"/>
      <c r="P1" s="339"/>
      <c r="Q1" s="339"/>
    </row>
    <row r="2" spans="1:17" ht="15" customHeight="1" x14ac:dyDescent="0.25">
      <c r="A2" s="256"/>
      <c r="B2" s="256"/>
      <c r="C2" s="339"/>
      <c r="D2" s="339"/>
      <c r="E2" s="339"/>
      <c r="F2" s="339"/>
      <c r="G2" s="339"/>
      <c r="H2" s="339"/>
      <c r="I2" s="339"/>
      <c r="J2" s="339"/>
      <c r="K2" s="339"/>
      <c r="L2" s="339"/>
      <c r="M2" s="339"/>
      <c r="N2" s="339"/>
      <c r="O2" s="339"/>
      <c r="P2" s="339"/>
      <c r="Q2" s="339"/>
    </row>
    <row r="3" spans="1:17" x14ac:dyDescent="0.25">
      <c r="A3" s="75"/>
    </row>
    <row r="123" spans="3:3" x14ac:dyDescent="0.25">
      <c r="C123" s="182"/>
    </row>
  </sheetData>
  <mergeCells count="1">
    <mergeCell ref="C1:Q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topLeftCell="A15" zoomScale="85" zoomScaleNormal="85" workbookViewId="0">
      <selection activeCell="A22" sqref="A22:XFD41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33" t="s">
        <v>281</v>
      </c>
      <c r="B1" s="75" t="s">
        <v>307</v>
      </c>
    </row>
    <row r="2" spans="1:18" ht="42.95" customHeight="1" x14ac:dyDescent="0.25">
      <c r="A2" s="228" t="s">
        <v>291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314</v>
      </c>
      <c r="K2" s="6"/>
      <c r="L2" s="6"/>
      <c r="M2" s="6"/>
      <c r="N2" s="6"/>
      <c r="O2" s="6"/>
      <c r="P2" s="6"/>
    </row>
    <row r="3" spans="1:18" x14ac:dyDescent="0.25">
      <c r="A3" s="2" t="s">
        <v>270</v>
      </c>
      <c r="B3" s="2" t="s">
        <v>272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176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271</v>
      </c>
      <c r="B4" s="2" t="s">
        <v>273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4" t="s">
        <v>276</v>
      </c>
      <c r="C5" s="9">
        <f>1900*11</f>
        <v>20900</v>
      </c>
      <c r="D5" s="9">
        <f>C5+1900*(D2-C2)</f>
        <v>58900</v>
      </c>
      <c r="E5" s="9" t="s">
        <v>277</v>
      </c>
      <c r="F5" s="110" t="s">
        <v>9</v>
      </c>
      <c r="G5" s="110" t="s">
        <v>10</v>
      </c>
      <c r="I5" s="26" t="str">
        <f>Bebyg</f>
        <v>Bebyggelse &amp; infrastruktur</v>
      </c>
      <c r="J5" s="17" t="e">
        <f t="shared" ref="J5:R5" si="0">SUM(J25,J35)</f>
        <v>#VALUE!</v>
      </c>
      <c r="K5" s="17">
        <f t="shared" si="0"/>
        <v>0</v>
      </c>
      <c r="L5" s="17">
        <f t="shared" si="0"/>
        <v>0</v>
      </c>
      <c r="M5" s="18" t="e">
        <f t="shared" si="0"/>
        <v>#VALUE!</v>
      </c>
      <c r="N5" s="18">
        <f t="shared" si="0"/>
        <v>0</v>
      </c>
      <c r="O5" s="18">
        <f t="shared" si="0"/>
        <v>0</v>
      </c>
      <c r="P5" s="18" t="e">
        <f t="shared" si="0"/>
        <v>#VALUE!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 t="e">
        <f t="shared" ref="J6:R6" si="1">SUM(J26,J36)</f>
        <v>#VALUE!</v>
      </c>
      <c r="K6" s="17">
        <f t="shared" si="1"/>
        <v>100501.99999999999</v>
      </c>
      <c r="L6" s="17">
        <f t="shared" si="1"/>
        <v>78231.999999999985</v>
      </c>
      <c r="M6" s="18" t="e">
        <f t="shared" si="1"/>
        <v>#VALUE!</v>
      </c>
      <c r="N6" s="18">
        <f t="shared" si="1"/>
        <v>93001.999999999985</v>
      </c>
      <c r="O6" s="18">
        <f t="shared" si="1"/>
        <v>70731.999999999985</v>
      </c>
      <c r="P6" s="18" t="e">
        <f t="shared" si="1"/>
        <v>#VALUE!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 t="e">
        <f t="shared" ref="J7:R7" si="2">SUM(J27,J37)</f>
        <v>#VALUE!</v>
      </c>
      <c r="K7" s="17">
        <f t="shared" si="2"/>
        <v>0</v>
      </c>
      <c r="L7" s="17">
        <f t="shared" si="2"/>
        <v>0</v>
      </c>
      <c r="M7" s="18" t="e">
        <f t="shared" si="2"/>
        <v>#VALUE!</v>
      </c>
      <c r="N7" s="18">
        <f t="shared" si="2"/>
        <v>0</v>
      </c>
      <c r="O7" s="18">
        <f t="shared" si="2"/>
        <v>0</v>
      </c>
      <c r="P7" s="18" t="e">
        <f t="shared" si="2"/>
        <v>#VALUE!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 t="e">
        <f t="shared" ref="J8:R8" si="3">SUM(J28,J38)</f>
        <v>#VALUE!</v>
      </c>
      <c r="K8" s="17">
        <f t="shared" si="3"/>
        <v>61497.999999999993</v>
      </c>
      <c r="L8" s="17">
        <f t="shared" si="3"/>
        <v>50767.999999999993</v>
      </c>
      <c r="M8" s="18" t="e">
        <f t="shared" si="3"/>
        <v>#VALUE!</v>
      </c>
      <c r="N8" s="18">
        <f t="shared" si="3"/>
        <v>68998</v>
      </c>
      <c r="O8" s="18">
        <f t="shared" si="3"/>
        <v>58267.999999999993</v>
      </c>
      <c r="P8" s="18" t="e">
        <f t="shared" si="3"/>
        <v>#VALUE!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 t="e">
        <f t="shared" ref="J9:R9" si="4">SUM(J29,J39)</f>
        <v>#VALUE!</v>
      </c>
      <c r="K9" s="19">
        <f t="shared" si="4"/>
        <v>0</v>
      </c>
      <c r="L9" s="19">
        <f t="shared" si="4"/>
        <v>0</v>
      </c>
      <c r="M9" s="91" t="e">
        <f t="shared" si="4"/>
        <v>#VALUE!</v>
      </c>
      <c r="N9" s="91">
        <f t="shared" si="4"/>
        <v>0</v>
      </c>
      <c r="O9" s="91">
        <f t="shared" si="4"/>
        <v>0</v>
      </c>
      <c r="P9" s="91" t="e">
        <f t="shared" si="4"/>
        <v>#VALUE!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 t="e">
        <f t="shared" ref="J10:R10" si="5">SUM(J5:J9)</f>
        <v>#VALUE!</v>
      </c>
      <c r="K10" s="20">
        <f t="shared" si="5"/>
        <v>161999.99999999997</v>
      </c>
      <c r="L10" s="20">
        <f t="shared" si="5"/>
        <v>128999.99999999997</v>
      </c>
      <c r="M10" s="21" t="e">
        <f t="shared" si="5"/>
        <v>#VALUE!</v>
      </c>
      <c r="N10" s="21">
        <f t="shared" si="5"/>
        <v>162000</v>
      </c>
      <c r="O10" s="21">
        <f t="shared" si="5"/>
        <v>128999.99999999997</v>
      </c>
      <c r="P10" s="21" t="e">
        <f t="shared" si="5"/>
        <v>#VALUE!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61"/>
      <c r="J22" s="262" t="s">
        <v>308</v>
      </c>
      <c r="K22" s="262"/>
      <c r="L22" s="262"/>
      <c r="M22" s="262"/>
      <c r="N22" s="262"/>
      <c r="O22" s="262"/>
      <c r="P22" s="262"/>
      <c r="Q22" s="261"/>
      <c r="R22" s="261"/>
    </row>
    <row r="23" spans="1:18" hidden="1" x14ac:dyDescent="0.25">
      <c r="D23" s="15"/>
      <c r="E23" s="15"/>
      <c r="F23" s="15"/>
      <c r="G23" s="15"/>
      <c r="I23" s="263" t="s">
        <v>176</v>
      </c>
      <c r="J23" s="264">
        <f>År1</f>
        <v>2019</v>
      </c>
      <c r="K23" s="264">
        <f>År1</f>
        <v>2019</v>
      </c>
      <c r="L23" s="264">
        <f>År1</f>
        <v>2019</v>
      </c>
      <c r="M23" s="264">
        <f>År2</f>
        <v>2030</v>
      </c>
      <c r="N23" s="264">
        <f>År2</f>
        <v>2030</v>
      </c>
      <c r="O23" s="264">
        <f>År2</f>
        <v>2030</v>
      </c>
      <c r="P23" s="264">
        <f>År3</f>
        <v>2050</v>
      </c>
      <c r="Q23" s="264">
        <f>År3</f>
        <v>2050</v>
      </c>
      <c r="R23" s="264">
        <f>År3</f>
        <v>2050</v>
      </c>
    </row>
    <row r="24" spans="1:18" hidden="1" x14ac:dyDescent="0.25">
      <c r="D24" s="15"/>
      <c r="E24" s="15"/>
      <c r="F24" s="15"/>
      <c r="G24" s="15"/>
      <c r="I24" s="263"/>
      <c r="J24" s="264" t="str">
        <f>Jordbund1</f>
        <v>JB1-10</v>
      </c>
      <c r="K24" s="264" t="str">
        <f>Organ6</f>
        <v>OC6</v>
      </c>
      <c r="L24" s="264" t="str">
        <f>Organ12</f>
        <v>OC12</v>
      </c>
      <c r="M24" s="264" t="str">
        <f>Jordbund1</f>
        <v>JB1-10</v>
      </c>
      <c r="N24" s="264" t="str">
        <f>Organ6</f>
        <v>OC6</v>
      </c>
      <c r="O24" s="264" t="str">
        <f>Organ12</f>
        <v>OC12</v>
      </c>
      <c r="P24" s="264" t="str">
        <f>Jordbund1</f>
        <v>JB1-10</v>
      </c>
      <c r="Q24" s="264" t="str">
        <f>Organ6</f>
        <v>OC6</v>
      </c>
      <c r="R24" s="264" t="str">
        <f>Organ12</f>
        <v>OC12</v>
      </c>
    </row>
    <row r="25" spans="1:18" hidden="1" x14ac:dyDescent="0.25">
      <c r="D25" s="15"/>
      <c r="E25" s="15"/>
      <c r="F25" s="15"/>
      <c r="G25" s="15"/>
      <c r="I25" s="265" t="str">
        <f>Bebyg</f>
        <v>Bebyggelse &amp; infrastruktur</v>
      </c>
      <c r="J25" s="271" t="e">
        <f>SUMIF([1]Arealanvendelse!$B$15:$B$22,I25,[1]Arealanvendelse!$D$15:$D$22)-SUM(K25:L25)</f>
        <v>#VALUE!</v>
      </c>
      <c r="K25" s="271"/>
      <c r="L25" s="271"/>
      <c r="M25" s="274" t="e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#VALUE!</v>
      </c>
      <c r="N25" s="274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4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4" t="e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#VALUE!</v>
      </c>
      <c r="Q25" s="274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4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5" t="str">
        <f>Afgrøder</f>
        <v>Landbrugsafgrøder</v>
      </c>
      <c r="J26" s="271" t="e">
        <f>SUMIF([1]Arealanvendelse!$B$15:$B$22,I26,[1]Arealanvendelse!$D$15:$D$22)-SUM(K26:L26)</f>
        <v>#VALUE!</v>
      </c>
      <c r="K26" s="271">
        <f>[1]Jordbundstypefordeling!$D$16*[1]Jordbundstypefordeling!$F$4</f>
        <v>90723.841613092387</v>
      </c>
      <c r="L26" s="271">
        <f>[1]Jordbundstypefordeling!$D$15*[1]Jordbundstypefordeling!$F$4</f>
        <v>70620.560556759505</v>
      </c>
      <c r="M26" s="274" t="e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#VALUE!</v>
      </c>
      <c r="N26" s="274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4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4" t="e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#VALUE!</v>
      </c>
      <c r="Q26" s="274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4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5" t="str">
        <f>SkovAreal</f>
        <v>Skov</v>
      </c>
      <c r="J27" s="271" t="e">
        <f>SUMIF([1]Arealanvendelse!$B$15:$B$22,I27,[1]Arealanvendelse!$D$15:$D$22)-SUM(K27:L27)</f>
        <v>#VALUE!</v>
      </c>
      <c r="K27" s="271"/>
      <c r="L27" s="271"/>
      <c r="M27" s="274" t="e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#VALUE!</v>
      </c>
      <c r="N27" s="274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4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4" t="e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#VALUE!</v>
      </c>
      <c r="Q27" s="274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4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5" t="str">
        <f>NaturAreal</f>
        <v>Natur</v>
      </c>
      <c r="J28" s="271" t="e">
        <f>SUMIF([1]Arealanvendelse!$B$15:$B$22,I28,[1]Arealanvendelse!$D$15:$D$22)-SUM(K28:L28)</f>
        <v>#VALUE!</v>
      </c>
      <c r="K28" s="271">
        <f>([1]Jordbundstypefordeling!$E$16-[1]Jordbundstypefordeling!$D$16)*SUM([1]Jordbundstypefordeling!$D$3:$D$5)</f>
        <v>55514.664499432409</v>
      </c>
      <c r="L28" s="271">
        <f>([1]Jordbundstypefordeling!$E$15-[1]Jordbundstypefordeling!$D$15)*SUM([1]Jordbundstypefordeling!D3:D5)</f>
        <v>45828.620236547278</v>
      </c>
      <c r="M28" s="274" t="e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#VALUE!</v>
      </c>
      <c r="N28" s="274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4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4" t="e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#VALUE!</v>
      </c>
      <c r="Q28" s="274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4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6" t="str">
        <f>IKareal</f>
        <v>Ikke klassificeret</v>
      </c>
      <c r="J29" s="272" t="e">
        <f>SUMIF([1]Arealanvendelse!$B$15:$B$22,I29,[1]Arealanvendelse!$D$15:$D$22)-SUM(K29:L29)</f>
        <v>#VALUE!</v>
      </c>
      <c r="K29" s="272"/>
      <c r="L29" s="272"/>
      <c r="M29" s="275" t="e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#VALUE!</v>
      </c>
      <c r="N29" s="275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5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5" t="e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#VALUE!</v>
      </c>
      <c r="Q29" s="275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5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7" t="s">
        <v>30</v>
      </c>
      <c r="J30" s="273" t="e">
        <f t="shared" ref="J30:R30" si="6">SUM(J25:J29)</f>
        <v>#VALUE!</v>
      </c>
      <c r="K30" s="273">
        <f t="shared" si="6"/>
        <v>146238.5061125248</v>
      </c>
      <c r="L30" s="273">
        <f t="shared" si="6"/>
        <v>116449.18079330679</v>
      </c>
      <c r="M30" s="276" t="e">
        <f t="shared" si="6"/>
        <v>#VALUE!</v>
      </c>
      <c r="N30" s="276">
        <f t="shared" si="6"/>
        <v>146238.5061125248</v>
      </c>
      <c r="O30" s="276">
        <f t="shared" si="6"/>
        <v>116449.18079330679</v>
      </c>
      <c r="P30" s="276" t="e">
        <f t="shared" si="6"/>
        <v>#VALUE!</v>
      </c>
      <c r="Q30" s="276">
        <f t="shared" si="6"/>
        <v>146238.5061125248</v>
      </c>
      <c r="R30" s="276">
        <f t="shared" si="6"/>
        <v>116449.18079330679</v>
      </c>
    </row>
    <row r="31" spans="1:18" hidden="1" x14ac:dyDescent="0.25">
      <c r="I31" s="268"/>
      <c r="J31" s="269"/>
      <c r="K31" s="269"/>
      <c r="L31" s="269"/>
      <c r="M31" s="270"/>
      <c r="N31" s="269"/>
      <c r="O31" s="269"/>
      <c r="P31" s="269"/>
      <c r="Q31" s="269"/>
      <c r="R31" s="269"/>
    </row>
    <row r="32" spans="1:18" hidden="1" x14ac:dyDescent="0.25">
      <c r="I32" s="268"/>
      <c r="J32" s="262" t="s">
        <v>309</v>
      </c>
      <c r="K32" s="262"/>
      <c r="L32" s="262"/>
      <c r="M32" s="262"/>
      <c r="N32" s="262"/>
      <c r="O32" s="262"/>
      <c r="P32" s="262"/>
      <c r="Q32" s="262"/>
      <c r="R32" s="262"/>
    </row>
    <row r="33" spans="9:18" hidden="1" x14ac:dyDescent="0.25">
      <c r="I33" s="263" t="s">
        <v>176</v>
      </c>
      <c r="J33" s="264">
        <f>År1</f>
        <v>2019</v>
      </c>
      <c r="K33" s="264">
        <f>År1</f>
        <v>2019</v>
      </c>
      <c r="L33" s="264">
        <f>År1</f>
        <v>2019</v>
      </c>
      <c r="M33" s="264">
        <v>2030</v>
      </c>
      <c r="N33" s="264">
        <v>2030</v>
      </c>
      <c r="O33" s="264">
        <v>2030</v>
      </c>
      <c r="P33" s="264">
        <f>År3</f>
        <v>2050</v>
      </c>
      <c r="Q33" s="264">
        <f>År3</f>
        <v>2050</v>
      </c>
      <c r="R33" s="264">
        <f>År3</f>
        <v>2050</v>
      </c>
    </row>
    <row r="34" spans="9:18" hidden="1" x14ac:dyDescent="0.25">
      <c r="I34" s="263"/>
      <c r="J34" s="264" t="str">
        <f>Jordbund1</f>
        <v>JB1-10</v>
      </c>
      <c r="K34" s="264" t="str">
        <f>Organ6</f>
        <v>OC6</v>
      </c>
      <c r="L34" s="264" t="str">
        <f>Organ12</f>
        <v>OC12</v>
      </c>
      <c r="M34" s="264" t="str">
        <f>Jordbund1</f>
        <v>JB1-10</v>
      </c>
      <c r="N34" s="264" t="str">
        <f>Organ6</f>
        <v>OC6</v>
      </c>
      <c r="O34" s="264" t="str">
        <f>Organ12</f>
        <v>OC12</v>
      </c>
      <c r="P34" s="264" t="str">
        <f>Jordbund1</f>
        <v>JB1-10</v>
      </c>
      <c r="Q34" s="264" t="str">
        <f>Organ6</f>
        <v>OC6</v>
      </c>
      <c r="R34" s="264" t="str">
        <f>Organ12</f>
        <v>OC12</v>
      </c>
    </row>
    <row r="35" spans="9:18" hidden="1" x14ac:dyDescent="0.25">
      <c r="I35" s="265" t="str">
        <f>Bebyg</f>
        <v>Bebyggelse &amp; infrastruktur</v>
      </c>
      <c r="J35" s="271" t="e">
        <f>SUMIF([1]Arealanvendelse!$B$15:$B$22,I35,[1]Arealanvendelse!$E$15:$E$22)-SUM(K35:L35)</f>
        <v>#VALUE!</v>
      </c>
      <c r="K35" s="271"/>
      <c r="L35" s="271"/>
      <c r="M35" s="274" t="e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#VALUE!</v>
      </c>
      <c r="N35" s="274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4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4" t="e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#VALUE!</v>
      </c>
      <c r="Q35" s="274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4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5" t="str">
        <f>Afgrøder</f>
        <v>Landbrugsafgrøder</v>
      </c>
      <c r="J36" s="271" t="e">
        <f>SUMIF([1]Arealanvendelse!$B$15:$B$22,I36,[1]Arealanvendelse!$E$15:$E$22)-SUM(K36:L36)</f>
        <v>#VALUE!</v>
      </c>
      <c r="K36" s="271">
        <f>[1]Jordbundstypefordeling!$D$16*[1]Jordbundstypefordeling!$G$4</f>
        <v>9778.158386907593</v>
      </c>
      <c r="L36" s="271">
        <f>[1]Jordbundstypefordeling!$D$15*[1]Jordbundstypefordeling!$G$4</f>
        <v>7611.4394432404806</v>
      </c>
      <c r="M36" s="274" t="e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#VALUE!</v>
      </c>
      <c r="N36" s="274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4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4" t="e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#VALUE!</v>
      </c>
      <c r="Q36" s="274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4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5" t="str">
        <f>SkovAreal</f>
        <v>Skov</v>
      </c>
      <c r="J37" s="271" t="e">
        <f>SUMIF([1]Arealanvendelse!$B$15:$B$22,I37,[1]Arealanvendelse!$E$15:$E$22)-SUM(K37:L37)</f>
        <v>#VALUE!</v>
      </c>
      <c r="K37" s="271"/>
      <c r="L37" s="271"/>
      <c r="M37" s="274" t="e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#VALUE!</v>
      </c>
      <c r="N37" s="274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4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4" t="e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#VALUE!</v>
      </c>
      <c r="Q37" s="274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4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5" t="str">
        <f>NaturAreal</f>
        <v>Natur</v>
      </c>
      <c r="J38" s="271" t="e">
        <f>SUMIF([1]Arealanvendelse!$B$15:$B$22,I38,[1]Arealanvendelse!$E$15:$E$22)-SUM(K38:L38)</f>
        <v>#VALUE!</v>
      </c>
      <c r="K38" s="271">
        <f>([1]Jordbundstypefordeling!$E$16-[1]Jordbundstypefordeling!$D$16)*[1]Jordbundstypefordeling!$G$4</f>
        <v>5983.3355005675821</v>
      </c>
      <c r="L38" s="271">
        <f>([1]Jordbundstypefordeling!$E$15-[1]Jordbundstypefordeling!$D$15)*[1]Jordbundstypefordeling!$G$4</f>
        <v>4939.3797634527136</v>
      </c>
      <c r="M38" s="274" t="e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#VALUE!</v>
      </c>
      <c r="N38" s="274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4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4" t="e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#VALUE!</v>
      </c>
      <c r="Q38" s="274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4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6" t="str">
        <f>IKareal</f>
        <v>Ikke klassificeret</v>
      </c>
      <c r="J39" s="272" t="e">
        <f>SUMIF([1]Arealanvendelse!$B$15:$B$22,I39,[1]Arealanvendelse!$E$15:$E$22)-SUM(K39:L39)</f>
        <v>#VALUE!</v>
      </c>
      <c r="K39" s="272"/>
      <c r="L39" s="272"/>
      <c r="M39" s="275" t="e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#VALUE!</v>
      </c>
      <c r="N39" s="275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5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5" t="e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#VALUE!</v>
      </c>
      <c r="Q39" s="275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5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7" t="s">
        <v>30</v>
      </c>
      <c r="J40" s="273" t="e">
        <f t="shared" ref="J40:R40" si="7">SUM(J35:J39)</f>
        <v>#VALUE!</v>
      </c>
      <c r="K40" s="273">
        <f t="shared" si="7"/>
        <v>15761.493887475175</v>
      </c>
      <c r="L40" s="273">
        <f t="shared" si="7"/>
        <v>12550.819206693195</v>
      </c>
      <c r="M40" s="276" t="e">
        <f t="shared" si="7"/>
        <v>#VALUE!</v>
      </c>
      <c r="N40" s="276">
        <f t="shared" si="7"/>
        <v>15761.493887475175</v>
      </c>
      <c r="O40" s="276">
        <f t="shared" si="7"/>
        <v>12550.819206693195</v>
      </c>
      <c r="P40" s="276" t="e">
        <f t="shared" si="7"/>
        <v>#VALUE!</v>
      </c>
      <c r="Q40" s="276">
        <f t="shared" si="7"/>
        <v>15761.493887475175</v>
      </c>
      <c r="R40" s="276">
        <f t="shared" si="7"/>
        <v>12550.819206693195</v>
      </c>
    </row>
    <row r="41" spans="9:18" hidden="1" x14ac:dyDescent="0.25"/>
  </sheetData>
  <conditionalFormatting sqref="J5:R9">
    <cfRule type="cellIs" dxfId="18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E26" sqref="E26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32" t="s">
        <v>281</v>
      </c>
    </row>
    <row r="2" spans="1:9" ht="15.75" x14ac:dyDescent="0.25">
      <c r="A2" s="229" t="s">
        <v>67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 t="s">
        <v>66</v>
      </c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 t="s">
        <v>66</v>
      </c>
      <c r="G7" s="12"/>
      <c r="I7" s="114">
        <f>C7+D$5-C$5</f>
        <v>0.17205823403117737</v>
      </c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 t="s">
        <v>66</v>
      </c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0.8</v>
      </c>
      <c r="E11" s="3">
        <v>0.8</v>
      </c>
      <c r="G11" s="12"/>
      <c r="I11" s="1"/>
    </row>
    <row r="12" spans="1:9" x14ac:dyDescent="0.25">
      <c r="B12" s="2" t="s">
        <v>3</v>
      </c>
      <c r="C12" s="7">
        <v>1</v>
      </c>
      <c r="D12" s="3">
        <v>0.8</v>
      </c>
      <c r="E12" s="3">
        <v>0.8</v>
      </c>
      <c r="G12" s="12"/>
      <c r="I12" s="1"/>
    </row>
    <row r="13" spans="1:9" x14ac:dyDescent="0.25">
      <c r="B13" s="2" t="s">
        <v>4</v>
      </c>
      <c r="C13" s="7">
        <v>1</v>
      </c>
      <c r="D13" s="3">
        <v>0.8</v>
      </c>
      <c r="E13" s="3">
        <v>0.8</v>
      </c>
      <c r="G13" s="12"/>
      <c r="H13" s="14"/>
      <c r="I13" s="1"/>
    </row>
    <row r="14" spans="1:9" x14ac:dyDescent="0.25">
      <c r="B14" s="12"/>
      <c r="C14" s="315"/>
      <c r="D14" s="13"/>
      <c r="E14" s="13"/>
      <c r="F14" s="12"/>
      <c r="G14" s="12"/>
      <c r="H14" s="14"/>
      <c r="I14" s="14"/>
    </row>
    <row r="15" spans="1:9" x14ac:dyDescent="0.25">
      <c r="B15" s="88" t="s">
        <v>135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91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85</v>
      </c>
      <c r="C17" s="87">
        <v>0.59345000000000003</v>
      </c>
      <c r="D17" s="3">
        <v>0.59</v>
      </c>
      <c r="E17" s="3">
        <v>0.59</v>
      </c>
      <c r="F17" s="12" t="s">
        <v>274</v>
      </c>
    </row>
    <row r="18" spans="2:11" x14ac:dyDescent="0.25">
      <c r="B18" s="2" t="s">
        <v>142</v>
      </c>
      <c r="C18" s="87">
        <v>1</v>
      </c>
      <c r="D18" s="3">
        <v>1.0720000000000001</v>
      </c>
      <c r="E18" s="3">
        <v>1.0720000000000001</v>
      </c>
      <c r="F18" s="12"/>
      <c r="G18" s="182"/>
    </row>
    <row r="20" spans="2:11" x14ac:dyDescent="0.25">
      <c r="B20" s="342" t="s">
        <v>334</v>
      </c>
      <c r="C20" s="25"/>
      <c r="D20" s="25"/>
      <c r="E20" s="25"/>
      <c r="F20" s="12"/>
      <c r="I20" s="1"/>
    </row>
    <row r="21" spans="2:11" ht="29.45" customHeight="1" x14ac:dyDescent="0.25">
      <c r="B21" s="342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32" t="str">
        <f>CONCATENATE("Omlægning til permanent græs, ", Organ6,", hektar")</f>
        <v>Omlægning til permanent græs, OC6, hektar</v>
      </c>
      <c r="C24" s="333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32" t="str">
        <f>CONCATENATE("Omlægning til permanent græs, ", Organ12, ", hektar")</f>
        <v>Omlægning til permanent græs, OC12, hektar</v>
      </c>
      <c r="C25" s="333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32" t="str">
        <f>CONCATENATE("Antal hektar som 1% svarer til, ", Organ6)</f>
        <v>Antal hektar som 1% svarer til, OC6</v>
      </c>
      <c r="C26" s="333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4" t="str">
        <f>CONCATENATE("Antal hektar som 1% svarer til, ", Organ12)</f>
        <v>Antal hektar som 1% svarer til, OC12</v>
      </c>
      <c r="C27" s="335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7" t="s">
        <v>269</v>
      </c>
      <c r="C28" s="238"/>
      <c r="D28" s="236">
        <f>SUM(D24:D25)</f>
        <v>0</v>
      </c>
      <c r="E28" s="236">
        <f>SUM(E24:E25)</f>
        <v>0</v>
      </c>
      <c r="F28" s="331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340" t="s">
        <v>333</v>
      </c>
      <c r="C30" s="25"/>
      <c r="D30" s="25"/>
      <c r="E30" s="25"/>
      <c r="K30" s="12"/>
    </row>
    <row r="31" spans="2:11" x14ac:dyDescent="0.25">
      <c r="B31" s="341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8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8">
        <f>'[1]Afgrødefordeling - jordtype'!$Y5</f>
        <v>3.0976273829928767E-2</v>
      </c>
      <c r="D33" s="90">
        <f t="shared" ref="D33:E45" si="1">C33</f>
        <v>3.0976273829928767E-2</v>
      </c>
      <c r="E33" s="90">
        <f t="shared" si="1"/>
        <v>3.0976273829928767E-2</v>
      </c>
      <c r="K33" s="12"/>
    </row>
    <row r="34" spans="2:11" x14ac:dyDescent="0.25">
      <c r="B34" s="2" t="str">
        <f>[1]Afgrødefordeling!$C4</f>
        <v>Raps</v>
      </c>
      <c r="C34" s="328">
        <f>'[1]Afgrødefordeling - jordtype'!$Y6</f>
        <v>6.5329688585482673E-2</v>
      </c>
      <c r="D34" s="90">
        <f t="shared" si="1"/>
        <v>6.5329688585482673E-2</v>
      </c>
      <c r="E34" s="90">
        <f t="shared" si="1"/>
        <v>6.5329688585482673E-2</v>
      </c>
      <c r="K34" s="12"/>
    </row>
    <row r="35" spans="2:11" x14ac:dyDescent="0.25">
      <c r="B35" s="2" t="str">
        <f>[1]Afgrødefordeling!$C5</f>
        <v>Græs</v>
      </c>
      <c r="C35" s="328">
        <f>'[1]Afgrødefordeling - jordtype'!$Y7</f>
        <v>0.10115967422642448</v>
      </c>
      <c r="D35" s="90">
        <f t="shared" si="1"/>
        <v>0.10115967422642448</v>
      </c>
      <c r="E35" s="90">
        <f t="shared" si="1"/>
        <v>0.10115967422642448</v>
      </c>
      <c r="K35" s="12"/>
    </row>
    <row r="36" spans="2:11" x14ac:dyDescent="0.25">
      <c r="B36" s="2" t="str">
        <f>[1]Afgrødefordeling!$C6</f>
        <v>Grøntsager</v>
      </c>
      <c r="C36" s="328">
        <f>'[1]Afgrødefordeling - jordtype'!$Y8</f>
        <v>5.2060865589185204E-3</v>
      </c>
      <c r="D36" s="90">
        <f t="shared" si="1"/>
        <v>5.2060865589185204E-3</v>
      </c>
      <c r="E36" s="90">
        <f t="shared" si="1"/>
        <v>5.2060865589185204E-3</v>
      </c>
      <c r="K36" s="12"/>
    </row>
    <row r="37" spans="2:11" x14ac:dyDescent="0.25">
      <c r="B37" s="2" t="str">
        <f>[1]Afgrødefordeling!$C7</f>
        <v>Kartofler</v>
      </c>
      <c r="C37" s="328">
        <f>'[1]Afgrødefordeling - jordtype'!$Y9</f>
        <v>2.189728375215861E-2</v>
      </c>
      <c r="D37" s="90">
        <f t="shared" si="1"/>
        <v>2.189728375215861E-2</v>
      </c>
      <c r="E37" s="90">
        <f t="shared" si="1"/>
        <v>2.189728375215861E-2</v>
      </c>
      <c r="K37" s="12"/>
    </row>
    <row r="38" spans="2:11" x14ac:dyDescent="0.25">
      <c r="B38" s="2" t="str">
        <f>[1]Afgrødefordeling!$C8</f>
        <v>Roer</v>
      </c>
      <c r="C38" s="328">
        <f>'[1]Afgrødefordeling - jordtype'!$Y10</f>
        <v>1.3466912404096722E-2</v>
      </c>
      <c r="D38" s="90">
        <f t="shared" si="1"/>
        <v>1.3466912404096722E-2</v>
      </c>
      <c r="E38" s="90">
        <f t="shared" si="1"/>
        <v>1.3466912404096722E-2</v>
      </c>
      <c r="K38" s="12"/>
    </row>
    <row r="39" spans="2:11" x14ac:dyDescent="0.25">
      <c r="B39" s="2" t="str">
        <f>[1]Afgrødefordeling!$C9</f>
        <v>Majs</v>
      </c>
      <c r="C39" s="328">
        <f>'[1]Afgrødefordeling - jordtype'!$Y11</f>
        <v>7.2759287296729286E-2</v>
      </c>
      <c r="D39" s="90">
        <f t="shared" si="1"/>
        <v>7.2759287296729286E-2</v>
      </c>
      <c r="E39" s="90">
        <f t="shared" si="1"/>
        <v>7.2759287296729286E-2</v>
      </c>
      <c r="K39" s="12"/>
    </row>
    <row r="40" spans="2:11" x14ac:dyDescent="0.25">
      <c r="B40" s="2" t="str">
        <f>[1]Afgrødefordeling!$C10</f>
        <v>Frugt</v>
      </c>
      <c r="C40" s="328">
        <f>'[1]Afgrødefordeling - jordtype'!$Y12</f>
        <v>2.0301913757470973E-3</v>
      </c>
      <c r="D40" s="90">
        <f t="shared" si="1"/>
        <v>2.0301913757470973E-3</v>
      </c>
      <c r="E40" s="90">
        <f t="shared" si="1"/>
        <v>2.0301913757470973E-3</v>
      </c>
      <c r="K40" s="12"/>
    </row>
    <row r="41" spans="2:11" x14ac:dyDescent="0.25">
      <c r="B41" s="2" t="str">
        <f>[1]Afgrødefordeling!$C11</f>
        <v>Øvrige</v>
      </c>
      <c r="C41" s="328">
        <f>'[1]Afgrødefordeling - jordtype'!$Y13</f>
        <v>2.7968670218625629E-2</v>
      </c>
      <c r="D41" s="90">
        <f t="shared" si="1"/>
        <v>2.7968670218625629E-2</v>
      </c>
      <c r="E41" s="90">
        <f t="shared" si="1"/>
        <v>2.7968670218625629E-2</v>
      </c>
      <c r="K41" s="12"/>
    </row>
    <row r="42" spans="2:11" x14ac:dyDescent="0.25">
      <c r="B42" s="2" t="str">
        <f>[1]Afgrødefordeling!$C12</f>
        <v>Frø</v>
      </c>
      <c r="C42" s="328">
        <f>'[1]Afgrødefordeling - jordtype'!$Y14</f>
        <v>4.0395307311065158E-2</v>
      </c>
      <c r="D42" s="90">
        <f t="shared" si="1"/>
        <v>4.0395307311065158E-2</v>
      </c>
      <c r="E42" s="90">
        <f t="shared" si="1"/>
        <v>4.0395307311065158E-2</v>
      </c>
      <c r="K42" s="12"/>
    </row>
    <row r="43" spans="2:11" x14ac:dyDescent="0.25">
      <c r="B43" s="2" t="str">
        <f>[1]Afgrødefordeling!$C13</f>
        <v>Juletræer</v>
      </c>
      <c r="C43" s="328">
        <f>'[1]Afgrødefordeling - jordtype'!$Y15</f>
        <v>7.5869349743828522E-3</v>
      </c>
      <c r="D43" s="90">
        <f t="shared" si="1"/>
        <v>7.5869349743828522E-3</v>
      </c>
      <c r="E43" s="90">
        <f t="shared" si="1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8">
        <f>'[1]Afgrødefordeling - jordtype'!$Y16</f>
        <v>2.9175094799916215E-3</v>
      </c>
      <c r="D44" s="90">
        <f t="shared" si="1"/>
        <v>2.9175094799916215E-3</v>
      </c>
      <c r="E44" s="90">
        <f t="shared" si="1"/>
        <v>2.9175094799916215E-3</v>
      </c>
      <c r="K44" s="12"/>
    </row>
    <row r="45" spans="2:11" x14ac:dyDescent="0.25">
      <c r="B45" s="2" t="str">
        <f>[1]Afgrødefordeling!$C15</f>
        <v>Permanent græs</v>
      </c>
      <c r="C45" s="328">
        <f>'[1]Afgrødefordeling - jordtype'!$Y17</f>
        <v>7.0772837129970206E-2</v>
      </c>
      <c r="D45" s="90">
        <f t="shared" si="1"/>
        <v>7.0772837129970206E-2</v>
      </c>
      <c r="E45" s="90">
        <f t="shared" si="1"/>
        <v>7.0772837129970206E-2</v>
      </c>
      <c r="K45" s="12"/>
    </row>
    <row r="46" spans="2:11" x14ac:dyDescent="0.25">
      <c r="B46" s="25" t="s">
        <v>298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246</v>
      </c>
      <c r="C47" s="87"/>
      <c r="D47" s="115" t="e" cm="1">
        <f t="array" ref="D47">SUMPRODUCT((D32:D45&gt;$C$32:$C$45)*(D32:D45-$C$32:$C$45))*Arealanvendelse!M6</f>
        <v>#VALUE!</v>
      </c>
      <c r="E47" s="115" t="e" cm="1">
        <f t="array" ref="E47">SUMPRODUCT((E32:E45&gt;$C$32:$C$45)*(E32:E45-$C$32:$C$45))*Arealanvendelse!P6</f>
        <v>#VALUE!</v>
      </c>
      <c r="K47" s="12"/>
    </row>
    <row r="48" spans="2:11" x14ac:dyDescent="0.25">
      <c r="B48" s="25" t="s">
        <v>245</v>
      </c>
      <c r="C48" s="109"/>
      <c r="D48" s="115" t="e">
        <f>1%*Arealanvendelse!M6</f>
        <v>#VALUE!</v>
      </c>
      <c r="E48" s="115" t="e">
        <f>1%*Arealanvendelse!P6</f>
        <v>#VALUE!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152</v>
      </c>
      <c r="C51" s="113">
        <f>786/121381</f>
        <v>6.475478040220463E-3</v>
      </c>
      <c r="D51" s="214">
        <f>C51</f>
        <v>6.475478040220463E-3</v>
      </c>
      <c r="E51" s="214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E14" sqref="E14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32" t="s">
        <v>281</v>
      </c>
    </row>
    <row r="2" spans="1:9" ht="15.75" thickBot="1" x14ac:dyDescent="0.3">
      <c r="A2" s="317"/>
      <c r="B2" s="317"/>
      <c r="C2" s="317">
        <f>År1</f>
        <v>2019</v>
      </c>
      <c r="D2" s="317">
        <f>År2</f>
        <v>2030</v>
      </c>
      <c r="E2" s="317">
        <f>År3</f>
        <v>2050</v>
      </c>
      <c r="F2" s="317" t="s">
        <v>324</v>
      </c>
    </row>
    <row r="3" spans="1:9" x14ac:dyDescent="0.25">
      <c r="A3" s="318" t="str">
        <f>'[1]Processer - data'!$D418</f>
        <v>Korn</v>
      </c>
      <c r="B3" s="12" t="s">
        <v>134</v>
      </c>
      <c r="C3" s="119">
        <f>VLOOKUP(A3,[1]Foder!$A$2:$E$16,5,FALSE)</f>
        <v>0.39994582515067378</v>
      </c>
      <c r="D3" s="316">
        <f>C3</f>
        <v>0.39994582515067378</v>
      </c>
      <c r="E3" s="316">
        <f>D3</f>
        <v>0.39994582515067378</v>
      </c>
      <c r="I3" s="246"/>
    </row>
    <row r="4" spans="1:9" x14ac:dyDescent="0.25">
      <c r="A4" s="2" t="str">
        <f>'[1]Processer - data'!$D419</f>
        <v>Halm</v>
      </c>
      <c r="B4" s="12" t="s">
        <v>134</v>
      </c>
      <c r="C4" s="119">
        <f>VLOOKUP(A4,[1]Foder!$A$2:$E$16,5,FALSE)</f>
        <v>1.1105844111871065E-2</v>
      </c>
      <c r="D4" s="316">
        <f t="shared" ref="D4:E17" si="0">C4</f>
        <v>1.1105844111871065E-2</v>
      </c>
      <c r="E4" s="316">
        <f t="shared" si="0"/>
        <v>1.1105844111871065E-2</v>
      </c>
      <c r="I4" s="246"/>
    </row>
    <row r="5" spans="1:9" x14ac:dyDescent="0.25">
      <c r="A5" s="2" t="str">
        <f>'[1]Processer - data'!$D420</f>
        <v>Kartofler</v>
      </c>
      <c r="B5" s="12" t="s">
        <v>134</v>
      </c>
      <c r="C5" s="119">
        <f>VLOOKUP(A5,[1]Foder!$A$2:$E$16,5,FALSE)</f>
        <v>0</v>
      </c>
      <c r="D5" s="316">
        <f t="shared" si="0"/>
        <v>0</v>
      </c>
      <c r="E5" s="316">
        <f t="shared" si="0"/>
        <v>0</v>
      </c>
      <c r="I5" s="246"/>
    </row>
    <row r="6" spans="1:9" x14ac:dyDescent="0.25">
      <c r="A6" s="2" t="str">
        <f>'[1]Processer - data'!$D421</f>
        <v>Bælgsæd</v>
      </c>
      <c r="B6" s="12" t="s">
        <v>134</v>
      </c>
      <c r="C6" s="119">
        <f>VLOOKUP(A6,[1]Foder!$A$2:$E$16,5,FALSE)</f>
        <v>5.2820478093045303E-3</v>
      </c>
      <c r="D6" s="316">
        <f t="shared" si="0"/>
        <v>5.2820478093045303E-3</v>
      </c>
      <c r="E6" s="316">
        <f t="shared" si="0"/>
        <v>5.2820478093045303E-3</v>
      </c>
      <c r="I6" s="246"/>
    </row>
    <row r="7" spans="1:9" x14ac:dyDescent="0.25">
      <c r="A7" s="2" t="str">
        <f>'[1]Processer - data'!$D422</f>
        <v>Roer</v>
      </c>
      <c r="B7" s="12" t="s">
        <v>134</v>
      </c>
      <c r="C7" s="119">
        <f>VLOOKUP(A7,[1]Foder!$A$2:$E$16,5,FALSE)</f>
        <v>9.683754317058306E-3</v>
      </c>
      <c r="D7" s="316">
        <f t="shared" si="0"/>
        <v>9.683754317058306E-3</v>
      </c>
      <c r="E7" s="316">
        <f t="shared" si="0"/>
        <v>9.683754317058306E-3</v>
      </c>
      <c r="I7" s="246"/>
    </row>
    <row r="8" spans="1:9" x14ac:dyDescent="0.25">
      <c r="A8" s="2" t="str">
        <f>'[1]Processer - data'!$D423</f>
        <v>Majs</v>
      </c>
      <c r="B8" s="12" t="s">
        <v>134</v>
      </c>
      <c r="C8" s="119">
        <f>VLOOKUP(A8,[1]Foder!$A$2:$E$16,5,FALSE)</f>
        <v>0.1132931536534164</v>
      </c>
      <c r="D8" s="316">
        <f t="shared" si="0"/>
        <v>0.1132931536534164</v>
      </c>
      <c r="E8" s="316">
        <f t="shared" si="0"/>
        <v>0.1132931536534164</v>
      </c>
      <c r="I8" s="246"/>
    </row>
    <row r="9" spans="1:9" x14ac:dyDescent="0.25">
      <c r="A9" s="2" t="str">
        <f>'[1]Processer - data'!$D424</f>
        <v>Rapskage</v>
      </c>
      <c r="B9" s="12" t="s">
        <v>134</v>
      </c>
      <c r="C9" s="119">
        <f>VLOOKUP(A9,[1]Foder!$A$2:$E$16,5,FALSE)</f>
        <v>1.6320173359517843E-2</v>
      </c>
      <c r="D9" s="316">
        <f t="shared" si="0"/>
        <v>1.6320173359517843E-2</v>
      </c>
      <c r="E9" s="316">
        <f t="shared" si="0"/>
        <v>1.6320173359517843E-2</v>
      </c>
      <c r="I9" s="246"/>
    </row>
    <row r="10" spans="1:9" x14ac:dyDescent="0.25">
      <c r="A10" s="2" t="str">
        <f>'[1]Processer - data'!$D425</f>
        <v>Tang</v>
      </c>
      <c r="B10" s="12" t="s">
        <v>134</v>
      </c>
      <c r="C10" s="119">
        <f>VLOOKUP(A10,[1]Foder!$A$2:$E$16,5,FALSE)</f>
        <v>0</v>
      </c>
      <c r="D10" s="316">
        <f t="shared" si="0"/>
        <v>0</v>
      </c>
      <c r="E10" s="316">
        <f t="shared" si="0"/>
        <v>0</v>
      </c>
      <c r="I10" s="246"/>
    </row>
    <row r="11" spans="1:9" x14ac:dyDescent="0.25">
      <c r="A11" s="2" t="str">
        <f>'[1]Processer - data'!$D426</f>
        <v>Muslinger</v>
      </c>
      <c r="B11" s="12" t="s">
        <v>134</v>
      </c>
      <c r="C11" s="119">
        <f>VLOOKUP(A11,[1]Foder!$A$2:$E$16,5,FALSE)</f>
        <v>0</v>
      </c>
      <c r="D11" s="316">
        <f t="shared" si="0"/>
        <v>0</v>
      </c>
      <c r="E11" s="316">
        <f t="shared" si="0"/>
        <v>0</v>
      </c>
      <c r="I11" s="246"/>
    </row>
    <row r="12" spans="1:9" x14ac:dyDescent="0.25">
      <c r="A12" s="2" t="str">
        <f>'[1]Processer - data'!$D427</f>
        <v>Græs</v>
      </c>
      <c r="B12" s="12" t="s">
        <v>134</v>
      </c>
      <c r="C12" s="119">
        <f>VLOOKUP(A12,[1]Foder!$A$2:$E$16,5,FALSE)</f>
        <v>0.15385657208640888</v>
      </c>
      <c r="D12" s="316">
        <f t="shared" si="0"/>
        <v>0.15385657208640888</v>
      </c>
      <c r="E12" s="316">
        <f t="shared" si="0"/>
        <v>0.15385657208640888</v>
      </c>
    </row>
    <row r="13" spans="1:9" x14ac:dyDescent="0.25">
      <c r="A13" s="2" t="str">
        <f>'[1]Processer - data'!$D428</f>
        <v>Mælk til foder</v>
      </c>
      <c r="B13" s="12" t="s">
        <v>134</v>
      </c>
      <c r="C13" s="119">
        <f>VLOOKUP(A13,[1]Foder!$A$2:$E$16,5,FALSE)</f>
        <v>1.1038125550213313E-2</v>
      </c>
      <c r="D13" s="316">
        <f t="shared" si="0"/>
        <v>1.1038125550213313E-2</v>
      </c>
      <c r="E13" s="316">
        <f t="shared" si="0"/>
        <v>1.1038125550213313E-2</v>
      </c>
    </row>
    <row r="14" spans="1:9" x14ac:dyDescent="0.25">
      <c r="A14" s="2" t="str">
        <f>'[1]Processer - data'!$D429</f>
        <v>Fiberfraktion</v>
      </c>
      <c r="B14" s="12" t="s">
        <v>134</v>
      </c>
      <c r="C14" s="119">
        <f>VLOOKUP(A14,[1]Foder!$A$2:$E$16,5,FALSE)</f>
        <v>0</v>
      </c>
      <c r="D14" s="119">
        <f>ROUND('[1]Processer - data'!I$469/'[1]Processer - data'!I$468*D15*'[1]Processer - data'!$H$429/'[1]Processer - data'!$H$430,4)</f>
        <v>0</v>
      </c>
      <c r="E14" s="119">
        <f>ROUND('[1]Processer - data'!J$469/'[1]Processer - data'!J$468*E15*'[1]Processer - data'!$H$429/'[1]Processer - data'!$H$430,4)</f>
        <v>0</v>
      </c>
      <c r="F14" s="1" t="s">
        <v>325</v>
      </c>
    </row>
    <row r="15" spans="1:9" x14ac:dyDescent="0.25">
      <c r="A15" s="2" t="str">
        <f>'[1]Processer - data'!$D430</f>
        <v>Græsprotein</v>
      </c>
      <c r="B15" s="12" t="s">
        <v>134</v>
      </c>
      <c r="C15" s="119">
        <f>VLOOKUP(A15,[1]Foder!$A$2:$E$16,5,FALSE)</f>
        <v>0</v>
      </c>
      <c r="D15" s="316">
        <f>C15</f>
        <v>0</v>
      </c>
      <c r="E15" s="316">
        <f t="shared" si="0"/>
        <v>0</v>
      </c>
    </row>
    <row r="16" spans="1:9" x14ac:dyDescent="0.25">
      <c r="A16" s="2" t="str">
        <f>'[1]Processer - data'!$D431</f>
        <v>Slagteriaffald til foder</v>
      </c>
      <c r="B16" s="12" t="s">
        <v>134</v>
      </c>
      <c r="C16" s="119">
        <f>VLOOKUP(A16,[1]Foder!$A$2:$E$16,5,FALSE)</f>
        <v>8.1939459605877979E-3</v>
      </c>
      <c r="D16" s="316">
        <f t="shared" si="0"/>
        <v>8.1939459605877979E-3</v>
      </c>
      <c r="E16" s="316">
        <f t="shared" si="0"/>
        <v>8.1939459605877979E-3</v>
      </c>
    </row>
    <row r="17" spans="1:6" ht="15.75" thickBot="1" x14ac:dyDescent="0.3">
      <c r="A17" s="2" t="str">
        <f>'[1]Processer - data'!$D432</f>
        <v>Import af foder</v>
      </c>
      <c r="B17" s="12" t="s">
        <v>134</v>
      </c>
      <c r="C17" s="119">
        <f>VLOOKUP(A17,[1]Foder!$A$2:$E$16,5,FALSE)</f>
        <v>0.27128055800094808</v>
      </c>
      <c r="D17" s="316">
        <f t="shared" si="0"/>
        <v>0.27128055800094808</v>
      </c>
      <c r="E17" s="316">
        <f t="shared" si="0"/>
        <v>0.27128055800094808</v>
      </c>
      <c r="F17" s="317"/>
    </row>
    <row r="18" spans="1:6" ht="15.75" thickBot="1" x14ac:dyDescent="0.3">
      <c r="A18" s="247" t="s">
        <v>30</v>
      </c>
      <c r="B18" s="247" t="s">
        <v>134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20" t="s">
        <v>326</v>
      </c>
    </row>
  </sheetData>
  <conditionalFormatting sqref="C18:E18">
    <cfRule type="cellIs" dxfId="17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M53"/>
  <sheetViews>
    <sheetView zoomScale="85" zoomScaleNormal="85" workbookViewId="0">
      <selection activeCell="E14" sqref="E14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31" t="s">
        <v>281</v>
      </c>
    </row>
    <row r="2" spans="1:4" x14ac:dyDescent="0.25">
      <c r="A2" s="103" t="s">
        <v>251</v>
      </c>
    </row>
    <row r="3" spans="1:4" x14ac:dyDescent="0.25">
      <c r="A3" s="6" t="s">
        <v>184</v>
      </c>
      <c r="B3" s="1" t="s">
        <v>171</v>
      </c>
    </row>
    <row r="4" spans="1:4" x14ac:dyDescent="0.25">
      <c r="A4" s="6" t="s">
        <v>178</v>
      </c>
      <c r="B4" s="1" t="s">
        <v>172</v>
      </c>
    </row>
    <row r="5" spans="1:4" x14ac:dyDescent="0.25">
      <c r="A5" s="6" t="s">
        <v>179</v>
      </c>
      <c r="B5" s="1" t="s">
        <v>173</v>
      </c>
    </row>
    <row r="6" spans="1:4" x14ac:dyDescent="0.25">
      <c r="A6" s="6" t="s">
        <v>180</v>
      </c>
      <c r="B6" s="1" t="s">
        <v>188</v>
      </c>
    </row>
    <row r="7" spans="1:4" x14ac:dyDescent="0.25">
      <c r="A7" s="6" t="s">
        <v>181</v>
      </c>
      <c r="B7" s="1" t="s">
        <v>189</v>
      </c>
    </row>
    <row r="8" spans="1:4" x14ac:dyDescent="0.25">
      <c r="A8" s="6" t="s">
        <v>182</v>
      </c>
      <c r="B8" s="1" t="s">
        <v>190</v>
      </c>
    </row>
    <row r="9" spans="1:4" x14ac:dyDescent="0.25">
      <c r="A9" s="2" t="s">
        <v>290</v>
      </c>
      <c r="B9" s="2"/>
      <c r="C9" s="214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289</v>
      </c>
      <c r="B11" s="2"/>
      <c r="C11" s="2"/>
      <c r="D11" s="2"/>
    </row>
    <row r="12" spans="1:4" x14ac:dyDescent="0.25">
      <c r="A12" s="2" t="s">
        <v>185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178</v>
      </c>
      <c r="B13" s="7">
        <v>0</v>
      </c>
      <c r="C13" s="8">
        <v>1</v>
      </c>
      <c r="D13" s="8">
        <v>1</v>
      </c>
    </row>
    <row r="14" spans="1:4" x14ac:dyDescent="0.25">
      <c r="A14" s="2" t="s">
        <v>179</v>
      </c>
      <c r="B14" s="7">
        <v>0</v>
      </c>
      <c r="C14" s="8">
        <v>0</v>
      </c>
      <c r="D14" s="8">
        <v>0</v>
      </c>
    </row>
    <row r="15" spans="1:4" x14ac:dyDescent="0.25">
      <c r="A15" s="2" t="s">
        <v>180</v>
      </c>
      <c r="B15" s="7">
        <v>0</v>
      </c>
      <c r="C15" s="8">
        <v>0</v>
      </c>
      <c r="D15" s="8">
        <v>0</v>
      </c>
    </row>
    <row r="16" spans="1:4" x14ac:dyDescent="0.25">
      <c r="A16" s="2" t="s">
        <v>181</v>
      </c>
      <c r="B16" s="7">
        <v>0</v>
      </c>
      <c r="C16" s="8">
        <v>0</v>
      </c>
      <c r="D16" s="8">
        <v>0</v>
      </c>
    </row>
    <row r="17" spans="1:13" x14ac:dyDescent="0.25">
      <c r="A17" s="2" t="s">
        <v>182</v>
      </c>
      <c r="B17" s="7">
        <v>0</v>
      </c>
      <c r="C17" s="8">
        <v>0</v>
      </c>
      <c r="D17" s="8">
        <v>0</v>
      </c>
    </row>
    <row r="18" spans="1:13" x14ac:dyDescent="0.25">
      <c r="A18" s="184" t="s">
        <v>30</v>
      </c>
      <c r="B18" s="185"/>
      <c r="C18" s="185">
        <f>SUM(C13:C17)</f>
        <v>1</v>
      </c>
      <c r="D18" s="185">
        <f>SUM(D13:D17)</f>
        <v>1</v>
      </c>
    </row>
    <row r="19" spans="1:13" x14ac:dyDescent="0.25">
      <c r="A19" s="2"/>
      <c r="B19" s="2"/>
      <c r="C19" s="2" t="s">
        <v>23</v>
      </c>
      <c r="D19" s="2" t="s">
        <v>23</v>
      </c>
      <c r="E19" s="2" t="s">
        <v>23</v>
      </c>
      <c r="F19" s="2" t="s">
        <v>24</v>
      </c>
      <c r="G19" s="2" t="s">
        <v>24</v>
      </c>
      <c r="H19" s="2" t="s">
        <v>24</v>
      </c>
    </row>
    <row r="20" spans="1:13" x14ac:dyDescent="0.25">
      <c r="A20" s="25" t="s">
        <v>186</v>
      </c>
      <c r="B20" s="186" t="s">
        <v>187</v>
      </c>
      <c r="C20" s="186">
        <f>År1</f>
        <v>2019</v>
      </c>
      <c r="D20" s="186">
        <f>År2</f>
        <v>2030</v>
      </c>
      <c r="E20" s="186">
        <f>År3</f>
        <v>2050</v>
      </c>
      <c r="F20" s="186">
        <f>År1</f>
        <v>2019</v>
      </c>
      <c r="G20" s="186">
        <f>År2</f>
        <v>2030</v>
      </c>
      <c r="H20" s="186">
        <f>År3</f>
        <v>2050</v>
      </c>
    </row>
    <row r="21" spans="1:13" x14ac:dyDescent="0.25">
      <c r="A21" s="2" t="s">
        <v>184</v>
      </c>
      <c r="B21" s="187" t="s">
        <v>183</v>
      </c>
      <c r="C21" s="109" t="e">
        <f>Arealanvendelse!J27</f>
        <v>#VALUE!</v>
      </c>
      <c r="D21" s="109" t="e">
        <f>C21*(1-$C$9)^(D20-C20)</f>
        <v>#VALUE!</v>
      </c>
      <c r="E21" s="109" t="e">
        <f>D21*(1-$C$9)^(E20-D20)</f>
        <v>#VALUE!</v>
      </c>
      <c r="F21" s="109" t="e">
        <f>Arealanvendelse!J37</f>
        <v>#VALUE!</v>
      </c>
      <c r="G21" s="109" t="e">
        <f>F21*(1-$C$9)^(G20-F20)</f>
        <v>#VALUE!</v>
      </c>
      <c r="H21" s="109" t="e">
        <f>G21*(1-$C$9)^(H20-G20)</f>
        <v>#VALUE!</v>
      </c>
    </row>
    <row r="22" spans="1:13" x14ac:dyDescent="0.25">
      <c r="A22" s="2" t="s">
        <v>178</v>
      </c>
      <c r="B22" s="188">
        <v>10</v>
      </c>
      <c r="C22" s="109">
        <v>0</v>
      </c>
      <c r="D22" s="109" t="e">
        <f>IF(D$20-C$20+10&gt;$B22,IF(D$20-C$20&lt;=10,VLOOKUP($A22,$A$13:$D$17,MATCH(D$20,$A$12:$D$12)),VLOOKUP($A22,$A$13:$D$17,MATCH(D$20,$A$12:$D$12))/(D$20-C$20)*IF($B22=10,10,D$20-C$20-$B21)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#VALUE!</v>
      </c>
      <c r="E22" s="109" t="e">
        <f>IF(E$20-D$20+10&gt;$B22,IF(E$20-D$20&lt;=10,VLOOKUP($A22,$A$13:$D$17,MATCH(E$20,$A$12:$D$12)),VLOOKUP($A22,$A$13:$D$17,MATCH(E$20,$A$12:$D$12))/(E$20-D$20)*IF($B22=10,10,E$20-D$20-$B21)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20)</f>
        <v>#VALUE!</v>
      </c>
      <c r="F22" s="109">
        <v>0</v>
      </c>
      <c r="G22" s="109" t="e">
        <f>IF(G$20-F$20+10&gt;$B22,IF(G$20-F$20&lt;=10,VLOOKUP($A22,$A$13:$D$17,MATCH(G$20,$A$12:$D$12)),VLOOKUP($A22,$A$13:$D$17,MATCH(G$20,$A$12:$D$12))/(G$20-F$20)*IF($B22=10,10,G$20-F$20-$B21)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#VALUE!</v>
      </c>
      <c r="H22" s="109" t="e">
        <f>IF(H$20-G$20+10&gt;$B22,IF(H$20-G$20&lt;=10,VLOOKUP($A22,$A$13:$D$17,MATCH(H$20,$A$12:$D$12)),VLOOKUP($A22,$A$13:$D$17,MATCH(H$20,$A$12:$D$12))/(H$20-G$20)*IF($B22=10,10,H$20-G$20-$B21)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20)</f>
        <v>#VALUE!</v>
      </c>
    </row>
    <row r="23" spans="1:13" x14ac:dyDescent="0.25">
      <c r="A23" s="2" t="s">
        <v>178</v>
      </c>
      <c r="B23" s="188">
        <v>20</v>
      </c>
      <c r="C23" s="109">
        <v>0</v>
      </c>
      <c r="D23" s="109" t="e">
        <f>IF(D$20-C$20+10&gt;$B23,IF(D$20-C$20&lt;=10,VLOOKUP($A23,$A$13:$D$17,MATCH(D$20,$A$12:$D$12)),VLOOKUP($A23,$A$13:$D$17,MATCH(D$20,$A$12:$D$12))/(D$20-C$20)*IF($B23=10,10,D$20-C$20-$B22)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#VALUE!</v>
      </c>
      <c r="E23" s="109" t="e">
        <f>IF(E$20-D$20+10&gt;$B23,IF(E$20-D$20&lt;=10,VLOOKUP($A23,$A$13:$D$17,MATCH(E$20,$A$12:$D$12)),VLOOKUP($A23,$A$13:$D$17,MATCH(E$20,$A$12:$D$12))/(E$20-D$20)*IF($B23=10,10,E$20-D$20-$B22)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21)</f>
        <v>#VALUE!</v>
      </c>
      <c r="F23" s="109">
        <v>0</v>
      </c>
      <c r="G23" s="109" t="e">
        <f>IF(G$20-F$20+10&gt;$B23,IF(G$20-F$20&lt;=10,VLOOKUP($A23,$A$13:$D$17,MATCH(G$20,$A$12:$D$12)),VLOOKUP($A23,$A$13:$D$17,MATCH(G$20,$A$12:$D$12))/(G$20-F$20)*IF($B23=10,10,G$20-F$20-$B22)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#VALUE!</v>
      </c>
      <c r="H23" s="109" t="e">
        <f>IF(H$20-G$20+10&gt;$B23,IF(H$20-G$20&lt;=10,VLOOKUP($A23,$A$13:$D$17,MATCH(H$20,$A$12:$D$12)),VLOOKUP($A23,$A$13:$D$17,MATCH(H$20,$A$12:$D$12))/(H$20-G$20)*IF($B23=10,10,H$20-G$20-$B22)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21)</f>
        <v>#VALUE!</v>
      </c>
    </row>
    <row r="24" spans="1:13" x14ac:dyDescent="0.25">
      <c r="A24" s="2" t="s">
        <v>178</v>
      </c>
      <c r="B24" s="188">
        <v>30</v>
      </c>
      <c r="C24" s="109">
        <v>0</v>
      </c>
      <c r="D24" s="109">
        <f>IF(D$20-C$20+10&gt;$B24,IF(D$20-C$20&lt;=10,VLOOKUP($A24,$A$13:$D$17,MATCH(D$20,$A$12:$D$12)),VLOOKUP($A24,$A$13:$D$17,MATCH(D$20,$A$12:$D$12))/(D$20-C$20)*IF($B24=10,10,D$20-C$20-$B23)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4" s="109" t="e">
        <f>IF(E$20-D$20+10&gt;$B24,IF(E$20-D$20&lt;=10,VLOOKUP($A24,$A$13:$D$17,MATCH(E$20,$A$12:$D$12)),VLOOKUP($A24,$A$13:$D$17,MATCH(E$20,$A$12:$D$12))/(E$20-D$20)*IF($B24=10,10,E$20-D$20-$B23)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22)</f>
        <v>#VALUE!</v>
      </c>
      <c r="F24" s="109">
        <v>0</v>
      </c>
      <c r="G24" s="109">
        <f>IF(G$20-F$20+10&gt;$B24,IF(G$20-F$20&lt;=10,VLOOKUP($A24,$A$13:$D$17,MATCH(G$20,$A$12:$D$12)),VLOOKUP($A24,$A$13:$D$17,MATCH(G$20,$A$12:$D$12))/(G$20-F$20)*IF($B24=10,10,G$20-F$20-$B23)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4" s="109" t="e">
        <f>IF(H$20-G$20+10&gt;$B24,IF(H$20-G$20&lt;=10,VLOOKUP($A24,$A$13:$D$17,MATCH(H$20,$A$12:$D$12)),VLOOKUP($A24,$A$13:$D$17,MATCH(H$20,$A$12:$D$12))/(H$20-G$20)*IF($B24=10,10,H$20-G$20-$B23)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22)</f>
        <v>#VALUE!</v>
      </c>
    </row>
    <row r="25" spans="1:13" x14ac:dyDescent="0.25">
      <c r="A25" s="2" t="s">
        <v>178</v>
      </c>
      <c r="B25" s="189">
        <v>40</v>
      </c>
      <c r="C25" s="109">
        <v>0</v>
      </c>
      <c r="D25" s="109">
        <f>IF(D$20-C$20+10&gt;$B25,IF(D$20-C$20&lt;=10,VLOOKUP($A25,$A$13:$D$17,MATCH(D$20,$A$12:$D$12)),VLOOKUP($A25,$A$13:$D$17,MATCH(D$20,$A$12:$D$12))/(D$20-C$20)*IF($B25=10,10,D$20-C$20-$B24)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5" s="109" t="e">
        <f>IF(E$20-D$20+10&gt;$B25,IF(E$20-D$20&lt;=10,VLOOKUP($A25,$A$13:$D$17,MATCH(E$20,$A$12:$D$12)),VLOOKUP($A25,$A$13:$D$17,MATCH(E$20,$A$12:$D$12))/(E$20-D$20)*IF($B25=10,10,E$20-D$20-$B24)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23)</f>
        <v>#VALUE!</v>
      </c>
      <c r="F25" s="109">
        <v>0</v>
      </c>
      <c r="G25" s="109">
        <f>IF(G$20-F$20+10&gt;$B25,IF(G$20-F$20&lt;=10,VLOOKUP($A25,$A$13:$D$17,MATCH(G$20,$A$12:$D$12)),VLOOKUP($A25,$A$13:$D$17,MATCH(G$20,$A$12:$D$12))/(G$20-F$20)*IF($B25=10,10,G$20-F$20-$B24)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5" s="109" t="e">
        <f>IF(H$20-G$20+10&gt;$B25,IF(H$20-G$20&lt;=10,VLOOKUP($A25,$A$13:$D$17,MATCH(H$20,$A$12:$D$12)),VLOOKUP($A25,$A$13:$D$17,MATCH(H$20,$A$12:$D$12))/(H$20-G$20)*IF($B25=10,10,H$20-G$20-$B24)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23)</f>
        <v>#VALUE!</v>
      </c>
    </row>
    <row r="26" spans="1:13" x14ac:dyDescent="0.25">
      <c r="A26" s="2" t="s">
        <v>179</v>
      </c>
      <c r="B26" s="188">
        <v>10</v>
      </c>
      <c r="C26" s="109">
        <v>0</v>
      </c>
      <c r="D26" s="109" t="e">
        <f>IF(D$20-C$20+10&gt;$B26,IF(D$20-C$20&lt;=10,VLOOKUP($A26,$A$13:$D$17,MATCH(D$20,$A$12:$D$12)),VLOOKUP($A26,$A$13:$D$17,MATCH(D$20,$A$12:$D$12))/(D$20-C$20)*IF($B26=10,10,D$20-C$20-$B25)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#VALUE!</v>
      </c>
      <c r="E26" s="109" t="e">
        <f>IF(E$20-D$20+10&gt;$B26,IF(E$20-D$20&lt;=10,VLOOKUP($A26,$A$13:$D$17,MATCH(E$20,$A$12:$D$12)),VLOOKUP($A26,$A$13:$D$17,MATCH(E$20,$A$12:$D$12))/(E$20-D$20)*IF($B26=10,10,E$20-D$20-$B25)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24)</f>
        <v>#VALUE!</v>
      </c>
      <c r="F26" s="109">
        <v>0</v>
      </c>
      <c r="G26" s="109" t="e">
        <f>IF(G$20-F$20+10&gt;$B26,IF(G$20-F$20&lt;=10,VLOOKUP($A26,$A$13:$D$17,MATCH(G$20,$A$12:$D$12)),VLOOKUP($A26,$A$13:$D$17,MATCH(G$20,$A$12:$D$12))/(G$20-F$20)*IF($B26=10,10,G$20-F$20-$B25)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#VALUE!</v>
      </c>
      <c r="H26" s="109" t="e">
        <f>IF(H$20-G$20+10&gt;$B26,IF(H$20-G$20&lt;=10,VLOOKUP($A26,$A$13:$D$17,MATCH(H$20,$A$12:$D$12)),VLOOKUP($A26,$A$13:$D$17,MATCH(H$20,$A$12:$D$12))/(H$20-G$20)*IF($B26=10,10,H$20-G$20-$B25)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24)</f>
        <v>#VALUE!</v>
      </c>
      <c r="M26" s="1" t="s">
        <v>177</v>
      </c>
    </row>
    <row r="27" spans="1:13" x14ac:dyDescent="0.25">
      <c r="A27" s="2" t="s">
        <v>179</v>
      </c>
      <c r="B27" s="188">
        <v>20</v>
      </c>
      <c r="C27" s="109">
        <v>0</v>
      </c>
      <c r="D27" s="109" t="e">
        <f>IF(D$20-C$20+10&gt;$B27,IF(D$20-C$20&lt;=10,VLOOKUP($A27,$A$13:$D$17,MATCH(D$20,$A$12:$D$12)),VLOOKUP($A27,$A$13:$D$17,MATCH(D$20,$A$12:$D$12))/(D$20-C$20)*IF($B27=10,10,D$20-C$20-$B26)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#VALUE!</v>
      </c>
      <c r="E27" s="109" t="e">
        <f>IF(E$20-D$20+10&gt;$B27,IF(E$20-D$20&lt;=10,VLOOKUP($A27,$A$13:$D$17,MATCH(E$20,$A$12:$D$12)),VLOOKUP($A27,$A$13:$D$17,MATCH(E$20,$A$12:$D$12))/(E$20-D$20)*IF($B27=10,10,E$20-D$20-$B26)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25)</f>
        <v>#VALUE!</v>
      </c>
      <c r="F27" s="109">
        <v>0</v>
      </c>
      <c r="G27" s="109" t="e">
        <f>IF(G$20-F$20+10&gt;$B27,IF(G$20-F$20&lt;=10,VLOOKUP($A27,$A$13:$D$17,MATCH(G$20,$A$12:$D$12)),VLOOKUP($A27,$A$13:$D$17,MATCH(G$20,$A$12:$D$12))/(G$20-F$20)*IF($B27=10,10,G$20-F$20-$B26)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#VALUE!</v>
      </c>
      <c r="H27" s="109" t="e">
        <f>IF(H$20-G$20+10&gt;$B27,IF(H$20-G$20&lt;=10,VLOOKUP($A27,$A$13:$D$17,MATCH(H$20,$A$12:$D$12)),VLOOKUP($A27,$A$13:$D$17,MATCH(H$20,$A$12:$D$12))/(H$20-G$20)*IF($B27=10,10,H$20-G$20-$B26)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25)</f>
        <v>#VALUE!</v>
      </c>
    </row>
    <row r="28" spans="1:13" x14ac:dyDescent="0.25">
      <c r="A28" s="2" t="s">
        <v>179</v>
      </c>
      <c r="B28" s="188">
        <v>30</v>
      </c>
      <c r="C28" s="109">
        <v>0</v>
      </c>
      <c r="D28" s="109">
        <f>IF(D$20-C$20+10&gt;$B28,IF(D$20-C$20&lt;=10,VLOOKUP($A28,$A$13:$D$17,MATCH(D$20,$A$12:$D$12)),VLOOKUP($A28,$A$13:$D$17,MATCH(D$20,$A$12:$D$12))/(D$20-C$20)*IF($B28=10,10,D$20-C$20-$B27)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8" s="109" t="e">
        <f>IF(E$20-D$20+10&gt;$B28,IF(E$20-D$20&lt;=10,VLOOKUP($A28,$A$13:$D$17,MATCH(E$20,$A$12:$D$12)),VLOOKUP($A28,$A$13:$D$17,MATCH(E$20,$A$12:$D$12))/(E$20-D$20)*IF($B28=10,10,E$20-D$20-$B27)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26)</f>
        <v>#VALUE!</v>
      </c>
      <c r="F28" s="109">
        <v>0</v>
      </c>
      <c r="G28" s="109">
        <f>IF(G$20-F$20+10&gt;$B28,IF(G$20-F$20&lt;=10,VLOOKUP($A28,$A$13:$D$17,MATCH(G$20,$A$12:$D$12)),VLOOKUP($A28,$A$13:$D$17,MATCH(G$20,$A$12:$D$12))/(G$20-F$20)*IF($B28=10,10,G$20-F$20-$B27)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8" s="109" t="e">
        <f>IF(H$20-G$20+10&gt;$B28,IF(H$20-G$20&lt;=10,VLOOKUP($A28,$A$13:$D$17,MATCH(H$20,$A$12:$D$12)),VLOOKUP($A28,$A$13:$D$17,MATCH(H$20,$A$12:$D$12))/(H$20-G$20)*IF($B28=10,10,H$20-G$20-$B27)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26)</f>
        <v>#VALUE!</v>
      </c>
    </row>
    <row r="29" spans="1:13" x14ac:dyDescent="0.25">
      <c r="A29" s="2" t="s">
        <v>179</v>
      </c>
      <c r="B29" s="189">
        <v>40</v>
      </c>
      <c r="C29" s="109">
        <v>0</v>
      </c>
      <c r="D29" s="109">
        <f>IF(D$20-C$20+10&gt;$B29,IF(D$20-C$20&lt;=10,VLOOKUP($A29,$A$13:$D$17,MATCH(D$20,$A$12:$D$12)),VLOOKUP($A29,$A$13:$D$17,MATCH(D$20,$A$12:$D$12))/(D$20-C$20)*IF($B29=10,10,D$20-C$20-$B28)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9" s="109" t="e">
        <f>IF(E$20-D$20+10&gt;$B29,IF(E$20-D$20&lt;=10,VLOOKUP($A29,$A$13:$D$17,MATCH(E$20,$A$12:$D$12)),VLOOKUP($A29,$A$13:$D$17,MATCH(E$20,$A$12:$D$12))/(E$20-D$20)*IF($B29=10,10,E$20-D$20-$B28)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27)</f>
        <v>#VALUE!</v>
      </c>
      <c r="F29" s="109">
        <v>0</v>
      </c>
      <c r="G29" s="109">
        <f>IF(G$20-F$20+10&gt;$B29,IF(G$20-F$20&lt;=10,VLOOKUP($A29,$A$13:$D$17,MATCH(G$20,$A$12:$D$12)),VLOOKUP($A29,$A$13:$D$17,MATCH(G$20,$A$12:$D$12))/(G$20-F$20)*IF($B29=10,10,G$20-F$20-$B28)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9" s="109" t="e">
        <f>IF(H$20-G$20+10&gt;$B29,IF(H$20-G$20&lt;=10,VLOOKUP($A29,$A$13:$D$17,MATCH(H$20,$A$12:$D$12)),VLOOKUP($A29,$A$13:$D$17,MATCH(H$20,$A$12:$D$12))/(H$20-G$20)*IF($B29=10,10,H$20-G$20-$B28)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27)</f>
        <v>#VALUE!</v>
      </c>
    </row>
    <row r="30" spans="1:13" x14ac:dyDescent="0.25">
      <c r="A30" s="2" t="s">
        <v>180</v>
      </c>
      <c r="B30" s="188">
        <v>10</v>
      </c>
      <c r="C30" s="109">
        <v>0</v>
      </c>
      <c r="D30" s="109" t="e">
        <f>IF(D$20-C$20+10&gt;$B30,IF(D$20-C$20&lt;=10,VLOOKUP($A30,$A$13:$D$17,MATCH(D$20,$A$12:$D$12)),VLOOKUP($A30,$A$13:$D$17,MATCH(D$20,$A$12:$D$12))/(D$20-C$20)*IF($B30=10,10,D$20-C$20-$B29)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#VALUE!</v>
      </c>
      <c r="E30" s="109" t="e">
        <f>IF(E$20-D$20+10&gt;$B30,IF(E$20-D$20&lt;=10,VLOOKUP($A30,$A$13:$D$17,MATCH(E$20,$A$12:$D$12)),VLOOKUP($A30,$A$13:$D$17,MATCH(E$20,$A$12:$D$12))/(E$20-D$20)*IF($B30=10,10,E$20-D$20-$B29)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28)</f>
        <v>#VALUE!</v>
      </c>
      <c r="F30" s="109">
        <v>0</v>
      </c>
      <c r="G30" s="109" t="e">
        <f>IF(G$20-F$20+10&gt;$B30,IF(G$20-F$20&lt;=10,VLOOKUP($A30,$A$13:$D$17,MATCH(G$20,$A$12:$D$12)),VLOOKUP($A30,$A$13:$D$17,MATCH(G$20,$A$12:$D$12))/(G$20-F$20)*IF($B30=10,10,G$20-F$20-$B29)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#VALUE!</v>
      </c>
      <c r="H30" s="109" t="e">
        <f>IF(H$20-G$20+10&gt;$B30,IF(H$20-G$20&lt;=10,VLOOKUP($A30,$A$13:$D$17,MATCH(H$20,$A$12:$D$12)),VLOOKUP($A30,$A$13:$D$17,MATCH(H$20,$A$12:$D$12))/(H$20-G$20)*IF($B30=10,10,H$20-G$20-$B29)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28)</f>
        <v>#VALUE!</v>
      </c>
    </row>
    <row r="31" spans="1:13" x14ac:dyDescent="0.25">
      <c r="A31" s="2" t="s">
        <v>180</v>
      </c>
      <c r="B31" s="188">
        <v>20</v>
      </c>
      <c r="C31" s="109">
        <v>0</v>
      </c>
      <c r="D31" s="109" t="e">
        <f>IF(D$20-C$20+10&gt;$B31,IF(D$20-C$20&lt;=10,VLOOKUP($A31,$A$13:$D$17,MATCH(D$20,$A$12:$D$12)),VLOOKUP($A31,$A$13:$D$17,MATCH(D$20,$A$12:$D$12))/(D$20-C$20)*IF($B31=10,10,D$20-C$20-$B30)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#VALUE!</v>
      </c>
      <c r="E31" s="109" t="e">
        <f>IF(E$20-D$20+10&gt;$B31,IF(E$20-D$20&lt;=10,VLOOKUP($A31,$A$13:$D$17,MATCH(E$20,$A$12:$D$12)),VLOOKUP($A31,$A$13:$D$17,MATCH(E$20,$A$12:$D$12))/(E$20-D$20)*IF($B31=10,10,E$20-D$20-$B30)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29)</f>
        <v>#VALUE!</v>
      </c>
      <c r="F31" s="109">
        <v>0</v>
      </c>
      <c r="G31" s="109" t="e">
        <f>IF(G$20-F$20+10&gt;$B31,IF(G$20-F$20&lt;=10,VLOOKUP($A31,$A$13:$D$17,MATCH(G$20,$A$12:$D$12)),VLOOKUP($A31,$A$13:$D$17,MATCH(G$20,$A$12:$D$12))/(G$20-F$20)*IF($B31=10,10,G$20-F$20-$B30)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#VALUE!</v>
      </c>
      <c r="H31" s="109" t="e">
        <f>IF(H$20-G$20+10&gt;$B31,IF(H$20-G$20&lt;=10,VLOOKUP($A31,$A$13:$D$17,MATCH(H$20,$A$12:$D$12)),VLOOKUP($A31,$A$13:$D$17,MATCH(H$20,$A$12:$D$12))/(H$20-G$20)*IF($B31=10,10,H$20-G$20-$B30)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29)</f>
        <v>#VALUE!</v>
      </c>
    </row>
    <row r="32" spans="1:13" x14ac:dyDescent="0.25">
      <c r="A32" s="2" t="s">
        <v>180</v>
      </c>
      <c r="B32" s="188">
        <v>30</v>
      </c>
      <c r="C32" s="109">
        <v>0</v>
      </c>
      <c r="D32" s="109">
        <f>IF(D$20-C$20+10&gt;$B32,IF(D$20-C$20&lt;=10,VLOOKUP($A32,$A$13:$D$17,MATCH(D$20,$A$12:$D$12)),VLOOKUP($A32,$A$13:$D$17,MATCH(D$20,$A$12:$D$12))/(D$20-C$20)*IF($B32=10,10,D$20-C$20-$B31)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2" s="109" t="e">
        <f>IF(E$20-D$20+10&gt;$B32,IF(E$20-D$20&lt;=10,VLOOKUP($A32,$A$13:$D$17,MATCH(E$20,$A$12:$D$12)),VLOOKUP($A32,$A$13:$D$17,MATCH(E$20,$A$12:$D$12))/(E$20-D$20)*IF($B32=10,10,E$20-D$20-$B31)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30)</f>
        <v>#VALUE!</v>
      </c>
      <c r="F32" s="109">
        <v>0</v>
      </c>
      <c r="G32" s="109">
        <f>IF(G$20-F$20+10&gt;$B32,IF(G$20-F$20&lt;=10,VLOOKUP($A32,$A$13:$D$17,MATCH(G$20,$A$12:$D$12)),VLOOKUP($A32,$A$13:$D$17,MATCH(G$20,$A$12:$D$12))/(G$20-F$20)*IF($B32=10,10,G$20-F$20-$B31)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2" s="109" t="e">
        <f>IF(H$20-G$20+10&gt;$B32,IF(H$20-G$20&lt;=10,VLOOKUP($A32,$A$13:$D$17,MATCH(H$20,$A$12:$D$12)),VLOOKUP($A32,$A$13:$D$17,MATCH(H$20,$A$12:$D$12))/(H$20-G$20)*IF($B32=10,10,H$20-G$20-$B31)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30)</f>
        <v>#VALUE!</v>
      </c>
    </row>
    <row r="33" spans="1:8" x14ac:dyDescent="0.25">
      <c r="A33" s="2" t="s">
        <v>180</v>
      </c>
      <c r="B33" s="189">
        <v>40</v>
      </c>
      <c r="C33" s="109">
        <v>0</v>
      </c>
      <c r="D33" s="109">
        <f>IF(D$20-C$20+10&gt;$B33,IF(D$20-C$20&lt;=10,VLOOKUP($A33,$A$13:$D$17,MATCH(D$20,$A$12:$D$12)),VLOOKUP($A33,$A$13:$D$17,MATCH(D$20,$A$12:$D$12))/(D$20-C$20)*IF($B33=10,10,D$20-C$20-$B32)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3" s="109" t="e">
        <f>IF(E$20-D$20+10&gt;$B33,IF(E$20-D$20&lt;=10,VLOOKUP($A33,$A$13:$D$17,MATCH(E$20,$A$12:$D$12)),VLOOKUP($A33,$A$13:$D$17,MATCH(E$20,$A$12:$D$12))/(E$20-D$20)*IF($B33=10,10,E$20-D$20-$B32)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31)</f>
        <v>#VALUE!</v>
      </c>
      <c r="F33" s="109">
        <v>0</v>
      </c>
      <c r="G33" s="109">
        <f>IF(G$20-F$20+10&gt;$B33,IF(G$20-F$20&lt;=10,VLOOKUP($A33,$A$13:$D$17,MATCH(G$20,$A$12:$D$12)),VLOOKUP($A33,$A$13:$D$17,MATCH(G$20,$A$12:$D$12))/(G$20-F$20)*IF($B33=10,10,G$20-F$20-$B32)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3" s="109" t="e">
        <f>IF(H$20-G$20+10&gt;$B33,IF(H$20-G$20&lt;=10,VLOOKUP($A33,$A$13:$D$17,MATCH(H$20,$A$12:$D$12)),VLOOKUP($A33,$A$13:$D$17,MATCH(H$20,$A$12:$D$12))/(H$20-G$20)*IF($B33=10,10,H$20-G$20-$B32)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31)</f>
        <v>#VALUE!</v>
      </c>
    </row>
    <row r="34" spans="1:8" x14ac:dyDescent="0.25">
      <c r="A34" s="2" t="s">
        <v>181</v>
      </c>
      <c r="B34" s="188">
        <v>10</v>
      </c>
      <c r="C34" s="109">
        <v>0</v>
      </c>
      <c r="D34" s="109" t="e">
        <f>IF(D$20-C$20+10&gt;$B34,IF(D$20-C$20&lt;=10,VLOOKUP($A34,$A$13:$D$17,MATCH(D$20,$A$12:$D$12)),VLOOKUP($A34,$A$13:$D$17,MATCH(D$20,$A$12:$D$12))/(D$20-C$20)*IF($B34=10,10,D$20-C$20-$B33)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#VALUE!</v>
      </c>
      <c r="E34" s="109" t="e">
        <f>IF(E$20-D$20+10&gt;$B34,IF(E$20-D$20&lt;=10,VLOOKUP($A34,$A$13:$D$17,MATCH(E$20,$A$12:$D$12)),VLOOKUP($A34,$A$13:$D$17,MATCH(E$20,$A$12:$D$12))/(E$20-D$20)*IF($B34=10,10,E$20-D$20-$B33)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32)</f>
        <v>#VALUE!</v>
      </c>
      <c r="F34" s="109">
        <v>0</v>
      </c>
      <c r="G34" s="109" t="e">
        <f>IF(G$20-F$20+10&gt;$B34,IF(G$20-F$20&lt;=10,VLOOKUP($A34,$A$13:$D$17,MATCH(G$20,$A$12:$D$12)),VLOOKUP($A34,$A$13:$D$17,MATCH(G$20,$A$12:$D$12))/(G$20-F$20)*IF($B34=10,10,G$20-F$20-$B33)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#VALUE!</v>
      </c>
      <c r="H34" s="109" t="e">
        <f>IF(H$20-G$20+10&gt;$B34,IF(H$20-G$20&lt;=10,VLOOKUP($A34,$A$13:$D$17,MATCH(H$20,$A$12:$D$12)),VLOOKUP($A34,$A$13:$D$17,MATCH(H$20,$A$12:$D$12))/(H$20-G$20)*IF($B34=10,10,H$20-G$20-$B33)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32)</f>
        <v>#VALUE!</v>
      </c>
    </row>
    <row r="35" spans="1:8" x14ac:dyDescent="0.25">
      <c r="A35" s="2" t="s">
        <v>181</v>
      </c>
      <c r="B35" s="188">
        <v>20</v>
      </c>
      <c r="C35" s="109">
        <v>0</v>
      </c>
      <c r="D35" s="109" t="e">
        <f>IF(D$20-C$20+10&gt;$B35,IF(D$20-C$20&lt;=10,VLOOKUP($A35,$A$13:$D$17,MATCH(D$20,$A$12:$D$12)),VLOOKUP($A35,$A$13:$D$17,MATCH(D$20,$A$12:$D$12))/(D$20-C$20)*IF($B35=10,10,D$20-C$20-$B34)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#VALUE!</v>
      </c>
      <c r="E35" s="109" t="e">
        <f>IF(E$20-D$20+10&gt;$B35,IF(E$20-D$20&lt;=10,VLOOKUP($A35,$A$13:$D$17,MATCH(E$20,$A$12:$D$12)),VLOOKUP($A35,$A$13:$D$17,MATCH(E$20,$A$12:$D$12))/(E$20-D$20)*IF($B35=10,10,E$20-D$20-$B34)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33)</f>
        <v>#VALUE!</v>
      </c>
      <c r="F35" s="109">
        <v>0</v>
      </c>
      <c r="G35" s="109" t="e">
        <f>IF(G$20-F$20+10&gt;$B35,IF(G$20-F$20&lt;=10,VLOOKUP($A35,$A$13:$D$17,MATCH(G$20,$A$12:$D$12)),VLOOKUP($A35,$A$13:$D$17,MATCH(G$20,$A$12:$D$12))/(G$20-F$20)*IF($B35=10,10,G$20-F$20-$B34)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#VALUE!</v>
      </c>
      <c r="H35" s="109" t="e">
        <f>IF(H$20-G$20+10&gt;$B35,IF(H$20-G$20&lt;=10,VLOOKUP($A35,$A$13:$D$17,MATCH(H$20,$A$12:$D$12)),VLOOKUP($A35,$A$13:$D$17,MATCH(H$20,$A$12:$D$12))/(H$20-G$20)*IF($B35=10,10,H$20-G$20-$B34)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33)</f>
        <v>#VALUE!</v>
      </c>
    </row>
    <row r="36" spans="1:8" x14ac:dyDescent="0.25">
      <c r="A36" s="2" t="s">
        <v>181</v>
      </c>
      <c r="B36" s="188">
        <v>30</v>
      </c>
      <c r="C36" s="109">
        <v>0</v>
      </c>
      <c r="D36" s="109">
        <f>IF(D$20-C$20+10&gt;$B36,IF(D$20-C$20&lt;=10,VLOOKUP($A36,$A$13:$D$17,MATCH(D$20,$A$12:$D$12)),VLOOKUP($A36,$A$13:$D$17,MATCH(D$20,$A$12:$D$12))/(D$20-C$20)*IF($B36=10,10,D$20-C$20-$B35)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6" s="109" t="e">
        <f>IF(E$20-D$20+10&gt;$B36,IF(E$20-D$20&lt;=10,VLOOKUP($A36,$A$13:$D$17,MATCH(E$20,$A$12:$D$12)),VLOOKUP($A36,$A$13:$D$17,MATCH(E$20,$A$12:$D$12))/(E$20-D$20)*IF($B36=10,10,E$20-D$20-$B35)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34)</f>
        <v>#VALUE!</v>
      </c>
      <c r="F36" s="109">
        <v>0</v>
      </c>
      <c r="G36" s="109">
        <f>IF(G$20-F$20+10&gt;$B36,IF(G$20-F$20&lt;=10,VLOOKUP($A36,$A$13:$D$17,MATCH(G$20,$A$12:$D$12)),VLOOKUP($A36,$A$13:$D$17,MATCH(G$20,$A$12:$D$12))/(G$20-F$20)*IF($B36=10,10,G$20-F$20-$B35)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6" s="109" t="e">
        <f>IF(H$20-G$20+10&gt;$B36,IF(H$20-G$20&lt;=10,VLOOKUP($A36,$A$13:$D$17,MATCH(H$20,$A$12:$D$12)),VLOOKUP($A36,$A$13:$D$17,MATCH(H$20,$A$12:$D$12))/(H$20-G$20)*IF($B36=10,10,H$20-G$20-$B35)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34)</f>
        <v>#VALUE!</v>
      </c>
    </row>
    <row r="37" spans="1:8" x14ac:dyDescent="0.25">
      <c r="A37" s="2" t="s">
        <v>181</v>
      </c>
      <c r="B37" s="189">
        <v>40</v>
      </c>
      <c r="C37" s="109">
        <v>0</v>
      </c>
      <c r="D37" s="109">
        <f>IF(D$20-C$20+10&gt;$B37,IF(D$20-C$20&lt;=10,VLOOKUP($A37,$A$13:$D$17,MATCH(D$20,$A$12:$D$12)),VLOOKUP($A37,$A$13:$D$17,MATCH(D$20,$A$12:$D$12))/(D$20-C$20)*IF($B37=10,10,D$20-C$20-$B36)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7" s="109" t="e">
        <f>IF(E$20-D$20+10&gt;$B37,IF(E$20-D$20&lt;=10,VLOOKUP($A37,$A$13:$D$17,MATCH(E$20,$A$12:$D$12)),VLOOKUP($A37,$A$13:$D$17,MATCH(E$20,$A$12:$D$12))/(E$20-D$20)*IF($B37=10,10,E$20-D$20-$B36)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35)</f>
        <v>#VALUE!</v>
      </c>
      <c r="F37" s="109">
        <v>0</v>
      </c>
      <c r="G37" s="109">
        <f>IF(G$20-F$20+10&gt;$B37,IF(G$20-F$20&lt;=10,VLOOKUP($A37,$A$13:$D$17,MATCH(G$20,$A$12:$D$12)),VLOOKUP($A37,$A$13:$D$17,MATCH(G$20,$A$12:$D$12))/(G$20-F$20)*IF($B37=10,10,G$20-F$20-$B36)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7" s="109" t="e">
        <f>IF(H$20-G$20+10&gt;$B37,IF(H$20-G$20&lt;=10,VLOOKUP($A37,$A$13:$D$17,MATCH(H$20,$A$12:$D$12)),VLOOKUP($A37,$A$13:$D$17,MATCH(H$20,$A$12:$D$12))/(H$20-G$20)*IF($B37=10,10,H$20-G$20-$B36)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35)</f>
        <v>#VALUE!</v>
      </c>
    </row>
    <row r="38" spans="1:8" x14ac:dyDescent="0.25">
      <c r="A38" s="2" t="s">
        <v>182</v>
      </c>
      <c r="B38" s="188">
        <v>10</v>
      </c>
      <c r="C38" s="109">
        <v>0</v>
      </c>
      <c r="D38" s="109" t="e">
        <f>IF(D$20-C$20+10&gt;$B38,IF(D$20-C$20&lt;=10,VLOOKUP($A38,$A$13:$D$17,MATCH(D$20,$A$12:$D$12)),VLOOKUP($A38,$A$13:$D$17,MATCH(D$20,$A$12:$D$12))/(D$20-C$20)*IF($B38=10,10,D$20-C$20-$B37)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#VALUE!</v>
      </c>
      <c r="E38" s="109" t="e">
        <f>IF(E$20-D$20+10&gt;$B38,IF(E$20-D$20&lt;=10,VLOOKUP($A38,$A$13:$D$17,MATCH(E$20,$A$12:$D$12)),VLOOKUP($A38,$A$13:$D$17,MATCH(E$20,$A$12:$D$12))/(E$20-D$20)*IF($B38=10,10,E$20-D$20-$B37)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36)</f>
        <v>#VALUE!</v>
      </c>
      <c r="F38" s="109">
        <v>0</v>
      </c>
      <c r="G38" s="109" t="e">
        <f>IF(G$20-F$20+10&gt;$B38,IF(G$20-F$20&lt;=10,VLOOKUP($A38,$A$13:$D$17,MATCH(G$20,$A$12:$D$12)),VLOOKUP($A38,$A$13:$D$17,MATCH(G$20,$A$12:$D$12))/(G$20-F$20)*IF($B38=10,10,G$20-F$20-$B37)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#VALUE!</v>
      </c>
      <c r="H38" s="109" t="e">
        <f>IF(H$20-G$20+10&gt;$B38,IF(H$20-G$20&lt;=10,VLOOKUP($A38,$A$13:$D$17,MATCH(H$20,$A$12:$D$12)),VLOOKUP($A38,$A$13:$D$17,MATCH(H$20,$A$12:$D$12))/(H$20-G$20)*IF($B38=10,10,H$20-G$20-$B37)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36)</f>
        <v>#VALUE!</v>
      </c>
    </row>
    <row r="39" spans="1:8" x14ac:dyDescent="0.25">
      <c r="A39" s="2" t="s">
        <v>182</v>
      </c>
      <c r="B39" s="188">
        <v>20</v>
      </c>
      <c r="C39" s="109">
        <v>0</v>
      </c>
      <c r="D39" s="109" t="e">
        <f>IF(D$20-C$20+10&gt;$B39,IF(D$20-C$20&lt;=10,VLOOKUP($A39,$A$13:$D$17,MATCH(D$20,$A$12:$D$12)),VLOOKUP($A39,$A$13:$D$17,MATCH(D$20,$A$12:$D$12))/(D$20-C$20)*IF($B39=10,10,D$20-C$20-$B38)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#VALUE!</v>
      </c>
      <c r="E39" s="109" t="e">
        <f>IF(E$20-D$20+10&gt;$B39,IF(E$20-D$20&lt;=10,VLOOKUP($A39,$A$13:$D$17,MATCH(E$20,$A$12:$D$12)),VLOOKUP($A39,$A$13:$D$17,MATCH(E$20,$A$12:$D$12))/(E$20-D$20)*IF($B39=10,10,E$20-D$20-$B38)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37)</f>
        <v>#VALUE!</v>
      </c>
      <c r="F39" s="109">
        <v>0</v>
      </c>
      <c r="G39" s="109" t="e">
        <f>IF(G$20-F$20+10&gt;$B39,IF(G$20-F$20&lt;=10,VLOOKUP($A39,$A$13:$D$17,MATCH(G$20,$A$12:$D$12)),VLOOKUP($A39,$A$13:$D$17,MATCH(G$20,$A$12:$D$12))/(G$20-F$20)*IF($B39=10,10,G$20-F$20-$B38)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#VALUE!</v>
      </c>
      <c r="H39" s="109" t="e">
        <f>IF(H$20-G$20+10&gt;$B39,IF(H$20-G$20&lt;=10,VLOOKUP($A39,$A$13:$D$17,MATCH(H$20,$A$12:$D$12)),VLOOKUP($A39,$A$13:$D$17,MATCH(H$20,$A$12:$D$12))/(H$20-G$20)*IF($B39=10,10,H$20-G$20-$B38)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37)</f>
        <v>#VALUE!</v>
      </c>
    </row>
    <row r="40" spans="1:8" x14ac:dyDescent="0.25">
      <c r="A40" s="2" t="s">
        <v>182</v>
      </c>
      <c r="B40" s="188">
        <v>30</v>
      </c>
      <c r="C40" s="109">
        <v>0</v>
      </c>
      <c r="D40" s="109">
        <f>IF(D$20-C$20+10&gt;$B40,IF(D$20-C$20&lt;=10,VLOOKUP($A40,$A$13:$D$17,MATCH(D$20,$A$12:$D$12)),VLOOKUP($A40,$A$13:$D$17,MATCH(D$20,$A$12:$D$12))/(D$20-C$20)*IF($B40=10,10,D$20-C$20-$B39)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40" s="109" t="e">
        <f>IF(E$20-D$20+10&gt;$B40,IF(E$20-D$20&lt;=10,VLOOKUP($A40,$A$13:$D$17,MATCH(E$20,$A$12:$D$12)),VLOOKUP($A40,$A$13:$D$17,MATCH(E$20,$A$12:$D$12))/(E$20-D$20)*IF($B40=10,10,E$20-D$20-$B39)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38)</f>
        <v>#VALUE!</v>
      </c>
      <c r="F40" s="109">
        <v>0</v>
      </c>
      <c r="G40" s="109">
        <f>IF(G$20-F$20+10&gt;$B40,IF(G$20-F$20&lt;=10,VLOOKUP($A40,$A$13:$D$17,MATCH(G$20,$A$12:$D$12)),VLOOKUP($A40,$A$13:$D$17,MATCH(G$20,$A$12:$D$12))/(G$20-F$20)*IF($B40=10,10,G$20-F$20-$B39)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40" s="109" t="e">
        <f>IF(H$20-G$20+10&gt;$B40,IF(H$20-G$20&lt;=10,VLOOKUP($A40,$A$13:$D$17,MATCH(H$20,$A$12:$D$12)),VLOOKUP($A40,$A$13:$D$17,MATCH(H$20,$A$12:$D$12))/(H$20-G$20)*IF($B40=10,10,H$20-G$20-$B39)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38)</f>
        <v>#VALUE!</v>
      </c>
    </row>
    <row r="41" spans="1:8" x14ac:dyDescent="0.25">
      <c r="A41" s="2" t="s">
        <v>182</v>
      </c>
      <c r="B41" s="109">
        <v>40</v>
      </c>
      <c r="C41" s="109">
        <v>0</v>
      </c>
      <c r="D41" s="109">
        <f>IF(D$20-C$20+10&gt;$B41,IF(D$20-C$20&lt;=10,VLOOKUP($A41,$A$13:$D$17,MATCH(D$20,$A$12:$D$12)),VLOOKUP($A41,$A$13:$D$17,MATCH(D$20,$A$12:$D$12))/(D$20-C$20)*IF($B41=10,10,D$20-C$20-$B40)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41" s="109" t="e">
        <f>IF(E$20-D$20+10&gt;$B41,IF(E$20-D$20&lt;=10,VLOOKUP($A41,$A$13:$D$17,MATCH(E$20,$A$12:$D$12)),VLOOKUP($A41,$A$13:$D$17,MATCH(E$20,$A$12:$D$12))/(E$20-D$20)*IF($B41=10,10,E$20-D$20-$B40)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39)</f>
        <v>#VALUE!</v>
      </c>
      <c r="F41" s="109">
        <v>0</v>
      </c>
      <c r="G41" s="109">
        <f>IF(G$20-F$20+10&gt;$B41,IF(G$20-F$20&lt;=10,VLOOKUP($A41,$A$13:$D$17,MATCH(G$20,$A$12:$D$12)),VLOOKUP($A41,$A$13:$D$17,MATCH(G$20,$A$12:$D$12))/(G$20-F$20)*IF($B41=10,10,G$20-F$20-$B40)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41" s="109" t="e">
        <f>IF(H$20-G$20+10&gt;$B41,IF(H$20-G$20&lt;=10,VLOOKUP($A41,$A$13:$D$17,MATCH(H$20,$A$12:$D$12)),VLOOKUP($A41,$A$13:$D$17,MATCH(H$20,$A$12:$D$12))/(H$20-G$20)*IF($B41=10,10,H$20-G$20-$B40)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39)</f>
        <v>#VALUE!</v>
      </c>
    </row>
    <row r="42" spans="1:8" x14ac:dyDescent="0.25">
      <c r="B42" s="153"/>
    </row>
    <row r="43" spans="1:8" x14ac:dyDescent="0.25">
      <c r="B43" s="153"/>
    </row>
    <row r="44" spans="1:8" x14ac:dyDescent="0.25">
      <c r="B44" s="153"/>
    </row>
    <row r="46" spans="1:8" x14ac:dyDescent="0.25">
      <c r="A46" s="343" t="s">
        <v>297</v>
      </c>
      <c r="B46" s="2" t="s">
        <v>23</v>
      </c>
      <c r="C46" s="2"/>
      <c r="D46" s="2"/>
      <c r="E46" s="2" t="s">
        <v>24</v>
      </c>
      <c r="F46" s="2"/>
      <c r="G46" s="2"/>
    </row>
    <row r="47" spans="1:8" x14ac:dyDescent="0.25">
      <c r="A47" s="344"/>
      <c r="B47" s="186">
        <f>År1</f>
        <v>2019</v>
      </c>
      <c r="C47" s="186">
        <f>År2</f>
        <v>2030</v>
      </c>
      <c r="D47" s="186">
        <f>År3</f>
        <v>2050</v>
      </c>
      <c r="E47" s="186">
        <f>År1</f>
        <v>2019</v>
      </c>
      <c r="F47" s="186">
        <f>År2</f>
        <v>2030</v>
      </c>
      <c r="G47" s="186">
        <f>År3</f>
        <v>2050</v>
      </c>
    </row>
    <row r="48" spans="1:8" x14ac:dyDescent="0.25">
      <c r="A48" s="2" t="s">
        <v>184</v>
      </c>
      <c r="B48" s="109" t="e">
        <f t="shared" ref="B48:G53" si="0">SUMIF($A$21:$A$41,$A48,C$21:C$41)</f>
        <v>#VALUE!</v>
      </c>
      <c r="C48" s="109" t="e">
        <f t="shared" si="0"/>
        <v>#VALUE!</v>
      </c>
      <c r="D48" s="109" t="e">
        <f t="shared" si="0"/>
        <v>#VALUE!</v>
      </c>
      <c r="E48" s="109" t="e">
        <f t="shared" si="0"/>
        <v>#VALUE!</v>
      </c>
      <c r="F48" s="109" t="e">
        <f t="shared" si="0"/>
        <v>#VALUE!</v>
      </c>
      <c r="G48" s="109" t="e">
        <f t="shared" si="0"/>
        <v>#VALUE!</v>
      </c>
    </row>
    <row r="49" spans="1:7" x14ac:dyDescent="0.25">
      <c r="A49" s="2" t="s">
        <v>178</v>
      </c>
      <c r="B49" s="109">
        <f t="shared" si="0"/>
        <v>0</v>
      </c>
      <c r="C49" s="109" t="e">
        <f t="shared" si="0"/>
        <v>#VALUE!</v>
      </c>
      <c r="D49" s="109" t="e">
        <f t="shared" si="0"/>
        <v>#VALUE!</v>
      </c>
      <c r="E49" s="109">
        <f t="shared" si="0"/>
        <v>0</v>
      </c>
      <c r="F49" s="109" t="e">
        <f t="shared" si="0"/>
        <v>#VALUE!</v>
      </c>
      <c r="G49" s="109" t="e">
        <f t="shared" si="0"/>
        <v>#VALUE!</v>
      </c>
    </row>
    <row r="50" spans="1:7" x14ac:dyDescent="0.25">
      <c r="A50" s="2" t="s">
        <v>179</v>
      </c>
      <c r="B50" s="109">
        <f t="shared" si="0"/>
        <v>0</v>
      </c>
      <c r="C50" s="109" t="e">
        <f t="shared" si="0"/>
        <v>#VALUE!</v>
      </c>
      <c r="D50" s="109" t="e">
        <f t="shared" si="0"/>
        <v>#VALUE!</v>
      </c>
      <c r="E50" s="109">
        <f t="shared" si="0"/>
        <v>0</v>
      </c>
      <c r="F50" s="109" t="e">
        <f t="shared" si="0"/>
        <v>#VALUE!</v>
      </c>
      <c r="G50" s="109" t="e">
        <f t="shared" si="0"/>
        <v>#VALUE!</v>
      </c>
    </row>
    <row r="51" spans="1:7" x14ac:dyDescent="0.25">
      <c r="A51" s="2" t="s">
        <v>180</v>
      </c>
      <c r="B51" s="109">
        <f t="shared" si="0"/>
        <v>0</v>
      </c>
      <c r="C51" s="109" t="e">
        <f t="shared" si="0"/>
        <v>#VALUE!</v>
      </c>
      <c r="D51" s="109" t="e">
        <f t="shared" si="0"/>
        <v>#VALUE!</v>
      </c>
      <c r="E51" s="109">
        <f t="shared" si="0"/>
        <v>0</v>
      </c>
      <c r="F51" s="109" t="e">
        <f t="shared" si="0"/>
        <v>#VALUE!</v>
      </c>
      <c r="G51" s="109" t="e">
        <f t="shared" si="0"/>
        <v>#VALUE!</v>
      </c>
    </row>
    <row r="52" spans="1:7" x14ac:dyDescent="0.25">
      <c r="A52" s="2" t="s">
        <v>181</v>
      </c>
      <c r="B52" s="109">
        <f t="shared" si="0"/>
        <v>0</v>
      </c>
      <c r="C52" s="109" t="e">
        <f t="shared" si="0"/>
        <v>#VALUE!</v>
      </c>
      <c r="D52" s="109" t="e">
        <f t="shared" si="0"/>
        <v>#VALUE!</v>
      </c>
      <c r="E52" s="109">
        <f t="shared" si="0"/>
        <v>0</v>
      </c>
      <c r="F52" s="109" t="e">
        <f t="shared" si="0"/>
        <v>#VALUE!</v>
      </c>
      <c r="G52" s="109" t="e">
        <f t="shared" si="0"/>
        <v>#VALUE!</v>
      </c>
    </row>
    <row r="53" spans="1:7" x14ac:dyDescent="0.25">
      <c r="A53" s="2" t="s">
        <v>182</v>
      </c>
      <c r="B53" s="109">
        <f t="shared" si="0"/>
        <v>0</v>
      </c>
      <c r="C53" s="109" t="e">
        <f t="shared" si="0"/>
        <v>#VALUE!</v>
      </c>
      <c r="D53" s="109" t="e">
        <f t="shared" si="0"/>
        <v>#VALUE!</v>
      </c>
      <c r="E53" s="109">
        <f t="shared" si="0"/>
        <v>0</v>
      </c>
      <c r="F53" s="109" t="e">
        <f t="shared" si="0"/>
        <v>#VALUE!</v>
      </c>
      <c r="G53" s="109" t="e">
        <f t="shared" si="0"/>
        <v>#VALUE!</v>
      </c>
    </row>
  </sheetData>
  <mergeCells count="1">
    <mergeCell ref="A46:A47"/>
  </mergeCells>
  <phoneticPr fontId="10" type="noConversion"/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I6" sqref="I6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21" t="s">
        <v>281</v>
      </c>
      <c r="F1" s="75" t="s">
        <v>244</v>
      </c>
    </row>
    <row r="2" spans="1:7" s="325" customFormat="1" x14ac:dyDescent="0.25">
      <c r="A2" s="324"/>
      <c r="C2" s="345" t="s">
        <v>327</v>
      </c>
      <c r="D2" s="345"/>
      <c r="E2" s="345"/>
    </row>
    <row r="3" spans="1:7" s="12" customFormat="1" x14ac:dyDescent="0.25">
      <c r="B3" s="329"/>
      <c r="C3" s="2">
        <f>År1</f>
        <v>2019</v>
      </c>
      <c r="D3" s="2">
        <f>År2</f>
        <v>2030</v>
      </c>
      <c r="E3" s="2">
        <f>År3</f>
        <v>2050</v>
      </c>
      <c r="F3" s="330" t="s">
        <v>328</v>
      </c>
      <c r="G3" s="12" t="s">
        <v>324</v>
      </c>
    </row>
    <row r="4" spans="1:7" s="12" customFormat="1" x14ac:dyDescent="0.25">
      <c r="A4" s="108" t="s">
        <v>99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6">
        <f>(9.6+43.4+265+84.7+55.6+112.4+6.1+10.5+121.4+27.4+89.4+13.5+12.6+0.4+218.5+0.9+3.9+3.4+5+0.4)*100</f>
        <v>108410.00000000003</v>
      </c>
      <c r="G4" s="346" t="s">
        <v>329</v>
      </c>
    </row>
    <row r="5" spans="1:7" s="12" customFormat="1" x14ac:dyDescent="0.25">
      <c r="A5" s="108" t="s">
        <v>99</v>
      </c>
      <c r="B5" s="2" t="s">
        <v>24</v>
      </c>
      <c r="C5" s="327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346"/>
    </row>
    <row r="6" spans="1:7" s="12" customFormat="1" x14ac:dyDescent="0.25">
      <c r="A6" s="108" t="s">
        <v>100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6">
        <v>600</v>
      </c>
      <c r="G6" s="347" t="s">
        <v>242</v>
      </c>
    </row>
    <row r="7" spans="1:7" s="12" customFormat="1" x14ac:dyDescent="0.25">
      <c r="A7" s="108" t="s">
        <v>100</v>
      </c>
      <c r="B7" s="2" t="s">
        <v>24</v>
      </c>
      <c r="C7" s="86">
        <f>0/F7</f>
        <v>0</v>
      </c>
      <c r="D7" s="8">
        <v>0.8</v>
      </c>
      <c r="E7" s="3">
        <v>1</v>
      </c>
      <c r="F7" s="326">
        <v>200</v>
      </c>
      <c r="G7" s="347"/>
    </row>
    <row r="8" spans="1:7" s="12" customFormat="1" x14ac:dyDescent="0.25">
      <c r="A8" s="322"/>
      <c r="C8" s="12" t="s">
        <v>243</v>
      </c>
      <c r="F8" s="323"/>
    </row>
    <row r="9" spans="1:7" x14ac:dyDescent="0.25">
      <c r="A9" s="322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4">
        <f>År1</f>
        <v>2019</v>
      </c>
      <c r="C11" s="154">
        <f>År2</f>
        <v>2030</v>
      </c>
      <c r="D11" s="154">
        <f>År3</f>
        <v>2050</v>
      </c>
      <c r="E11" s="154">
        <f>År1</f>
        <v>2019</v>
      </c>
      <c r="F11" s="154">
        <f>År2</f>
        <v>2030</v>
      </c>
      <c r="G11" s="154">
        <f>År3</f>
        <v>2050</v>
      </c>
    </row>
    <row r="12" spans="1:7" x14ac:dyDescent="0.25">
      <c r="A12" s="108" t="s">
        <v>99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100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topLeftCell="A2" zoomScale="103" workbookViewId="0">
      <selection activeCell="E41" sqref="E41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31" t="s">
        <v>281</v>
      </c>
    </row>
    <row r="2" spans="1:10" ht="15.75" x14ac:dyDescent="0.25">
      <c r="A2" s="229" t="s">
        <v>25</v>
      </c>
    </row>
    <row r="3" spans="1:10" x14ac:dyDescent="0.25">
      <c r="A3" s="6" t="s">
        <v>311</v>
      </c>
    </row>
    <row r="4" spans="1:10" x14ac:dyDescent="0.25">
      <c r="A4" s="25" t="s">
        <v>155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332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222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 t="e">
        <f>SUMIFS('Resultat-Produktion &amp; forbrug'!$N$3:$N$1000,'Resultat-Produktion &amp; forbrug'!$A$3:$A$1000,Adfærd!$G5,'Resultat-Produktion &amp; forbrug'!$D$3:$D$1000,Adfærd!H$4)</f>
        <v>#REF!</v>
      </c>
      <c r="I5" s="10" t="e">
        <f>SUMIFS('Resultat-Produktion &amp; forbrug'!$N$3:$N$1000,'Resultat-Produktion &amp; forbrug'!$A$3:$A$1000,Adfærd!$G5,'Resultat-Produktion &amp; forbrug'!$D$3:$D$1000,Adfærd!I$4)</f>
        <v>#REF!</v>
      </c>
      <c r="J5" s="10" t="e">
        <f>SUMIFS('Resultat-Produktion &amp; forbrug'!$N$3:$N$1000,'Resultat-Produktion &amp; forbrug'!$A$3:$A$1000,Adfærd!$G5,'Resultat-Produktion &amp; forbrug'!$D$3:$D$1000,Adfærd!J$4)</f>
        <v>#REF!</v>
      </c>
    </row>
    <row r="6" spans="1:10" x14ac:dyDescent="0.25">
      <c r="A6" s="2" t="s">
        <v>107</v>
      </c>
      <c r="B6" s="87">
        <v>0</v>
      </c>
      <c r="C6" s="3"/>
      <c r="D6" s="3"/>
      <c r="F6" s="25" t="str">
        <f t="shared" ref="F6:F7" si="0">A6</f>
        <v>Muslinger</v>
      </c>
      <c r="G6" s="25" t="s">
        <v>107</v>
      </c>
      <c r="H6" s="10" t="e">
        <f>SUMIFS('Resultat-Produktion &amp; forbrug'!$N$3:$N$1000,'Resultat-Produktion &amp; forbrug'!$A$3:$A$1000,Adfærd!$G6,'Resultat-Produktion &amp; forbrug'!$D$3:$D$1000,Adfærd!H$4)</f>
        <v>#REF!</v>
      </c>
      <c r="I6" s="10" t="e">
        <f>SUMIFS('Resultat-Produktion &amp; forbrug'!$N$3:$N$1000,'Resultat-Produktion &amp; forbrug'!$A$3:$A$1000,Adfærd!$G6,'Resultat-Produktion &amp; forbrug'!$D$3:$D$1000,Adfærd!I$4)</f>
        <v>#REF!</v>
      </c>
      <c r="J6" s="10" t="e">
        <f>SUMIFS('Resultat-Produktion &amp; forbrug'!$N$3:$N$1000,'Resultat-Produktion &amp; forbrug'!$A$3:$A$1000,Adfærd!$G6,'Resultat-Produktion &amp; forbrug'!$D$3:$D$1000,Adfærd!J$4)</f>
        <v>#REF!</v>
      </c>
    </row>
    <row r="7" spans="1:10" x14ac:dyDescent="0.25">
      <c r="A7" s="2" t="s">
        <v>100</v>
      </c>
      <c r="B7" s="87">
        <v>0</v>
      </c>
      <c r="C7" s="3"/>
      <c r="D7" s="3"/>
      <c r="F7" s="25" t="str">
        <f t="shared" si="0"/>
        <v>Tang</v>
      </c>
      <c r="G7" s="25" t="s">
        <v>100</v>
      </c>
      <c r="H7" s="10" t="e">
        <f>SUMIFS('Resultat-Produktion &amp; forbrug'!$N$3:$N$1000,'Resultat-Produktion &amp; forbrug'!$A$3:$A$1000,Adfærd!$G7,'Resultat-Produktion &amp; forbrug'!$D$3:$D$1000,Adfærd!H$4)</f>
        <v>#REF!</v>
      </c>
      <c r="I7" s="10" t="e">
        <f>SUMIFS('Resultat-Produktion &amp; forbrug'!$N$3:$N$1000,'Resultat-Produktion &amp; forbrug'!$A$3:$A$1000,Adfærd!$G7,'Resultat-Produktion &amp; forbrug'!$D$3:$D$1000,Adfærd!I$4)</f>
        <v>#REF!</v>
      </c>
      <c r="J7" s="10" t="e">
        <f>SUMIFS('Resultat-Produktion &amp; forbrug'!$N$3:$N$1000,'Resultat-Produktion &amp; forbrug'!$A$3:$A$1000,Adfærd!$G7,'Resultat-Produktion &amp; forbrug'!$D$3:$D$1000,Adfærd!J$4)</f>
        <v>#REF!</v>
      </c>
    </row>
    <row r="8" spans="1:10" x14ac:dyDescent="0.25">
      <c r="A8" s="2" t="s">
        <v>208</v>
      </c>
      <c r="B8" s="87">
        <v>0</v>
      </c>
      <c r="C8" s="3"/>
      <c r="D8" s="3"/>
    </row>
    <row r="9" spans="1:10" x14ac:dyDescent="0.25">
      <c r="A9" s="1" t="s">
        <v>223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330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3" t="s">
        <v>331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154</v>
      </c>
      <c r="B15" s="6"/>
      <c r="C15" s="6"/>
      <c r="D15" s="6"/>
      <c r="F15" s="1" t="s">
        <v>95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207</v>
      </c>
    </row>
    <row r="23" spans="1:9" hidden="1" x14ac:dyDescent="0.25">
      <c r="A23" s="2" t="s">
        <v>107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209</v>
      </c>
    </row>
    <row r="24" spans="1:9" hidden="1" x14ac:dyDescent="0.25">
      <c r="A24" s="2" t="s">
        <v>100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208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117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323</v>
      </c>
    </row>
    <row r="27" spans="1:9" hidden="1" x14ac:dyDescent="0.25">
      <c r="A27" s="2" t="s">
        <v>97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4" t="s">
        <v>30</v>
      </c>
      <c r="B31" s="313">
        <f>SUM(B17:B30)</f>
        <v>1267</v>
      </c>
      <c r="C31" s="313">
        <f>SUM(C17:C30)</f>
        <v>1267</v>
      </c>
      <c r="D31" s="313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153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zoomScale="85" zoomScaleNormal="85" workbookViewId="0">
      <selection activeCell="F10" sqref="F10:G10"/>
    </sheetView>
  </sheetViews>
  <sheetFormatPr defaultColWidth="9.140625" defaultRowHeight="12" x14ac:dyDescent="0.2"/>
  <cols>
    <col min="1" max="1" width="15.85546875" style="125" customWidth="1"/>
    <col min="2" max="2" width="10.140625" style="125" bestFit="1" customWidth="1"/>
    <col min="3" max="3" width="10.140625" style="125" customWidth="1"/>
    <col min="4" max="4" width="11.85546875" style="125" bestFit="1" customWidth="1"/>
    <col min="5" max="5" width="11" style="125" customWidth="1"/>
    <col min="6" max="6" width="13.42578125" style="125" customWidth="1"/>
    <col min="7" max="7" width="24.28515625" style="125" customWidth="1"/>
    <col min="8" max="8" width="10" style="125" hidden="1" customWidth="1"/>
    <col min="9" max="12" width="9.28515625" style="125" hidden="1" customWidth="1"/>
    <col min="13" max="13" width="24.28515625" style="125" hidden="1" customWidth="1"/>
    <col min="14" max="14" width="12.7109375" style="125" hidden="1" customWidth="1"/>
    <col min="15" max="15" width="9.28515625" style="125" hidden="1" customWidth="1"/>
    <col min="16" max="16" width="9.85546875" style="125" hidden="1" customWidth="1"/>
    <col min="17" max="22" width="0" style="125" hidden="1" customWidth="1"/>
    <col min="23" max="23" width="2.5703125" style="125" hidden="1" customWidth="1"/>
    <col min="24" max="16384" width="9.140625" style="125"/>
  </cols>
  <sheetData>
    <row r="1" spans="1:29" ht="12.75" thickBot="1" x14ac:dyDescent="0.25">
      <c r="A1" s="230" t="s">
        <v>281</v>
      </c>
    </row>
    <row r="2" spans="1:29" ht="46.5" customHeight="1" x14ac:dyDescent="0.2">
      <c r="A2" s="234" t="s">
        <v>139</v>
      </c>
      <c r="B2" s="234">
        <f>År1</f>
        <v>2019</v>
      </c>
      <c r="C2" s="234">
        <f>År2</f>
        <v>2030</v>
      </c>
      <c r="D2" s="234">
        <f>År3</f>
        <v>2050</v>
      </c>
      <c r="E2" s="123"/>
      <c r="F2" s="351" t="s">
        <v>335</v>
      </c>
      <c r="G2" s="352"/>
      <c r="M2" s="124"/>
      <c r="Z2" s="122" t="s">
        <v>151</v>
      </c>
      <c r="AA2" s="123">
        <f>År1</f>
        <v>2019</v>
      </c>
      <c r="AB2" s="123">
        <f>År2</f>
        <v>2030</v>
      </c>
      <c r="AC2" s="123">
        <f>År3</f>
        <v>2050</v>
      </c>
    </row>
    <row r="3" spans="1:29" x14ac:dyDescent="0.2">
      <c r="A3" s="180" t="s">
        <v>136</v>
      </c>
      <c r="B3" s="235" t="e">
        <f>N12/SUMIFS('Resultater - Danmark'!H$3:H$482,'Resultater - Danmark'!$F$3:$F$482,$A3)</f>
        <v>#REF!</v>
      </c>
      <c r="C3" s="181">
        <v>0.53</v>
      </c>
      <c r="D3" s="181">
        <v>0.53</v>
      </c>
      <c r="E3" s="158"/>
      <c r="F3" s="174" t="s">
        <v>104</v>
      </c>
      <c r="G3" s="175">
        <v>0.85</v>
      </c>
      <c r="H3" s="150"/>
      <c r="N3" s="250"/>
      <c r="Z3" s="125" t="s">
        <v>111</v>
      </c>
      <c r="AA3" s="126" t="e">
        <f>SUM(C12:C14)/SUM(C12:C15)</f>
        <v>#REF!</v>
      </c>
      <c r="AB3" s="126" t="e">
        <f>SUM(D12:D14)/SUM(D12:D15)</f>
        <v>#REF!</v>
      </c>
      <c r="AC3" s="126" t="e">
        <f>SUM(E12:E14)/SUM(E12:E15)</f>
        <v>#REF!</v>
      </c>
    </row>
    <row r="4" spans="1:29" x14ac:dyDescent="0.2">
      <c r="A4" s="180" t="s">
        <v>137</v>
      </c>
      <c r="B4" s="235" t="e">
        <f>N13/SUMIFS('Resultater - Danmark'!H$3:H$482,'Resultater - Danmark'!$F$3:$F$482,$A4)</f>
        <v>#REF!</v>
      </c>
      <c r="C4" s="181">
        <v>0.76</v>
      </c>
      <c r="D4" s="181">
        <v>0.76</v>
      </c>
      <c r="E4" s="158"/>
      <c r="F4" s="174"/>
      <c r="G4" s="175"/>
      <c r="N4" s="250"/>
      <c r="Z4" s="124" t="s">
        <v>204</v>
      </c>
    </row>
    <row r="5" spans="1:29" x14ac:dyDescent="0.2">
      <c r="A5" s="180" t="s">
        <v>138</v>
      </c>
      <c r="B5" s="235">
        <v>0.5</v>
      </c>
      <c r="C5" s="181">
        <v>0.5</v>
      </c>
      <c r="D5" s="181">
        <v>0.5</v>
      </c>
      <c r="E5" s="158"/>
      <c r="F5" s="174"/>
      <c r="G5" s="175"/>
      <c r="H5" s="127"/>
      <c r="N5" s="250"/>
      <c r="Z5" s="125" t="s">
        <v>136</v>
      </c>
      <c r="AA5" s="147" t="e">
        <f t="shared" ref="AA5:AC6" si="0">C12/C$29</f>
        <v>#REF!</v>
      </c>
      <c r="AB5" s="147" t="e">
        <f t="shared" si="0"/>
        <v>#REF!</v>
      </c>
      <c r="AC5" s="147" t="e">
        <f t="shared" si="0"/>
        <v>#REF!</v>
      </c>
    </row>
    <row r="6" spans="1:29" x14ac:dyDescent="0.2">
      <c r="A6" s="180" t="s">
        <v>141</v>
      </c>
      <c r="B6" s="235" t="e">
        <f>N15/SUMIFS('Resultater - Danmark'!H$3:H$482,'Resultater - Danmark'!$F$3:$F$482,$A6)</f>
        <v>#REF!</v>
      </c>
      <c r="C6" s="181">
        <v>0.37924884410556858</v>
      </c>
      <c r="D6" s="181">
        <v>0.37924884410556858</v>
      </c>
      <c r="E6" s="158"/>
      <c r="F6" s="174"/>
      <c r="G6" s="175"/>
      <c r="H6" s="128"/>
      <c r="Z6" s="129" t="s">
        <v>137</v>
      </c>
      <c r="AA6" s="147" t="e">
        <f t="shared" si="0"/>
        <v>#REF!</v>
      </c>
      <c r="AB6" s="147" t="e">
        <f t="shared" si="0"/>
        <v>#REF!</v>
      </c>
      <c r="AC6" s="147" t="e">
        <f t="shared" si="0"/>
        <v>#REF!</v>
      </c>
    </row>
    <row r="7" spans="1:29" x14ac:dyDescent="0.2">
      <c r="A7" s="180" t="s">
        <v>102</v>
      </c>
      <c r="B7" s="235" t="e">
        <f>N16/SUMIFS('Resultater - Danmark'!H$3:H$482,'Resultater - Danmark'!$F$3:$F$482,$A7)</f>
        <v>#REF!</v>
      </c>
      <c r="C7" s="181">
        <v>0.5</v>
      </c>
      <c r="D7" s="181">
        <v>0.5</v>
      </c>
      <c r="F7" s="174"/>
      <c r="G7" s="176"/>
      <c r="N7" s="159"/>
    </row>
    <row r="8" spans="1:29" ht="12.75" thickBot="1" x14ac:dyDescent="0.25">
      <c r="A8" s="180" t="s">
        <v>210</v>
      </c>
      <c r="B8" s="235">
        <v>0</v>
      </c>
      <c r="C8" s="181">
        <v>0.1</v>
      </c>
      <c r="D8" s="181">
        <v>0.2</v>
      </c>
      <c r="F8" s="177"/>
      <c r="G8" s="178"/>
      <c r="I8" s="159"/>
    </row>
    <row r="10" spans="1:29" ht="23.45" customHeight="1" x14ac:dyDescent="0.2">
      <c r="A10" s="129"/>
      <c r="B10" s="130"/>
      <c r="C10" s="349" t="s">
        <v>212</v>
      </c>
      <c r="D10" s="349"/>
      <c r="E10" s="349"/>
      <c r="F10" s="348" t="s">
        <v>336</v>
      </c>
      <c r="G10" s="348"/>
      <c r="J10" s="350" t="s">
        <v>213</v>
      </c>
      <c r="K10" s="350"/>
      <c r="L10" s="350"/>
    </row>
    <row r="11" spans="1:29" x14ac:dyDescent="0.2">
      <c r="C11" s="131">
        <f>År1</f>
        <v>2019</v>
      </c>
      <c r="D11" s="131">
        <f>År2</f>
        <v>2030</v>
      </c>
      <c r="E11" s="131">
        <f>År3</f>
        <v>2050</v>
      </c>
      <c r="F11" s="131">
        <v>2030</v>
      </c>
      <c r="G11" s="131">
        <v>2050</v>
      </c>
      <c r="H11" s="131" t="s">
        <v>106</v>
      </c>
      <c r="I11" s="131" t="s">
        <v>145</v>
      </c>
      <c r="J11" s="131">
        <f>År1</f>
        <v>2019</v>
      </c>
      <c r="K11" s="131">
        <f>År2</f>
        <v>2030</v>
      </c>
      <c r="L11" s="131">
        <f>År3</f>
        <v>2050</v>
      </c>
      <c r="M11" s="124" t="s">
        <v>216</v>
      </c>
    </row>
    <row r="12" spans="1:29" x14ac:dyDescent="0.2">
      <c r="A12" s="132" t="s">
        <v>136</v>
      </c>
      <c r="B12" s="132" t="s">
        <v>140</v>
      </c>
      <c r="C12" s="133" t="e">
        <f>SUMIFS('Resultater - Danmark'!H$3:H$482,'Resultater - Danmark'!$F$3:$F$482,$A12)*B3</f>
        <v>#REF!</v>
      </c>
      <c r="D12" s="133" t="e">
        <f>SUMIFS('Resultater - Danmark'!I$3:I$482,'Resultater - Danmark'!$F$3:$F$482,$A12)*C3</f>
        <v>#REF!</v>
      </c>
      <c r="E12" s="133" t="e">
        <f>SUMIFS('Resultater - Danmark'!J$3:J$482,'Resultater - Danmark'!$F$3:$F$482,$A12)*D3</f>
        <v>#REF!</v>
      </c>
      <c r="F12" s="243" t="e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#REF!</v>
      </c>
      <c r="G12" s="243" t="e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#REF!</v>
      </c>
      <c r="H12" s="134">
        <f>VLOOKUP(A12,[1]Biogasudbytte!$A$2:$C$18,3,FALSE)</f>
        <v>0.05</v>
      </c>
      <c r="I12" s="135">
        <f>VLOOKUP(A12,[1]Biogasudbytte!$A$2:$C$18,2,FALSE)*IFERROR(VLOOKUP(A12,$F$3:$G$8,2,FALSE),1)</f>
        <v>12</v>
      </c>
      <c r="J12" s="134" t="e">
        <f t="shared" ref="J12:J28" si="1">C12/C$29</f>
        <v>#REF!</v>
      </c>
      <c r="K12" s="134" t="e">
        <f t="shared" ref="K12:K28" si="2">D12/D$29</f>
        <v>#REF!</v>
      </c>
      <c r="L12" s="134" t="e">
        <f t="shared" ref="L12:L28" si="3">E12/E$29</f>
        <v>#REF!</v>
      </c>
      <c r="M12" s="125" t="s">
        <v>214</v>
      </c>
      <c r="N12" s="125">
        <f>S12+2/3*T12</f>
        <v>2914869.3333333335</v>
      </c>
      <c r="O12" s="152" t="e">
        <f t="shared" ref="O12:O16" si="4">N12-C12</f>
        <v>#REF!</v>
      </c>
      <c r="P12" s="141" t="e">
        <f>C12*I12</f>
        <v>#REF!</v>
      </c>
      <c r="Q12" s="125" t="e">
        <f>P12*35.9/1000000000</f>
        <v>#REF!</v>
      </c>
      <c r="S12" s="125">
        <v>2517134</v>
      </c>
      <c r="T12" s="125">
        <v>596603</v>
      </c>
      <c r="Y12" s="152"/>
      <c r="Z12" s="152"/>
      <c r="AA12" s="152"/>
    </row>
    <row r="13" spans="1:29" x14ac:dyDescent="0.2">
      <c r="A13" s="127" t="s">
        <v>137</v>
      </c>
      <c r="B13" s="127" t="s">
        <v>140</v>
      </c>
      <c r="C13" s="136" t="e">
        <f>SUMIFS('Resultater - Danmark'!H$3:H$482,'Resultater - Danmark'!$F$3:$F$482,$A13)*B4</f>
        <v>#REF!</v>
      </c>
      <c r="D13" s="136" t="e">
        <f>SUMIFS('Resultater - Danmark'!I$3:I$482,'Resultater - Danmark'!$F$3:$F$482,$A13)*C4</f>
        <v>#REF!</v>
      </c>
      <c r="E13" s="136" t="e">
        <f>SUMIFS('Resultater - Danmark'!J$3:J$482,'Resultater - Danmark'!$F$3:$F$482,$A13)*D4</f>
        <v>#REF!</v>
      </c>
      <c r="F13" s="244" t="e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#REF!</v>
      </c>
      <c r="G13" s="244" t="e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#REF!</v>
      </c>
      <c r="H13" s="137">
        <f>VLOOKUP(A13,[1]Biogasudbytte!$A$2:$C$18,3,FALSE)</f>
        <v>7.5999999999999998E-2</v>
      </c>
      <c r="I13" s="138">
        <f>VLOOKUP(A13,[1]Biogasudbytte!$A$2:$C$18,2,FALSE)*IFERROR(VLOOKUP(A13,$F$3:$G$8,2,FALSE),1)</f>
        <v>14.1</v>
      </c>
      <c r="J13" s="137" t="e">
        <f t="shared" si="1"/>
        <v>#REF!</v>
      </c>
      <c r="K13" s="137" t="e">
        <f t="shared" si="2"/>
        <v>#REF!</v>
      </c>
      <c r="L13" s="137" t="e">
        <f t="shared" si="3"/>
        <v>#REF!</v>
      </c>
      <c r="M13" s="125" t="s">
        <v>215</v>
      </c>
      <c r="N13" s="125">
        <f>S13+1/3*T13</f>
        <v>4353509.666666667</v>
      </c>
      <c r="O13" s="152" t="e">
        <f t="shared" si="4"/>
        <v>#REF!</v>
      </c>
      <c r="P13" s="141" t="e">
        <f t="shared" ref="P13:P28" si="5">C13*I13</f>
        <v>#REF!</v>
      </c>
      <c r="Q13" s="125" t="e">
        <f t="shared" ref="Q13:Q28" si="6">P13*35.9/1000000000</f>
        <v>#REF!</v>
      </c>
      <c r="S13" s="125">
        <v>4154642</v>
      </c>
      <c r="T13" s="125">
        <v>596603</v>
      </c>
    </row>
    <row r="14" spans="1:29" x14ac:dyDescent="0.2">
      <c r="A14" s="127" t="s">
        <v>138</v>
      </c>
      <c r="B14" s="127" t="s">
        <v>140</v>
      </c>
      <c r="C14" s="136" t="e">
        <f>SUMIFS('Resultater - Danmark'!H$3:H$482,'Resultater - Danmark'!$F$3:$F$482,$A14)*B5</f>
        <v>#REF!</v>
      </c>
      <c r="D14" s="136" t="e">
        <f>SUMIFS('Resultater - Danmark'!I$3:I$482,'Resultater - Danmark'!$F$3:$F$482,$A14)*C5</f>
        <v>#REF!</v>
      </c>
      <c r="E14" s="136" t="e">
        <f>SUMIFS('Resultater - Danmark'!J$3:J$482,'Resultater - Danmark'!$F$3:$F$482,$A14)*D5</f>
        <v>#REF!</v>
      </c>
      <c r="F14" s="244" t="e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#REF!</v>
      </c>
      <c r="G14" s="244" t="e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#REF!</v>
      </c>
      <c r="H14" s="137">
        <f>VLOOKUP(A14,[1]Biogasudbytte!$A$2:$C$18,3,FALSE)</f>
        <v>6.3E-2</v>
      </c>
      <c r="I14" s="138">
        <f>VLOOKUP(A14,[1]Biogasudbytte!$A$2:$C$18,2,FALSE)*IFERROR(VLOOKUP(A14,$F$3:$G$8,2,FALSE),1)</f>
        <v>13.1</v>
      </c>
      <c r="J14" s="137" t="e">
        <f t="shared" si="1"/>
        <v>#REF!</v>
      </c>
      <c r="K14" s="137" t="e">
        <f t="shared" si="2"/>
        <v>#REF!</v>
      </c>
      <c r="L14" s="137" t="e">
        <f t="shared" si="3"/>
        <v>#REF!</v>
      </c>
      <c r="M14" s="129" t="s">
        <v>146</v>
      </c>
      <c r="N14" s="130">
        <v>11417</v>
      </c>
      <c r="O14" s="152" t="e">
        <f t="shared" si="4"/>
        <v>#REF!</v>
      </c>
      <c r="P14" s="141" t="e">
        <f t="shared" si="5"/>
        <v>#REF!</v>
      </c>
      <c r="Q14" s="125" t="e">
        <f t="shared" si="6"/>
        <v>#REF!</v>
      </c>
    </row>
    <row r="15" spans="1:29" x14ac:dyDescent="0.2">
      <c r="A15" s="127" t="s">
        <v>141</v>
      </c>
      <c r="B15" s="127" t="s">
        <v>140</v>
      </c>
      <c r="C15" s="136" t="e">
        <f>SUMIFS('Resultater - Danmark'!H$3:H$482,'Resultater - Danmark'!$F$3:$F$482,$A15)*B6</f>
        <v>#REF!</v>
      </c>
      <c r="D15" s="136" t="e">
        <f>SUMIFS('Resultater - Danmark'!I$3:I$482,'Resultater - Danmark'!$F$3:$F$482,$A15)*C6</f>
        <v>#REF!</v>
      </c>
      <c r="E15" s="136" t="e">
        <f>SUMIFS('Resultater - Danmark'!J$3:J$482,'Resultater - Danmark'!$F$3:$F$482,$A15)*D6</f>
        <v>#REF!</v>
      </c>
      <c r="F15" s="244" t="e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#REF!</v>
      </c>
      <c r="G15" s="244" t="e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#REF!</v>
      </c>
      <c r="H15" s="137">
        <f>VLOOKUP(A15,[1]Biogasudbytte!$A$2:$C$18,3,FALSE)</f>
        <v>0.06</v>
      </c>
      <c r="I15" s="138">
        <f>VLOOKUP(A15,[1]Biogasudbytte!$A$2:$C$18,2,FALSE)*IFERROR(VLOOKUP(A15,$F$3:$G$8,2,FALSE),1)</f>
        <v>13.9</v>
      </c>
      <c r="J15" s="137" t="e">
        <f t="shared" si="1"/>
        <v>#REF!</v>
      </c>
      <c r="K15" s="137" t="e">
        <f t="shared" si="2"/>
        <v>#REF!</v>
      </c>
      <c r="L15" s="137" t="e">
        <f t="shared" si="3"/>
        <v>#REF!</v>
      </c>
      <c r="M15" s="139" t="s">
        <v>301</v>
      </c>
      <c r="N15" s="140">
        <f>SUM(S15:Z15)</f>
        <v>2668834</v>
      </c>
      <c r="O15" s="152" t="e">
        <f t="shared" si="4"/>
        <v>#REF!</v>
      </c>
      <c r="P15" s="141" t="e">
        <f>C15*I15</f>
        <v>#REF!</v>
      </c>
      <c r="Q15" s="125" t="e">
        <f t="shared" si="6"/>
        <v>#REF!</v>
      </c>
      <c r="S15" s="167">
        <v>2666649</v>
      </c>
      <c r="T15" s="125">
        <v>2185</v>
      </c>
      <c r="U15" s="167" t="s">
        <v>303</v>
      </c>
      <c r="V15" s="129"/>
      <c r="W15" s="129"/>
    </row>
    <row r="16" spans="1:29" x14ac:dyDescent="0.2">
      <c r="A16" s="127" t="s">
        <v>102</v>
      </c>
      <c r="B16" s="127" t="s">
        <v>140</v>
      </c>
      <c r="C16" s="136" t="e">
        <f>SUMIFS('Resultater - Danmark'!H$3:H$482,'Resultater - Danmark'!$F$3:$F$482,$A16)*B7</f>
        <v>#REF!</v>
      </c>
      <c r="D16" s="136" t="e">
        <f>SUMIFS('Resultater - Danmark'!I$3:I$482,'Resultater - Danmark'!$F$3:$F$482,$A16)*C7</f>
        <v>#REF!</v>
      </c>
      <c r="E16" s="136" t="e">
        <f>SUMIFS('Resultater - Danmark'!J$3:J$482,'Resultater - Danmark'!$F$3:$F$482,$A16)*D7</f>
        <v>#REF!</v>
      </c>
      <c r="F16" s="244" t="e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#REF!</v>
      </c>
      <c r="G16" s="244" t="e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#REF!</v>
      </c>
      <c r="H16" s="137">
        <f>VLOOKUP(A16,[1]Biogasudbytte!$A$2:$C$18,3,FALSE)</f>
        <v>0.3</v>
      </c>
      <c r="I16" s="138">
        <f>VLOOKUP(A16,[1]Biogasudbytte!$A$2:$C$18,2,FALSE)*IFERROR(VLOOKUP(A16,$F$3:$G$8,2,FALSE),1)</f>
        <v>60</v>
      </c>
      <c r="J16" s="137" t="e">
        <f t="shared" si="1"/>
        <v>#REF!</v>
      </c>
      <c r="K16" s="137" t="e">
        <f t="shared" si="2"/>
        <v>#REF!</v>
      </c>
      <c r="L16" s="137" t="e">
        <f t="shared" si="3"/>
        <v>#REF!</v>
      </c>
      <c r="M16" s="248" t="s">
        <v>157</v>
      </c>
      <c r="N16" s="249">
        <v>757087</v>
      </c>
      <c r="O16" s="152" t="e">
        <f t="shared" si="4"/>
        <v>#REF!</v>
      </c>
      <c r="P16" s="141" t="e">
        <f t="shared" si="5"/>
        <v>#REF!</v>
      </c>
      <c r="Q16" s="125" t="e">
        <f t="shared" si="6"/>
        <v>#REF!</v>
      </c>
    </row>
    <row r="17" spans="1:23" x14ac:dyDescent="0.2">
      <c r="A17" s="128" t="s">
        <v>210</v>
      </c>
      <c r="B17" s="127" t="s">
        <v>140</v>
      </c>
      <c r="C17" s="136" t="e">
        <f>SUMIFS('Resultater - Danmark'!H$3:H$482,'Resultater - Danmark'!$F$3:$F$482,$A17)*B8</f>
        <v>#REF!</v>
      </c>
      <c r="D17" s="136" t="e">
        <f>SUMIFS('Resultater - Danmark'!I$3:I$482,'Resultater - Danmark'!$F$3:$F$482,$A17)*C8</f>
        <v>#REF!</v>
      </c>
      <c r="E17" s="136" t="e">
        <f>SUMIFS('Resultater - Danmark'!J$3:J$482,'Resultater - Danmark'!$F$3:$F$482,$A17)*D8</f>
        <v>#REF!</v>
      </c>
      <c r="F17" s="244" t="e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#REF!</v>
      </c>
      <c r="G17" s="244" t="e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#REF!</v>
      </c>
      <c r="H17" s="137">
        <f>VLOOKUP(A17,[1]Biogasudbytte!$A$2:$C$18,3,FALSE)</f>
        <v>4.2763387558472386E-2</v>
      </c>
      <c r="I17" s="138">
        <f>VLOOKUP(A17,[1]Biogasudbytte!$A$2:$C$18,2,FALSE)*IFERROR(VLOOKUP(A17,$F$3:$G$8,2,FALSE),1)</f>
        <v>15.822453396634783</v>
      </c>
      <c r="J17" s="137" t="e">
        <f t="shared" si="1"/>
        <v>#REF!</v>
      </c>
      <c r="K17" s="137" t="e">
        <f t="shared" si="2"/>
        <v>#REF!</v>
      </c>
      <c r="L17" s="137" t="e">
        <f t="shared" si="3"/>
        <v>#REF!</v>
      </c>
      <c r="M17" s="125" t="s">
        <v>150</v>
      </c>
      <c r="N17" s="141"/>
      <c r="O17" s="152"/>
      <c r="P17" s="141" t="e">
        <f t="shared" si="5"/>
        <v>#REF!</v>
      </c>
      <c r="Q17" s="125" t="e">
        <f t="shared" si="6"/>
        <v>#REF!</v>
      </c>
    </row>
    <row r="18" spans="1:23" x14ac:dyDescent="0.2">
      <c r="A18" s="127" t="s">
        <v>103</v>
      </c>
      <c r="B18" s="127" t="s">
        <v>140</v>
      </c>
      <c r="C18" s="251">
        <f t="shared" ref="C18" si="7">N18</f>
        <v>729134</v>
      </c>
      <c r="D18" s="252">
        <v>363995</v>
      </c>
      <c r="E18" s="252">
        <v>369777</v>
      </c>
      <c r="F18" s="244" t="e">
        <f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#REF!</v>
      </c>
      <c r="G18" s="244" t="e">
        <f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#REF!</v>
      </c>
      <c r="H18" s="137">
        <f>VLOOKUP(A18,[1]Biogasudbytte!$A$2:$C$18,3,FALSE)</f>
        <v>0.28000000000000003</v>
      </c>
      <c r="I18" s="138">
        <f>VLOOKUP(A18,[1]Biogasudbytte!$A$2:$C$18,2,FALSE)*IFERROR(VLOOKUP(A18,$F$3:$G$8,2,FALSE),1)</f>
        <v>94.9</v>
      </c>
      <c r="J18" s="137" t="e">
        <f t="shared" si="1"/>
        <v>#REF!</v>
      </c>
      <c r="K18" s="137" t="e">
        <f t="shared" si="2"/>
        <v>#REF!</v>
      </c>
      <c r="L18" s="137" t="e">
        <f t="shared" si="3"/>
        <v>#REF!</v>
      </c>
      <c r="M18" s="161" t="s">
        <v>299</v>
      </c>
      <c r="N18" s="162">
        <f>SUM(S18:Z18)</f>
        <v>729134</v>
      </c>
      <c r="O18" s="152">
        <f>N18-C18</f>
        <v>0</v>
      </c>
      <c r="P18" s="141">
        <f>C18*I18</f>
        <v>69194816.600000009</v>
      </c>
      <c r="Q18" s="125">
        <f>P18*35.9/1000000000</f>
        <v>2.48409391594</v>
      </c>
      <c r="S18" s="125">
        <v>338470</v>
      </c>
      <c r="T18" s="125">
        <v>199809</v>
      </c>
      <c r="U18" s="125">
        <v>60011</v>
      </c>
      <c r="V18" s="125">
        <v>44821</v>
      </c>
      <c r="W18" s="125">
        <v>86023</v>
      </c>
    </row>
    <row r="19" spans="1:23" x14ac:dyDescent="0.2">
      <c r="A19" s="127" t="s">
        <v>104</v>
      </c>
      <c r="B19" s="127" t="s">
        <v>140</v>
      </c>
      <c r="C19" s="251">
        <f>N19</f>
        <v>995654</v>
      </c>
      <c r="D19" s="252">
        <v>725968</v>
      </c>
      <c r="E19" s="252">
        <v>723032</v>
      </c>
      <c r="F19" s="244" t="e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#REF!</v>
      </c>
      <c r="G19" s="244" t="e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#REF!</v>
      </c>
      <c r="H19" s="137">
        <f>VLOOKUP(A19,[1]Biogasudbytte!$A$2:$C$18,3,FALSE)</f>
        <v>0.42</v>
      </c>
      <c r="I19" s="138">
        <f>VLOOKUP(A19,[1]Biogasudbytte!$A$2:$C$18,2,FALSE)*IFERROR(VLOOKUP(A19,$F$3:$G$8,2,FALSE),1)</f>
        <v>102.595</v>
      </c>
      <c r="J19" s="137" t="e">
        <f t="shared" si="1"/>
        <v>#REF!</v>
      </c>
      <c r="K19" s="137" t="e">
        <f t="shared" si="2"/>
        <v>#REF!</v>
      </c>
      <c r="L19" s="137" t="e">
        <f t="shared" si="3"/>
        <v>#REF!</v>
      </c>
      <c r="M19" s="163" t="s">
        <v>300</v>
      </c>
      <c r="N19" s="164">
        <f>SUM(S19:Z19)</f>
        <v>995654</v>
      </c>
      <c r="O19" s="152">
        <f>N19-C19</f>
        <v>0</v>
      </c>
      <c r="P19" s="141">
        <f>C19*I19</f>
        <v>102149122.13</v>
      </c>
      <c r="Q19" s="125">
        <f>P19*35.9/1000000000</f>
        <v>3.6671534844669997</v>
      </c>
      <c r="S19" s="125">
        <v>995654</v>
      </c>
    </row>
    <row r="20" spans="1:23" x14ac:dyDescent="0.2">
      <c r="A20" s="127" t="s">
        <v>68</v>
      </c>
      <c r="B20" s="127" t="s">
        <v>140</v>
      </c>
      <c r="C20" s="251">
        <f>N20</f>
        <v>75934</v>
      </c>
      <c r="D20" s="252">
        <v>75934</v>
      </c>
      <c r="E20" s="252">
        <v>75934</v>
      </c>
      <c r="F20" s="244" t="e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#REF!</v>
      </c>
      <c r="G20" s="244" t="e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#REF!</v>
      </c>
      <c r="H20" s="137">
        <f>VLOOKUP(A20,[1]Biogasudbytte!$A$2:$C$18,3,FALSE)</f>
        <v>0.85</v>
      </c>
      <c r="I20" s="138">
        <f>VLOOKUP(A20,[1]Biogasudbytte!$A$2:$C$18,2,FALSE)*IFERROR(VLOOKUP(A20,$F$3:$G$8,2,FALSE),1)</f>
        <v>160.6</v>
      </c>
      <c r="J20" s="137" t="e">
        <f t="shared" si="1"/>
        <v>#REF!</v>
      </c>
      <c r="K20" s="137" t="e">
        <f t="shared" si="2"/>
        <v>#REF!</v>
      </c>
      <c r="L20" s="137" t="e">
        <f t="shared" si="3"/>
        <v>#REF!</v>
      </c>
      <c r="M20" s="125" t="s">
        <v>147</v>
      </c>
      <c r="N20" s="141">
        <v>75934</v>
      </c>
      <c r="O20" s="152">
        <f t="shared" ref="O20:O28" si="8">N20-C20</f>
        <v>0</v>
      </c>
      <c r="P20" s="141">
        <f t="shared" si="5"/>
        <v>12195000.4</v>
      </c>
      <c r="Q20" s="125">
        <f t="shared" si="6"/>
        <v>0.43780051436</v>
      </c>
    </row>
    <row r="21" spans="1:23" x14ac:dyDescent="0.2">
      <c r="A21" s="127" t="s">
        <v>48</v>
      </c>
      <c r="B21" s="127" t="s">
        <v>140</v>
      </c>
      <c r="C21" s="251">
        <f t="shared" ref="C21:C28" si="9">N21</f>
        <v>3786</v>
      </c>
      <c r="D21" s="252">
        <v>3786</v>
      </c>
      <c r="E21" s="252">
        <v>3786</v>
      </c>
      <c r="F21" s="244" t="e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#REF!</v>
      </c>
      <c r="G21" s="244" t="e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#REF!</v>
      </c>
      <c r="H21" s="137">
        <f>VLOOKUP(A21,[1]Biogasudbytte!$A$2:$C$18,3,FALSE)</f>
        <v>0.31</v>
      </c>
      <c r="I21" s="138">
        <f>VLOOKUP(A21,[1]Biogasudbytte!$A$2:$C$18,2,FALSE)*IFERROR(VLOOKUP(A21,$F$3:$G$8,2,FALSE),1)</f>
        <v>95.4</v>
      </c>
      <c r="J21" s="137" t="e">
        <f t="shared" si="1"/>
        <v>#REF!</v>
      </c>
      <c r="K21" s="137" t="e">
        <f t="shared" si="2"/>
        <v>#REF!</v>
      </c>
      <c r="L21" s="137" t="e">
        <f t="shared" si="3"/>
        <v>#REF!</v>
      </c>
      <c r="M21" s="125" t="s">
        <v>158</v>
      </c>
      <c r="N21" s="141">
        <v>3786</v>
      </c>
      <c r="O21" s="152">
        <f t="shared" si="8"/>
        <v>0</v>
      </c>
      <c r="P21" s="141">
        <f t="shared" si="5"/>
        <v>361184.4</v>
      </c>
      <c r="Q21" s="125">
        <f t="shared" si="6"/>
        <v>1.2966519960000001E-2</v>
      </c>
    </row>
    <row r="22" spans="1:23" x14ac:dyDescent="0.2">
      <c r="A22" s="127" t="s">
        <v>51</v>
      </c>
      <c r="B22" s="127" t="s">
        <v>140</v>
      </c>
      <c r="C22" s="251">
        <f t="shared" si="9"/>
        <v>85677</v>
      </c>
      <c r="D22" s="252">
        <v>85677</v>
      </c>
      <c r="E22" s="252">
        <v>85677</v>
      </c>
      <c r="F22" s="244" t="e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#REF!</v>
      </c>
      <c r="G22" s="244" t="e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#REF!</v>
      </c>
      <c r="H22" s="137">
        <f>VLOOKUP(A22,[1]Biogasudbytte!$A$2:$C$18,3,FALSE)</f>
        <v>0.28000000000000003</v>
      </c>
      <c r="I22" s="138">
        <f>VLOOKUP(A22,[1]Biogasudbytte!$A$2:$C$18,2,FALSE)*IFERROR(VLOOKUP(A22,$F$3:$G$8,2,FALSE),1)</f>
        <v>51.25</v>
      </c>
      <c r="J22" s="137" t="e">
        <f t="shared" si="1"/>
        <v>#REF!</v>
      </c>
      <c r="K22" s="137" t="e">
        <f t="shared" si="2"/>
        <v>#REF!</v>
      </c>
      <c r="L22" s="137" t="e">
        <f t="shared" si="3"/>
        <v>#REF!</v>
      </c>
      <c r="M22" s="165" t="s">
        <v>302</v>
      </c>
      <c r="N22" s="166">
        <f>SUM(S22:Z22)</f>
        <v>85677</v>
      </c>
      <c r="O22" s="152">
        <f t="shared" si="8"/>
        <v>0</v>
      </c>
      <c r="P22" s="141">
        <f t="shared" si="5"/>
        <v>4390946.25</v>
      </c>
      <c r="Q22" s="125">
        <f t="shared" si="6"/>
        <v>0.15763497037499999</v>
      </c>
      <c r="S22" s="125">
        <v>66010</v>
      </c>
      <c r="T22" s="125">
        <v>2139</v>
      </c>
      <c r="U22" s="125">
        <v>14273</v>
      </c>
      <c r="V22" s="125">
        <v>3255</v>
      </c>
    </row>
    <row r="23" spans="1:23" x14ac:dyDescent="0.2">
      <c r="A23" s="127" t="s">
        <v>53</v>
      </c>
      <c r="B23" s="127" t="s">
        <v>140</v>
      </c>
      <c r="C23" s="251">
        <f t="shared" si="9"/>
        <v>330026</v>
      </c>
      <c r="D23" s="252">
        <v>330026</v>
      </c>
      <c r="E23" s="252">
        <v>330026</v>
      </c>
      <c r="F23" s="244" t="e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#REF!</v>
      </c>
      <c r="G23" s="244" t="e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#REF!</v>
      </c>
      <c r="H23" s="137">
        <f>VLOOKUP(A23,[1]Biogasudbytte!$A$2:$C$18,3,FALSE)</f>
        <v>0.3</v>
      </c>
      <c r="I23" s="138">
        <f>VLOOKUP(A23,[1]Biogasudbytte!$A$2:$C$18,2,FALSE)*IFERROR(VLOOKUP(A23,$F$3:$G$8,2,FALSE),1)</f>
        <v>100</v>
      </c>
      <c r="J23" s="137" t="e">
        <f t="shared" si="1"/>
        <v>#REF!</v>
      </c>
      <c r="K23" s="137" t="e">
        <f t="shared" si="2"/>
        <v>#REF!</v>
      </c>
      <c r="L23" s="137" t="e">
        <f t="shared" si="3"/>
        <v>#REF!</v>
      </c>
      <c r="M23" s="125" t="s">
        <v>148</v>
      </c>
      <c r="N23" s="141">
        <v>330026</v>
      </c>
      <c r="O23" s="152">
        <f t="shared" si="8"/>
        <v>0</v>
      </c>
      <c r="P23" s="141">
        <f t="shared" si="5"/>
        <v>33002600</v>
      </c>
      <c r="Q23" s="125">
        <f t="shared" si="6"/>
        <v>1.1847933399999999</v>
      </c>
    </row>
    <row r="24" spans="1:23" x14ac:dyDescent="0.2">
      <c r="A24" s="127" t="s">
        <v>52</v>
      </c>
      <c r="B24" s="127" t="s">
        <v>140</v>
      </c>
      <c r="C24" s="251">
        <f t="shared" si="9"/>
        <v>28645</v>
      </c>
      <c r="D24" s="252">
        <v>28645</v>
      </c>
      <c r="E24" s="252">
        <v>28645</v>
      </c>
      <c r="F24" s="244" t="e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#REF!</v>
      </c>
      <c r="G24" s="244" t="e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#REF!</v>
      </c>
      <c r="H24" s="137">
        <f>VLOOKUP(A24,[1]Biogasudbytte!$A$2:$C$18,3,FALSE)</f>
        <v>0.2</v>
      </c>
      <c r="I24" s="138">
        <f>VLOOKUP(A24,[1]Biogasudbytte!$A$2:$C$18,2,FALSE)*IFERROR(VLOOKUP(A24,$F$3:$G$8,2,FALSE),1)</f>
        <v>75.599999999999994</v>
      </c>
      <c r="J24" s="137" t="e">
        <f t="shared" si="1"/>
        <v>#REF!</v>
      </c>
      <c r="K24" s="137" t="e">
        <f t="shared" si="2"/>
        <v>#REF!</v>
      </c>
      <c r="L24" s="137" t="e">
        <f t="shared" si="3"/>
        <v>#REF!</v>
      </c>
      <c r="M24" s="125" t="s">
        <v>149</v>
      </c>
      <c r="N24" s="141">
        <v>28645</v>
      </c>
      <c r="O24" s="152">
        <f t="shared" si="8"/>
        <v>0</v>
      </c>
      <c r="P24" s="141">
        <f t="shared" si="5"/>
        <v>2165562</v>
      </c>
      <c r="Q24" s="125">
        <f t="shared" si="6"/>
        <v>7.7743675799999995E-2</v>
      </c>
    </row>
    <row r="25" spans="1:23" x14ac:dyDescent="0.2">
      <c r="A25" s="128" t="s">
        <v>163</v>
      </c>
      <c r="B25" s="127" t="s">
        <v>140</v>
      </c>
      <c r="C25" s="251">
        <f t="shared" si="9"/>
        <v>78</v>
      </c>
      <c r="D25" s="252">
        <v>78</v>
      </c>
      <c r="E25" s="252">
        <v>78</v>
      </c>
      <c r="F25" s="244" t="e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#REF!</v>
      </c>
      <c r="G25" s="244" t="e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#REF!</v>
      </c>
      <c r="H25" s="137">
        <f>VLOOKUP(A25,[1]Biogasudbytte!$A$2:$C$18,3,FALSE)</f>
        <v>0.3</v>
      </c>
      <c r="I25" s="138">
        <f>VLOOKUP(A25,[1]Biogasudbytte!$A$2:$C$18,2,FALSE)*IFERROR(VLOOKUP(A25,$F$3:$G$8,2,FALSE),1)</f>
        <v>47.3</v>
      </c>
      <c r="J25" s="137" t="e">
        <f t="shared" si="1"/>
        <v>#REF!</v>
      </c>
      <c r="K25" s="137" t="e">
        <f t="shared" si="2"/>
        <v>#REF!</v>
      </c>
      <c r="L25" s="137" t="e">
        <f t="shared" si="3"/>
        <v>#REF!</v>
      </c>
      <c r="M25" s="125" t="s">
        <v>164</v>
      </c>
      <c r="N25" s="141">
        <v>78</v>
      </c>
      <c r="O25" s="152">
        <f t="shared" si="8"/>
        <v>0</v>
      </c>
      <c r="P25" s="141">
        <f t="shared" si="5"/>
        <v>3689.3999999999996</v>
      </c>
      <c r="Q25" s="125">
        <f t="shared" si="6"/>
        <v>1.3244945999999998E-4</v>
      </c>
    </row>
    <row r="26" spans="1:23" x14ac:dyDescent="0.2">
      <c r="A26" s="128" t="s">
        <v>159</v>
      </c>
      <c r="B26" s="128" t="s">
        <v>140</v>
      </c>
      <c r="C26" s="251">
        <f t="shared" si="9"/>
        <v>142742</v>
      </c>
      <c r="D26" s="252">
        <v>142742</v>
      </c>
      <c r="E26" s="252">
        <v>142742</v>
      </c>
      <c r="F26" s="244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4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7">
        <f>VLOOKUP(A26,[1]Biogasudbytte!$A$2:$C$18,3,FALSE)</f>
        <v>0.9</v>
      </c>
      <c r="I26" s="138">
        <f>VLOOKUP(A26,[1]Biogasudbytte!$A$2:$C$18,2,FALSE)*IFERROR(VLOOKUP(A26,$F$3:$G$8,2,FALSE),1)</f>
        <v>423.36</v>
      </c>
      <c r="J26" s="137" t="e">
        <f t="shared" si="1"/>
        <v>#REF!</v>
      </c>
      <c r="K26" s="137" t="e">
        <f t="shared" si="2"/>
        <v>#REF!</v>
      </c>
      <c r="L26" s="137" t="e">
        <f t="shared" si="3"/>
        <v>#REF!</v>
      </c>
      <c r="M26" s="125" t="s">
        <v>162</v>
      </c>
      <c r="N26" s="125">
        <v>142742</v>
      </c>
      <c r="O26" s="152">
        <f t="shared" si="8"/>
        <v>0</v>
      </c>
      <c r="P26" s="141">
        <f t="shared" si="5"/>
        <v>60431253.120000005</v>
      </c>
      <c r="Q26" s="125">
        <f t="shared" si="6"/>
        <v>2.169481987008</v>
      </c>
    </row>
    <row r="27" spans="1:23" x14ac:dyDescent="0.2">
      <c r="A27" s="127" t="s">
        <v>107</v>
      </c>
      <c r="B27" s="127" t="s">
        <v>140</v>
      </c>
      <c r="C27" s="251">
        <f t="shared" si="9"/>
        <v>0</v>
      </c>
      <c r="D27" s="252">
        <v>0</v>
      </c>
      <c r="E27" s="252">
        <v>0</v>
      </c>
      <c r="F27" s="244" t="e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#REF!</v>
      </c>
      <c r="G27" s="244" t="e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#REF!</v>
      </c>
      <c r="H27" s="137">
        <f>VLOOKUP(A27,[1]Biogasudbytte!$A$2:$C$18,3,FALSE)</f>
        <v>0.15</v>
      </c>
      <c r="I27" s="138">
        <f>VLOOKUP(A27,[1]Biogasudbytte!$A$2:$C$18,2,FALSE)*IFERROR(VLOOKUP(A27,$F$3:$G$8,2,FALSE),1)</f>
        <v>25</v>
      </c>
      <c r="J27" s="137" t="e">
        <f t="shared" si="1"/>
        <v>#REF!</v>
      </c>
      <c r="K27" s="137" t="e">
        <f t="shared" si="2"/>
        <v>#REF!</v>
      </c>
      <c r="L27" s="137" t="e">
        <f t="shared" si="3"/>
        <v>#REF!</v>
      </c>
      <c r="M27" s="125" t="s">
        <v>150</v>
      </c>
      <c r="O27" s="152">
        <f t="shared" si="8"/>
        <v>0</v>
      </c>
      <c r="P27" s="141">
        <f t="shared" si="5"/>
        <v>0</v>
      </c>
      <c r="Q27" s="125">
        <f t="shared" si="6"/>
        <v>0</v>
      </c>
    </row>
    <row r="28" spans="1:23" ht="12.75" thickBot="1" x14ac:dyDescent="0.25">
      <c r="A28" s="142" t="s">
        <v>100</v>
      </c>
      <c r="B28" s="142" t="s">
        <v>140</v>
      </c>
      <c r="C28" s="253">
        <f t="shared" si="9"/>
        <v>0</v>
      </c>
      <c r="D28" s="254">
        <v>0</v>
      </c>
      <c r="E28" s="254">
        <v>0</v>
      </c>
      <c r="F28" s="245" t="e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#REF!</v>
      </c>
      <c r="G28" s="245" t="e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#REF!</v>
      </c>
      <c r="H28" s="143">
        <f>VLOOKUP(A28,[1]Biogasudbytte!$A$2:$C$18,3,FALSE)</f>
        <v>0.15</v>
      </c>
      <c r="I28" s="144">
        <f>VLOOKUP(A28,[1]Biogasudbytte!$A$2:$C$18,2,FALSE)*IFERROR(VLOOKUP(A28,$F$3:$G$8,2,FALSE),1)</f>
        <v>25</v>
      </c>
      <c r="J28" s="143" t="e">
        <f t="shared" si="1"/>
        <v>#REF!</v>
      </c>
      <c r="K28" s="143" t="e">
        <f t="shared" si="2"/>
        <v>#REF!</v>
      </c>
      <c r="L28" s="143" t="e">
        <f t="shared" si="3"/>
        <v>#REF!</v>
      </c>
      <c r="M28" s="125" t="s">
        <v>150</v>
      </c>
      <c r="O28" s="152">
        <f t="shared" si="8"/>
        <v>0</v>
      </c>
      <c r="P28" s="141">
        <f t="shared" si="5"/>
        <v>0</v>
      </c>
      <c r="Q28" s="125">
        <f t="shared" si="6"/>
        <v>0</v>
      </c>
    </row>
    <row r="29" spans="1:23" x14ac:dyDescent="0.2">
      <c r="A29" s="125" t="s">
        <v>105</v>
      </c>
      <c r="B29" s="125" t="s">
        <v>140</v>
      </c>
      <c r="C29" s="145" t="e">
        <f>SUM(C12:C28)</f>
        <v>#REF!</v>
      </c>
      <c r="D29" s="145" t="e">
        <f>SUM(D12:D28)</f>
        <v>#REF!</v>
      </c>
      <c r="E29" s="145" t="e">
        <f>SUM(E12:E28)</f>
        <v>#REF!</v>
      </c>
      <c r="F29" s="145"/>
      <c r="G29" s="145"/>
      <c r="H29" s="146"/>
      <c r="I29" s="146"/>
      <c r="J29" s="147" t="e">
        <f>SUM(J12:J28)</f>
        <v>#REF!</v>
      </c>
      <c r="K29" s="147" t="e">
        <f>SUM(K12:K28)</f>
        <v>#REF!</v>
      </c>
      <c r="L29" s="147" t="e">
        <f>SUM(L12:L28)</f>
        <v>#REF!</v>
      </c>
      <c r="N29" s="125">
        <f>SUM(N12:N28)</f>
        <v>13097393</v>
      </c>
      <c r="P29" s="141" t="e">
        <f>SUM(P12:P28)</f>
        <v>#REF!</v>
      </c>
      <c r="Q29" s="125" t="e">
        <f>P29*35.9/1000000000</f>
        <v>#REF!</v>
      </c>
    </row>
    <row r="30" spans="1:23" x14ac:dyDescent="0.2">
      <c r="A30" s="148" t="s">
        <v>124</v>
      </c>
      <c r="C30" s="149" t="e">
        <f>SUMPRODUCT(C12:C28,$H$12:$H$28)/C29</f>
        <v>#REF!</v>
      </c>
      <c r="D30" s="149" t="e">
        <f>SUMPRODUCT(D12:D28,$H$12:$H$28)/D29</f>
        <v>#REF!</v>
      </c>
      <c r="E30" s="149" t="e">
        <f>SUMPRODUCT(E12:E28,$H$12:$H$28)/E29</f>
        <v>#REF!</v>
      </c>
      <c r="F30" s="160"/>
      <c r="G30" s="160"/>
    </row>
    <row r="31" spans="1:23" x14ac:dyDescent="0.2">
      <c r="A31" s="148" t="s">
        <v>161</v>
      </c>
      <c r="C31" s="149" t="e">
        <f>SUM(C21:C24)/C29</f>
        <v>#REF!</v>
      </c>
      <c r="D31" s="149" t="e">
        <f>SUM(D21:D24)/D29</f>
        <v>#REF!</v>
      </c>
      <c r="E31" s="149" t="e">
        <f>SUM(E21:E24)/E29</f>
        <v>#REF!</v>
      </c>
      <c r="F31" s="160"/>
      <c r="G31" s="160"/>
    </row>
    <row r="32" spans="1:23" x14ac:dyDescent="0.2">
      <c r="A32" s="125" t="s">
        <v>143</v>
      </c>
      <c r="B32" s="125" t="s">
        <v>144</v>
      </c>
      <c r="C32" s="125" t="e">
        <f>SUMPRODUCT(C12:C28,$I$12:$I$28)</f>
        <v>#REF!</v>
      </c>
      <c r="D32" s="125" t="e">
        <f>SUMPRODUCT(D12:D28,$I$12:$I$28)</f>
        <v>#REF!</v>
      </c>
      <c r="E32" s="125" t="e">
        <f>SUMPRODUCT(E12:E28,$I$12:$I$28)</f>
        <v>#REF!</v>
      </c>
    </row>
    <row r="33" spans="1:15" x14ac:dyDescent="0.2">
      <c r="A33" s="125" t="s">
        <v>143</v>
      </c>
      <c r="B33" s="125" t="s">
        <v>123</v>
      </c>
      <c r="C33" s="125" t="e">
        <f>C32*[1]Energiindhold!$C$10</f>
        <v>#REF!</v>
      </c>
      <c r="D33" s="125" t="e">
        <f>D32*[1]Energiindhold!$C$10</f>
        <v>#REF!</v>
      </c>
      <c r="E33" s="125" t="e">
        <f>E32*[1]Energiindhold!$C$10</f>
        <v>#REF!</v>
      </c>
    </row>
    <row r="34" spans="1:15" x14ac:dyDescent="0.2">
      <c r="C34" s="255"/>
    </row>
    <row r="35" spans="1:15" x14ac:dyDescent="0.2">
      <c r="A35" s="180"/>
      <c r="B35" s="180" t="s">
        <v>27</v>
      </c>
      <c r="C35" s="180" t="s">
        <v>28</v>
      </c>
    </row>
    <row r="36" spans="1:15" x14ac:dyDescent="0.2">
      <c r="A36" s="180" t="s">
        <v>159</v>
      </c>
      <c r="B36" s="181">
        <v>0.8</v>
      </c>
      <c r="C36" s="181">
        <v>0.2</v>
      </c>
    </row>
    <row r="38" spans="1:15" hidden="1" x14ac:dyDescent="0.2">
      <c r="C38" s="131">
        <f>År1</f>
        <v>2019</v>
      </c>
      <c r="D38" s="131">
        <f>År2</f>
        <v>2030</v>
      </c>
      <c r="E38" s="131">
        <f>År3</f>
        <v>2050</v>
      </c>
      <c r="F38" s="131" t="s">
        <v>106</v>
      </c>
      <c r="G38" s="131" t="s">
        <v>145</v>
      </c>
      <c r="K38" s="131">
        <f>År1</f>
        <v>2019</v>
      </c>
      <c r="L38" s="131">
        <f>År2</f>
        <v>2030</v>
      </c>
      <c r="M38" s="131">
        <f>År3</f>
        <v>2050</v>
      </c>
      <c r="N38" s="131" t="s">
        <v>106</v>
      </c>
      <c r="O38" s="131" t="s">
        <v>145</v>
      </c>
    </row>
    <row r="39" spans="1:15" hidden="1" x14ac:dyDescent="0.2">
      <c r="A39" s="132" t="str">
        <f t="shared" ref="A39:A55" si="10">A12</f>
        <v>Svinegylle</v>
      </c>
      <c r="B39" s="132" t="s">
        <v>140</v>
      </c>
      <c r="C39" s="133" t="e">
        <f>SUMIFS('Resultater - Vestdanmark'!H$3:H$482,'Resultater - Vestdanmark'!$F$3:$F$482,$A39)*B3</f>
        <v>#REF!</v>
      </c>
      <c r="D39" s="133" t="e">
        <f>SUMIFS('Resultater - Vestdanmark'!I$3:I$482,'Resultater - Vestdanmark'!$F$3:$F$482,$A39)*C3</f>
        <v>#REF!</v>
      </c>
      <c r="E39" s="133" t="e">
        <f>SUMIFS('Resultater - Vestdanmark'!J$3:J$482,'Resultater - Vestdanmark'!$F$3:$F$482,$A39)*D3</f>
        <v>#REF!</v>
      </c>
      <c r="F39" s="134">
        <f>VLOOKUP(A39,[1]Biogasudbytte!$A$2:$C$18,3,FALSE)</f>
        <v>0.05</v>
      </c>
      <c r="G39" s="135">
        <f t="shared" ref="G39:G55" si="11">I12</f>
        <v>12</v>
      </c>
      <c r="I39" s="132" t="str">
        <f>A39</f>
        <v>Svinegylle</v>
      </c>
      <c r="J39" s="132" t="s">
        <v>140</v>
      </c>
      <c r="K39" s="133" t="e">
        <f>SUMIFS('Resultater - Østdanmark'!H$3:H$482,'Resultater - Østdanmark'!$F$3:$F$482,$A39)*B3</f>
        <v>#REF!</v>
      </c>
      <c r="L39" s="133" t="e">
        <f>SUMIFS('Resultater - Østdanmark'!I$3:I$482,'Resultater - Østdanmark'!$F$3:$F$482,$A39)*C3</f>
        <v>#REF!</v>
      </c>
      <c r="M39" s="133" t="e">
        <f>SUMIFS('Resultater - Østdanmark'!J$3:J$482,'Resultater - Østdanmark'!$F$3:$F$482,$A39)*D3</f>
        <v>#REF!</v>
      </c>
      <c r="N39" s="134">
        <f>VLOOKUP(I39,[1]Biogasudbytte!$A$2:$C$18,3,FALSE)</f>
        <v>0.05</v>
      </c>
      <c r="O39" s="135">
        <f t="shared" ref="O39:O55" si="12">I12</f>
        <v>12</v>
      </c>
    </row>
    <row r="40" spans="1:15" hidden="1" x14ac:dyDescent="0.2">
      <c r="A40" s="127" t="str">
        <f t="shared" si="10"/>
        <v>Kvæggylle</v>
      </c>
      <c r="B40" s="127" t="s">
        <v>140</v>
      </c>
      <c r="C40" s="136" t="e">
        <f>SUMIFS('Resultater - Vestdanmark'!H$3:H$482,'Resultater - Vestdanmark'!$F$3:$F$482,$A40)*B4</f>
        <v>#REF!</v>
      </c>
      <c r="D40" s="136" t="e">
        <f>SUMIFS('Resultater - Vestdanmark'!I$3:I$482,'Resultater - Vestdanmark'!$F$3:$F$482,$A40)*C4</f>
        <v>#REF!</v>
      </c>
      <c r="E40" s="136" t="e">
        <f>SUMIFS('Resultater - Vestdanmark'!J$3:J$482,'Resultater - Vestdanmark'!$F$3:$F$482,$A40)*D4</f>
        <v>#REF!</v>
      </c>
      <c r="F40" s="137">
        <f>VLOOKUP(A40,[1]Biogasudbytte!$A$2:$C$18,3,FALSE)</f>
        <v>7.5999999999999998E-2</v>
      </c>
      <c r="G40" s="138">
        <f t="shared" si="11"/>
        <v>14.1</v>
      </c>
      <c r="I40" s="127" t="str">
        <f t="shared" ref="I40:I55" si="13">A40</f>
        <v>Kvæggylle</v>
      </c>
      <c r="J40" s="127" t="s">
        <v>140</v>
      </c>
      <c r="K40" s="136" t="e">
        <f>SUMIFS('Resultater - Østdanmark'!H$3:H$482,'Resultater - Østdanmark'!$F$3:$F$482,$A40)*B4</f>
        <v>#REF!</v>
      </c>
      <c r="L40" s="136" t="e">
        <f>SUMIFS('Resultater - Østdanmark'!I$3:I$482,'Resultater - Østdanmark'!$F$3:$F$482,$A40)*C4</f>
        <v>#REF!</v>
      </c>
      <c r="M40" s="136" t="e">
        <f>SUMIFS('Resultater - Østdanmark'!J$3:J$482,'Resultater - Østdanmark'!$F$3:$F$482,$A40)*D4</f>
        <v>#REF!</v>
      </c>
      <c r="N40" s="137">
        <f>VLOOKUP(I40,[1]Biogasudbytte!$A$2:$C$18,3,FALSE)</f>
        <v>7.5999999999999998E-2</v>
      </c>
      <c r="O40" s="138">
        <f t="shared" si="12"/>
        <v>14.1</v>
      </c>
    </row>
    <row r="41" spans="1:15" hidden="1" x14ac:dyDescent="0.2">
      <c r="A41" s="127" t="str">
        <f t="shared" si="10"/>
        <v>Fjerkrægylle</v>
      </c>
      <c r="B41" s="127" t="s">
        <v>140</v>
      </c>
      <c r="C41" s="136" t="e">
        <f>SUMIFS('Resultater - Vestdanmark'!H$3:H$482,'Resultater - Vestdanmark'!$F$3:$F$482,$A41)*B5</f>
        <v>#REF!</v>
      </c>
      <c r="D41" s="136" t="e">
        <f>SUMIFS('Resultater - Vestdanmark'!I$3:I$482,'Resultater - Vestdanmark'!$F$3:$F$482,$A41)*C5</f>
        <v>#REF!</v>
      </c>
      <c r="E41" s="136" t="e">
        <f>SUMIFS('Resultater - Vestdanmark'!J$3:J$482,'Resultater - Vestdanmark'!$F$3:$F$482,$A41)*D5</f>
        <v>#REF!</v>
      </c>
      <c r="F41" s="137">
        <f>VLOOKUP(A41,[1]Biogasudbytte!$A$2:$C$18,3,FALSE)</f>
        <v>6.3E-2</v>
      </c>
      <c r="G41" s="138">
        <f t="shared" si="11"/>
        <v>13.1</v>
      </c>
      <c r="I41" s="127" t="str">
        <f t="shared" si="13"/>
        <v>Fjerkrægylle</v>
      </c>
      <c r="J41" s="127" t="s">
        <v>140</v>
      </c>
      <c r="K41" s="136" t="e">
        <f>SUMIFS('Resultater - Østdanmark'!H$3:H$482,'Resultater - Østdanmark'!$F$3:$F$482,$A41)*B5</f>
        <v>#REF!</v>
      </c>
      <c r="L41" s="136" t="e">
        <f>SUMIFS('Resultater - Østdanmark'!I$3:I$482,'Resultater - Østdanmark'!$F$3:$F$482,$A41)*C5</f>
        <v>#REF!</v>
      </c>
      <c r="M41" s="136" t="e">
        <f>SUMIFS('Resultater - Østdanmark'!J$3:J$482,'Resultater - Østdanmark'!$F$3:$F$482,$A41)*D5</f>
        <v>#REF!</v>
      </c>
      <c r="N41" s="137">
        <f>VLOOKUP(I41,[1]Biogasudbytte!$A$2:$C$18,3,FALSE)</f>
        <v>6.3E-2</v>
      </c>
      <c r="O41" s="138">
        <f t="shared" si="12"/>
        <v>13.1</v>
      </c>
    </row>
    <row r="42" spans="1:15" hidden="1" x14ac:dyDescent="0.2">
      <c r="A42" s="127" t="str">
        <f t="shared" si="10"/>
        <v>Spildevandsslam</v>
      </c>
      <c r="B42" s="127" t="s">
        <v>140</v>
      </c>
      <c r="C42" s="136" t="e">
        <f>SUMIFS('Resultater - Vestdanmark'!H$3:H$482,'Resultater - Vestdanmark'!$F$3:$F$482,$A42)*B6</f>
        <v>#REF!</v>
      </c>
      <c r="D42" s="136" t="e">
        <f>SUMIFS('Resultater - Vestdanmark'!I$3:I$482,'Resultater - Vestdanmark'!$F$3:$F$482,$A42)*C6</f>
        <v>#REF!</v>
      </c>
      <c r="E42" s="136" t="e">
        <f>SUMIFS('Resultater - Vestdanmark'!J$3:J$482,'Resultater - Vestdanmark'!$F$3:$F$482,$A42)*D6</f>
        <v>#REF!</v>
      </c>
      <c r="F42" s="137">
        <f>VLOOKUP(A42,[1]Biogasudbytte!$A$2:$C$18,3,FALSE)</f>
        <v>0.06</v>
      </c>
      <c r="G42" s="138">
        <f t="shared" si="11"/>
        <v>13.9</v>
      </c>
      <c r="I42" s="127" t="str">
        <f t="shared" si="13"/>
        <v>Spildevandsslam</v>
      </c>
      <c r="J42" s="127" t="s">
        <v>140</v>
      </c>
      <c r="K42" s="136" t="e">
        <f>SUMIFS('Resultater - Østdanmark'!H$3:H$482,'Resultater - Østdanmark'!$F$3:$F$482,$A42)*B6</f>
        <v>#REF!</v>
      </c>
      <c r="L42" s="136" t="e">
        <f>SUMIFS('Resultater - Østdanmark'!I$3:I$482,'Resultater - Østdanmark'!$F$3:$F$482,$A42)*C6</f>
        <v>#REF!</v>
      </c>
      <c r="M42" s="136" t="e">
        <f>SUMIFS('Resultater - Østdanmark'!J$3:J$482,'Resultater - Østdanmark'!$F$3:$F$482,$A42)*D6</f>
        <v>#REF!</v>
      </c>
      <c r="N42" s="137">
        <f>VLOOKUP(I42,[1]Biogasudbytte!$A$2:$C$18,3,FALSE)</f>
        <v>0.06</v>
      </c>
      <c r="O42" s="138">
        <f t="shared" si="12"/>
        <v>13.9</v>
      </c>
    </row>
    <row r="43" spans="1:15" hidden="1" x14ac:dyDescent="0.2">
      <c r="A43" s="127" t="str">
        <f t="shared" si="10"/>
        <v>Dybstrøelse</v>
      </c>
      <c r="B43" s="127" t="s">
        <v>140</v>
      </c>
      <c r="C43" s="136" t="e">
        <f>SUMIFS('Resultater - Vestdanmark'!H$3:H$482,'Resultater - Vestdanmark'!$F$3:$F$482,$A43)*B7</f>
        <v>#REF!</v>
      </c>
      <c r="D43" s="136" t="e">
        <f>SUMIFS('Resultater - Vestdanmark'!I$3:I$482,'Resultater - Vestdanmark'!$F$3:$F$482,$A43)*C7</f>
        <v>#REF!</v>
      </c>
      <c r="E43" s="136" t="e">
        <f>SUMIFS('Resultater - Vestdanmark'!J$3:J$482,'Resultater - Vestdanmark'!$F$3:$F$482,$A43)*D7</f>
        <v>#REF!</v>
      </c>
      <c r="F43" s="137">
        <f>VLOOKUP(A43,[1]Biogasudbytte!$A$2:$C$18,3,FALSE)</f>
        <v>0.3</v>
      </c>
      <c r="G43" s="138">
        <f t="shared" si="11"/>
        <v>60</v>
      </c>
      <c r="I43" s="127" t="str">
        <f t="shared" si="13"/>
        <v>Dybstrøelse</v>
      </c>
      <c r="J43" s="127" t="s">
        <v>140</v>
      </c>
      <c r="K43" s="136" t="e">
        <f>SUMIFS('Resultater - Østdanmark'!H$3:H$482,'Resultater - Østdanmark'!$F$3:$F$482,$A43)*B7</f>
        <v>#REF!</v>
      </c>
      <c r="L43" s="136" t="e">
        <f>SUMIFS('Resultater - Østdanmark'!I$3:I$482,'Resultater - Østdanmark'!$F$3:$F$482,$A43)*C7</f>
        <v>#REF!</v>
      </c>
      <c r="M43" s="136" t="e">
        <f>SUMIFS('Resultater - Østdanmark'!J$3:J$482,'Resultater - Østdanmark'!$F$3:$F$482,$A43)*D7</f>
        <v>#REF!</v>
      </c>
      <c r="N43" s="137">
        <f>VLOOKUP(I43,[1]Biogasudbytte!$A$2:$C$18,3,FALSE)</f>
        <v>0.3</v>
      </c>
      <c r="O43" s="138">
        <f t="shared" si="12"/>
        <v>60</v>
      </c>
    </row>
    <row r="44" spans="1:15" hidden="1" x14ac:dyDescent="0.2">
      <c r="A44" s="128" t="str">
        <f t="shared" si="10"/>
        <v>Brun saft</v>
      </c>
      <c r="B44" s="127" t="s">
        <v>140</v>
      </c>
      <c r="C44" s="136" t="e">
        <f>SUMIFS('Resultater - Vestdanmark'!H$3:H$482,'Resultater - Vestdanmark'!$F$3:$F$482,$A44)*B8</f>
        <v>#REF!</v>
      </c>
      <c r="D44" s="136" t="e">
        <f>SUMIFS('Resultater - Vestdanmark'!I$3:I$482,'Resultater - Vestdanmark'!$F$3:$F$482,$A44)*C8</f>
        <v>#REF!</v>
      </c>
      <c r="E44" s="136" t="e">
        <f>SUMIFS('Resultater - Vestdanmark'!J$3:J$482,'Resultater - Vestdanmark'!$F$3:$F$482,$A44)*D8</f>
        <v>#REF!</v>
      </c>
      <c r="F44" s="137">
        <f>VLOOKUP(A44,[1]Biogasudbytte!$A$2:$C$18,3,FALSE)</f>
        <v>4.2763387558472386E-2</v>
      </c>
      <c r="G44" s="138">
        <f t="shared" si="11"/>
        <v>15.822453396634783</v>
      </c>
      <c r="I44" s="128" t="str">
        <f t="shared" si="13"/>
        <v>Brun saft</v>
      </c>
      <c r="J44" s="127" t="s">
        <v>140</v>
      </c>
      <c r="K44" s="136" t="e">
        <f>SUMIFS('Resultater - Østdanmark'!H$3:H$482,'Resultater - Østdanmark'!$F$3:$F$482,$A44)*B8</f>
        <v>#REF!</v>
      </c>
      <c r="L44" s="136" t="e">
        <f>SUMIFS('Resultater - Østdanmark'!I$3:I$482,'Resultater - Østdanmark'!$F$3:$F$482,$A44)*C8</f>
        <v>#REF!</v>
      </c>
      <c r="M44" s="136" t="e">
        <f>SUMIFS('Resultater - Østdanmark'!J$3:J$482,'Resultater - Østdanmark'!$F$3:$F$482,$A44)*D8</f>
        <v>#REF!</v>
      </c>
      <c r="N44" s="137">
        <f>VLOOKUP(I44,[1]Biogasudbytte!$A$2:$C$18,3,FALSE)</f>
        <v>4.2763387558472386E-2</v>
      </c>
      <c r="O44" s="138">
        <f t="shared" si="12"/>
        <v>15.822453396634783</v>
      </c>
    </row>
    <row r="45" spans="1:15" hidden="1" x14ac:dyDescent="0.2">
      <c r="A45" s="127" t="str">
        <f t="shared" si="10"/>
        <v>Bioaffald</v>
      </c>
      <c r="B45" s="127" t="s">
        <v>140</v>
      </c>
      <c r="C45" s="136" t="e">
        <f>SUMIFS('Resultater - Vestdanmark'!H$3:H$482,'Resultater - Vestdanmark'!$F$3:$F$482,$A45)/SUMIFS('Resultater - Danmark'!H$3:H$482,'Resultater - Danmark'!$F$3:$F$482,$A45)*C18</f>
        <v>#REF!</v>
      </c>
      <c r="D45" s="136" t="e">
        <f>SUMIFS('Resultater - Vestdanmark'!I$3:I$482,'Resultater - Vestdanmark'!$F$3:$F$482,$A45)/SUMIFS('Resultater - Danmark'!I$3:I$482,'Resultater - Danmark'!$F$3:$F$482,$A45)*D18</f>
        <v>#REF!</v>
      </c>
      <c r="E45" s="136" t="e">
        <f>SUMIFS('Resultater - Vestdanmark'!J$3:J$482,'Resultater - Vestdanmark'!$F$3:$F$482,$A45)/SUMIFS('Resultater - Danmark'!J$3:J$482,'Resultater - Danmark'!$F$3:$F$482,$A45)*E18</f>
        <v>#REF!</v>
      </c>
      <c r="F45" s="137">
        <f>VLOOKUP(A45,[1]Biogasudbytte!$A$2:$C$18,3,FALSE)</f>
        <v>0.28000000000000003</v>
      </c>
      <c r="G45" s="138">
        <f t="shared" si="11"/>
        <v>94.9</v>
      </c>
      <c r="I45" s="127" t="str">
        <f t="shared" si="13"/>
        <v>Bioaffald</v>
      </c>
      <c r="J45" s="127" t="s">
        <v>140</v>
      </c>
      <c r="K45" s="136" t="e">
        <f>SUMIFS('Resultater - Østdanmark'!H$3:H$482,'Resultater - Østdanmark'!$F$3:$F$482,$A45)/SUMIFS('Resultater - Danmark'!H$3:H$482,'Resultater - Danmark'!$F$3:$F$482,$A45)*C18</f>
        <v>#REF!</v>
      </c>
      <c r="L45" s="136" t="e">
        <f>SUMIFS('Resultater - Østdanmark'!I$3:I$482,'Resultater - Østdanmark'!$F$3:$F$482,$A45)/SUMIFS('Resultater - Danmark'!I$3:I$482,'Resultater - Danmark'!$F$3:$F$482,$A45)*D18</f>
        <v>#REF!</v>
      </c>
      <c r="M45" s="136" t="e">
        <f>SUMIFS('Resultater - Østdanmark'!J$3:J$482,'Resultater - Østdanmark'!$F$3:$F$482,$A45)/SUMIFS('Resultater - Danmark'!J$3:J$482,'Resultater - Danmark'!$F$3:$F$482,$A45)*E18</f>
        <v>#REF!</v>
      </c>
      <c r="N45" s="137">
        <f>VLOOKUP(I45,[1]Biogasudbytte!$A$2:$C$18,3,FALSE)</f>
        <v>0.28000000000000003</v>
      </c>
      <c r="O45" s="138">
        <f t="shared" si="12"/>
        <v>94.9</v>
      </c>
    </row>
    <row r="46" spans="1:15" hidden="1" x14ac:dyDescent="0.2">
      <c r="A46" s="127" t="str">
        <f t="shared" si="10"/>
        <v>Industriaffald</v>
      </c>
      <c r="B46" s="127" t="s">
        <v>140</v>
      </c>
      <c r="C46" s="136" t="e">
        <f>SUMIFS('Resultater - Vestdanmark'!H$3:H$482,'Resultater - Vestdanmark'!$F$3:$F$482,$A46)/SUMIFS('Resultater - Danmark'!H$3:H$482,'Resultater - Danmark'!$F$3:$F$482,$A46)*C19</f>
        <v>#REF!</v>
      </c>
      <c r="D46" s="136" t="e">
        <f>SUMIFS('Resultater - Vestdanmark'!I$3:I$482,'Resultater - Vestdanmark'!$F$3:$F$482,$A46)/SUMIFS('Resultater - Danmark'!I$3:I$482,'Resultater - Danmark'!$F$3:$F$482,$A46)*D19</f>
        <v>#REF!</v>
      </c>
      <c r="E46" s="136" t="e">
        <f>SUMIFS('Resultater - Vestdanmark'!J$3:J$482,'Resultater - Vestdanmark'!$F$3:$F$482,$A46)/SUMIFS('Resultater - Danmark'!J$3:J$482,'Resultater - Danmark'!$F$3:$F$482,$A46)*E19</f>
        <v>#REF!</v>
      </c>
      <c r="F46" s="137">
        <f>VLOOKUP(A46,[1]Biogasudbytte!$A$2:$C$18,3,FALSE)</f>
        <v>0.42</v>
      </c>
      <c r="G46" s="138">
        <f t="shared" si="11"/>
        <v>102.595</v>
      </c>
      <c r="I46" s="127" t="str">
        <f t="shared" si="13"/>
        <v>Industriaffald</v>
      </c>
      <c r="J46" s="127" t="s">
        <v>140</v>
      </c>
      <c r="K46" s="136" t="e">
        <f>SUMIFS('Resultater - Østdanmark'!H$3:H$482,'Resultater - Østdanmark'!$F$3:$F$482,$A46)/SUMIFS('Resultater - Danmark'!H$3:H$482,'Resultater - Danmark'!$F$3:$F$482,$A46)*C19</f>
        <v>#REF!</v>
      </c>
      <c r="L46" s="136" t="e">
        <f>SUMIFS('Resultater - Østdanmark'!I$3:I$482,'Resultater - Østdanmark'!$F$3:$F$482,$A46)/SUMIFS('Resultater - Danmark'!I$3:I$482,'Resultater - Danmark'!$F$3:$F$482,$A46)*D19</f>
        <v>#REF!</v>
      </c>
      <c r="M46" s="136" t="e">
        <f>SUMIFS('Resultater - Østdanmark'!J$3:J$482,'Resultater - Østdanmark'!$F$3:$F$482,$A46)/SUMIFS('Resultater - Danmark'!J$3:J$482,'Resultater - Danmark'!$F$3:$F$482,$A46)*E19</f>
        <v>#REF!</v>
      </c>
      <c r="N46" s="137">
        <f>VLOOKUP(I46,[1]Biogasudbytte!$A$2:$C$18,3,FALSE)</f>
        <v>0.42</v>
      </c>
      <c r="O46" s="138">
        <f t="shared" si="12"/>
        <v>102.595</v>
      </c>
    </row>
    <row r="47" spans="1:15" hidden="1" x14ac:dyDescent="0.2">
      <c r="A47" s="127" t="str">
        <f t="shared" si="10"/>
        <v>Halm</v>
      </c>
      <c r="B47" s="127" t="s">
        <v>140</v>
      </c>
      <c r="C47" s="136" t="e">
        <f>SUMIFS('Resultater - Vestdanmark'!H$3:H$482,'Resultater - Vestdanmark'!$F$3:$F$482,$A47)/SUMIFS('Resultater - Danmark'!H$3:H$482,'Resultater - Danmark'!$F$3:$F$482,$A47)*C20</f>
        <v>#REF!</v>
      </c>
      <c r="D47" s="136" t="e">
        <f>SUMIFS('Resultater - Vestdanmark'!I$3:I$482,'Resultater - Vestdanmark'!$F$3:$F$482,$A47)/SUMIFS('Resultater - Danmark'!I$3:I$482,'Resultater - Danmark'!$F$3:$F$482,$A47)*D20</f>
        <v>#REF!</v>
      </c>
      <c r="E47" s="136" t="e">
        <f>SUMIFS('Resultater - Vestdanmark'!J$3:J$482,'Resultater - Vestdanmark'!$F$3:$F$482,$A47)/SUMIFS('Resultater - Danmark'!J$3:J$482,'Resultater - Danmark'!$F$3:$F$482,$A47)*E20</f>
        <v>#REF!</v>
      </c>
      <c r="F47" s="137">
        <f>VLOOKUP(A47,[1]Biogasudbytte!$A$2:$C$18,3,FALSE)</f>
        <v>0.85</v>
      </c>
      <c r="G47" s="138">
        <f t="shared" si="11"/>
        <v>160.6</v>
      </c>
      <c r="I47" s="127" t="str">
        <f t="shared" si="13"/>
        <v>Halm</v>
      </c>
      <c r="J47" s="127" t="s">
        <v>140</v>
      </c>
      <c r="K47" s="136" t="e">
        <f>SUMIFS('Resultater - Østdanmark'!H$3:H$482,'Resultater - Østdanmark'!$F$3:$F$482,$A47)/SUMIFS('Resultater - Danmark'!H$3:H$482,'Resultater - Danmark'!$F$3:$F$482,$A47)*C20</f>
        <v>#REF!</v>
      </c>
      <c r="L47" s="136" t="e">
        <f>SUMIFS('Resultater - Østdanmark'!I$3:I$482,'Resultater - Østdanmark'!$F$3:$F$482,$A47)/SUMIFS('Resultater - Danmark'!I$3:I$482,'Resultater - Danmark'!$F$3:$F$482,$A47)*D20</f>
        <v>#REF!</v>
      </c>
      <c r="M47" s="136" t="e">
        <f>SUMIFS('Resultater - Østdanmark'!J$3:J$482,'Resultater - Østdanmark'!$F$3:$F$482,$A47)/SUMIFS('Resultater - Danmark'!J$3:J$482,'Resultater - Danmark'!$F$3:$F$482,$A47)*E20</f>
        <v>#REF!</v>
      </c>
      <c r="N47" s="137">
        <f>VLOOKUP(I47,[1]Biogasudbytte!$A$2:$C$18,3,FALSE)</f>
        <v>0.85</v>
      </c>
      <c r="O47" s="138">
        <f t="shared" si="12"/>
        <v>160.6</v>
      </c>
    </row>
    <row r="48" spans="1:15" hidden="1" x14ac:dyDescent="0.2">
      <c r="A48" s="127" t="str">
        <f t="shared" si="10"/>
        <v>Korn</v>
      </c>
      <c r="B48" s="127" t="s">
        <v>140</v>
      </c>
      <c r="C48" s="136" t="e">
        <f>SUMIFS('Resultater - Vestdanmark'!H$3:H$482,'Resultater - Vestdanmark'!$F$3:$F$482,$A48)/SUMIFS('Resultater - Danmark'!H$3:H$482,'Resultater - Danmark'!$F$3:$F$482,$A48)*C21</f>
        <v>#REF!</v>
      </c>
      <c r="D48" s="136" t="e">
        <f>SUMIFS('Resultater - Vestdanmark'!I$3:I$482,'Resultater - Vestdanmark'!$F$3:$F$482,$A48)/SUMIFS('Resultater - Danmark'!I$3:I$482,'Resultater - Danmark'!$F$3:$F$482,$A48)*D21</f>
        <v>#REF!</v>
      </c>
      <c r="E48" s="136" t="e">
        <f>SUMIFS('Resultater - Vestdanmark'!J$3:J$482,'Resultater - Vestdanmark'!$F$3:$F$482,$A48)/SUMIFS('Resultater - Danmark'!J$3:J$482,'Resultater - Danmark'!$F$3:$F$482,$A48)*E21</f>
        <v>#REF!</v>
      </c>
      <c r="F48" s="137">
        <f>VLOOKUP(A48,[1]Biogasudbytte!$A$2:$C$18,3,FALSE)</f>
        <v>0.31</v>
      </c>
      <c r="G48" s="138">
        <f t="shared" si="11"/>
        <v>95.4</v>
      </c>
      <c r="I48" s="127" t="str">
        <f t="shared" si="13"/>
        <v>Korn</v>
      </c>
      <c r="J48" s="127" t="s">
        <v>140</v>
      </c>
      <c r="K48" s="136" t="e">
        <f>SUMIFS('Resultater - Østdanmark'!H$3:H$482,'Resultater - Østdanmark'!$F$3:$F$482,$A48)/SUMIFS('Resultater - Danmark'!H$3:H$482,'Resultater - Danmark'!$F$3:$F$482,$A48)*C21</f>
        <v>#REF!</v>
      </c>
      <c r="L48" s="136" t="e">
        <f>SUMIFS('Resultater - Østdanmark'!I$3:I$482,'Resultater - Østdanmark'!$F$3:$F$482,$A48)/SUMIFS('Resultater - Danmark'!I$3:I$482,'Resultater - Danmark'!$F$3:$F$482,$A48)*D21</f>
        <v>#REF!</v>
      </c>
      <c r="M48" s="136" t="e">
        <f>SUMIFS('Resultater - Østdanmark'!J$3:J$482,'Resultater - Østdanmark'!$F$3:$F$482,$A48)/SUMIFS('Resultater - Danmark'!J$3:J$482,'Resultater - Danmark'!$F$3:$F$482,$A48)*E21</f>
        <v>#REF!</v>
      </c>
      <c r="N48" s="137">
        <f>VLOOKUP(I48,[1]Biogasudbytte!$A$2:$C$18,3,FALSE)</f>
        <v>0.31</v>
      </c>
      <c r="O48" s="138">
        <f t="shared" si="12"/>
        <v>95.4</v>
      </c>
    </row>
    <row r="49" spans="1:15" hidden="1" x14ac:dyDescent="0.2">
      <c r="A49" s="127" t="str">
        <f t="shared" si="10"/>
        <v>Græs</v>
      </c>
      <c r="B49" s="127" t="s">
        <v>140</v>
      </c>
      <c r="C49" s="136" t="e">
        <f>SUMIFS('Resultater - Vestdanmark'!H$3:H$482,'Resultater - Vestdanmark'!$F$3:$F$482,$A49)/SUMIFS('Resultater - Danmark'!H$3:H$482,'Resultater - Danmark'!$F$3:$F$482,$A49)*C22</f>
        <v>#REF!</v>
      </c>
      <c r="D49" s="136" t="e">
        <f>SUMIFS('Resultater - Vestdanmark'!I$3:I$482,'Resultater - Vestdanmark'!$F$3:$F$482,$A49)/SUMIFS('Resultater - Danmark'!I$3:I$482,'Resultater - Danmark'!$F$3:$F$482,$A49)*D22</f>
        <v>#REF!</v>
      </c>
      <c r="E49" s="136" t="e">
        <f>SUMIFS('Resultater - Vestdanmark'!J$3:J$482,'Resultater - Vestdanmark'!$F$3:$F$482,$A49)/SUMIFS('Resultater - Danmark'!J$3:J$482,'Resultater - Danmark'!$F$3:$F$482,$A49)*E22</f>
        <v>#REF!</v>
      </c>
      <c r="F49" s="137">
        <f>VLOOKUP(A49,[1]Biogasudbytte!$A$2:$C$18,3,FALSE)</f>
        <v>0.28000000000000003</v>
      </c>
      <c r="G49" s="138">
        <f t="shared" si="11"/>
        <v>51.25</v>
      </c>
      <c r="I49" s="127" t="str">
        <f t="shared" si="13"/>
        <v>Græs</v>
      </c>
      <c r="J49" s="127" t="s">
        <v>140</v>
      </c>
      <c r="K49" s="136" t="e">
        <f>SUMIFS('Resultater - Østdanmark'!H$3:H$482,'Resultater - Østdanmark'!$F$3:$F$482,$A49)/SUMIFS('Resultater - Danmark'!H$3:H$482,'Resultater - Danmark'!$F$3:$F$482,$A49)*C22</f>
        <v>#REF!</v>
      </c>
      <c r="L49" s="136" t="e">
        <f>SUMIFS('Resultater - Østdanmark'!I$3:I$482,'Resultater - Østdanmark'!$F$3:$F$482,$A49)/SUMIFS('Resultater - Danmark'!I$3:I$482,'Resultater - Danmark'!$F$3:$F$482,$A49)*D22</f>
        <v>#REF!</v>
      </c>
      <c r="M49" s="136" t="e">
        <f>SUMIFS('Resultater - Østdanmark'!J$3:J$482,'Resultater - Østdanmark'!$F$3:$F$482,$A49)/SUMIFS('Resultater - Danmark'!J$3:J$482,'Resultater - Danmark'!$F$3:$F$482,$A49)*E22</f>
        <v>#REF!</v>
      </c>
      <c r="N49" s="137">
        <f>VLOOKUP(I49,[1]Biogasudbytte!$A$2:$C$18,3,FALSE)</f>
        <v>0.28000000000000003</v>
      </c>
      <c r="O49" s="138">
        <f t="shared" si="12"/>
        <v>51.25</v>
      </c>
    </row>
    <row r="50" spans="1:15" hidden="1" x14ac:dyDescent="0.2">
      <c r="A50" s="127" t="str">
        <f t="shared" si="10"/>
        <v>Majs</v>
      </c>
      <c r="B50" s="127" t="s">
        <v>140</v>
      </c>
      <c r="C50" s="136" t="e">
        <f>SUMIFS('Resultater - Vestdanmark'!H$3:H$482,'Resultater - Vestdanmark'!$F$3:$F$482,$A50)/SUMIFS('Resultater - Danmark'!H$3:H$482,'Resultater - Danmark'!$F$3:$F$482,$A50)*C23</f>
        <v>#REF!</v>
      </c>
      <c r="D50" s="136" t="e">
        <f>SUMIFS('Resultater - Vestdanmark'!I$3:I$482,'Resultater - Vestdanmark'!$F$3:$F$482,$A50)/SUMIFS('Resultater - Danmark'!I$3:I$482,'Resultater - Danmark'!$F$3:$F$482,$A50)*D23</f>
        <v>#REF!</v>
      </c>
      <c r="E50" s="136" t="e">
        <f>SUMIFS('Resultater - Vestdanmark'!J$3:J$482,'Resultater - Vestdanmark'!$F$3:$F$482,$A50)/SUMIFS('Resultater - Danmark'!J$3:J$482,'Resultater - Danmark'!$F$3:$F$482,$A50)*E23</f>
        <v>#REF!</v>
      </c>
      <c r="F50" s="137">
        <f>VLOOKUP(A50,[1]Biogasudbytte!$A$2:$C$18,3,FALSE)</f>
        <v>0.3</v>
      </c>
      <c r="G50" s="138">
        <f t="shared" si="11"/>
        <v>100</v>
      </c>
      <c r="I50" s="127" t="str">
        <f t="shared" si="13"/>
        <v>Majs</v>
      </c>
      <c r="J50" s="127" t="s">
        <v>140</v>
      </c>
      <c r="K50" s="136" t="e">
        <f>SUMIFS('Resultater - Østdanmark'!H$3:H$482,'Resultater - Østdanmark'!$F$3:$F$482,$A50)/SUMIFS('Resultater - Danmark'!H$3:H$482,'Resultater - Danmark'!$F$3:$F$482,$A50)*C23</f>
        <v>#REF!</v>
      </c>
      <c r="L50" s="136" t="e">
        <f>SUMIFS('Resultater - Østdanmark'!I$3:I$482,'Resultater - Østdanmark'!$F$3:$F$482,$A50)/SUMIFS('Resultater - Danmark'!I$3:I$482,'Resultater - Danmark'!$F$3:$F$482,$A50)*D23</f>
        <v>#REF!</v>
      </c>
      <c r="M50" s="136" t="e">
        <f>SUMIFS('Resultater - Østdanmark'!J$3:J$482,'Resultater - Østdanmark'!$F$3:$F$482,$A50)/SUMIFS('Resultater - Danmark'!J$3:J$482,'Resultater - Danmark'!$F$3:$F$482,$A50)*E23</f>
        <v>#REF!</v>
      </c>
      <c r="N50" s="137">
        <f>VLOOKUP(I50,[1]Biogasudbytte!$A$2:$C$18,3,FALSE)</f>
        <v>0.3</v>
      </c>
      <c r="O50" s="138">
        <f t="shared" si="12"/>
        <v>100</v>
      </c>
    </row>
    <row r="51" spans="1:15" hidden="1" x14ac:dyDescent="0.2">
      <c r="A51" s="127" t="str">
        <f t="shared" si="10"/>
        <v>Roer</v>
      </c>
      <c r="B51" s="127" t="s">
        <v>140</v>
      </c>
      <c r="C51" s="136" t="e">
        <f>SUMIFS('Resultater - Vestdanmark'!H$3:H$482,'Resultater - Vestdanmark'!$F$3:$F$482,$A51)/SUMIFS('Resultater - Danmark'!H$3:H$482,'Resultater - Danmark'!$F$3:$F$482,$A51)*C24</f>
        <v>#REF!</v>
      </c>
      <c r="D51" s="136" t="e">
        <f>SUMIFS('Resultater - Vestdanmark'!I$3:I$482,'Resultater - Vestdanmark'!$F$3:$F$482,$A51)/SUMIFS('Resultater - Danmark'!I$3:I$482,'Resultater - Danmark'!$F$3:$F$482,$A51)*D24</f>
        <v>#REF!</v>
      </c>
      <c r="E51" s="136" t="e">
        <f>SUMIFS('Resultater - Vestdanmark'!J$3:J$482,'Resultater - Vestdanmark'!$F$3:$F$482,$A51)/SUMIFS('Resultater - Danmark'!J$3:J$482,'Resultater - Danmark'!$F$3:$F$482,$A51)*E24</f>
        <v>#REF!</v>
      </c>
      <c r="F51" s="137">
        <f>VLOOKUP(A51,[1]Biogasudbytte!$A$2:$C$18,3,FALSE)</f>
        <v>0.2</v>
      </c>
      <c r="G51" s="138">
        <f t="shared" si="11"/>
        <v>75.599999999999994</v>
      </c>
      <c r="I51" s="127" t="str">
        <f t="shared" si="13"/>
        <v>Roer</v>
      </c>
      <c r="J51" s="127" t="s">
        <v>140</v>
      </c>
      <c r="K51" s="136" t="e">
        <f>SUMIFS('Resultater - Østdanmark'!H$3:H$482,'Resultater - Østdanmark'!$F$3:$F$482,$A51)/SUMIFS('Resultater - Danmark'!H$3:H$482,'Resultater - Danmark'!$F$3:$F$482,$A51)*C24</f>
        <v>#REF!</v>
      </c>
      <c r="L51" s="136" t="e">
        <f>SUMIFS('Resultater - Østdanmark'!I$3:I$482,'Resultater - Østdanmark'!$F$3:$F$482,$A51)/SUMIFS('Resultater - Danmark'!I$3:I$482,'Resultater - Danmark'!$F$3:$F$482,$A51)*D24</f>
        <v>#REF!</v>
      </c>
      <c r="M51" s="136" t="e">
        <f>SUMIFS('Resultater - Østdanmark'!J$3:J$482,'Resultater - Østdanmark'!$F$3:$F$482,$A51)/SUMIFS('Resultater - Danmark'!J$3:J$482,'Resultater - Danmark'!$F$3:$F$482,$A51)*E24</f>
        <v>#REF!</v>
      </c>
      <c r="N51" s="137">
        <f>VLOOKUP(I51,[1]Biogasudbytte!$A$2:$C$18,3,FALSE)</f>
        <v>0.2</v>
      </c>
      <c r="O51" s="138">
        <f t="shared" si="12"/>
        <v>75.599999999999994</v>
      </c>
    </row>
    <row r="52" spans="1:15" hidden="1" x14ac:dyDescent="0.2">
      <c r="A52" s="127" t="str">
        <f t="shared" si="10"/>
        <v>Have/parkaffald</v>
      </c>
      <c r="B52" s="127" t="s">
        <v>140</v>
      </c>
      <c r="C52" s="136" t="e">
        <f>SUMIFS('Resultater - Vestdanmark'!H$3:H$482,'Resultater - Vestdanmark'!$F$3:$F$482,$A52)/SUMIFS('Resultater - Danmark'!H$3:H$482,'Resultater - Danmark'!$F$3:$F$482,$A52)*C25</f>
        <v>#REF!</v>
      </c>
      <c r="D52" s="136" t="e">
        <f>SUMIFS('Resultater - Vestdanmark'!I$3:I$482,'Resultater - Vestdanmark'!$F$3:$F$482,$A52)/SUMIFS('Resultater - Danmark'!I$3:I$482,'Resultater - Danmark'!$F$3:$F$482,$A52)*D25</f>
        <v>#REF!</v>
      </c>
      <c r="E52" s="136" t="e">
        <f>SUMIFS('Resultater - Vestdanmark'!J$3:J$482,'Resultater - Vestdanmark'!$F$3:$F$482,$A52)/SUMIFS('Resultater - Danmark'!J$3:J$482,'Resultater - Danmark'!$F$3:$F$482,$A52)*E25</f>
        <v>#REF!</v>
      </c>
      <c r="F52" s="137">
        <f>VLOOKUP(A52,[1]Biogasudbytte!$A$2:$C$18,3,FALSE)</f>
        <v>0.3</v>
      </c>
      <c r="G52" s="138">
        <f t="shared" si="11"/>
        <v>47.3</v>
      </c>
      <c r="I52" s="127" t="str">
        <f t="shared" si="13"/>
        <v>Have/parkaffald</v>
      </c>
      <c r="J52" s="127" t="s">
        <v>140</v>
      </c>
      <c r="K52" s="136" t="e">
        <f>SUMIFS('Resultater - Østdanmark'!H$3:H$482,'Resultater - Østdanmark'!$F$3:$F$482,$A52)/SUMIFS('Resultater - Danmark'!H$3:H$482,'Resultater - Danmark'!$F$3:$F$482,$A52)*C25</f>
        <v>#REF!</v>
      </c>
      <c r="L52" s="136" t="e">
        <f>SUMIFS('Resultater - Østdanmark'!I$3:I$482,'Resultater - Østdanmark'!$F$3:$F$482,$A52)/SUMIFS('Resultater - Danmark'!I$3:I$482,'Resultater - Danmark'!$F$3:$F$482,$A52)*D25</f>
        <v>#REF!</v>
      </c>
      <c r="M52" s="136" t="e">
        <f>SUMIFS('Resultater - Østdanmark'!J$3:J$482,'Resultater - Østdanmark'!$F$3:$F$482,$A52)/SUMIFS('Resultater - Danmark'!J$3:J$482,'Resultater - Danmark'!$F$3:$F$482,$A52)*E25</f>
        <v>#REF!</v>
      </c>
      <c r="N52" s="137">
        <f>VLOOKUP(I52,[1]Biogasudbytte!$A$2:$C$18,3,FALSE)</f>
        <v>0.3</v>
      </c>
      <c r="O52" s="138">
        <f t="shared" si="12"/>
        <v>47.3</v>
      </c>
    </row>
    <row r="53" spans="1:15" hidden="1" x14ac:dyDescent="0.2">
      <c r="A53" s="128" t="str">
        <f t="shared" si="10"/>
        <v>Glycerin</v>
      </c>
      <c r="B53" s="128" t="s">
        <v>140</v>
      </c>
      <c r="C53" s="136">
        <f>C26*$B$36</f>
        <v>114193.60000000001</v>
      </c>
      <c r="D53" s="136">
        <f>D26*$B$36</f>
        <v>114193.60000000001</v>
      </c>
      <c r="E53" s="136">
        <f>E26*$B$36</f>
        <v>114193.60000000001</v>
      </c>
      <c r="F53" s="137">
        <f>VLOOKUP(A53,[1]Biogasudbytte!$A$2:$C$18,3,FALSE)</f>
        <v>0.9</v>
      </c>
      <c r="G53" s="138">
        <f t="shared" si="11"/>
        <v>423.36</v>
      </c>
      <c r="I53" s="128" t="str">
        <f t="shared" si="13"/>
        <v>Glycerin</v>
      </c>
      <c r="J53" s="128" t="s">
        <v>140</v>
      </c>
      <c r="K53" s="136">
        <f>C26*$C$36</f>
        <v>28548.400000000001</v>
      </c>
      <c r="L53" s="136">
        <f>D26*$C$36</f>
        <v>28548.400000000001</v>
      </c>
      <c r="M53" s="136">
        <f>E26*$C$36</f>
        <v>28548.400000000001</v>
      </c>
      <c r="N53" s="137">
        <f>VLOOKUP(I53,[1]Biogasudbytte!$A$2:$C$18,3,FALSE)</f>
        <v>0.9</v>
      </c>
      <c r="O53" s="138">
        <f t="shared" si="12"/>
        <v>423.36</v>
      </c>
    </row>
    <row r="54" spans="1:15" hidden="1" x14ac:dyDescent="0.2">
      <c r="A54" s="127" t="str">
        <f t="shared" si="10"/>
        <v>Muslinger</v>
      </c>
      <c r="B54" s="127" t="s">
        <v>140</v>
      </c>
      <c r="C54" s="136" t="e">
        <f>SUMIFS('Resultater - Vestdanmark'!H$3:H$482,'Resultater - Vestdanmark'!$F$3:$F$482,$A54)/SUMIFS('Resultater - Danmark'!H$3:H$482,'Resultater - Danmark'!$F$3:$F$482,$A54)*C27</f>
        <v>#REF!</v>
      </c>
      <c r="D54" s="136" t="e">
        <f>SUMIFS('Resultater - Vestdanmark'!I$3:I$482,'Resultater - Vestdanmark'!$F$3:$F$482,$A54)/SUMIFS('Resultater - Danmark'!I$3:I$482,'Resultater - Danmark'!$F$3:$F$482,$A54)*D27</f>
        <v>#REF!</v>
      </c>
      <c r="E54" s="136" t="e">
        <f>SUMIFS('Resultater - Vestdanmark'!J$3:J$482,'Resultater - Vestdanmark'!$F$3:$F$482,$A54)/SUMIFS('Resultater - Danmark'!J$3:J$482,'Resultater - Danmark'!$F$3:$F$482,$A54)*E27</f>
        <v>#REF!</v>
      </c>
      <c r="F54" s="137">
        <f>VLOOKUP(A54,[1]Biogasudbytte!$A$2:$C$18,3,FALSE)</f>
        <v>0.15</v>
      </c>
      <c r="G54" s="138">
        <f t="shared" si="11"/>
        <v>25</v>
      </c>
      <c r="I54" s="127" t="str">
        <f t="shared" si="13"/>
        <v>Muslinger</v>
      </c>
      <c r="J54" s="127" t="s">
        <v>140</v>
      </c>
      <c r="K54" s="136" t="e">
        <f>SUMIFS('Resultater - Østdanmark'!H$3:H$482,'Resultater - Østdanmark'!$F$3:$F$482,$A54)/SUMIFS('Resultater - Danmark'!H$3:H$482,'Resultater - Danmark'!$F$3:$F$482,$A54)*C27</f>
        <v>#REF!</v>
      </c>
      <c r="L54" s="136" t="e">
        <f>SUMIFS('Resultater - Østdanmark'!I$3:I$482,'Resultater - Østdanmark'!$F$3:$F$482,$A54)/SUMIFS('Resultater - Danmark'!I$3:I$482,'Resultater - Danmark'!$F$3:$F$482,$A54)*D27</f>
        <v>#REF!</v>
      </c>
      <c r="M54" s="136" t="e">
        <f>SUMIFS('Resultater - Østdanmark'!J$3:J$482,'Resultater - Østdanmark'!$F$3:$F$482,$A54)/SUMIFS('Resultater - Danmark'!J$3:J$482,'Resultater - Danmark'!$F$3:$F$482,$A54)*E27</f>
        <v>#REF!</v>
      </c>
      <c r="N54" s="137">
        <f>VLOOKUP(I54,[1]Biogasudbytte!$A$2:$C$18,3,FALSE)</f>
        <v>0.15</v>
      </c>
      <c r="O54" s="138">
        <f t="shared" si="12"/>
        <v>25</v>
      </c>
    </row>
    <row r="55" spans="1:15" ht="12.75" hidden="1" thickBot="1" x14ac:dyDescent="0.25">
      <c r="A55" s="142" t="str">
        <f t="shared" si="10"/>
        <v>Tang</v>
      </c>
      <c r="B55" s="142" t="s">
        <v>140</v>
      </c>
      <c r="C55" s="179" t="e">
        <f>SUMIFS('Resultater - Vestdanmark'!H$3:H$482,'Resultater - Vestdanmark'!$F$3:$F$482,$A55)/SUMIFS('Resultater - Danmark'!H$3:H$482,'Resultater - Danmark'!$F$3:$F$482,$A55)*C28</f>
        <v>#REF!</v>
      </c>
      <c r="D55" s="179" t="e">
        <f>SUMIFS('Resultater - Vestdanmark'!I$3:I$482,'Resultater - Vestdanmark'!$F$3:$F$482,$A55)/SUMIFS('Resultater - Danmark'!I$3:I$482,'Resultater - Danmark'!$F$3:$F$482,$A55)*D28</f>
        <v>#REF!</v>
      </c>
      <c r="E55" s="179" t="e">
        <f>SUMIFS('Resultater - Vestdanmark'!J$3:J$482,'Resultater - Vestdanmark'!$F$3:$F$482,$A55)/SUMIFS('Resultater - Danmark'!J$3:J$482,'Resultater - Danmark'!$F$3:$F$482,$A55)*E28</f>
        <v>#REF!</v>
      </c>
      <c r="F55" s="143">
        <f>VLOOKUP(A55,[1]Biogasudbytte!$A$2:$C$18,3,FALSE)</f>
        <v>0.15</v>
      </c>
      <c r="G55" s="144">
        <f t="shared" si="11"/>
        <v>25</v>
      </c>
      <c r="I55" s="142" t="str">
        <f t="shared" si="13"/>
        <v>Tang</v>
      </c>
      <c r="J55" s="142" t="s">
        <v>140</v>
      </c>
      <c r="K55" s="179" t="e">
        <f>SUMIFS('Resultater - Østdanmark'!H$3:H$482,'Resultater - Østdanmark'!$F$3:$F$482,$A55)/SUMIFS('Resultater - Danmark'!H$3:H$482,'Resultater - Danmark'!$F$3:$F$482,$A55)*C28</f>
        <v>#REF!</v>
      </c>
      <c r="L55" s="179" t="e">
        <f>SUMIFS('Resultater - Østdanmark'!I$3:I$482,'Resultater - Østdanmark'!$F$3:$F$482,$A55)/SUMIFS('Resultater - Danmark'!I$3:I$482,'Resultater - Danmark'!$F$3:$F$482,$A55)*D28</f>
        <v>#REF!</v>
      </c>
      <c r="M55" s="179" t="e">
        <f>SUMIFS('Resultater - Østdanmark'!J$3:J$482,'Resultater - Østdanmark'!$F$3:$F$482,$A55)/SUMIFS('Resultater - Danmark'!J$3:J$482,'Resultater - Danmark'!$F$3:$F$482,$A55)*E28</f>
        <v>#REF!</v>
      </c>
      <c r="N55" s="143">
        <f>VLOOKUP(I55,[1]Biogasudbytte!$A$2:$C$18,3,FALSE)</f>
        <v>0.15</v>
      </c>
      <c r="O55" s="144">
        <f t="shared" si="12"/>
        <v>25</v>
      </c>
    </row>
    <row r="56" spans="1:15" hidden="1" x14ac:dyDescent="0.2">
      <c r="A56" s="125" t="s">
        <v>105</v>
      </c>
      <c r="B56" s="125" t="s">
        <v>140</v>
      </c>
      <c r="C56" s="145" t="e">
        <f>SUM(C39:C55)</f>
        <v>#REF!</v>
      </c>
      <c r="D56" s="145" t="e">
        <f>SUM(D39:D55)</f>
        <v>#REF!</v>
      </c>
      <c r="E56" s="145" t="e">
        <f>SUM(E39:E55)</f>
        <v>#REF!</v>
      </c>
      <c r="F56" s="146"/>
      <c r="G56" s="146"/>
      <c r="I56" s="125" t="s">
        <v>105</v>
      </c>
      <c r="J56" s="125" t="s">
        <v>140</v>
      </c>
      <c r="K56" s="145" t="e">
        <f>SUM(K39:K55)</f>
        <v>#REF!</v>
      </c>
      <c r="L56" s="145" t="e">
        <f>SUM(L39:L55)</f>
        <v>#REF!</v>
      </c>
      <c r="M56" s="145" t="e">
        <f>SUM(M39:M55)</f>
        <v>#REF!</v>
      </c>
      <c r="N56" s="146"/>
      <c r="O56" s="146"/>
    </row>
    <row r="57" spans="1:15" hidden="1" x14ac:dyDescent="0.2">
      <c r="A57" s="148" t="s">
        <v>124</v>
      </c>
      <c r="C57" s="149" t="e">
        <f>SUMPRODUCT(C39:C55,$F$39:$F$55)/C56</f>
        <v>#REF!</v>
      </c>
      <c r="D57" s="149" t="e">
        <f>SUMPRODUCT(D39:D55,$F$39:$F$55)/D56</f>
        <v>#REF!</v>
      </c>
      <c r="E57" s="149" t="e">
        <f>SUMPRODUCT(E39:E55,$F$39:$F$55)/E56</f>
        <v>#REF!</v>
      </c>
      <c r="I57" s="148" t="s">
        <v>124</v>
      </c>
      <c r="K57" s="149" t="e">
        <f>SUMPRODUCT(K39:K55,$N$39:$N$55)/K56</f>
        <v>#REF!</v>
      </c>
      <c r="L57" s="149" t="e">
        <f>SUMPRODUCT(L39:L55,$N$39:$N$55)/L56</f>
        <v>#REF!</v>
      </c>
      <c r="M57" s="149" t="e">
        <f>SUMPRODUCT(M39:M55,$N$39:$N$55)/M56</f>
        <v>#REF!</v>
      </c>
    </row>
    <row r="58" spans="1:15" hidden="1" x14ac:dyDescent="0.2">
      <c r="A58" s="148" t="s">
        <v>161</v>
      </c>
      <c r="C58" s="149" t="e">
        <f>SUM(C48:C51)/C56</f>
        <v>#REF!</v>
      </c>
      <c r="D58" s="149" t="e">
        <f>SUM(D48:D51)/D56</f>
        <v>#REF!</v>
      </c>
      <c r="E58" s="149" t="e">
        <f>SUM(E48:E51)/E56</f>
        <v>#REF!</v>
      </c>
      <c r="I58" s="148" t="s">
        <v>161</v>
      </c>
      <c r="K58" s="149" t="e">
        <f>SUM(K48:K51)/K56</f>
        <v>#REF!</v>
      </c>
      <c r="L58" s="149" t="e">
        <f>SUM(L48:L51)/L56</f>
        <v>#REF!</v>
      </c>
      <c r="M58" s="149" t="e">
        <f>SUM(M48:M51)/M56</f>
        <v>#REF!</v>
      </c>
    </row>
    <row r="59" spans="1:15" hidden="1" x14ac:dyDescent="0.2">
      <c r="A59" s="125" t="s">
        <v>143</v>
      </c>
      <c r="B59" s="125" t="s">
        <v>144</v>
      </c>
      <c r="C59" s="125" t="e">
        <f>SUMPRODUCT(C39:C55,$I$12:$I$28)</f>
        <v>#REF!</v>
      </c>
      <c r="D59" s="125" t="e">
        <f>SUMPRODUCT(D39:D55,$I$12:$I$28)</f>
        <v>#REF!</v>
      </c>
      <c r="E59" s="125" t="e">
        <f>SUMPRODUCT(E39:E55,$I$12:$I$28)</f>
        <v>#REF!</v>
      </c>
      <c r="I59" s="125" t="s">
        <v>143</v>
      </c>
      <c r="J59" s="125" t="s">
        <v>144</v>
      </c>
      <c r="K59" s="125" t="e">
        <f>SUMPRODUCT(K39:K55,$I$12:$I$28)</f>
        <v>#REF!</v>
      </c>
      <c r="L59" s="125" t="e">
        <f>SUMPRODUCT(L39:L55,$I$12:$I$28)</f>
        <v>#REF!</v>
      </c>
      <c r="M59" s="125" t="e">
        <f>SUMPRODUCT(M39:M55,$I$12:$I$28)</f>
        <v>#REF!</v>
      </c>
    </row>
    <row r="60" spans="1:15" hidden="1" x14ac:dyDescent="0.2">
      <c r="A60" s="125" t="s">
        <v>143</v>
      </c>
      <c r="B60" s="125" t="s">
        <v>123</v>
      </c>
      <c r="C60" s="125" t="e">
        <f>C59*[1]Energiindhold!$C$10</f>
        <v>#REF!</v>
      </c>
      <c r="D60" s="125" t="e">
        <f>D59*[1]Energiindhold!$C$10</f>
        <v>#REF!</v>
      </c>
      <c r="E60" s="125" t="e">
        <f>E59*[1]Energiindhold!$C$10</f>
        <v>#REF!</v>
      </c>
      <c r="I60" s="125" t="s">
        <v>143</v>
      </c>
      <c r="J60" s="125" t="s">
        <v>123</v>
      </c>
      <c r="K60" s="125" t="e">
        <f>K59*[1]Energiindhold!$C$10</f>
        <v>#REF!</v>
      </c>
      <c r="L60" s="125" t="e">
        <f>L59*[1]Energiindhold!$C$10</f>
        <v>#REF!</v>
      </c>
      <c r="M60" s="125" t="e">
        <f>M59*[1]Energiindhold!$C$10</f>
        <v>#REF!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E22"/>
  <sheetViews>
    <sheetView zoomScale="117" workbookViewId="0">
      <selection activeCell="E21" sqref="E21"/>
    </sheetView>
  </sheetViews>
  <sheetFormatPr defaultColWidth="9.140625" defaultRowHeight="15" x14ac:dyDescent="0.25"/>
  <cols>
    <col min="1" max="1" width="20" style="1" customWidth="1"/>
    <col min="2" max="4" width="9.140625" style="1"/>
    <col min="5" max="5" width="45.7109375" style="1" customWidth="1"/>
    <col min="6" max="16384" width="9.140625" style="1"/>
  </cols>
  <sheetData>
    <row r="1" spans="1:5" x14ac:dyDescent="0.25">
      <c r="A1" s="231" t="s">
        <v>281</v>
      </c>
    </row>
    <row r="2" spans="1:5" ht="15.75" x14ac:dyDescent="0.25">
      <c r="A2" s="229" t="s">
        <v>318</v>
      </c>
    </row>
    <row r="3" spans="1:5" x14ac:dyDescent="0.25">
      <c r="A3" s="2" t="s">
        <v>140</v>
      </c>
      <c r="B3" s="2">
        <f>År1</f>
        <v>2019</v>
      </c>
      <c r="C3" s="2">
        <f>År2</f>
        <v>2030</v>
      </c>
      <c r="D3" s="2">
        <f>År3</f>
        <v>2050</v>
      </c>
    </row>
    <row r="4" spans="1:5" x14ac:dyDescent="0.25">
      <c r="A4" s="2" t="s">
        <v>68</v>
      </c>
      <c r="B4" s="109">
        <v>0</v>
      </c>
      <c r="C4" s="110">
        <v>0</v>
      </c>
      <c r="D4" s="110">
        <v>0</v>
      </c>
    </row>
    <row r="5" spans="1:5" x14ac:dyDescent="0.25">
      <c r="A5" s="311"/>
    </row>
    <row r="6" spans="1:5" x14ac:dyDescent="0.25">
      <c r="A6" s="311"/>
    </row>
    <row r="7" spans="1:5" ht="15.75" x14ac:dyDescent="0.25">
      <c r="A7" s="229" t="s">
        <v>304</v>
      </c>
    </row>
    <row r="8" spans="1:5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5" x14ac:dyDescent="0.25">
      <c r="A9" s="2" t="str">
        <f>'[1]Processer - data'!$D459</f>
        <v>Halm</v>
      </c>
      <c r="B9" s="87">
        <v>0</v>
      </c>
      <c r="C9" s="3">
        <v>0</v>
      </c>
      <c r="D9" s="3">
        <v>0</v>
      </c>
    </row>
    <row r="10" spans="1:5" x14ac:dyDescent="0.25">
      <c r="A10" s="2" t="str">
        <f>'[1]Processer - data'!$D460</f>
        <v>Rapsolie</v>
      </c>
      <c r="B10" s="87">
        <v>0.48</v>
      </c>
      <c r="C10" s="3">
        <v>0</v>
      </c>
      <c r="D10" s="3">
        <v>0</v>
      </c>
      <c r="E10" s="1" t="s">
        <v>337</v>
      </c>
    </row>
    <row r="11" spans="1:5" x14ac:dyDescent="0.25">
      <c r="A11" s="2" t="str">
        <f>'[1]Processer - data'!$D461</f>
        <v>Pil &amp; poppel</v>
      </c>
      <c r="B11" s="87">
        <v>0</v>
      </c>
      <c r="C11" s="3">
        <v>0</v>
      </c>
      <c r="D11" s="3">
        <v>0</v>
      </c>
    </row>
    <row r="12" spans="1:5" x14ac:dyDescent="0.25">
      <c r="A12" s="2" t="str">
        <f>'[1]Processer - data'!$D462</f>
        <v>Træ til energi</v>
      </c>
      <c r="B12" s="87">
        <v>0</v>
      </c>
      <c r="C12" s="3">
        <v>0</v>
      </c>
      <c r="D12" s="3">
        <v>0</v>
      </c>
    </row>
    <row r="13" spans="1:5" x14ac:dyDescent="0.25">
      <c r="A13" s="2" t="str">
        <f>'[1]Processer - data'!$D463</f>
        <v>Have/parkaffald</v>
      </c>
      <c r="B13" s="87">
        <v>0</v>
      </c>
      <c r="C13" s="3">
        <v>0</v>
      </c>
      <c r="D13" s="3">
        <v>0</v>
      </c>
    </row>
    <row r="14" spans="1:5" x14ac:dyDescent="0.25">
      <c r="A14" s="2" t="str">
        <f>'[1]Processer - data'!$D464</f>
        <v>Bioaffald</v>
      </c>
      <c r="B14" s="87">
        <v>0</v>
      </c>
      <c r="C14" s="3">
        <v>0</v>
      </c>
      <c r="D14" s="3">
        <v>0</v>
      </c>
    </row>
    <row r="16" spans="1:5" x14ac:dyDescent="0.25">
      <c r="A16" s="2" t="s">
        <v>250</v>
      </c>
      <c r="B16" s="2">
        <f>År1</f>
        <v>2019</v>
      </c>
      <c r="C16" s="2">
        <f>År2</f>
        <v>2030</v>
      </c>
      <c r="D16" s="2">
        <f>År3</f>
        <v>2050</v>
      </c>
    </row>
    <row r="17" spans="1:4" x14ac:dyDescent="0.25">
      <c r="A17" s="2" t="str">
        <f>A9</f>
        <v>Halm</v>
      </c>
      <c r="B17" s="109" t="e">
        <f>SUMIFS('Forbrug af biomasse'!$E$2:$E$403,'Forbrug af biomasse'!$D$2:$D$403,'Forbrug til andet'!B$16,'Forbrug af biomasse'!$C$2:$C$403,'Forbrug til andet'!$A17,'Forbrug af biomasse'!$A$2:$A$403,"Materialer")</f>
        <v>#REF!</v>
      </c>
      <c r="C17" s="109" t="e">
        <f>SUMIFS('Forbrug af biomasse'!$E$2:$E$403,'Forbrug af biomasse'!$D$2:$D$403,'Forbrug til andet'!C$16,'Forbrug af biomasse'!$C$2:$C$403,'Forbrug til andet'!$A17,'Forbrug af biomasse'!$A$2:$A$403,"Materialer")</f>
        <v>#REF!</v>
      </c>
      <c r="D17" s="109" t="e">
        <f>SUMIFS('Forbrug af biomasse'!$E$2:$E$403,'Forbrug af biomasse'!$D$2:$D$403,'Forbrug til andet'!D$16,'Forbrug af biomasse'!$C$2:$C$403,'Forbrug til andet'!$A17,'Forbrug af biomasse'!$A$2:$A$403,"Materialer")</f>
        <v>#REF!</v>
      </c>
    </row>
    <row r="18" spans="1:4" x14ac:dyDescent="0.25">
      <c r="A18" s="2" t="str">
        <f t="shared" ref="A18:A22" si="0">A10</f>
        <v>Rapsolie</v>
      </c>
      <c r="B18" s="109" t="e">
        <f>SUMIFS('Forbrug af biomasse'!$E$2:$E$403,'Forbrug af biomasse'!$D$2:$D$403,'Forbrug til andet'!B$16,'Forbrug af biomasse'!$C$2:$C$403,'Forbrug til andet'!$A18,'Forbrug af biomasse'!$A$2:$A$403,"Materialer")</f>
        <v>#REF!</v>
      </c>
      <c r="C18" s="109" t="e">
        <f>SUMIFS('Forbrug af biomasse'!$E$2:$E$403,'Forbrug af biomasse'!$D$2:$D$403,'Forbrug til andet'!C$16,'Forbrug af biomasse'!$C$2:$C$403,'Forbrug til andet'!$A18,'Forbrug af biomasse'!$A$2:$A$403,"Materialer")</f>
        <v>#REF!</v>
      </c>
      <c r="D18" s="109" t="e">
        <f>SUMIFS('Forbrug af biomasse'!$E$2:$E$403,'Forbrug af biomasse'!$D$2:$D$403,'Forbrug til andet'!D$16,'Forbrug af biomasse'!$C$2:$C$403,'Forbrug til andet'!$A18,'Forbrug af biomasse'!$A$2:$A$403,"Materialer")</f>
        <v>#REF!</v>
      </c>
    </row>
    <row r="19" spans="1:4" x14ac:dyDescent="0.25">
      <c r="A19" s="2" t="str">
        <f t="shared" si="0"/>
        <v>Pil &amp; poppel</v>
      </c>
      <c r="B19" s="109" t="e">
        <f>SUMIFS('Forbrug af biomasse'!$E$2:$E$403,'Forbrug af biomasse'!$D$2:$D$403,'Forbrug til andet'!B$16,'Forbrug af biomasse'!$C$2:$C$403,'Forbrug til andet'!$A19,'Forbrug af biomasse'!$A$2:$A$403,"Materialer")</f>
        <v>#REF!</v>
      </c>
      <c r="C19" s="109" t="e">
        <f>SUMIFS('Forbrug af biomasse'!$E$2:$E$403,'Forbrug af biomasse'!$D$2:$D$403,'Forbrug til andet'!C$16,'Forbrug af biomasse'!$C$2:$C$403,'Forbrug til andet'!$A19,'Forbrug af biomasse'!$A$2:$A$403,"Materialer")</f>
        <v>#REF!</v>
      </c>
      <c r="D19" s="109" t="e">
        <f>SUMIFS('Forbrug af biomasse'!$E$2:$E$403,'Forbrug af biomasse'!$D$2:$D$403,'Forbrug til andet'!D$16,'Forbrug af biomasse'!$C$2:$C$403,'Forbrug til andet'!$A19,'Forbrug af biomasse'!$A$2:$A$403,"Materialer")</f>
        <v>#REF!</v>
      </c>
    </row>
    <row r="20" spans="1:4" x14ac:dyDescent="0.25">
      <c r="A20" s="2" t="str">
        <f t="shared" si="0"/>
        <v>Træ til energi</v>
      </c>
      <c r="B20" s="109" t="e">
        <f>SUMIFS('Forbrug af biomasse'!$E$2:$E$403,'Forbrug af biomasse'!$D$2:$D$403,'Forbrug til andet'!B$16,'Forbrug af biomasse'!$C$2:$C$403,'Forbrug til andet'!$A20,'Forbrug af biomasse'!$A$2:$A$403,"Materialer")</f>
        <v>#REF!</v>
      </c>
      <c r="C20" s="109" t="e">
        <f>SUMIFS('Forbrug af biomasse'!$E$2:$E$403,'Forbrug af biomasse'!$D$2:$D$403,'Forbrug til andet'!C$16,'Forbrug af biomasse'!$C$2:$C$403,'Forbrug til andet'!$A20,'Forbrug af biomasse'!$A$2:$A$403,"Materialer")</f>
        <v>#REF!</v>
      </c>
      <c r="D20" s="109" t="e">
        <f>SUMIFS('Forbrug af biomasse'!$E$2:$E$403,'Forbrug af biomasse'!$D$2:$D$403,'Forbrug til andet'!D$16,'Forbrug af biomasse'!$C$2:$C$403,'Forbrug til andet'!$A20,'Forbrug af biomasse'!$A$2:$A$403,"Materialer")</f>
        <v>#REF!</v>
      </c>
    </row>
    <row r="21" spans="1:4" x14ac:dyDescent="0.25">
      <c r="A21" s="2" t="str">
        <f t="shared" si="0"/>
        <v>Have/parkaffald</v>
      </c>
      <c r="B21" s="109" t="e">
        <f>SUMIFS('Forbrug af biomasse'!$E$2:$E$403,'Forbrug af biomasse'!$D$2:$D$403,'Forbrug til andet'!B$16,'Forbrug af biomasse'!$C$2:$C$403,'Forbrug til andet'!$A21,'Forbrug af biomasse'!$A$2:$A$403,"Materialer")</f>
        <v>#REF!</v>
      </c>
      <c r="C21" s="109" t="e">
        <f>SUMIFS('Forbrug af biomasse'!$E$2:$E$403,'Forbrug af biomasse'!$D$2:$D$403,'Forbrug til andet'!C$16,'Forbrug af biomasse'!$C$2:$C$403,'Forbrug til andet'!$A21,'Forbrug af biomasse'!$A$2:$A$403,"Materialer")</f>
        <v>#REF!</v>
      </c>
      <c r="D21" s="109" t="e">
        <f>SUMIFS('Forbrug af biomasse'!$E$2:$E$403,'Forbrug af biomasse'!$D$2:$D$403,'Forbrug til andet'!D$16,'Forbrug af biomasse'!$C$2:$C$403,'Forbrug til andet'!$A21,'Forbrug af biomasse'!$A$2:$A$403,"Materialer")</f>
        <v>#REF!</v>
      </c>
    </row>
    <row r="22" spans="1:4" x14ac:dyDescent="0.25">
      <c r="A22" s="2" t="str">
        <f t="shared" si="0"/>
        <v>Bioaffald</v>
      </c>
      <c r="B22" s="109" t="e">
        <f>SUMIFS('Forbrug af biomasse'!$E$2:$E$403,'Forbrug af biomasse'!$D$2:$D$403,'Forbrug til andet'!B$16,'Forbrug af biomasse'!$C$2:$C$403,'Forbrug til andet'!$A22,'Forbrug af biomasse'!$A$2:$A$403,"Materialer")</f>
        <v>#REF!</v>
      </c>
      <c r="C22" s="109" t="e">
        <f>SUMIFS('Forbrug af biomasse'!$E$2:$E$403,'Forbrug af biomasse'!$D$2:$D$403,'Forbrug til andet'!C$16,'Forbrug af biomasse'!$C$2:$C$403,'Forbrug til andet'!$A22,'Forbrug af biomasse'!$A$2:$A$403,"Materialer")</f>
        <v>#REF!</v>
      </c>
      <c r="D22" s="109" t="e">
        <f>SUMIFS('Forbrug af biomasse'!$E$2:$E$403,'Forbrug af biomasse'!$D$2:$D$403,'Forbrug til andet'!D$16,'Forbrug af biomasse'!$C$2:$C$403,'Forbrug til andet'!$A22,'Forbrug af biomasse'!$A$2:$A$403,"Materialer")</f>
        <v>#REF!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9FCC3-6F11-4492-846A-11E022D09B95}">
  <sheetPr codeName="Sheet14">
    <tabColor rgb="FFFF0000"/>
  </sheetPr>
  <dimension ref="A1:A2"/>
  <sheetViews>
    <sheetView workbookViewId="0">
      <selection activeCell="A2" sqref="A2"/>
    </sheetView>
  </sheetViews>
  <sheetFormatPr defaultColWidth="8.85546875" defaultRowHeight="15" x14ac:dyDescent="0.25"/>
  <cols>
    <col min="1" max="16384" width="8.85546875" style="92"/>
  </cols>
  <sheetData>
    <row r="1" spans="1:1" x14ac:dyDescent="0.25">
      <c r="A1" s="6" t="s">
        <v>252</v>
      </c>
    </row>
    <row r="2" spans="1:1" x14ac:dyDescent="0.25">
      <c r="A2" s="92" t="s">
        <v>253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59" workbookViewId="0">
      <selection activeCell="I171" sqref="I171:I182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86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98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t="e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#VALUE!</v>
      </c>
      <c r="H3" s="96" t="e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#VALUE!</v>
      </c>
      <c r="I3" s="96" t="e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#VALUE!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t="e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#VALUE!</v>
      </c>
      <c r="H4" s="96" t="e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#VALUE!</v>
      </c>
      <c r="I4" s="96" t="e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#VALUE!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t="e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#VALUE!</v>
      </c>
      <c r="H5" s="96" t="e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#VALUE!</v>
      </c>
      <c r="I5" s="96" t="e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#VALUE!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t="e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#VALUE!</v>
      </c>
      <c r="H6" s="96" t="e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#VALUE!</v>
      </c>
      <c r="I6" s="96" t="e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#VALUE!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t="e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#VALUE!</v>
      </c>
      <c r="H7" s="96" t="e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#VALUE!</v>
      </c>
      <c r="I7" s="96" t="e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#VALUE!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t="e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#VALUE!</v>
      </c>
      <c r="H8" s="96" t="e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#VALUE!</v>
      </c>
      <c r="I8" s="96" t="e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#VALUE!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t="e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#VALUE!</v>
      </c>
      <c r="H9" s="96" t="e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#VALUE!</v>
      </c>
      <c r="I9" s="96" t="e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#VALUE!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t="e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#VALUE!</v>
      </c>
      <c r="H10" s="96" t="e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#VALUE!</v>
      </c>
      <c r="I10" s="96" t="e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#VALUE!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t="e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#VALUE!</v>
      </c>
      <c r="H11" s="96" t="e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#VALUE!</v>
      </c>
      <c r="I11" s="96" t="e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#VALUE!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t="e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#VALUE!</v>
      </c>
      <c r="H12" s="96" t="e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#VALUE!</v>
      </c>
      <c r="I12" s="96" t="e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#VALUE!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t="e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#VALUE!</v>
      </c>
      <c r="H13" s="96" t="e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#VALUE!</v>
      </c>
      <c r="I13" s="96" t="e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#VALUE!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t="e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#VALUE!</v>
      </c>
      <c r="H14" s="96" t="e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#VALUE!</v>
      </c>
      <c r="I14" s="96" t="e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#VALUE!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t="e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#VALUE!</v>
      </c>
      <c r="H15" s="96" t="e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#VALUE!</v>
      </c>
      <c r="I15" s="96" t="e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#VALUE!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t="e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#VALUE!</v>
      </c>
      <c r="H16" s="96" t="e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#VALUE!</v>
      </c>
      <c r="I16" s="96" t="e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#VALUE!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t="e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#VALUE!</v>
      </c>
      <c r="H45" s="96" t="e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#VALUE!</v>
      </c>
      <c r="I45" s="96" t="e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#VALUE!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t="e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#VALUE!</v>
      </c>
      <c r="H46" s="96" t="e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#VALUE!</v>
      </c>
      <c r="I46" s="96" t="e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#VALUE!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t="e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#VALUE!</v>
      </c>
      <c r="H47" s="96" t="e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#VALUE!</v>
      </c>
      <c r="I47" s="96" t="e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#VALUE!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t="e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#VALUE!</v>
      </c>
      <c r="H48" s="96" t="e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#VALUE!</v>
      </c>
      <c r="I48" s="96" t="e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#VALUE!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t="e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#VALUE!</v>
      </c>
      <c r="H49" s="96" t="e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#VALUE!</v>
      </c>
      <c r="I49" s="96" t="e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#VALUE!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t="e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#VALUE!</v>
      </c>
      <c r="H50" s="96" t="e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#VALUE!</v>
      </c>
      <c r="I50" s="96" t="e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#VALUE!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t="e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#VALUE!</v>
      </c>
      <c r="H51" s="96" t="e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#VALUE!</v>
      </c>
      <c r="I51" s="96" t="e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#VALUE!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t="e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#VALUE!</v>
      </c>
      <c r="H52" s="96" t="e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#VALUE!</v>
      </c>
      <c r="I52" s="96" t="e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#VALUE!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t="e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#VALUE!</v>
      </c>
      <c r="H53" s="96" t="e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#VALUE!</v>
      </c>
      <c r="I53" s="96" t="e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#VALUE!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t="e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#VALUE!</v>
      </c>
      <c r="H54" s="96" t="e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#VALUE!</v>
      </c>
      <c r="I54" s="96" t="e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#VALUE!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t="e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#VALUE!</v>
      </c>
      <c r="H55" s="96" t="e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#VALUE!</v>
      </c>
      <c r="I55" s="96" t="e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#VALUE!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t="e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#VALUE!</v>
      </c>
      <c r="H56" s="96" t="e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#VALUE!</v>
      </c>
      <c r="I56" s="96" t="e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#VALUE!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t="e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#VALUE!</v>
      </c>
      <c r="H57" s="96" t="e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#VALUE!</v>
      </c>
      <c r="I57" s="96" t="e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#VALUE!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t="e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#VALUE!</v>
      </c>
      <c r="H58" s="96" t="e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#VALUE!</v>
      </c>
      <c r="I58" s="96" t="e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#VALUE!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t="e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#VALUE!</v>
      </c>
      <c r="H87" s="96" t="e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#VALUE!</v>
      </c>
      <c r="I87" s="96" t="e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#VALUE!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t="e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#VALUE!</v>
      </c>
      <c r="H88" s="96" t="e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#VALUE!</v>
      </c>
      <c r="I88" s="96" t="e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#VALUE!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t="e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#VALUE!</v>
      </c>
      <c r="H89" s="96" t="e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#VALUE!</v>
      </c>
      <c r="I89" s="96" t="e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#VALUE!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t="e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#VALUE!</v>
      </c>
      <c r="H90" s="96" t="e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#VALUE!</v>
      </c>
      <c r="I90" s="96" t="e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#VALUE!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t="e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#VALUE!</v>
      </c>
      <c r="H91" s="96" t="e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#VALUE!</v>
      </c>
      <c r="I91" s="96" t="e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#VALUE!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t="e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#VALUE!</v>
      </c>
      <c r="H92" s="96" t="e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#VALUE!</v>
      </c>
      <c r="I92" s="96" t="e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#VALUE!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t="e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#VALUE!</v>
      </c>
      <c r="H93" s="96" t="e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#VALUE!</v>
      </c>
      <c r="I93" s="96" t="e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#VALUE!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t="e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#VALUE!</v>
      </c>
      <c r="H94" s="96" t="e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#VALUE!</v>
      </c>
      <c r="I94" s="96" t="e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#VALUE!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t="e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#VALUE!</v>
      </c>
      <c r="H95" s="96" t="e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#VALUE!</v>
      </c>
      <c r="I95" s="96" t="e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#VALUE!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t="e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#VALUE!</v>
      </c>
      <c r="H96" s="96" t="e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#VALUE!</v>
      </c>
      <c r="I96" s="96" t="e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#VALUE!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t="e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#VALUE!</v>
      </c>
      <c r="H97" s="96" t="e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#VALUE!</v>
      </c>
      <c r="I97" s="96" t="e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#VALUE!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t="e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#VALUE!</v>
      </c>
      <c r="H98" s="96" t="e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#VALUE!</v>
      </c>
      <c r="I98" s="96" t="e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#VALUE!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t="e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#VALUE!</v>
      </c>
      <c r="H99" s="96" t="e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#VALUE!</v>
      </c>
      <c r="I99" s="96" t="e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#VALUE!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t="e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#VALUE!</v>
      </c>
      <c r="H100" s="96" t="e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#VALUE!</v>
      </c>
      <c r="I100" s="96" t="e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#VALUE!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t="e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#VALUE!</v>
      </c>
      <c r="H129" s="96" t="e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#VALUE!</v>
      </c>
      <c r="I129" s="96" t="e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#VALUE!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t="e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#VALUE!</v>
      </c>
      <c r="H130" s="96" t="e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#VALUE!</v>
      </c>
      <c r="I130" s="96" t="e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#VALUE!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t="e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#VALUE!</v>
      </c>
      <c r="H131" s="96" t="e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#VALUE!</v>
      </c>
      <c r="I131" s="96" t="e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#VALUE!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t="e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#VALUE!</v>
      </c>
      <c r="H132" s="96" t="e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#VALUE!</v>
      </c>
      <c r="I132" s="96" t="e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#VALUE!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t="e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#VALUE!</v>
      </c>
      <c r="H133" s="96" t="e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#VALUE!</v>
      </c>
      <c r="I133" s="96" t="e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#VALUE!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t="e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#VALUE!</v>
      </c>
      <c r="H134" s="96" t="e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#VALUE!</v>
      </c>
      <c r="I134" s="96" t="e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#VALUE!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t="e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#VALUE!</v>
      </c>
      <c r="H135" s="96" t="e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#VALUE!</v>
      </c>
      <c r="I135" s="96" t="e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#VALUE!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t="e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#VALUE!</v>
      </c>
      <c r="H136" s="96" t="e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#VALUE!</v>
      </c>
      <c r="I136" s="96" t="e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#VALUE!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t="e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#VALUE!</v>
      </c>
      <c r="H137" s="96" t="e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#VALUE!</v>
      </c>
      <c r="I137" s="96" t="e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#VALUE!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t="e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#VALUE!</v>
      </c>
      <c r="H138" s="96" t="e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#VALUE!</v>
      </c>
      <c r="I138" s="96" t="e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#VALUE!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t="e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#VALUE!</v>
      </c>
      <c r="H139" s="96" t="e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#VALUE!</v>
      </c>
      <c r="I139" s="96" t="e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#VALUE!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t="e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#VALUE!</v>
      </c>
      <c r="H140" s="96" t="e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#VALUE!</v>
      </c>
      <c r="I140" s="96" t="e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#VALUE!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t="e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#VALUE!</v>
      </c>
      <c r="H141" s="96" t="e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#VALUE!</v>
      </c>
      <c r="I141" s="96" t="e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#VALUE!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t="e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#VALUE!</v>
      </c>
      <c r="H142" s="96" t="e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#VALUE!</v>
      </c>
      <c r="I142" s="96" t="e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#VALUE!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8065001.0864567999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7721242.9104568008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1168595.3908364461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1118785.8228364463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528953.31354319979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872711.48954319966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76643.809163553771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126453.37716355374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922303.28256640851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877744.4345664084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65551.792555521955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62384.816555521953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191667.91743359147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236226.76543359147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13622.607444478052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16789.583444478048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14232454.554315863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13551675.866315866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1194524.6573685941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1137387.1533685941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2787012.6456841351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3467791.3336841348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233912.94263140604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291050.44663140603</v>
      </c>
    </row>
    <row r="183" spans="1:9" x14ac:dyDescent="0.25">
      <c r="A183" t="s">
        <v>23</v>
      </c>
      <c r="B183" t="s">
        <v>76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76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184</v>
      </c>
      <c r="D185" t="s">
        <v>184</v>
      </c>
      <c r="E185" s="155" t="s">
        <v>183</v>
      </c>
      <c r="F185" t="str">
        <f>CONCATENATE("Areal-",LOWER(B185))</f>
        <v>Areal-basisskov</v>
      </c>
      <c r="G185" s="107" t="e">
        <f>IF($A185="Vestdanmark",SUMIFS(IF(G$2=År1,Skovbrug!$C$21:$C$41,IF(G$2=År2,Skovbrug!$D$21:$D$41,Skovbrug!$E$21:$E$41)),Skovbrug!$A$21:$A$41,'Direkte input'!$B185,Skovbrug!$B$21:$B$41,'Direkte input'!$E185),SUMIFS(IF(G$2=År1,Skovbrug!$F$21:$F$41,IF(G$2=År2,Skovbrug!$G$21:$G$41,Skovbrug!$H$21:$H$41)),Skovbrug!$A$21:$A$41,'Direkte input'!$B185,Skovbrug!$B$21:$B$41,'Direkte input'!$E185))</f>
        <v>#VALUE!</v>
      </c>
      <c r="H185" s="107" t="e">
        <f>IF($A185="Vestdanmark",SUMIFS(IF(H$2=År1,Skovbrug!$C$21:$C$41,IF(H$2=År2,Skovbrug!$D$21:$D$41,Skovbrug!$E$21:$E$41)),Skovbrug!$A$21:$A$41,'Direkte input'!$B185,Skovbrug!$B$21:$B$41,'Direkte input'!$E185),SUMIFS(IF(H$2=År1,Skovbrug!$F$21:$F$41,IF(H$2=År2,Skovbrug!$G$21:$G$41,Skovbrug!$H$21:$H$41)),Skovbrug!$A$21:$A$41,'Direkte input'!$B185,Skovbrug!$B$21:$B$41,'Direkte input'!$E185))</f>
        <v>#VALUE!</v>
      </c>
      <c r="I185" s="107" t="e">
        <f>IF($A185="Vestdanmark",SUMIFS(IF(I$2=År1,Skovbrug!$C$21:$C$41,IF(I$2=År2,Skovbrug!$D$21:$D$41,Skovbrug!$E$21:$E$41)),Skovbrug!$A$21:$A$41,'Direkte input'!$B185,Skovbrug!$B$21:$B$41,'Direkte input'!$E185),SUMIFS(IF(I$2=År1,Skovbrug!$F$21:$F$41,IF(I$2=År2,Skovbrug!$G$21:$G$41,Skovbrug!$H$21:$H$41)),Skovbrug!$A$21:$A$41,'Direkte input'!$B185,Skovbrug!$B$21:$B$41,'Direkte input'!$E185))</f>
        <v>#VALUE!</v>
      </c>
    </row>
    <row r="186" spans="1:9" x14ac:dyDescent="0.25">
      <c r="A186" t="s">
        <v>23</v>
      </c>
      <c r="B186" t="s">
        <v>178</v>
      </c>
      <c r="D186" t="s">
        <v>178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IF($A186="Vestdanmark",SUMIFS(IF(G$2=År1,Skovbrug!$C$21:$C$41,IF(G$2=År2,Skovbrug!$D$21:$D$41,Skovbrug!$E$21:$E$41)),Skovbrug!$A$21:$A$41,'Direkte input'!$B186,Skovbrug!$B$21:$B$41,'Direkte input'!$E186),SUMIFS(IF(G$2=År1,Skovbrug!$F$21:$F$41,IF(G$2=År2,Skovbrug!$G$21:$G$41,Skovbrug!$H$21:$H$41)),Skovbrug!$A$21:$A$41,'Direkte input'!$B186,Skovbrug!$B$21:$B$41,'Direkte input'!$E186))</f>
        <v>0</v>
      </c>
      <c r="H186" s="107" t="e">
        <f>IF($A186="Vestdanmark",SUMIFS(IF(H$2=År1,Skovbrug!$C$21:$C$41,IF(H$2=År2,Skovbrug!$D$21:$D$41,Skovbrug!$E$21:$E$41)),Skovbrug!$A$21:$A$41,'Direkte input'!$B186,Skovbrug!$B$21:$B$41,'Direkte input'!$E186),SUMIFS(IF(H$2=År1,Skovbrug!$F$21:$F$41,IF(H$2=År2,Skovbrug!$G$21:$G$41,Skovbrug!$H$21:$H$41)),Skovbrug!$A$21:$A$41,'Direkte input'!$B186,Skovbrug!$B$21:$B$41,'Direkte input'!$E186))</f>
        <v>#VALUE!</v>
      </c>
      <c r="I186" s="107" t="e">
        <f>IF($A186="Vestdanmark",SUMIFS(IF(I$2=År1,Skovbrug!$C$21:$C$41,IF(I$2=År2,Skovbrug!$D$21:$D$41,Skovbrug!$E$21:$E$41)),Skovbrug!$A$21:$A$41,'Direkte input'!$B186,Skovbrug!$B$21:$B$41,'Direkte input'!$E186),SUMIFS(IF(I$2=År1,Skovbrug!$F$21:$F$41,IF(I$2=År2,Skovbrug!$G$21:$G$41,Skovbrug!$H$21:$H$41)),Skovbrug!$A$21:$A$41,'Direkte input'!$B186,Skovbrug!$B$21:$B$41,'Direkte input'!$E186))</f>
        <v>#VALUE!</v>
      </c>
    </row>
    <row r="187" spans="1:9" x14ac:dyDescent="0.25">
      <c r="A187" t="s">
        <v>23</v>
      </c>
      <c r="B187" t="s">
        <v>178</v>
      </c>
      <c r="D187" t="s">
        <v>178</v>
      </c>
      <c r="E187">
        <v>20</v>
      </c>
      <c r="F187" t="str">
        <f t="shared" si="16"/>
        <v>Areal-skovtype1-20</v>
      </c>
      <c r="G187" s="107">
        <f>IF($A187="Vestdanmark",SUMIFS(IF(G$2=År1,Skovbrug!$C$21:$C$41,IF(G$2=År2,Skovbrug!$D$21:$D$41,Skovbrug!$E$21:$E$41)),Skovbrug!$A$21:$A$41,'Direkte input'!$B187,Skovbrug!$B$21:$B$41,'Direkte input'!$E187),SUMIFS(IF(G$2=År1,Skovbrug!$F$21:$F$41,IF(G$2=År2,Skovbrug!$G$21:$G$41,Skovbrug!$H$21:$H$41)),Skovbrug!$A$21:$A$41,'Direkte input'!$B187,Skovbrug!$B$21:$B$41,'Direkte input'!$E187))</f>
        <v>0</v>
      </c>
      <c r="H187" s="107" t="e">
        <f>IF($A187="Vestdanmark",SUMIFS(IF(H$2=År1,Skovbrug!$C$21:$C$41,IF(H$2=År2,Skovbrug!$D$21:$D$41,Skovbrug!$E$21:$E$41)),Skovbrug!$A$21:$A$41,'Direkte input'!$B187,Skovbrug!$B$21:$B$41,'Direkte input'!$E187),SUMIFS(IF(H$2=År1,Skovbrug!$F$21:$F$41,IF(H$2=År2,Skovbrug!$G$21:$G$41,Skovbrug!$H$21:$H$41)),Skovbrug!$A$21:$A$41,'Direkte input'!$B187,Skovbrug!$B$21:$B$41,'Direkte input'!$E187))</f>
        <v>#VALUE!</v>
      </c>
      <c r="I187" s="107" t="e">
        <f>IF($A187="Vestdanmark",SUMIFS(IF(I$2=År1,Skovbrug!$C$21:$C$41,IF(I$2=År2,Skovbrug!$D$21:$D$41,Skovbrug!$E$21:$E$41)),Skovbrug!$A$21:$A$41,'Direkte input'!$B187,Skovbrug!$B$21:$B$41,'Direkte input'!$E187),SUMIFS(IF(I$2=År1,Skovbrug!$F$21:$F$41,IF(I$2=År2,Skovbrug!$G$21:$G$41,Skovbrug!$H$21:$H$41)),Skovbrug!$A$21:$A$41,'Direkte input'!$B187,Skovbrug!$B$21:$B$41,'Direkte input'!$E187))</f>
        <v>#VALUE!</v>
      </c>
    </row>
    <row r="188" spans="1:9" x14ac:dyDescent="0.25">
      <c r="A188" t="s">
        <v>23</v>
      </c>
      <c r="B188" t="s">
        <v>178</v>
      </c>
      <c r="D188" t="s">
        <v>178</v>
      </c>
      <c r="E188">
        <v>30</v>
      </c>
      <c r="F188" t="str">
        <f t="shared" si="16"/>
        <v>Areal-skovtype1-30</v>
      </c>
      <c r="G188" s="107">
        <f>IF($A188="Vestdanmark",SUMIFS(IF(G$2=År1,Skovbrug!$C$21:$C$41,IF(G$2=År2,Skovbrug!$D$21:$D$41,Skovbrug!$E$21:$E$41)),Skovbrug!$A$21:$A$41,'Direkte input'!$B188,Skovbrug!$B$21:$B$41,'Direkte input'!$E188),SUMIFS(IF(G$2=År1,Skovbrug!$F$21:$F$41,IF(G$2=År2,Skovbrug!$G$21:$G$41,Skovbrug!$H$21:$H$41)),Skovbrug!$A$21:$A$41,'Direkte input'!$B188,Skovbrug!$B$21:$B$41,'Direkte input'!$E188))</f>
        <v>0</v>
      </c>
      <c r="H188" s="107">
        <f>IF($A188="Vestdanmark",SUMIFS(IF(H$2=År1,Skovbrug!$C$21:$C$41,IF(H$2=År2,Skovbrug!$D$21:$D$41,Skovbrug!$E$21:$E$41)),Skovbrug!$A$21:$A$41,'Direkte input'!$B188,Skovbrug!$B$21:$B$41,'Direkte input'!$E188),SUMIFS(IF(H$2=År1,Skovbrug!$F$21:$F$41,IF(H$2=År2,Skovbrug!$G$21:$G$41,Skovbrug!$H$21:$H$41)),Skovbrug!$A$21:$A$41,'Direkte input'!$B188,Skovbrug!$B$21:$B$41,'Direkte input'!$E188))</f>
        <v>0</v>
      </c>
      <c r="I188" s="107" t="e">
        <f>IF($A188="Vestdanmark",SUMIFS(IF(I$2=År1,Skovbrug!$C$21:$C$41,IF(I$2=År2,Skovbrug!$D$21:$D$41,Skovbrug!$E$21:$E$41)),Skovbrug!$A$21:$A$41,'Direkte input'!$B188,Skovbrug!$B$21:$B$41,'Direkte input'!$E188),SUMIFS(IF(I$2=År1,Skovbrug!$F$21:$F$41,IF(I$2=År2,Skovbrug!$G$21:$G$41,Skovbrug!$H$21:$H$41)),Skovbrug!$A$21:$A$41,'Direkte input'!$B188,Skovbrug!$B$21:$B$41,'Direkte input'!$E188))</f>
        <v>#VALUE!</v>
      </c>
    </row>
    <row r="189" spans="1:9" x14ac:dyDescent="0.25">
      <c r="A189" t="s">
        <v>23</v>
      </c>
      <c r="B189" t="s">
        <v>178</v>
      </c>
      <c r="D189" t="s">
        <v>178</v>
      </c>
      <c r="E189">
        <v>40</v>
      </c>
      <c r="F189" t="str">
        <f t="shared" si="16"/>
        <v>Areal-skovtype1-40</v>
      </c>
      <c r="G189" s="107">
        <f>IF($A189="Vestdanmark",SUMIFS(IF(G$2=År1,Skovbrug!$C$21:$C$41,IF(G$2=År2,Skovbrug!$D$21:$D$41,Skovbrug!$E$21:$E$41)),Skovbrug!$A$21:$A$41,'Direkte input'!$B189,Skovbrug!$B$21:$B$41,'Direkte input'!$E189),SUMIFS(IF(G$2=År1,Skovbrug!$F$21:$F$41,IF(G$2=År2,Skovbrug!$G$21:$G$41,Skovbrug!$H$21:$H$41)),Skovbrug!$A$21:$A$41,'Direkte input'!$B189,Skovbrug!$B$21:$B$41,'Direkte input'!$E189))</f>
        <v>0</v>
      </c>
      <c r="H189" s="107">
        <f>IF($A189="Vestdanmark",SUMIFS(IF(H$2=År1,Skovbrug!$C$21:$C$41,IF(H$2=År2,Skovbrug!$D$21:$D$41,Skovbrug!$E$21:$E$41)),Skovbrug!$A$21:$A$41,'Direkte input'!$B189,Skovbrug!$B$21:$B$41,'Direkte input'!$E189),SUMIFS(IF(H$2=År1,Skovbrug!$F$21:$F$41,IF(H$2=År2,Skovbrug!$G$21:$G$41,Skovbrug!$H$21:$H$41)),Skovbrug!$A$21:$A$41,'Direkte input'!$B189,Skovbrug!$B$21:$B$41,'Direkte input'!$E189))</f>
        <v>0</v>
      </c>
      <c r="I189" s="107" t="e">
        <f>IF($A189="Vestdanmark",SUMIFS(IF(I$2=År1,Skovbrug!$C$21:$C$41,IF(I$2=År2,Skovbrug!$D$21:$D$41,Skovbrug!$E$21:$E$41)),Skovbrug!$A$21:$A$41,'Direkte input'!$B189,Skovbrug!$B$21:$B$41,'Direkte input'!$E189),SUMIFS(IF(I$2=År1,Skovbrug!$F$21:$F$41,IF(I$2=År2,Skovbrug!$G$21:$G$41,Skovbrug!$H$21:$H$41)),Skovbrug!$A$21:$A$41,'Direkte input'!$B189,Skovbrug!$B$21:$B$41,'Direkte input'!$E189))</f>
        <v>#VALUE!</v>
      </c>
    </row>
    <row r="190" spans="1:9" x14ac:dyDescent="0.25">
      <c r="A190" t="s">
        <v>23</v>
      </c>
      <c r="B190" t="s">
        <v>179</v>
      </c>
      <c r="D190" t="s">
        <v>179</v>
      </c>
      <c r="E190">
        <v>10</v>
      </c>
      <c r="F190" t="str">
        <f t="shared" si="16"/>
        <v>Areal-skovtype2-10</v>
      </c>
      <c r="G190" s="107">
        <f>IF($A190="Vestdanmark",SUMIFS(IF(G$2=År1,Skovbrug!$C$21:$C$41,IF(G$2=År2,Skovbrug!$D$21:$D$41,Skovbrug!$E$21:$E$41)),Skovbrug!$A$21:$A$41,'Direkte input'!$B190,Skovbrug!$B$21:$B$41,'Direkte input'!$E190),SUMIFS(IF(G$2=År1,Skovbrug!$F$21:$F$41,IF(G$2=År2,Skovbrug!$G$21:$G$41,Skovbrug!$H$21:$H$41)),Skovbrug!$A$21:$A$41,'Direkte input'!$B190,Skovbrug!$B$21:$B$41,'Direkte input'!$E190))</f>
        <v>0</v>
      </c>
      <c r="H190" s="107" t="e">
        <f>IF($A190="Vestdanmark",SUMIFS(IF(H$2=År1,Skovbrug!$C$21:$C$41,IF(H$2=År2,Skovbrug!$D$21:$D$41,Skovbrug!$E$21:$E$41)),Skovbrug!$A$21:$A$41,'Direkte input'!$B190,Skovbrug!$B$21:$B$41,'Direkte input'!$E190),SUMIFS(IF(H$2=År1,Skovbrug!$F$21:$F$41,IF(H$2=År2,Skovbrug!$G$21:$G$41,Skovbrug!$H$21:$H$41)),Skovbrug!$A$21:$A$41,'Direkte input'!$B190,Skovbrug!$B$21:$B$41,'Direkte input'!$E190))</f>
        <v>#VALUE!</v>
      </c>
      <c r="I190" s="107" t="e">
        <f>IF($A190="Vestdanmark",SUMIFS(IF(I$2=År1,Skovbrug!$C$21:$C$41,IF(I$2=År2,Skovbrug!$D$21:$D$41,Skovbrug!$E$21:$E$41)),Skovbrug!$A$21:$A$41,'Direkte input'!$B190,Skovbrug!$B$21:$B$41,'Direkte input'!$E190),SUMIFS(IF(I$2=År1,Skovbrug!$F$21:$F$41,IF(I$2=År2,Skovbrug!$G$21:$G$41,Skovbrug!$H$21:$H$41)),Skovbrug!$A$21:$A$41,'Direkte input'!$B190,Skovbrug!$B$21:$B$41,'Direkte input'!$E190))</f>
        <v>#VALUE!</v>
      </c>
    </row>
    <row r="191" spans="1:9" x14ac:dyDescent="0.25">
      <c r="A191" t="s">
        <v>23</v>
      </c>
      <c r="B191" t="s">
        <v>179</v>
      </c>
      <c r="D191" t="s">
        <v>179</v>
      </c>
      <c r="E191">
        <v>20</v>
      </c>
      <c r="F191" t="str">
        <f t="shared" si="16"/>
        <v>Areal-skovtype2-20</v>
      </c>
      <c r="G191" s="107">
        <f>IF($A191="Vestdanmark",SUMIFS(IF(G$2=År1,Skovbrug!$C$21:$C$41,IF(G$2=År2,Skovbrug!$D$21:$D$41,Skovbrug!$E$21:$E$41)),Skovbrug!$A$21:$A$41,'Direkte input'!$B191,Skovbrug!$B$21:$B$41,'Direkte input'!$E191),SUMIFS(IF(G$2=År1,Skovbrug!$F$21:$F$41,IF(G$2=År2,Skovbrug!$G$21:$G$41,Skovbrug!$H$21:$H$41)),Skovbrug!$A$21:$A$41,'Direkte input'!$B191,Skovbrug!$B$21:$B$41,'Direkte input'!$E191))</f>
        <v>0</v>
      </c>
      <c r="H191" s="107" t="e">
        <f>IF($A191="Vestdanmark",SUMIFS(IF(H$2=År1,Skovbrug!$C$21:$C$41,IF(H$2=År2,Skovbrug!$D$21:$D$41,Skovbrug!$E$21:$E$41)),Skovbrug!$A$21:$A$41,'Direkte input'!$B191,Skovbrug!$B$21:$B$41,'Direkte input'!$E191),SUMIFS(IF(H$2=År1,Skovbrug!$F$21:$F$41,IF(H$2=År2,Skovbrug!$G$21:$G$41,Skovbrug!$H$21:$H$41)),Skovbrug!$A$21:$A$41,'Direkte input'!$B191,Skovbrug!$B$21:$B$41,'Direkte input'!$E191))</f>
        <v>#VALUE!</v>
      </c>
      <c r="I191" s="107" t="e">
        <f>IF($A191="Vestdanmark",SUMIFS(IF(I$2=År1,Skovbrug!$C$21:$C$41,IF(I$2=År2,Skovbrug!$D$21:$D$41,Skovbrug!$E$21:$E$41)),Skovbrug!$A$21:$A$41,'Direkte input'!$B191,Skovbrug!$B$21:$B$41,'Direkte input'!$E191),SUMIFS(IF(I$2=År1,Skovbrug!$F$21:$F$41,IF(I$2=År2,Skovbrug!$G$21:$G$41,Skovbrug!$H$21:$H$41)),Skovbrug!$A$21:$A$41,'Direkte input'!$B191,Skovbrug!$B$21:$B$41,'Direkte input'!$E191))</f>
        <v>#VALUE!</v>
      </c>
    </row>
    <row r="192" spans="1:9" x14ac:dyDescent="0.25">
      <c r="A192" t="s">
        <v>23</v>
      </c>
      <c r="B192" t="s">
        <v>179</v>
      </c>
      <c r="D192" t="s">
        <v>179</v>
      </c>
      <c r="E192">
        <v>30</v>
      </c>
      <c r="F192" t="str">
        <f t="shared" si="16"/>
        <v>Areal-skovtype2-30</v>
      </c>
      <c r="G192" s="107">
        <f>IF($A192="Vestdanmark",SUMIFS(IF(G$2=År1,Skovbrug!$C$21:$C$41,IF(G$2=År2,Skovbrug!$D$21:$D$41,Skovbrug!$E$21:$E$41)),Skovbrug!$A$21:$A$41,'Direkte input'!$B192,Skovbrug!$B$21:$B$41,'Direkte input'!$E192),SUMIFS(IF(G$2=År1,Skovbrug!$F$21:$F$41,IF(G$2=År2,Skovbrug!$G$21:$G$41,Skovbrug!$H$21:$H$41)),Skovbrug!$A$21:$A$41,'Direkte input'!$B192,Skovbrug!$B$21:$B$41,'Direkte input'!$E192))</f>
        <v>0</v>
      </c>
      <c r="H192" s="107">
        <f>IF($A192="Vestdanmark",SUMIFS(IF(H$2=År1,Skovbrug!$C$21:$C$41,IF(H$2=År2,Skovbrug!$D$21:$D$41,Skovbrug!$E$21:$E$41)),Skovbrug!$A$21:$A$41,'Direkte input'!$B192,Skovbrug!$B$21:$B$41,'Direkte input'!$E192),SUMIFS(IF(H$2=År1,Skovbrug!$F$21:$F$41,IF(H$2=År2,Skovbrug!$G$21:$G$41,Skovbrug!$H$21:$H$41)),Skovbrug!$A$21:$A$41,'Direkte input'!$B192,Skovbrug!$B$21:$B$41,'Direkte input'!$E192))</f>
        <v>0</v>
      </c>
      <c r="I192" s="107" t="e">
        <f>IF($A192="Vestdanmark",SUMIFS(IF(I$2=År1,Skovbrug!$C$21:$C$41,IF(I$2=År2,Skovbrug!$D$21:$D$41,Skovbrug!$E$21:$E$41)),Skovbrug!$A$21:$A$41,'Direkte input'!$B192,Skovbrug!$B$21:$B$41,'Direkte input'!$E192),SUMIFS(IF(I$2=År1,Skovbrug!$F$21:$F$41,IF(I$2=År2,Skovbrug!$G$21:$G$41,Skovbrug!$H$21:$H$41)),Skovbrug!$A$21:$A$41,'Direkte input'!$B192,Skovbrug!$B$21:$B$41,'Direkte input'!$E192))</f>
        <v>#VALUE!</v>
      </c>
    </row>
    <row r="193" spans="1:9" x14ac:dyDescent="0.25">
      <c r="A193" t="s">
        <v>23</v>
      </c>
      <c r="B193" t="s">
        <v>179</v>
      </c>
      <c r="D193" t="s">
        <v>179</v>
      </c>
      <c r="E193">
        <v>40</v>
      </c>
      <c r="F193" t="str">
        <f t="shared" si="16"/>
        <v>Areal-skovtype2-40</v>
      </c>
      <c r="G193" s="107">
        <f>IF($A193="Vestdanmark",SUMIFS(IF(G$2=År1,Skovbrug!$C$21:$C$41,IF(G$2=År2,Skovbrug!$D$21:$D$41,Skovbrug!$E$21:$E$41)),Skovbrug!$A$21:$A$41,'Direkte input'!$B193,Skovbrug!$B$21:$B$41,'Direkte input'!$E193),SUMIFS(IF(G$2=År1,Skovbrug!$F$21:$F$41,IF(G$2=År2,Skovbrug!$G$21:$G$41,Skovbrug!$H$21:$H$41)),Skovbrug!$A$21:$A$41,'Direkte input'!$B193,Skovbrug!$B$21:$B$41,'Direkte input'!$E193))</f>
        <v>0</v>
      </c>
      <c r="H193" s="107">
        <f>IF($A193="Vestdanmark",SUMIFS(IF(H$2=År1,Skovbrug!$C$21:$C$41,IF(H$2=År2,Skovbrug!$D$21:$D$41,Skovbrug!$E$21:$E$41)),Skovbrug!$A$21:$A$41,'Direkte input'!$B193,Skovbrug!$B$21:$B$41,'Direkte input'!$E193),SUMIFS(IF(H$2=År1,Skovbrug!$F$21:$F$41,IF(H$2=År2,Skovbrug!$G$21:$G$41,Skovbrug!$H$21:$H$41)),Skovbrug!$A$21:$A$41,'Direkte input'!$B193,Skovbrug!$B$21:$B$41,'Direkte input'!$E193))</f>
        <v>0</v>
      </c>
      <c r="I193" s="107" t="e">
        <f>IF($A193="Vestdanmark",SUMIFS(IF(I$2=År1,Skovbrug!$C$21:$C$41,IF(I$2=År2,Skovbrug!$D$21:$D$41,Skovbrug!$E$21:$E$41)),Skovbrug!$A$21:$A$41,'Direkte input'!$B193,Skovbrug!$B$21:$B$41,'Direkte input'!$E193),SUMIFS(IF(I$2=År1,Skovbrug!$F$21:$F$41,IF(I$2=År2,Skovbrug!$G$21:$G$41,Skovbrug!$H$21:$H$41)),Skovbrug!$A$21:$A$41,'Direkte input'!$B193,Skovbrug!$B$21:$B$41,'Direkte input'!$E193))</f>
        <v>#VALUE!</v>
      </c>
    </row>
    <row r="194" spans="1:9" x14ac:dyDescent="0.25">
      <c r="A194" t="s">
        <v>23</v>
      </c>
      <c r="B194" t="s">
        <v>180</v>
      </c>
      <c r="D194" t="s">
        <v>180</v>
      </c>
      <c r="E194">
        <v>10</v>
      </c>
      <c r="F194" t="str">
        <f t="shared" si="16"/>
        <v>Areal-skovtype3-10</v>
      </c>
      <c r="G194" s="107">
        <f>IF($A194="Vestdanmark",SUMIFS(IF(G$2=År1,Skovbrug!$C$21:$C$41,IF(G$2=År2,Skovbrug!$D$21:$D$41,Skovbrug!$E$21:$E$41)),Skovbrug!$A$21:$A$41,'Direkte input'!$B194,Skovbrug!$B$21:$B$41,'Direkte input'!$E194),SUMIFS(IF(G$2=År1,Skovbrug!$F$21:$F$41,IF(G$2=År2,Skovbrug!$G$21:$G$41,Skovbrug!$H$21:$H$41)),Skovbrug!$A$21:$A$41,'Direkte input'!$B194,Skovbrug!$B$21:$B$41,'Direkte input'!$E194))</f>
        <v>0</v>
      </c>
      <c r="H194" s="107" t="e">
        <f>IF($A194="Vestdanmark",SUMIFS(IF(H$2=År1,Skovbrug!$C$21:$C$41,IF(H$2=År2,Skovbrug!$D$21:$D$41,Skovbrug!$E$21:$E$41)),Skovbrug!$A$21:$A$41,'Direkte input'!$B194,Skovbrug!$B$21:$B$41,'Direkte input'!$E194),SUMIFS(IF(H$2=År1,Skovbrug!$F$21:$F$41,IF(H$2=År2,Skovbrug!$G$21:$G$41,Skovbrug!$H$21:$H$41)),Skovbrug!$A$21:$A$41,'Direkte input'!$B194,Skovbrug!$B$21:$B$41,'Direkte input'!$E194))</f>
        <v>#VALUE!</v>
      </c>
      <c r="I194" s="107" t="e">
        <f>IF($A194="Vestdanmark",SUMIFS(IF(I$2=År1,Skovbrug!$C$21:$C$41,IF(I$2=År2,Skovbrug!$D$21:$D$41,Skovbrug!$E$21:$E$41)),Skovbrug!$A$21:$A$41,'Direkte input'!$B194,Skovbrug!$B$21:$B$41,'Direkte input'!$E194),SUMIFS(IF(I$2=År1,Skovbrug!$F$21:$F$41,IF(I$2=År2,Skovbrug!$G$21:$G$41,Skovbrug!$H$21:$H$41)),Skovbrug!$A$21:$A$41,'Direkte input'!$B194,Skovbrug!$B$21:$B$41,'Direkte input'!$E194))</f>
        <v>#VALUE!</v>
      </c>
    </row>
    <row r="195" spans="1:9" x14ac:dyDescent="0.25">
      <c r="A195" t="s">
        <v>23</v>
      </c>
      <c r="B195" t="s">
        <v>180</v>
      </c>
      <c r="D195" t="s">
        <v>180</v>
      </c>
      <c r="E195">
        <v>20</v>
      </c>
      <c r="F195" t="str">
        <f t="shared" si="16"/>
        <v>Areal-skovtype3-20</v>
      </c>
      <c r="G195" s="107">
        <f>IF($A195="Vestdanmark",SUMIFS(IF(G$2=År1,Skovbrug!$C$21:$C$41,IF(G$2=År2,Skovbrug!$D$21:$D$41,Skovbrug!$E$21:$E$41)),Skovbrug!$A$21:$A$41,'Direkte input'!$B195,Skovbrug!$B$21:$B$41,'Direkte input'!$E195),SUMIFS(IF(G$2=År1,Skovbrug!$F$21:$F$41,IF(G$2=År2,Skovbrug!$G$21:$G$41,Skovbrug!$H$21:$H$41)),Skovbrug!$A$21:$A$41,'Direkte input'!$B195,Skovbrug!$B$21:$B$41,'Direkte input'!$E195))</f>
        <v>0</v>
      </c>
      <c r="H195" s="107" t="e">
        <f>IF($A195="Vestdanmark",SUMIFS(IF(H$2=År1,Skovbrug!$C$21:$C$41,IF(H$2=År2,Skovbrug!$D$21:$D$41,Skovbrug!$E$21:$E$41)),Skovbrug!$A$21:$A$41,'Direkte input'!$B195,Skovbrug!$B$21:$B$41,'Direkte input'!$E195),SUMIFS(IF(H$2=År1,Skovbrug!$F$21:$F$41,IF(H$2=År2,Skovbrug!$G$21:$G$41,Skovbrug!$H$21:$H$41)),Skovbrug!$A$21:$A$41,'Direkte input'!$B195,Skovbrug!$B$21:$B$41,'Direkte input'!$E195))</f>
        <v>#VALUE!</v>
      </c>
      <c r="I195" s="107" t="e">
        <f>IF($A195="Vestdanmark",SUMIFS(IF(I$2=År1,Skovbrug!$C$21:$C$41,IF(I$2=År2,Skovbrug!$D$21:$D$41,Skovbrug!$E$21:$E$41)),Skovbrug!$A$21:$A$41,'Direkte input'!$B195,Skovbrug!$B$21:$B$41,'Direkte input'!$E195),SUMIFS(IF(I$2=År1,Skovbrug!$F$21:$F$41,IF(I$2=År2,Skovbrug!$G$21:$G$41,Skovbrug!$H$21:$H$41)),Skovbrug!$A$21:$A$41,'Direkte input'!$B195,Skovbrug!$B$21:$B$41,'Direkte input'!$E195))</f>
        <v>#VALUE!</v>
      </c>
    </row>
    <row r="196" spans="1:9" x14ac:dyDescent="0.25">
      <c r="A196" t="s">
        <v>23</v>
      </c>
      <c r="B196" t="s">
        <v>180</v>
      </c>
      <c r="D196" t="s">
        <v>180</v>
      </c>
      <c r="E196">
        <v>30</v>
      </c>
      <c r="F196" t="str">
        <f t="shared" si="16"/>
        <v>Areal-skovtype3-30</v>
      </c>
      <c r="G196" s="107">
        <f>IF($A196="Vestdanmark",SUMIFS(IF(G$2=År1,Skovbrug!$C$21:$C$41,IF(G$2=År2,Skovbrug!$D$21:$D$41,Skovbrug!$E$21:$E$41)),Skovbrug!$A$21:$A$41,'Direkte input'!$B196,Skovbrug!$B$21:$B$41,'Direkte input'!$E196),SUMIFS(IF(G$2=År1,Skovbrug!$F$21:$F$41,IF(G$2=År2,Skovbrug!$G$21:$G$41,Skovbrug!$H$21:$H$41)),Skovbrug!$A$21:$A$41,'Direkte input'!$B196,Skovbrug!$B$21:$B$41,'Direkte input'!$E196))</f>
        <v>0</v>
      </c>
      <c r="H196" s="107">
        <f>IF($A196="Vestdanmark",SUMIFS(IF(H$2=År1,Skovbrug!$C$21:$C$41,IF(H$2=År2,Skovbrug!$D$21:$D$41,Skovbrug!$E$21:$E$41)),Skovbrug!$A$21:$A$41,'Direkte input'!$B196,Skovbrug!$B$21:$B$41,'Direkte input'!$E196),SUMIFS(IF(H$2=År1,Skovbrug!$F$21:$F$41,IF(H$2=År2,Skovbrug!$G$21:$G$41,Skovbrug!$H$21:$H$41)),Skovbrug!$A$21:$A$41,'Direkte input'!$B196,Skovbrug!$B$21:$B$41,'Direkte input'!$E196))</f>
        <v>0</v>
      </c>
      <c r="I196" s="107" t="e">
        <f>IF($A196="Vestdanmark",SUMIFS(IF(I$2=År1,Skovbrug!$C$21:$C$41,IF(I$2=År2,Skovbrug!$D$21:$D$41,Skovbrug!$E$21:$E$41)),Skovbrug!$A$21:$A$41,'Direkte input'!$B196,Skovbrug!$B$21:$B$41,'Direkte input'!$E196),SUMIFS(IF(I$2=År1,Skovbrug!$F$21:$F$41,IF(I$2=År2,Skovbrug!$G$21:$G$41,Skovbrug!$H$21:$H$41)),Skovbrug!$A$21:$A$41,'Direkte input'!$B196,Skovbrug!$B$21:$B$41,'Direkte input'!$E196))</f>
        <v>#VALUE!</v>
      </c>
    </row>
    <row r="197" spans="1:9" x14ac:dyDescent="0.25">
      <c r="A197" t="s">
        <v>23</v>
      </c>
      <c r="B197" t="s">
        <v>180</v>
      </c>
      <c r="D197" t="s">
        <v>180</v>
      </c>
      <c r="E197">
        <v>40</v>
      </c>
      <c r="F197" t="str">
        <f t="shared" si="16"/>
        <v>Areal-skovtype3-40</v>
      </c>
      <c r="G197" s="107">
        <f>IF($A197="Vestdanmark",SUMIFS(IF(G$2=År1,Skovbrug!$C$21:$C$41,IF(G$2=År2,Skovbrug!$D$21:$D$41,Skovbrug!$E$21:$E$41)),Skovbrug!$A$21:$A$41,'Direkte input'!$B197,Skovbrug!$B$21:$B$41,'Direkte input'!$E197),SUMIFS(IF(G$2=År1,Skovbrug!$F$21:$F$41,IF(G$2=År2,Skovbrug!$G$21:$G$41,Skovbrug!$H$21:$H$41)),Skovbrug!$A$21:$A$41,'Direkte input'!$B197,Skovbrug!$B$21:$B$41,'Direkte input'!$E197))</f>
        <v>0</v>
      </c>
      <c r="H197" s="107">
        <f>IF($A197="Vestdanmark",SUMIFS(IF(H$2=År1,Skovbrug!$C$21:$C$41,IF(H$2=År2,Skovbrug!$D$21:$D$41,Skovbrug!$E$21:$E$41)),Skovbrug!$A$21:$A$41,'Direkte input'!$B197,Skovbrug!$B$21:$B$41,'Direkte input'!$E197),SUMIFS(IF(H$2=År1,Skovbrug!$F$21:$F$41,IF(H$2=År2,Skovbrug!$G$21:$G$41,Skovbrug!$H$21:$H$41)),Skovbrug!$A$21:$A$41,'Direkte input'!$B197,Skovbrug!$B$21:$B$41,'Direkte input'!$E197))</f>
        <v>0</v>
      </c>
      <c r="I197" s="107" t="e">
        <f>IF($A197="Vestdanmark",SUMIFS(IF(I$2=År1,Skovbrug!$C$21:$C$41,IF(I$2=År2,Skovbrug!$D$21:$D$41,Skovbrug!$E$21:$E$41)),Skovbrug!$A$21:$A$41,'Direkte input'!$B197,Skovbrug!$B$21:$B$41,'Direkte input'!$E197),SUMIFS(IF(I$2=År1,Skovbrug!$F$21:$F$41,IF(I$2=År2,Skovbrug!$G$21:$G$41,Skovbrug!$H$21:$H$41)),Skovbrug!$A$21:$A$41,'Direkte input'!$B197,Skovbrug!$B$21:$B$41,'Direkte input'!$E197))</f>
        <v>#VALUE!</v>
      </c>
    </row>
    <row r="198" spans="1:9" x14ac:dyDescent="0.25">
      <c r="A198" t="s">
        <v>23</v>
      </c>
      <c r="B198" t="s">
        <v>181</v>
      </c>
      <c r="D198" t="s">
        <v>181</v>
      </c>
      <c r="E198">
        <v>10</v>
      </c>
      <c r="F198" t="str">
        <f t="shared" si="16"/>
        <v>Areal-skovtype4-10</v>
      </c>
      <c r="G198" s="107">
        <f>IF($A198="Vestdanmark",SUMIFS(IF(G$2=År1,Skovbrug!$C$21:$C$41,IF(G$2=År2,Skovbrug!$D$21:$D$41,Skovbrug!$E$21:$E$41)),Skovbrug!$A$21:$A$41,'Direkte input'!$B198,Skovbrug!$B$21:$B$41,'Direkte input'!$E198),SUMIFS(IF(G$2=År1,Skovbrug!$F$21:$F$41,IF(G$2=År2,Skovbrug!$G$21:$G$41,Skovbrug!$H$21:$H$41)),Skovbrug!$A$21:$A$41,'Direkte input'!$B198,Skovbrug!$B$21:$B$41,'Direkte input'!$E198))</f>
        <v>0</v>
      </c>
      <c r="H198" s="107" t="e">
        <f>IF($A198="Vestdanmark",SUMIFS(IF(H$2=År1,Skovbrug!$C$21:$C$41,IF(H$2=År2,Skovbrug!$D$21:$D$41,Skovbrug!$E$21:$E$41)),Skovbrug!$A$21:$A$41,'Direkte input'!$B198,Skovbrug!$B$21:$B$41,'Direkte input'!$E198),SUMIFS(IF(H$2=År1,Skovbrug!$F$21:$F$41,IF(H$2=År2,Skovbrug!$G$21:$G$41,Skovbrug!$H$21:$H$41)),Skovbrug!$A$21:$A$41,'Direkte input'!$B198,Skovbrug!$B$21:$B$41,'Direkte input'!$E198))</f>
        <v>#VALUE!</v>
      </c>
      <c r="I198" s="107" t="e">
        <f>IF($A198="Vestdanmark",SUMIFS(IF(I$2=År1,Skovbrug!$C$21:$C$41,IF(I$2=År2,Skovbrug!$D$21:$D$41,Skovbrug!$E$21:$E$41)),Skovbrug!$A$21:$A$41,'Direkte input'!$B198,Skovbrug!$B$21:$B$41,'Direkte input'!$E198),SUMIFS(IF(I$2=År1,Skovbrug!$F$21:$F$41,IF(I$2=År2,Skovbrug!$G$21:$G$41,Skovbrug!$H$21:$H$41)),Skovbrug!$A$21:$A$41,'Direkte input'!$B198,Skovbrug!$B$21:$B$41,'Direkte input'!$E198))</f>
        <v>#VALUE!</v>
      </c>
    </row>
    <row r="199" spans="1:9" x14ac:dyDescent="0.25">
      <c r="A199" t="s">
        <v>23</v>
      </c>
      <c r="B199" t="s">
        <v>181</v>
      </c>
      <c r="D199" t="s">
        <v>181</v>
      </c>
      <c r="E199">
        <v>20</v>
      </c>
      <c r="F199" t="str">
        <f t="shared" si="16"/>
        <v>Areal-skovtype4-20</v>
      </c>
      <c r="G199" s="107">
        <f>IF($A199="Vestdanmark",SUMIFS(IF(G$2=År1,Skovbrug!$C$21:$C$41,IF(G$2=År2,Skovbrug!$D$21:$D$41,Skovbrug!$E$21:$E$41)),Skovbrug!$A$21:$A$41,'Direkte input'!$B199,Skovbrug!$B$21:$B$41,'Direkte input'!$E199),SUMIFS(IF(G$2=År1,Skovbrug!$F$21:$F$41,IF(G$2=År2,Skovbrug!$G$21:$G$41,Skovbrug!$H$21:$H$41)),Skovbrug!$A$21:$A$41,'Direkte input'!$B199,Skovbrug!$B$21:$B$41,'Direkte input'!$E199))</f>
        <v>0</v>
      </c>
      <c r="H199" s="107" t="e">
        <f>IF($A199="Vestdanmark",SUMIFS(IF(H$2=År1,Skovbrug!$C$21:$C$41,IF(H$2=År2,Skovbrug!$D$21:$D$41,Skovbrug!$E$21:$E$41)),Skovbrug!$A$21:$A$41,'Direkte input'!$B199,Skovbrug!$B$21:$B$41,'Direkte input'!$E199),SUMIFS(IF(H$2=År1,Skovbrug!$F$21:$F$41,IF(H$2=År2,Skovbrug!$G$21:$G$41,Skovbrug!$H$21:$H$41)),Skovbrug!$A$21:$A$41,'Direkte input'!$B199,Skovbrug!$B$21:$B$41,'Direkte input'!$E199))</f>
        <v>#VALUE!</v>
      </c>
      <c r="I199" s="107" t="e">
        <f>IF($A199="Vestdanmark",SUMIFS(IF(I$2=År1,Skovbrug!$C$21:$C$41,IF(I$2=År2,Skovbrug!$D$21:$D$41,Skovbrug!$E$21:$E$41)),Skovbrug!$A$21:$A$41,'Direkte input'!$B199,Skovbrug!$B$21:$B$41,'Direkte input'!$E199),SUMIFS(IF(I$2=År1,Skovbrug!$F$21:$F$41,IF(I$2=År2,Skovbrug!$G$21:$G$41,Skovbrug!$H$21:$H$41)),Skovbrug!$A$21:$A$41,'Direkte input'!$B199,Skovbrug!$B$21:$B$41,'Direkte input'!$E199))</f>
        <v>#VALUE!</v>
      </c>
    </row>
    <row r="200" spans="1:9" x14ac:dyDescent="0.25">
      <c r="A200" t="s">
        <v>23</v>
      </c>
      <c r="B200" t="s">
        <v>181</v>
      </c>
      <c r="D200" t="s">
        <v>181</v>
      </c>
      <c r="E200">
        <v>30</v>
      </c>
      <c r="F200" t="str">
        <f t="shared" si="16"/>
        <v>Areal-skovtype4-30</v>
      </c>
      <c r="G200" s="107">
        <f>IF($A200="Vestdanmark",SUMIFS(IF(G$2=År1,Skovbrug!$C$21:$C$41,IF(G$2=År2,Skovbrug!$D$21:$D$41,Skovbrug!$E$21:$E$41)),Skovbrug!$A$21:$A$41,'Direkte input'!$B200,Skovbrug!$B$21:$B$41,'Direkte input'!$E200),SUMIFS(IF(G$2=År1,Skovbrug!$F$21:$F$41,IF(G$2=År2,Skovbrug!$G$21:$G$41,Skovbrug!$H$21:$H$41)),Skovbrug!$A$21:$A$41,'Direkte input'!$B200,Skovbrug!$B$21:$B$41,'Direkte input'!$E200))</f>
        <v>0</v>
      </c>
      <c r="H200" s="107">
        <f>IF($A200="Vestdanmark",SUMIFS(IF(H$2=År1,Skovbrug!$C$21:$C$41,IF(H$2=År2,Skovbrug!$D$21:$D$41,Skovbrug!$E$21:$E$41)),Skovbrug!$A$21:$A$41,'Direkte input'!$B200,Skovbrug!$B$21:$B$41,'Direkte input'!$E200),SUMIFS(IF(H$2=År1,Skovbrug!$F$21:$F$41,IF(H$2=År2,Skovbrug!$G$21:$G$41,Skovbrug!$H$21:$H$41)),Skovbrug!$A$21:$A$41,'Direkte input'!$B200,Skovbrug!$B$21:$B$41,'Direkte input'!$E200))</f>
        <v>0</v>
      </c>
      <c r="I200" s="107" t="e">
        <f>IF($A200="Vestdanmark",SUMIFS(IF(I$2=År1,Skovbrug!$C$21:$C$41,IF(I$2=År2,Skovbrug!$D$21:$D$41,Skovbrug!$E$21:$E$41)),Skovbrug!$A$21:$A$41,'Direkte input'!$B200,Skovbrug!$B$21:$B$41,'Direkte input'!$E200),SUMIFS(IF(I$2=År1,Skovbrug!$F$21:$F$41,IF(I$2=År2,Skovbrug!$G$21:$G$41,Skovbrug!$H$21:$H$41)),Skovbrug!$A$21:$A$41,'Direkte input'!$B200,Skovbrug!$B$21:$B$41,'Direkte input'!$E200))</f>
        <v>#VALUE!</v>
      </c>
    </row>
    <row r="201" spans="1:9" x14ac:dyDescent="0.25">
      <c r="A201" t="s">
        <v>23</v>
      </c>
      <c r="B201" t="s">
        <v>181</v>
      </c>
      <c r="D201" t="s">
        <v>181</v>
      </c>
      <c r="E201">
        <v>40</v>
      </c>
      <c r="F201" t="str">
        <f t="shared" si="16"/>
        <v>Areal-skovtype4-40</v>
      </c>
      <c r="G201" s="107">
        <f>IF($A201="Vestdanmark",SUMIFS(IF(G$2=År1,Skovbrug!$C$21:$C$41,IF(G$2=År2,Skovbrug!$D$21:$D$41,Skovbrug!$E$21:$E$41)),Skovbrug!$A$21:$A$41,'Direkte input'!$B201,Skovbrug!$B$21:$B$41,'Direkte input'!$E201),SUMIFS(IF(G$2=År1,Skovbrug!$F$21:$F$41,IF(G$2=År2,Skovbrug!$G$21:$G$41,Skovbrug!$H$21:$H$41)),Skovbrug!$A$21:$A$41,'Direkte input'!$B201,Skovbrug!$B$21:$B$41,'Direkte input'!$E201))</f>
        <v>0</v>
      </c>
      <c r="H201" s="107">
        <f>IF($A201="Vestdanmark",SUMIFS(IF(H$2=År1,Skovbrug!$C$21:$C$41,IF(H$2=År2,Skovbrug!$D$21:$D$41,Skovbrug!$E$21:$E$41)),Skovbrug!$A$21:$A$41,'Direkte input'!$B201,Skovbrug!$B$21:$B$41,'Direkte input'!$E201),SUMIFS(IF(H$2=År1,Skovbrug!$F$21:$F$41,IF(H$2=År2,Skovbrug!$G$21:$G$41,Skovbrug!$H$21:$H$41)),Skovbrug!$A$21:$A$41,'Direkte input'!$B201,Skovbrug!$B$21:$B$41,'Direkte input'!$E201))</f>
        <v>0</v>
      </c>
      <c r="I201" s="107" t="e">
        <f>IF($A201="Vestdanmark",SUMIFS(IF(I$2=År1,Skovbrug!$C$21:$C$41,IF(I$2=År2,Skovbrug!$D$21:$D$41,Skovbrug!$E$21:$E$41)),Skovbrug!$A$21:$A$41,'Direkte input'!$B201,Skovbrug!$B$21:$B$41,'Direkte input'!$E201),SUMIFS(IF(I$2=År1,Skovbrug!$F$21:$F$41,IF(I$2=År2,Skovbrug!$G$21:$G$41,Skovbrug!$H$21:$H$41)),Skovbrug!$A$21:$A$41,'Direkte input'!$B201,Skovbrug!$B$21:$B$41,'Direkte input'!$E201))</f>
        <v>#VALUE!</v>
      </c>
    </row>
    <row r="202" spans="1:9" x14ac:dyDescent="0.25">
      <c r="A202" t="s">
        <v>23</v>
      </c>
      <c r="B202" t="s">
        <v>182</v>
      </c>
      <c r="D202" t="s">
        <v>182</v>
      </c>
      <c r="E202">
        <v>10</v>
      </c>
      <c r="F202" t="str">
        <f t="shared" si="16"/>
        <v>Areal-skovtype5-10</v>
      </c>
      <c r="G202" s="107">
        <f>IF($A202="Vestdanmark",SUMIFS(IF(G$2=År1,Skovbrug!$C$21:$C$41,IF(G$2=År2,Skovbrug!$D$21:$D$41,Skovbrug!$E$21:$E$41)),Skovbrug!$A$21:$A$41,'Direkte input'!$B202,Skovbrug!$B$21:$B$41,'Direkte input'!$E202),SUMIFS(IF(G$2=År1,Skovbrug!$F$21:$F$41,IF(G$2=År2,Skovbrug!$G$21:$G$41,Skovbrug!$H$21:$H$41)),Skovbrug!$A$21:$A$41,'Direkte input'!$B202,Skovbrug!$B$21:$B$41,'Direkte input'!$E202))</f>
        <v>0</v>
      </c>
      <c r="H202" s="107" t="e">
        <f>IF($A202="Vestdanmark",SUMIFS(IF(H$2=År1,Skovbrug!$C$21:$C$41,IF(H$2=År2,Skovbrug!$D$21:$D$41,Skovbrug!$E$21:$E$41)),Skovbrug!$A$21:$A$41,'Direkte input'!$B202,Skovbrug!$B$21:$B$41,'Direkte input'!$E202),SUMIFS(IF(H$2=År1,Skovbrug!$F$21:$F$41,IF(H$2=År2,Skovbrug!$G$21:$G$41,Skovbrug!$H$21:$H$41)),Skovbrug!$A$21:$A$41,'Direkte input'!$B202,Skovbrug!$B$21:$B$41,'Direkte input'!$E202))</f>
        <v>#VALUE!</v>
      </c>
      <c r="I202" s="107" t="e">
        <f>IF($A202="Vestdanmark",SUMIFS(IF(I$2=År1,Skovbrug!$C$21:$C$41,IF(I$2=År2,Skovbrug!$D$21:$D$41,Skovbrug!$E$21:$E$41)),Skovbrug!$A$21:$A$41,'Direkte input'!$B202,Skovbrug!$B$21:$B$41,'Direkte input'!$E202),SUMIFS(IF(I$2=År1,Skovbrug!$F$21:$F$41,IF(I$2=År2,Skovbrug!$G$21:$G$41,Skovbrug!$H$21:$H$41)),Skovbrug!$A$21:$A$41,'Direkte input'!$B202,Skovbrug!$B$21:$B$41,'Direkte input'!$E202))</f>
        <v>#VALUE!</v>
      </c>
    </row>
    <row r="203" spans="1:9" x14ac:dyDescent="0.25">
      <c r="A203" t="s">
        <v>23</v>
      </c>
      <c r="B203" t="s">
        <v>182</v>
      </c>
      <c r="D203" t="s">
        <v>182</v>
      </c>
      <c r="E203">
        <v>20</v>
      </c>
      <c r="F203" t="str">
        <f t="shared" si="16"/>
        <v>Areal-skovtype5-20</v>
      </c>
      <c r="G203" s="107">
        <f>IF($A203="Vestdanmark",SUMIFS(IF(G$2=År1,Skovbrug!$C$21:$C$41,IF(G$2=År2,Skovbrug!$D$21:$D$41,Skovbrug!$E$21:$E$41)),Skovbrug!$A$21:$A$41,'Direkte input'!$B203,Skovbrug!$B$21:$B$41,'Direkte input'!$E203),SUMIFS(IF(G$2=År1,Skovbrug!$F$21:$F$41,IF(G$2=År2,Skovbrug!$G$21:$G$41,Skovbrug!$H$21:$H$41)),Skovbrug!$A$21:$A$41,'Direkte input'!$B203,Skovbrug!$B$21:$B$41,'Direkte input'!$E203))</f>
        <v>0</v>
      </c>
      <c r="H203" s="107" t="e">
        <f>IF($A203="Vestdanmark",SUMIFS(IF(H$2=År1,Skovbrug!$C$21:$C$41,IF(H$2=År2,Skovbrug!$D$21:$D$41,Skovbrug!$E$21:$E$41)),Skovbrug!$A$21:$A$41,'Direkte input'!$B203,Skovbrug!$B$21:$B$41,'Direkte input'!$E203),SUMIFS(IF(H$2=År1,Skovbrug!$F$21:$F$41,IF(H$2=År2,Skovbrug!$G$21:$G$41,Skovbrug!$H$21:$H$41)),Skovbrug!$A$21:$A$41,'Direkte input'!$B203,Skovbrug!$B$21:$B$41,'Direkte input'!$E203))</f>
        <v>#VALUE!</v>
      </c>
      <c r="I203" s="107" t="e">
        <f>IF($A203="Vestdanmark",SUMIFS(IF(I$2=År1,Skovbrug!$C$21:$C$41,IF(I$2=År2,Skovbrug!$D$21:$D$41,Skovbrug!$E$21:$E$41)),Skovbrug!$A$21:$A$41,'Direkte input'!$B203,Skovbrug!$B$21:$B$41,'Direkte input'!$E203),SUMIFS(IF(I$2=År1,Skovbrug!$F$21:$F$41,IF(I$2=År2,Skovbrug!$G$21:$G$41,Skovbrug!$H$21:$H$41)),Skovbrug!$A$21:$A$41,'Direkte input'!$B203,Skovbrug!$B$21:$B$41,'Direkte input'!$E203))</f>
        <v>#VALUE!</v>
      </c>
    </row>
    <row r="204" spans="1:9" x14ac:dyDescent="0.25">
      <c r="A204" t="s">
        <v>23</v>
      </c>
      <c r="B204" t="s">
        <v>182</v>
      </c>
      <c r="D204" t="s">
        <v>182</v>
      </c>
      <c r="E204">
        <v>30</v>
      </c>
      <c r="F204" t="str">
        <f t="shared" si="16"/>
        <v>Areal-skovtype5-30</v>
      </c>
      <c r="G204" s="107">
        <f>IF($A204="Vestdanmark",SUMIFS(IF(G$2=År1,Skovbrug!$C$21:$C$41,IF(G$2=År2,Skovbrug!$D$21:$D$41,Skovbrug!$E$21:$E$41)),Skovbrug!$A$21:$A$41,'Direkte input'!$B204,Skovbrug!$B$21:$B$41,'Direkte input'!$E204),SUMIFS(IF(G$2=År1,Skovbrug!$F$21:$F$41,IF(G$2=År2,Skovbrug!$G$21:$G$41,Skovbrug!$H$21:$H$41)),Skovbrug!$A$21:$A$41,'Direkte input'!$B204,Skovbrug!$B$21:$B$41,'Direkte input'!$E204))</f>
        <v>0</v>
      </c>
      <c r="H204" s="107">
        <f>IF($A204="Vestdanmark",SUMIFS(IF(H$2=År1,Skovbrug!$C$21:$C$41,IF(H$2=År2,Skovbrug!$D$21:$D$41,Skovbrug!$E$21:$E$41)),Skovbrug!$A$21:$A$41,'Direkte input'!$B204,Skovbrug!$B$21:$B$41,'Direkte input'!$E204),SUMIFS(IF(H$2=År1,Skovbrug!$F$21:$F$41,IF(H$2=År2,Skovbrug!$G$21:$G$41,Skovbrug!$H$21:$H$41)),Skovbrug!$A$21:$A$41,'Direkte input'!$B204,Skovbrug!$B$21:$B$41,'Direkte input'!$E204))</f>
        <v>0</v>
      </c>
      <c r="I204" s="107" t="e">
        <f>IF($A204="Vestdanmark",SUMIFS(IF(I$2=År1,Skovbrug!$C$21:$C$41,IF(I$2=År2,Skovbrug!$D$21:$D$41,Skovbrug!$E$21:$E$41)),Skovbrug!$A$21:$A$41,'Direkte input'!$B204,Skovbrug!$B$21:$B$41,'Direkte input'!$E204),SUMIFS(IF(I$2=År1,Skovbrug!$F$21:$F$41,IF(I$2=År2,Skovbrug!$G$21:$G$41,Skovbrug!$H$21:$H$41)),Skovbrug!$A$21:$A$41,'Direkte input'!$B204,Skovbrug!$B$21:$B$41,'Direkte input'!$E204))</f>
        <v>#VALUE!</v>
      </c>
    </row>
    <row r="205" spans="1:9" x14ac:dyDescent="0.25">
      <c r="A205" t="s">
        <v>23</v>
      </c>
      <c r="B205" t="s">
        <v>182</v>
      </c>
      <c r="D205" t="s">
        <v>182</v>
      </c>
      <c r="E205">
        <v>40</v>
      </c>
      <c r="F205" t="str">
        <f t="shared" si="16"/>
        <v>Areal-skovtype5-40</v>
      </c>
      <c r="G205" s="107">
        <f>IF($A205="Vestdanmark",SUMIFS(IF(G$2=År1,Skovbrug!$C$21:$C$41,IF(G$2=År2,Skovbrug!$D$21:$D$41,Skovbrug!$E$21:$E$41)),Skovbrug!$A$21:$A$41,'Direkte input'!$B205,Skovbrug!$B$21:$B$41,'Direkte input'!$E205),SUMIFS(IF(G$2=År1,Skovbrug!$F$21:$F$41,IF(G$2=År2,Skovbrug!$G$21:$G$41,Skovbrug!$H$21:$H$41)),Skovbrug!$A$21:$A$41,'Direkte input'!$B205,Skovbrug!$B$21:$B$41,'Direkte input'!$E205))</f>
        <v>0</v>
      </c>
      <c r="H205" s="107">
        <f>IF($A205="Vestdanmark",SUMIFS(IF(H$2=År1,Skovbrug!$C$21:$C$41,IF(H$2=År2,Skovbrug!$D$21:$D$41,Skovbrug!$E$21:$E$41)),Skovbrug!$A$21:$A$41,'Direkte input'!$B205,Skovbrug!$B$21:$B$41,'Direkte input'!$E205),SUMIFS(IF(H$2=År1,Skovbrug!$F$21:$F$41,IF(H$2=År2,Skovbrug!$G$21:$G$41,Skovbrug!$H$21:$H$41)),Skovbrug!$A$21:$A$41,'Direkte input'!$B205,Skovbrug!$B$21:$B$41,'Direkte input'!$E205))</f>
        <v>0</v>
      </c>
      <c r="I205" s="107" t="e">
        <f>IF($A205="Vestdanmark",SUMIFS(IF(I$2=År1,Skovbrug!$C$21:$C$41,IF(I$2=År2,Skovbrug!$D$21:$D$41,Skovbrug!$E$21:$E$41)),Skovbrug!$A$21:$A$41,'Direkte input'!$B205,Skovbrug!$B$21:$B$41,'Direkte input'!$E205),SUMIFS(IF(I$2=År1,Skovbrug!$F$21:$F$41,IF(I$2=År2,Skovbrug!$G$21:$G$41,Skovbrug!$H$21:$H$41)),Skovbrug!$A$21:$A$41,'Direkte input'!$B205,Skovbrug!$B$21:$B$41,'Direkte input'!$E205))</f>
        <v>#VALUE!</v>
      </c>
    </row>
    <row r="206" spans="1:9" x14ac:dyDescent="0.25">
      <c r="A206" t="s">
        <v>24</v>
      </c>
      <c r="B206" t="s">
        <v>184</v>
      </c>
      <c r="D206" t="s">
        <v>184</v>
      </c>
      <c r="E206" t="s">
        <v>183</v>
      </c>
      <c r="F206" t="str">
        <f>CONCATENATE("Areal-",LOWER(B206))</f>
        <v>Areal-basisskov</v>
      </c>
      <c r="G206" s="107" t="e">
        <f>IF($A206="Vestdanmark",SUMIFS(IF(G$2=År1,Skovbrug!$C$21:$C$41,IF(G$2=År2,Skovbrug!$D$21:$D$41,Skovbrug!$E$21:$E$41)),Skovbrug!$A$21:$A$41,'Direkte input'!$B206,Skovbrug!$B$21:$B$41,'Direkte input'!$E206),SUMIFS(IF(G$2=År1,Skovbrug!$F$21:$F$41,IF(G$2=År2,Skovbrug!$G$21:$G$41,Skovbrug!$H$21:$H$41)),Skovbrug!$A$21:$A$41,'Direkte input'!$B206,Skovbrug!$B$21:$B$41,'Direkte input'!$E206))</f>
        <v>#VALUE!</v>
      </c>
      <c r="H206" s="107" t="e">
        <f>IF($A206="Vestdanmark",SUMIFS(IF(H$2=År1,Skovbrug!$C$21:$C$41,IF(H$2=År2,Skovbrug!$D$21:$D$41,Skovbrug!$E$21:$E$41)),Skovbrug!$A$21:$A$41,'Direkte input'!$B206,Skovbrug!$B$21:$B$41,'Direkte input'!$E206),SUMIFS(IF(H$2=År1,Skovbrug!$F$21:$F$41,IF(H$2=År2,Skovbrug!$G$21:$G$41,Skovbrug!$H$21:$H$41)),Skovbrug!$A$21:$A$41,'Direkte input'!$B206,Skovbrug!$B$21:$B$41,'Direkte input'!$E206))</f>
        <v>#VALUE!</v>
      </c>
      <c r="I206" s="107" t="e">
        <f>IF($A206="Vestdanmark",SUMIFS(IF(I$2=År1,Skovbrug!$C$21:$C$41,IF(I$2=År2,Skovbrug!$D$21:$D$41,Skovbrug!$E$21:$E$41)),Skovbrug!$A$21:$A$41,'Direkte input'!$B206,Skovbrug!$B$21:$B$41,'Direkte input'!$E206),SUMIFS(IF(I$2=År1,Skovbrug!$F$21:$F$41,IF(I$2=År2,Skovbrug!$G$21:$G$41,Skovbrug!$H$21:$H$41)),Skovbrug!$A$21:$A$41,'Direkte input'!$B206,Skovbrug!$B$21:$B$41,'Direkte input'!$E206))</f>
        <v>#VALUE!</v>
      </c>
    </row>
    <row r="207" spans="1:9" x14ac:dyDescent="0.25">
      <c r="A207" t="s">
        <v>24</v>
      </c>
      <c r="B207" t="s">
        <v>178</v>
      </c>
      <c r="D207" t="s">
        <v>178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IF($A207="Vestdanmark",SUMIFS(IF(G$2=År1,Skovbrug!$C$21:$C$41,IF(G$2=År2,Skovbrug!$D$21:$D$41,Skovbrug!$E$21:$E$41)),Skovbrug!$A$21:$A$41,'Direkte input'!$B207,Skovbrug!$B$21:$B$41,'Direkte input'!$E207),SUMIFS(IF(G$2=År1,Skovbrug!$F$21:$F$41,IF(G$2=År2,Skovbrug!$G$21:$G$41,Skovbrug!$H$21:$H$41)),Skovbrug!$A$21:$A$41,'Direkte input'!$B207,Skovbrug!$B$21:$B$41,'Direkte input'!$E207))</f>
        <v>0</v>
      </c>
      <c r="H207" s="107" t="e">
        <f>IF($A207="Vestdanmark",SUMIFS(IF(H$2=År1,Skovbrug!$C$21:$C$41,IF(H$2=År2,Skovbrug!$D$21:$D$41,Skovbrug!$E$21:$E$41)),Skovbrug!$A$21:$A$41,'Direkte input'!$B207,Skovbrug!$B$21:$B$41,'Direkte input'!$E207),SUMIFS(IF(H$2=År1,Skovbrug!$F$21:$F$41,IF(H$2=År2,Skovbrug!$G$21:$G$41,Skovbrug!$H$21:$H$41)),Skovbrug!$A$21:$A$41,'Direkte input'!$B207,Skovbrug!$B$21:$B$41,'Direkte input'!$E207))</f>
        <v>#VALUE!</v>
      </c>
      <c r="I207" s="107" t="e">
        <f>IF($A207="Vestdanmark",SUMIFS(IF(I$2=År1,Skovbrug!$C$21:$C$41,IF(I$2=År2,Skovbrug!$D$21:$D$41,Skovbrug!$E$21:$E$41)),Skovbrug!$A$21:$A$41,'Direkte input'!$B207,Skovbrug!$B$21:$B$41,'Direkte input'!$E207),SUMIFS(IF(I$2=År1,Skovbrug!$F$21:$F$41,IF(I$2=År2,Skovbrug!$G$21:$G$41,Skovbrug!$H$21:$H$41)),Skovbrug!$A$21:$A$41,'Direkte input'!$B207,Skovbrug!$B$21:$B$41,'Direkte input'!$E207))</f>
        <v>#VALUE!</v>
      </c>
    </row>
    <row r="208" spans="1:9" x14ac:dyDescent="0.25">
      <c r="A208" t="s">
        <v>24</v>
      </c>
      <c r="B208" t="s">
        <v>178</v>
      </c>
      <c r="D208" t="s">
        <v>178</v>
      </c>
      <c r="E208">
        <v>20</v>
      </c>
      <c r="F208" t="str">
        <f t="shared" si="17"/>
        <v>Areal-skovtype1-20</v>
      </c>
      <c r="G208" s="107">
        <f>IF($A208="Vestdanmark",SUMIFS(IF(G$2=År1,Skovbrug!$C$21:$C$41,IF(G$2=År2,Skovbrug!$D$21:$D$41,Skovbrug!$E$21:$E$41)),Skovbrug!$A$21:$A$41,'Direkte input'!$B208,Skovbrug!$B$21:$B$41,'Direkte input'!$E208),SUMIFS(IF(G$2=År1,Skovbrug!$F$21:$F$41,IF(G$2=År2,Skovbrug!$G$21:$G$41,Skovbrug!$H$21:$H$41)),Skovbrug!$A$21:$A$41,'Direkte input'!$B208,Skovbrug!$B$21:$B$41,'Direkte input'!$E208))</f>
        <v>0</v>
      </c>
      <c r="H208" s="107" t="e">
        <f>IF($A208="Vestdanmark",SUMIFS(IF(H$2=År1,Skovbrug!$C$21:$C$41,IF(H$2=År2,Skovbrug!$D$21:$D$41,Skovbrug!$E$21:$E$41)),Skovbrug!$A$21:$A$41,'Direkte input'!$B208,Skovbrug!$B$21:$B$41,'Direkte input'!$E208),SUMIFS(IF(H$2=År1,Skovbrug!$F$21:$F$41,IF(H$2=År2,Skovbrug!$G$21:$G$41,Skovbrug!$H$21:$H$41)),Skovbrug!$A$21:$A$41,'Direkte input'!$B208,Skovbrug!$B$21:$B$41,'Direkte input'!$E208))</f>
        <v>#VALUE!</v>
      </c>
      <c r="I208" s="107" t="e">
        <f>IF($A208="Vestdanmark",SUMIFS(IF(I$2=År1,Skovbrug!$C$21:$C$41,IF(I$2=År2,Skovbrug!$D$21:$D$41,Skovbrug!$E$21:$E$41)),Skovbrug!$A$21:$A$41,'Direkte input'!$B208,Skovbrug!$B$21:$B$41,'Direkte input'!$E208),SUMIFS(IF(I$2=År1,Skovbrug!$F$21:$F$41,IF(I$2=År2,Skovbrug!$G$21:$G$41,Skovbrug!$H$21:$H$41)),Skovbrug!$A$21:$A$41,'Direkte input'!$B208,Skovbrug!$B$21:$B$41,'Direkte input'!$E208))</f>
        <v>#VALUE!</v>
      </c>
    </row>
    <row r="209" spans="1:9" x14ac:dyDescent="0.25">
      <c r="A209" t="s">
        <v>24</v>
      </c>
      <c r="B209" t="s">
        <v>178</v>
      </c>
      <c r="D209" t="s">
        <v>178</v>
      </c>
      <c r="E209">
        <v>30</v>
      </c>
      <c r="F209" t="str">
        <f t="shared" si="17"/>
        <v>Areal-skovtype1-30</v>
      </c>
      <c r="G209" s="107">
        <f>IF($A209="Vestdanmark",SUMIFS(IF(G$2=År1,Skovbrug!$C$21:$C$41,IF(G$2=År2,Skovbrug!$D$21:$D$41,Skovbrug!$E$21:$E$41)),Skovbrug!$A$21:$A$41,'Direkte input'!$B209,Skovbrug!$B$21:$B$41,'Direkte input'!$E209),SUMIFS(IF(G$2=År1,Skovbrug!$F$21:$F$41,IF(G$2=År2,Skovbrug!$G$21:$G$41,Skovbrug!$H$21:$H$41)),Skovbrug!$A$21:$A$41,'Direkte input'!$B209,Skovbrug!$B$21:$B$41,'Direkte input'!$E209))</f>
        <v>0</v>
      </c>
      <c r="H209" s="107">
        <f>IF($A209="Vestdanmark",SUMIFS(IF(H$2=År1,Skovbrug!$C$21:$C$41,IF(H$2=År2,Skovbrug!$D$21:$D$41,Skovbrug!$E$21:$E$41)),Skovbrug!$A$21:$A$41,'Direkte input'!$B209,Skovbrug!$B$21:$B$41,'Direkte input'!$E209),SUMIFS(IF(H$2=År1,Skovbrug!$F$21:$F$41,IF(H$2=År2,Skovbrug!$G$21:$G$41,Skovbrug!$H$21:$H$41)),Skovbrug!$A$21:$A$41,'Direkte input'!$B209,Skovbrug!$B$21:$B$41,'Direkte input'!$E209))</f>
        <v>0</v>
      </c>
      <c r="I209" s="107" t="e">
        <f>IF($A209="Vestdanmark",SUMIFS(IF(I$2=År1,Skovbrug!$C$21:$C$41,IF(I$2=År2,Skovbrug!$D$21:$D$41,Skovbrug!$E$21:$E$41)),Skovbrug!$A$21:$A$41,'Direkte input'!$B209,Skovbrug!$B$21:$B$41,'Direkte input'!$E209),SUMIFS(IF(I$2=År1,Skovbrug!$F$21:$F$41,IF(I$2=År2,Skovbrug!$G$21:$G$41,Skovbrug!$H$21:$H$41)),Skovbrug!$A$21:$A$41,'Direkte input'!$B209,Skovbrug!$B$21:$B$41,'Direkte input'!$E209))</f>
        <v>#VALUE!</v>
      </c>
    </row>
    <row r="210" spans="1:9" x14ac:dyDescent="0.25">
      <c r="A210" t="s">
        <v>24</v>
      </c>
      <c r="B210" t="s">
        <v>178</v>
      </c>
      <c r="D210" t="s">
        <v>178</v>
      </c>
      <c r="E210">
        <v>40</v>
      </c>
      <c r="F210" t="str">
        <f t="shared" si="17"/>
        <v>Areal-skovtype1-40</v>
      </c>
      <c r="G210" s="107">
        <f>IF($A210="Vestdanmark",SUMIFS(IF(G$2=År1,Skovbrug!$C$21:$C$41,IF(G$2=År2,Skovbrug!$D$21:$D$41,Skovbrug!$E$21:$E$41)),Skovbrug!$A$21:$A$41,'Direkte input'!$B210,Skovbrug!$B$21:$B$41,'Direkte input'!$E210),SUMIFS(IF(G$2=År1,Skovbrug!$F$21:$F$41,IF(G$2=År2,Skovbrug!$G$21:$G$41,Skovbrug!$H$21:$H$41)),Skovbrug!$A$21:$A$41,'Direkte input'!$B210,Skovbrug!$B$21:$B$41,'Direkte input'!$E210))</f>
        <v>0</v>
      </c>
      <c r="H210" s="107">
        <f>IF($A210="Vestdanmark",SUMIFS(IF(H$2=År1,Skovbrug!$C$21:$C$41,IF(H$2=År2,Skovbrug!$D$21:$D$41,Skovbrug!$E$21:$E$41)),Skovbrug!$A$21:$A$41,'Direkte input'!$B210,Skovbrug!$B$21:$B$41,'Direkte input'!$E210),SUMIFS(IF(H$2=År1,Skovbrug!$F$21:$F$41,IF(H$2=År2,Skovbrug!$G$21:$G$41,Skovbrug!$H$21:$H$41)),Skovbrug!$A$21:$A$41,'Direkte input'!$B210,Skovbrug!$B$21:$B$41,'Direkte input'!$E210))</f>
        <v>0</v>
      </c>
      <c r="I210" s="107" t="e">
        <f>IF($A210="Vestdanmark",SUMIFS(IF(I$2=År1,Skovbrug!$C$21:$C$41,IF(I$2=År2,Skovbrug!$D$21:$D$41,Skovbrug!$E$21:$E$41)),Skovbrug!$A$21:$A$41,'Direkte input'!$B210,Skovbrug!$B$21:$B$41,'Direkte input'!$E210),SUMIFS(IF(I$2=År1,Skovbrug!$F$21:$F$41,IF(I$2=År2,Skovbrug!$G$21:$G$41,Skovbrug!$H$21:$H$41)),Skovbrug!$A$21:$A$41,'Direkte input'!$B210,Skovbrug!$B$21:$B$41,'Direkte input'!$E210))</f>
        <v>#VALUE!</v>
      </c>
    </row>
    <row r="211" spans="1:9" x14ac:dyDescent="0.25">
      <c r="A211" t="s">
        <v>24</v>
      </c>
      <c r="B211" t="s">
        <v>179</v>
      </c>
      <c r="D211" t="s">
        <v>179</v>
      </c>
      <c r="E211">
        <v>10</v>
      </c>
      <c r="F211" t="str">
        <f t="shared" si="17"/>
        <v>Areal-skovtype2-10</v>
      </c>
      <c r="G211" s="107">
        <f>IF($A211="Vestdanmark",SUMIFS(IF(G$2=År1,Skovbrug!$C$21:$C$41,IF(G$2=År2,Skovbrug!$D$21:$D$41,Skovbrug!$E$21:$E$41)),Skovbrug!$A$21:$A$41,'Direkte input'!$B211,Skovbrug!$B$21:$B$41,'Direkte input'!$E211),SUMIFS(IF(G$2=År1,Skovbrug!$F$21:$F$41,IF(G$2=År2,Skovbrug!$G$21:$G$41,Skovbrug!$H$21:$H$41)),Skovbrug!$A$21:$A$41,'Direkte input'!$B211,Skovbrug!$B$21:$B$41,'Direkte input'!$E211))</f>
        <v>0</v>
      </c>
      <c r="H211" s="107" t="e">
        <f>IF($A211="Vestdanmark",SUMIFS(IF(H$2=År1,Skovbrug!$C$21:$C$41,IF(H$2=År2,Skovbrug!$D$21:$D$41,Skovbrug!$E$21:$E$41)),Skovbrug!$A$21:$A$41,'Direkte input'!$B211,Skovbrug!$B$21:$B$41,'Direkte input'!$E211),SUMIFS(IF(H$2=År1,Skovbrug!$F$21:$F$41,IF(H$2=År2,Skovbrug!$G$21:$G$41,Skovbrug!$H$21:$H$41)),Skovbrug!$A$21:$A$41,'Direkte input'!$B211,Skovbrug!$B$21:$B$41,'Direkte input'!$E211))</f>
        <v>#VALUE!</v>
      </c>
      <c r="I211" s="107" t="e">
        <f>IF($A211="Vestdanmark",SUMIFS(IF(I$2=År1,Skovbrug!$C$21:$C$41,IF(I$2=År2,Skovbrug!$D$21:$D$41,Skovbrug!$E$21:$E$41)),Skovbrug!$A$21:$A$41,'Direkte input'!$B211,Skovbrug!$B$21:$B$41,'Direkte input'!$E211),SUMIFS(IF(I$2=År1,Skovbrug!$F$21:$F$41,IF(I$2=År2,Skovbrug!$G$21:$G$41,Skovbrug!$H$21:$H$41)),Skovbrug!$A$21:$A$41,'Direkte input'!$B211,Skovbrug!$B$21:$B$41,'Direkte input'!$E211))</f>
        <v>#VALUE!</v>
      </c>
    </row>
    <row r="212" spans="1:9" x14ac:dyDescent="0.25">
      <c r="A212" t="s">
        <v>24</v>
      </c>
      <c r="B212" t="s">
        <v>179</v>
      </c>
      <c r="D212" t="s">
        <v>179</v>
      </c>
      <c r="E212">
        <v>20</v>
      </c>
      <c r="F212" t="str">
        <f t="shared" si="17"/>
        <v>Areal-skovtype2-20</v>
      </c>
      <c r="G212" s="107">
        <f>IF($A212="Vestdanmark",SUMIFS(IF(G$2=År1,Skovbrug!$C$21:$C$41,IF(G$2=År2,Skovbrug!$D$21:$D$41,Skovbrug!$E$21:$E$41)),Skovbrug!$A$21:$A$41,'Direkte input'!$B212,Skovbrug!$B$21:$B$41,'Direkte input'!$E212),SUMIFS(IF(G$2=År1,Skovbrug!$F$21:$F$41,IF(G$2=År2,Skovbrug!$G$21:$G$41,Skovbrug!$H$21:$H$41)),Skovbrug!$A$21:$A$41,'Direkte input'!$B212,Skovbrug!$B$21:$B$41,'Direkte input'!$E212))</f>
        <v>0</v>
      </c>
      <c r="H212" s="107" t="e">
        <f>IF($A212="Vestdanmark",SUMIFS(IF(H$2=År1,Skovbrug!$C$21:$C$41,IF(H$2=År2,Skovbrug!$D$21:$D$41,Skovbrug!$E$21:$E$41)),Skovbrug!$A$21:$A$41,'Direkte input'!$B212,Skovbrug!$B$21:$B$41,'Direkte input'!$E212),SUMIFS(IF(H$2=År1,Skovbrug!$F$21:$F$41,IF(H$2=År2,Skovbrug!$G$21:$G$41,Skovbrug!$H$21:$H$41)),Skovbrug!$A$21:$A$41,'Direkte input'!$B212,Skovbrug!$B$21:$B$41,'Direkte input'!$E212))</f>
        <v>#VALUE!</v>
      </c>
      <c r="I212" s="107" t="e">
        <f>IF($A212="Vestdanmark",SUMIFS(IF(I$2=År1,Skovbrug!$C$21:$C$41,IF(I$2=År2,Skovbrug!$D$21:$D$41,Skovbrug!$E$21:$E$41)),Skovbrug!$A$21:$A$41,'Direkte input'!$B212,Skovbrug!$B$21:$B$41,'Direkte input'!$E212),SUMIFS(IF(I$2=År1,Skovbrug!$F$21:$F$41,IF(I$2=År2,Skovbrug!$G$21:$G$41,Skovbrug!$H$21:$H$41)),Skovbrug!$A$21:$A$41,'Direkte input'!$B212,Skovbrug!$B$21:$B$41,'Direkte input'!$E212))</f>
        <v>#VALUE!</v>
      </c>
    </row>
    <row r="213" spans="1:9" x14ac:dyDescent="0.25">
      <c r="A213" t="s">
        <v>24</v>
      </c>
      <c r="B213" t="s">
        <v>179</v>
      </c>
      <c r="D213" t="s">
        <v>179</v>
      </c>
      <c r="E213">
        <v>30</v>
      </c>
      <c r="F213" t="str">
        <f t="shared" si="17"/>
        <v>Areal-skovtype2-30</v>
      </c>
      <c r="G213" s="107">
        <f>IF($A213="Vestdanmark",SUMIFS(IF(G$2=År1,Skovbrug!$C$21:$C$41,IF(G$2=År2,Skovbrug!$D$21:$D$41,Skovbrug!$E$21:$E$41)),Skovbrug!$A$21:$A$41,'Direkte input'!$B213,Skovbrug!$B$21:$B$41,'Direkte input'!$E213),SUMIFS(IF(G$2=År1,Skovbrug!$F$21:$F$41,IF(G$2=År2,Skovbrug!$G$21:$G$41,Skovbrug!$H$21:$H$41)),Skovbrug!$A$21:$A$41,'Direkte input'!$B213,Skovbrug!$B$21:$B$41,'Direkte input'!$E213))</f>
        <v>0</v>
      </c>
      <c r="H213" s="107">
        <f>IF($A213="Vestdanmark",SUMIFS(IF(H$2=År1,Skovbrug!$C$21:$C$41,IF(H$2=År2,Skovbrug!$D$21:$D$41,Skovbrug!$E$21:$E$41)),Skovbrug!$A$21:$A$41,'Direkte input'!$B213,Skovbrug!$B$21:$B$41,'Direkte input'!$E213),SUMIFS(IF(H$2=År1,Skovbrug!$F$21:$F$41,IF(H$2=År2,Skovbrug!$G$21:$G$41,Skovbrug!$H$21:$H$41)),Skovbrug!$A$21:$A$41,'Direkte input'!$B213,Skovbrug!$B$21:$B$41,'Direkte input'!$E213))</f>
        <v>0</v>
      </c>
      <c r="I213" s="107" t="e">
        <f>IF($A213="Vestdanmark",SUMIFS(IF(I$2=År1,Skovbrug!$C$21:$C$41,IF(I$2=År2,Skovbrug!$D$21:$D$41,Skovbrug!$E$21:$E$41)),Skovbrug!$A$21:$A$41,'Direkte input'!$B213,Skovbrug!$B$21:$B$41,'Direkte input'!$E213),SUMIFS(IF(I$2=År1,Skovbrug!$F$21:$F$41,IF(I$2=År2,Skovbrug!$G$21:$G$41,Skovbrug!$H$21:$H$41)),Skovbrug!$A$21:$A$41,'Direkte input'!$B213,Skovbrug!$B$21:$B$41,'Direkte input'!$E213))</f>
        <v>#VALUE!</v>
      </c>
    </row>
    <row r="214" spans="1:9" x14ac:dyDescent="0.25">
      <c r="A214" t="s">
        <v>24</v>
      </c>
      <c r="B214" t="s">
        <v>179</v>
      </c>
      <c r="D214" t="s">
        <v>179</v>
      </c>
      <c r="E214">
        <v>40</v>
      </c>
      <c r="F214" t="str">
        <f t="shared" si="17"/>
        <v>Areal-skovtype2-40</v>
      </c>
      <c r="G214" s="107">
        <f>IF($A214="Vestdanmark",SUMIFS(IF(G$2=År1,Skovbrug!$C$21:$C$41,IF(G$2=År2,Skovbrug!$D$21:$D$41,Skovbrug!$E$21:$E$41)),Skovbrug!$A$21:$A$41,'Direkte input'!$B214,Skovbrug!$B$21:$B$41,'Direkte input'!$E214),SUMIFS(IF(G$2=År1,Skovbrug!$F$21:$F$41,IF(G$2=År2,Skovbrug!$G$21:$G$41,Skovbrug!$H$21:$H$41)),Skovbrug!$A$21:$A$41,'Direkte input'!$B214,Skovbrug!$B$21:$B$41,'Direkte input'!$E214))</f>
        <v>0</v>
      </c>
      <c r="H214" s="107">
        <f>IF($A214="Vestdanmark",SUMIFS(IF(H$2=År1,Skovbrug!$C$21:$C$41,IF(H$2=År2,Skovbrug!$D$21:$D$41,Skovbrug!$E$21:$E$41)),Skovbrug!$A$21:$A$41,'Direkte input'!$B214,Skovbrug!$B$21:$B$41,'Direkte input'!$E214),SUMIFS(IF(H$2=År1,Skovbrug!$F$21:$F$41,IF(H$2=År2,Skovbrug!$G$21:$G$41,Skovbrug!$H$21:$H$41)),Skovbrug!$A$21:$A$41,'Direkte input'!$B214,Skovbrug!$B$21:$B$41,'Direkte input'!$E214))</f>
        <v>0</v>
      </c>
      <c r="I214" s="107" t="e">
        <f>IF($A214="Vestdanmark",SUMIFS(IF(I$2=År1,Skovbrug!$C$21:$C$41,IF(I$2=År2,Skovbrug!$D$21:$D$41,Skovbrug!$E$21:$E$41)),Skovbrug!$A$21:$A$41,'Direkte input'!$B214,Skovbrug!$B$21:$B$41,'Direkte input'!$E214),SUMIFS(IF(I$2=År1,Skovbrug!$F$21:$F$41,IF(I$2=År2,Skovbrug!$G$21:$G$41,Skovbrug!$H$21:$H$41)),Skovbrug!$A$21:$A$41,'Direkte input'!$B214,Skovbrug!$B$21:$B$41,'Direkte input'!$E214))</f>
        <v>#VALUE!</v>
      </c>
    </row>
    <row r="215" spans="1:9" x14ac:dyDescent="0.25">
      <c r="A215" t="s">
        <v>24</v>
      </c>
      <c r="B215" t="s">
        <v>180</v>
      </c>
      <c r="D215" t="s">
        <v>180</v>
      </c>
      <c r="E215">
        <v>10</v>
      </c>
      <c r="F215" t="str">
        <f t="shared" si="17"/>
        <v>Areal-skovtype3-10</v>
      </c>
      <c r="G215" s="107">
        <f>IF($A215="Vestdanmark",SUMIFS(IF(G$2=År1,Skovbrug!$C$21:$C$41,IF(G$2=År2,Skovbrug!$D$21:$D$41,Skovbrug!$E$21:$E$41)),Skovbrug!$A$21:$A$41,'Direkte input'!$B215,Skovbrug!$B$21:$B$41,'Direkte input'!$E215),SUMIFS(IF(G$2=År1,Skovbrug!$F$21:$F$41,IF(G$2=År2,Skovbrug!$G$21:$G$41,Skovbrug!$H$21:$H$41)),Skovbrug!$A$21:$A$41,'Direkte input'!$B215,Skovbrug!$B$21:$B$41,'Direkte input'!$E215))</f>
        <v>0</v>
      </c>
      <c r="H215" s="107" t="e">
        <f>IF($A215="Vestdanmark",SUMIFS(IF(H$2=År1,Skovbrug!$C$21:$C$41,IF(H$2=År2,Skovbrug!$D$21:$D$41,Skovbrug!$E$21:$E$41)),Skovbrug!$A$21:$A$41,'Direkte input'!$B215,Skovbrug!$B$21:$B$41,'Direkte input'!$E215),SUMIFS(IF(H$2=År1,Skovbrug!$F$21:$F$41,IF(H$2=År2,Skovbrug!$G$21:$G$41,Skovbrug!$H$21:$H$41)),Skovbrug!$A$21:$A$41,'Direkte input'!$B215,Skovbrug!$B$21:$B$41,'Direkte input'!$E215))</f>
        <v>#VALUE!</v>
      </c>
      <c r="I215" s="107" t="e">
        <f>IF($A215="Vestdanmark",SUMIFS(IF(I$2=År1,Skovbrug!$C$21:$C$41,IF(I$2=År2,Skovbrug!$D$21:$D$41,Skovbrug!$E$21:$E$41)),Skovbrug!$A$21:$A$41,'Direkte input'!$B215,Skovbrug!$B$21:$B$41,'Direkte input'!$E215),SUMIFS(IF(I$2=År1,Skovbrug!$F$21:$F$41,IF(I$2=År2,Skovbrug!$G$21:$G$41,Skovbrug!$H$21:$H$41)),Skovbrug!$A$21:$A$41,'Direkte input'!$B215,Skovbrug!$B$21:$B$41,'Direkte input'!$E215))</f>
        <v>#VALUE!</v>
      </c>
    </row>
    <row r="216" spans="1:9" x14ac:dyDescent="0.25">
      <c r="A216" t="s">
        <v>24</v>
      </c>
      <c r="B216" t="s">
        <v>180</v>
      </c>
      <c r="D216" t="s">
        <v>180</v>
      </c>
      <c r="E216">
        <v>20</v>
      </c>
      <c r="F216" t="str">
        <f t="shared" si="17"/>
        <v>Areal-skovtype3-20</v>
      </c>
      <c r="G216" s="107">
        <f>IF($A216="Vestdanmark",SUMIFS(IF(G$2=År1,Skovbrug!$C$21:$C$41,IF(G$2=År2,Skovbrug!$D$21:$D$41,Skovbrug!$E$21:$E$41)),Skovbrug!$A$21:$A$41,'Direkte input'!$B216,Skovbrug!$B$21:$B$41,'Direkte input'!$E216),SUMIFS(IF(G$2=År1,Skovbrug!$F$21:$F$41,IF(G$2=År2,Skovbrug!$G$21:$G$41,Skovbrug!$H$21:$H$41)),Skovbrug!$A$21:$A$41,'Direkte input'!$B216,Skovbrug!$B$21:$B$41,'Direkte input'!$E216))</f>
        <v>0</v>
      </c>
      <c r="H216" s="107" t="e">
        <f>IF($A216="Vestdanmark",SUMIFS(IF(H$2=År1,Skovbrug!$C$21:$C$41,IF(H$2=År2,Skovbrug!$D$21:$D$41,Skovbrug!$E$21:$E$41)),Skovbrug!$A$21:$A$41,'Direkte input'!$B216,Skovbrug!$B$21:$B$41,'Direkte input'!$E216),SUMIFS(IF(H$2=År1,Skovbrug!$F$21:$F$41,IF(H$2=År2,Skovbrug!$G$21:$G$41,Skovbrug!$H$21:$H$41)),Skovbrug!$A$21:$A$41,'Direkte input'!$B216,Skovbrug!$B$21:$B$41,'Direkte input'!$E216))</f>
        <v>#VALUE!</v>
      </c>
      <c r="I216" s="107" t="e">
        <f>IF($A216="Vestdanmark",SUMIFS(IF(I$2=År1,Skovbrug!$C$21:$C$41,IF(I$2=År2,Skovbrug!$D$21:$D$41,Skovbrug!$E$21:$E$41)),Skovbrug!$A$21:$A$41,'Direkte input'!$B216,Skovbrug!$B$21:$B$41,'Direkte input'!$E216),SUMIFS(IF(I$2=År1,Skovbrug!$F$21:$F$41,IF(I$2=År2,Skovbrug!$G$21:$G$41,Skovbrug!$H$21:$H$41)),Skovbrug!$A$21:$A$41,'Direkte input'!$B216,Skovbrug!$B$21:$B$41,'Direkte input'!$E216))</f>
        <v>#VALUE!</v>
      </c>
    </row>
    <row r="217" spans="1:9" x14ac:dyDescent="0.25">
      <c r="A217" t="s">
        <v>24</v>
      </c>
      <c r="B217" t="s">
        <v>180</v>
      </c>
      <c r="D217" t="s">
        <v>180</v>
      </c>
      <c r="E217">
        <v>30</v>
      </c>
      <c r="F217" t="str">
        <f t="shared" si="17"/>
        <v>Areal-skovtype3-30</v>
      </c>
      <c r="G217" s="107">
        <f>IF($A217="Vestdanmark",SUMIFS(IF(G$2=År1,Skovbrug!$C$21:$C$41,IF(G$2=År2,Skovbrug!$D$21:$D$41,Skovbrug!$E$21:$E$41)),Skovbrug!$A$21:$A$41,'Direkte input'!$B217,Skovbrug!$B$21:$B$41,'Direkte input'!$E217),SUMIFS(IF(G$2=År1,Skovbrug!$F$21:$F$41,IF(G$2=År2,Skovbrug!$G$21:$G$41,Skovbrug!$H$21:$H$41)),Skovbrug!$A$21:$A$41,'Direkte input'!$B217,Skovbrug!$B$21:$B$41,'Direkte input'!$E217))</f>
        <v>0</v>
      </c>
      <c r="H217" s="107">
        <f>IF($A217="Vestdanmark",SUMIFS(IF(H$2=År1,Skovbrug!$C$21:$C$41,IF(H$2=År2,Skovbrug!$D$21:$D$41,Skovbrug!$E$21:$E$41)),Skovbrug!$A$21:$A$41,'Direkte input'!$B217,Skovbrug!$B$21:$B$41,'Direkte input'!$E217),SUMIFS(IF(H$2=År1,Skovbrug!$F$21:$F$41,IF(H$2=År2,Skovbrug!$G$21:$G$41,Skovbrug!$H$21:$H$41)),Skovbrug!$A$21:$A$41,'Direkte input'!$B217,Skovbrug!$B$21:$B$41,'Direkte input'!$E217))</f>
        <v>0</v>
      </c>
      <c r="I217" s="107" t="e">
        <f>IF($A217="Vestdanmark",SUMIFS(IF(I$2=År1,Skovbrug!$C$21:$C$41,IF(I$2=År2,Skovbrug!$D$21:$D$41,Skovbrug!$E$21:$E$41)),Skovbrug!$A$21:$A$41,'Direkte input'!$B217,Skovbrug!$B$21:$B$41,'Direkte input'!$E217),SUMIFS(IF(I$2=År1,Skovbrug!$F$21:$F$41,IF(I$2=År2,Skovbrug!$G$21:$G$41,Skovbrug!$H$21:$H$41)),Skovbrug!$A$21:$A$41,'Direkte input'!$B217,Skovbrug!$B$21:$B$41,'Direkte input'!$E217))</f>
        <v>#VALUE!</v>
      </c>
    </row>
    <row r="218" spans="1:9" x14ac:dyDescent="0.25">
      <c r="A218" t="s">
        <v>24</v>
      </c>
      <c r="B218" t="s">
        <v>180</v>
      </c>
      <c r="D218" t="s">
        <v>180</v>
      </c>
      <c r="E218">
        <v>40</v>
      </c>
      <c r="F218" t="str">
        <f t="shared" si="17"/>
        <v>Areal-skovtype3-40</v>
      </c>
      <c r="G218" s="107">
        <f>IF($A218="Vestdanmark",SUMIFS(IF(G$2=År1,Skovbrug!$C$21:$C$41,IF(G$2=År2,Skovbrug!$D$21:$D$41,Skovbrug!$E$21:$E$41)),Skovbrug!$A$21:$A$41,'Direkte input'!$B218,Skovbrug!$B$21:$B$41,'Direkte input'!$E218),SUMIFS(IF(G$2=År1,Skovbrug!$F$21:$F$41,IF(G$2=År2,Skovbrug!$G$21:$G$41,Skovbrug!$H$21:$H$41)),Skovbrug!$A$21:$A$41,'Direkte input'!$B218,Skovbrug!$B$21:$B$41,'Direkte input'!$E218))</f>
        <v>0</v>
      </c>
      <c r="H218" s="107">
        <f>IF($A218="Vestdanmark",SUMIFS(IF(H$2=År1,Skovbrug!$C$21:$C$41,IF(H$2=År2,Skovbrug!$D$21:$D$41,Skovbrug!$E$21:$E$41)),Skovbrug!$A$21:$A$41,'Direkte input'!$B218,Skovbrug!$B$21:$B$41,'Direkte input'!$E218),SUMIFS(IF(H$2=År1,Skovbrug!$F$21:$F$41,IF(H$2=År2,Skovbrug!$G$21:$G$41,Skovbrug!$H$21:$H$41)),Skovbrug!$A$21:$A$41,'Direkte input'!$B218,Skovbrug!$B$21:$B$41,'Direkte input'!$E218))</f>
        <v>0</v>
      </c>
      <c r="I218" s="107" t="e">
        <f>IF($A218="Vestdanmark",SUMIFS(IF(I$2=År1,Skovbrug!$C$21:$C$41,IF(I$2=År2,Skovbrug!$D$21:$D$41,Skovbrug!$E$21:$E$41)),Skovbrug!$A$21:$A$41,'Direkte input'!$B218,Skovbrug!$B$21:$B$41,'Direkte input'!$E218),SUMIFS(IF(I$2=År1,Skovbrug!$F$21:$F$41,IF(I$2=År2,Skovbrug!$G$21:$G$41,Skovbrug!$H$21:$H$41)),Skovbrug!$A$21:$A$41,'Direkte input'!$B218,Skovbrug!$B$21:$B$41,'Direkte input'!$E218))</f>
        <v>#VALUE!</v>
      </c>
    </row>
    <row r="219" spans="1:9" x14ac:dyDescent="0.25">
      <c r="A219" t="s">
        <v>24</v>
      </c>
      <c r="B219" t="s">
        <v>181</v>
      </c>
      <c r="D219" t="s">
        <v>181</v>
      </c>
      <c r="E219">
        <v>10</v>
      </c>
      <c r="F219" t="str">
        <f t="shared" si="17"/>
        <v>Areal-skovtype4-10</v>
      </c>
      <c r="G219" s="107">
        <f>IF($A219="Vestdanmark",SUMIFS(IF(G$2=År1,Skovbrug!$C$21:$C$41,IF(G$2=År2,Skovbrug!$D$21:$D$41,Skovbrug!$E$21:$E$41)),Skovbrug!$A$21:$A$41,'Direkte input'!$B219,Skovbrug!$B$21:$B$41,'Direkte input'!$E219),SUMIFS(IF(G$2=År1,Skovbrug!$F$21:$F$41,IF(G$2=År2,Skovbrug!$G$21:$G$41,Skovbrug!$H$21:$H$41)),Skovbrug!$A$21:$A$41,'Direkte input'!$B219,Skovbrug!$B$21:$B$41,'Direkte input'!$E219))</f>
        <v>0</v>
      </c>
      <c r="H219" s="107" t="e">
        <f>IF($A219="Vestdanmark",SUMIFS(IF(H$2=År1,Skovbrug!$C$21:$C$41,IF(H$2=År2,Skovbrug!$D$21:$D$41,Skovbrug!$E$21:$E$41)),Skovbrug!$A$21:$A$41,'Direkte input'!$B219,Skovbrug!$B$21:$B$41,'Direkte input'!$E219),SUMIFS(IF(H$2=År1,Skovbrug!$F$21:$F$41,IF(H$2=År2,Skovbrug!$G$21:$G$41,Skovbrug!$H$21:$H$41)),Skovbrug!$A$21:$A$41,'Direkte input'!$B219,Skovbrug!$B$21:$B$41,'Direkte input'!$E219))</f>
        <v>#VALUE!</v>
      </c>
      <c r="I219" s="107" t="e">
        <f>IF($A219="Vestdanmark",SUMIFS(IF(I$2=År1,Skovbrug!$C$21:$C$41,IF(I$2=År2,Skovbrug!$D$21:$D$41,Skovbrug!$E$21:$E$41)),Skovbrug!$A$21:$A$41,'Direkte input'!$B219,Skovbrug!$B$21:$B$41,'Direkte input'!$E219),SUMIFS(IF(I$2=År1,Skovbrug!$F$21:$F$41,IF(I$2=År2,Skovbrug!$G$21:$G$41,Skovbrug!$H$21:$H$41)),Skovbrug!$A$21:$A$41,'Direkte input'!$B219,Skovbrug!$B$21:$B$41,'Direkte input'!$E219))</f>
        <v>#VALUE!</v>
      </c>
    </row>
    <row r="220" spans="1:9" x14ac:dyDescent="0.25">
      <c r="A220" t="s">
        <v>24</v>
      </c>
      <c r="B220" t="s">
        <v>181</v>
      </c>
      <c r="D220" t="s">
        <v>181</v>
      </c>
      <c r="E220">
        <v>20</v>
      </c>
      <c r="F220" t="str">
        <f t="shared" si="17"/>
        <v>Areal-skovtype4-20</v>
      </c>
      <c r="G220" s="107">
        <f>IF($A220="Vestdanmark",SUMIFS(IF(G$2=År1,Skovbrug!$C$21:$C$41,IF(G$2=År2,Skovbrug!$D$21:$D$41,Skovbrug!$E$21:$E$41)),Skovbrug!$A$21:$A$41,'Direkte input'!$B220,Skovbrug!$B$21:$B$41,'Direkte input'!$E220),SUMIFS(IF(G$2=År1,Skovbrug!$F$21:$F$41,IF(G$2=År2,Skovbrug!$G$21:$G$41,Skovbrug!$H$21:$H$41)),Skovbrug!$A$21:$A$41,'Direkte input'!$B220,Skovbrug!$B$21:$B$41,'Direkte input'!$E220))</f>
        <v>0</v>
      </c>
      <c r="H220" s="107" t="e">
        <f>IF($A220="Vestdanmark",SUMIFS(IF(H$2=År1,Skovbrug!$C$21:$C$41,IF(H$2=År2,Skovbrug!$D$21:$D$41,Skovbrug!$E$21:$E$41)),Skovbrug!$A$21:$A$41,'Direkte input'!$B220,Skovbrug!$B$21:$B$41,'Direkte input'!$E220),SUMIFS(IF(H$2=År1,Skovbrug!$F$21:$F$41,IF(H$2=År2,Skovbrug!$G$21:$G$41,Skovbrug!$H$21:$H$41)),Skovbrug!$A$21:$A$41,'Direkte input'!$B220,Skovbrug!$B$21:$B$41,'Direkte input'!$E220))</f>
        <v>#VALUE!</v>
      </c>
      <c r="I220" s="107" t="e">
        <f>IF($A220="Vestdanmark",SUMIFS(IF(I$2=År1,Skovbrug!$C$21:$C$41,IF(I$2=År2,Skovbrug!$D$21:$D$41,Skovbrug!$E$21:$E$41)),Skovbrug!$A$21:$A$41,'Direkte input'!$B220,Skovbrug!$B$21:$B$41,'Direkte input'!$E220),SUMIFS(IF(I$2=År1,Skovbrug!$F$21:$F$41,IF(I$2=År2,Skovbrug!$G$21:$G$41,Skovbrug!$H$21:$H$41)),Skovbrug!$A$21:$A$41,'Direkte input'!$B220,Skovbrug!$B$21:$B$41,'Direkte input'!$E220))</f>
        <v>#VALUE!</v>
      </c>
    </row>
    <row r="221" spans="1:9" x14ac:dyDescent="0.25">
      <c r="A221" t="s">
        <v>24</v>
      </c>
      <c r="B221" t="s">
        <v>181</v>
      </c>
      <c r="D221" t="s">
        <v>181</v>
      </c>
      <c r="E221">
        <v>30</v>
      </c>
      <c r="F221" t="str">
        <f t="shared" si="17"/>
        <v>Areal-skovtype4-30</v>
      </c>
      <c r="G221" s="107">
        <f>IF($A221="Vestdanmark",SUMIFS(IF(G$2=År1,Skovbrug!$C$21:$C$41,IF(G$2=År2,Skovbrug!$D$21:$D$41,Skovbrug!$E$21:$E$41)),Skovbrug!$A$21:$A$41,'Direkte input'!$B221,Skovbrug!$B$21:$B$41,'Direkte input'!$E221),SUMIFS(IF(G$2=År1,Skovbrug!$F$21:$F$41,IF(G$2=År2,Skovbrug!$G$21:$G$41,Skovbrug!$H$21:$H$41)),Skovbrug!$A$21:$A$41,'Direkte input'!$B221,Skovbrug!$B$21:$B$41,'Direkte input'!$E221))</f>
        <v>0</v>
      </c>
      <c r="H221" s="107">
        <f>IF($A221="Vestdanmark",SUMIFS(IF(H$2=År1,Skovbrug!$C$21:$C$41,IF(H$2=År2,Skovbrug!$D$21:$D$41,Skovbrug!$E$21:$E$41)),Skovbrug!$A$21:$A$41,'Direkte input'!$B221,Skovbrug!$B$21:$B$41,'Direkte input'!$E221),SUMIFS(IF(H$2=År1,Skovbrug!$F$21:$F$41,IF(H$2=År2,Skovbrug!$G$21:$G$41,Skovbrug!$H$21:$H$41)),Skovbrug!$A$21:$A$41,'Direkte input'!$B221,Skovbrug!$B$21:$B$41,'Direkte input'!$E221))</f>
        <v>0</v>
      </c>
      <c r="I221" s="107" t="e">
        <f>IF($A221="Vestdanmark",SUMIFS(IF(I$2=År1,Skovbrug!$C$21:$C$41,IF(I$2=År2,Skovbrug!$D$21:$D$41,Skovbrug!$E$21:$E$41)),Skovbrug!$A$21:$A$41,'Direkte input'!$B221,Skovbrug!$B$21:$B$41,'Direkte input'!$E221),SUMIFS(IF(I$2=År1,Skovbrug!$F$21:$F$41,IF(I$2=År2,Skovbrug!$G$21:$G$41,Skovbrug!$H$21:$H$41)),Skovbrug!$A$21:$A$41,'Direkte input'!$B221,Skovbrug!$B$21:$B$41,'Direkte input'!$E221))</f>
        <v>#VALUE!</v>
      </c>
    </row>
    <row r="222" spans="1:9" x14ac:dyDescent="0.25">
      <c r="A222" t="s">
        <v>24</v>
      </c>
      <c r="B222" t="s">
        <v>181</v>
      </c>
      <c r="D222" t="s">
        <v>181</v>
      </c>
      <c r="E222">
        <v>40</v>
      </c>
      <c r="F222" t="str">
        <f t="shared" si="17"/>
        <v>Areal-skovtype4-40</v>
      </c>
      <c r="G222" s="107">
        <f>IF($A222="Vestdanmark",SUMIFS(IF(G$2=År1,Skovbrug!$C$21:$C$41,IF(G$2=År2,Skovbrug!$D$21:$D$41,Skovbrug!$E$21:$E$41)),Skovbrug!$A$21:$A$41,'Direkte input'!$B222,Skovbrug!$B$21:$B$41,'Direkte input'!$E222),SUMIFS(IF(G$2=År1,Skovbrug!$F$21:$F$41,IF(G$2=År2,Skovbrug!$G$21:$G$41,Skovbrug!$H$21:$H$41)),Skovbrug!$A$21:$A$41,'Direkte input'!$B222,Skovbrug!$B$21:$B$41,'Direkte input'!$E222))</f>
        <v>0</v>
      </c>
      <c r="H222" s="107">
        <f>IF($A222="Vestdanmark",SUMIFS(IF(H$2=År1,Skovbrug!$C$21:$C$41,IF(H$2=År2,Skovbrug!$D$21:$D$41,Skovbrug!$E$21:$E$41)),Skovbrug!$A$21:$A$41,'Direkte input'!$B222,Skovbrug!$B$21:$B$41,'Direkte input'!$E222),SUMIFS(IF(H$2=År1,Skovbrug!$F$21:$F$41,IF(H$2=År2,Skovbrug!$G$21:$G$41,Skovbrug!$H$21:$H$41)),Skovbrug!$A$21:$A$41,'Direkte input'!$B222,Skovbrug!$B$21:$B$41,'Direkte input'!$E222))</f>
        <v>0</v>
      </c>
      <c r="I222" s="107" t="e">
        <f>IF($A222="Vestdanmark",SUMIFS(IF(I$2=År1,Skovbrug!$C$21:$C$41,IF(I$2=År2,Skovbrug!$D$21:$D$41,Skovbrug!$E$21:$E$41)),Skovbrug!$A$21:$A$41,'Direkte input'!$B222,Skovbrug!$B$21:$B$41,'Direkte input'!$E222),SUMIFS(IF(I$2=År1,Skovbrug!$F$21:$F$41,IF(I$2=År2,Skovbrug!$G$21:$G$41,Skovbrug!$H$21:$H$41)),Skovbrug!$A$21:$A$41,'Direkte input'!$B222,Skovbrug!$B$21:$B$41,'Direkte input'!$E222))</f>
        <v>#VALUE!</v>
      </c>
    </row>
    <row r="223" spans="1:9" x14ac:dyDescent="0.25">
      <c r="A223" t="s">
        <v>24</v>
      </c>
      <c r="B223" t="s">
        <v>182</v>
      </c>
      <c r="D223" t="s">
        <v>182</v>
      </c>
      <c r="E223">
        <v>10</v>
      </c>
      <c r="F223" t="str">
        <f t="shared" si="17"/>
        <v>Areal-skovtype5-10</v>
      </c>
      <c r="G223" s="107">
        <f>IF($A223="Vestdanmark",SUMIFS(IF(G$2=År1,Skovbrug!$C$21:$C$41,IF(G$2=År2,Skovbrug!$D$21:$D$41,Skovbrug!$E$21:$E$41)),Skovbrug!$A$21:$A$41,'Direkte input'!$B223,Skovbrug!$B$21:$B$41,'Direkte input'!$E223),SUMIFS(IF(G$2=År1,Skovbrug!$F$21:$F$41,IF(G$2=År2,Skovbrug!$G$21:$G$41,Skovbrug!$H$21:$H$41)),Skovbrug!$A$21:$A$41,'Direkte input'!$B223,Skovbrug!$B$21:$B$41,'Direkte input'!$E223))</f>
        <v>0</v>
      </c>
      <c r="H223" s="107" t="e">
        <f>IF($A223="Vestdanmark",SUMIFS(IF(H$2=År1,Skovbrug!$C$21:$C$41,IF(H$2=År2,Skovbrug!$D$21:$D$41,Skovbrug!$E$21:$E$41)),Skovbrug!$A$21:$A$41,'Direkte input'!$B223,Skovbrug!$B$21:$B$41,'Direkte input'!$E223),SUMIFS(IF(H$2=År1,Skovbrug!$F$21:$F$41,IF(H$2=År2,Skovbrug!$G$21:$G$41,Skovbrug!$H$21:$H$41)),Skovbrug!$A$21:$A$41,'Direkte input'!$B223,Skovbrug!$B$21:$B$41,'Direkte input'!$E223))</f>
        <v>#VALUE!</v>
      </c>
      <c r="I223" s="107" t="e">
        <f>IF($A223="Vestdanmark",SUMIFS(IF(I$2=År1,Skovbrug!$C$21:$C$41,IF(I$2=År2,Skovbrug!$D$21:$D$41,Skovbrug!$E$21:$E$41)),Skovbrug!$A$21:$A$41,'Direkte input'!$B223,Skovbrug!$B$21:$B$41,'Direkte input'!$E223),SUMIFS(IF(I$2=År1,Skovbrug!$F$21:$F$41,IF(I$2=År2,Skovbrug!$G$21:$G$41,Skovbrug!$H$21:$H$41)),Skovbrug!$A$21:$A$41,'Direkte input'!$B223,Skovbrug!$B$21:$B$41,'Direkte input'!$E223))</f>
        <v>#VALUE!</v>
      </c>
    </row>
    <row r="224" spans="1:9" x14ac:dyDescent="0.25">
      <c r="A224" t="s">
        <v>24</v>
      </c>
      <c r="B224" t="s">
        <v>182</v>
      </c>
      <c r="D224" t="s">
        <v>182</v>
      </c>
      <c r="E224">
        <v>20</v>
      </c>
      <c r="F224" t="str">
        <f t="shared" si="17"/>
        <v>Areal-skovtype5-20</v>
      </c>
      <c r="G224" s="107">
        <f>IF($A224="Vestdanmark",SUMIFS(IF(G$2=År1,Skovbrug!$C$21:$C$41,IF(G$2=År2,Skovbrug!$D$21:$D$41,Skovbrug!$E$21:$E$41)),Skovbrug!$A$21:$A$41,'Direkte input'!$B224,Skovbrug!$B$21:$B$41,'Direkte input'!$E224),SUMIFS(IF(G$2=År1,Skovbrug!$F$21:$F$41,IF(G$2=År2,Skovbrug!$G$21:$G$41,Skovbrug!$H$21:$H$41)),Skovbrug!$A$21:$A$41,'Direkte input'!$B224,Skovbrug!$B$21:$B$41,'Direkte input'!$E224))</f>
        <v>0</v>
      </c>
      <c r="H224" s="107" t="e">
        <f>IF($A224="Vestdanmark",SUMIFS(IF(H$2=År1,Skovbrug!$C$21:$C$41,IF(H$2=År2,Skovbrug!$D$21:$D$41,Skovbrug!$E$21:$E$41)),Skovbrug!$A$21:$A$41,'Direkte input'!$B224,Skovbrug!$B$21:$B$41,'Direkte input'!$E224),SUMIFS(IF(H$2=År1,Skovbrug!$F$21:$F$41,IF(H$2=År2,Skovbrug!$G$21:$G$41,Skovbrug!$H$21:$H$41)),Skovbrug!$A$21:$A$41,'Direkte input'!$B224,Skovbrug!$B$21:$B$41,'Direkte input'!$E224))</f>
        <v>#VALUE!</v>
      </c>
      <c r="I224" s="107" t="e">
        <f>IF($A224="Vestdanmark",SUMIFS(IF(I$2=År1,Skovbrug!$C$21:$C$41,IF(I$2=År2,Skovbrug!$D$21:$D$41,Skovbrug!$E$21:$E$41)),Skovbrug!$A$21:$A$41,'Direkte input'!$B224,Skovbrug!$B$21:$B$41,'Direkte input'!$E224),SUMIFS(IF(I$2=År1,Skovbrug!$F$21:$F$41,IF(I$2=År2,Skovbrug!$G$21:$G$41,Skovbrug!$H$21:$H$41)),Skovbrug!$A$21:$A$41,'Direkte input'!$B224,Skovbrug!$B$21:$B$41,'Direkte input'!$E224))</f>
        <v>#VALUE!</v>
      </c>
    </row>
    <row r="225" spans="1:9" x14ac:dyDescent="0.25">
      <c r="A225" t="s">
        <v>24</v>
      </c>
      <c r="B225" t="s">
        <v>182</v>
      </c>
      <c r="D225" t="s">
        <v>182</v>
      </c>
      <c r="E225">
        <v>30</v>
      </c>
      <c r="F225" t="str">
        <f t="shared" si="17"/>
        <v>Areal-skovtype5-30</v>
      </c>
      <c r="G225" s="107">
        <f>IF($A225="Vestdanmark",SUMIFS(IF(G$2=År1,Skovbrug!$C$21:$C$41,IF(G$2=År2,Skovbrug!$D$21:$D$41,Skovbrug!$E$21:$E$41)),Skovbrug!$A$21:$A$41,'Direkte input'!$B225,Skovbrug!$B$21:$B$41,'Direkte input'!$E225),SUMIFS(IF(G$2=År1,Skovbrug!$F$21:$F$41,IF(G$2=År2,Skovbrug!$G$21:$G$41,Skovbrug!$H$21:$H$41)),Skovbrug!$A$21:$A$41,'Direkte input'!$B225,Skovbrug!$B$21:$B$41,'Direkte input'!$E225))</f>
        <v>0</v>
      </c>
      <c r="H225" s="107">
        <f>IF($A225="Vestdanmark",SUMIFS(IF(H$2=År1,Skovbrug!$C$21:$C$41,IF(H$2=År2,Skovbrug!$D$21:$D$41,Skovbrug!$E$21:$E$41)),Skovbrug!$A$21:$A$41,'Direkte input'!$B225,Skovbrug!$B$21:$B$41,'Direkte input'!$E225),SUMIFS(IF(H$2=År1,Skovbrug!$F$21:$F$41,IF(H$2=År2,Skovbrug!$G$21:$G$41,Skovbrug!$H$21:$H$41)),Skovbrug!$A$21:$A$41,'Direkte input'!$B225,Skovbrug!$B$21:$B$41,'Direkte input'!$E225))</f>
        <v>0</v>
      </c>
      <c r="I225" s="107" t="e">
        <f>IF($A225="Vestdanmark",SUMIFS(IF(I$2=År1,Skovbrug!$C$21:$C$41,IF(I$2=År2,Skovbrug!$D$21:$D$41,Skovbrug!$E$21:$E$41)),Skovbrug!$A$21:$A$41,'Direkte input'!$B225,Skovbrug!$B$21:$B$41,'Direkte input'!$E225),SUMIFS(IF(I$2=År1,Skovbrug!$F$21:$F$41,IF(I$2=År2,Skovbrug!$G$21:$G$41,Skovbrug!$H$21:$H$41)),Skovbrug!$A$21:$A$41,'Direkte input'!$B225,Skovbrug!$B$21:$B$41,'Direkte input'!$E225))</f>
        <v>#VALUE!</v>
      </c>
    </row>
    <row r="226" spans="1:9" x14ac:dyDescent="0.25">
      <c r="A226" t="s">
        <v>24</v>
      </c>
      <c r="B226" t="s">
        <v>182</v>
      </c>
      <c r="D226" t="s">
        <v>182</v>
      </c>
      <c r="E226">
        <v>40</v>
      </c>
      <c r="F226" t="str">
        <f t="shared" si="17"/>
        <v>Areal-skovtype5-40</v>
      </c>
      <c r="G226" s="107">
        <f>IF($A226="Vestdanmark",SUMIFS(IF(G$2=År1,Skovbrug!$C$21:$C$41,IF(G$2=År2,Skovbrug!$D$21:$D$41,Skovbrug!$E$21:$E$41)),Skovbrug!$A$21:$A$41,'Direkte input'!$B226,Skovbrug!$B$21:$B$41,'Direkte input'!$E226),SUMIFS(IF(G$2=År1,Skovbrug!$F$21:$F$41,IF(G$2=År2,Skovbrug!$G$21:$G$41,Skovbrug!$H$21:$H$41)),Skovbrug!$A$21:$A$41,'Direkte input'!$B226,Skovbrug!$B$21:$B$41,'Direkte input'!$E226))</f>
        <v>0</v>
      </c>
      <c r="H226" s="107">
        <f>IF($A226="Vestdanmark",SUMIFS(IF(H$2=År1,Skovbrug!$C$21:$C$41,IF(H$2=År2,Skovbrug!$D$21:$D$41,Skovbrug!$E$21:$E$41)),Skovbrug!$A$21:$A$41,'Direkte input'!$B226,Skovbrug!$B$21:$B$41,'Direkte input'!$E226),SUMIFS(IF(H$2=År1,Skovbrug!$F$21:$F$41,IF(H$2=År2,Skovbrug!$G$21:$G$41,Skovbrug!$H$21:$H$41)),Skovbrug!$A$21:$A$41,'Direkte input'!$B226,Skovbrug!$B$21:$B$41,'Direkte input'!$E226))</f>
        <v>0</v>
      </c>
      <c r="I226" s="107" t="e">
        <f>IF($A226="Vestdanmark",SUMIFS(IF(I$2=År1,Skovbrug!$C$21:$C$41,IF(I$2=År2,Skovbrug!$D$21:$D$41,Skovbrug!$E$21:$E$41)),Skovbrug!$A$21:$A$41,'Direkte input'!$B226,Skovbrug!$B$21:$B$41,'Direkte input'!$E226),SUMIFS(IF(I$2=År1,Skovbrug!$F$21:$F$41,IF(I$2=År2,Skovbrug!$G$21:$G$41,Skovbrug!$H$21:$H$41)),Skovbrug!$A$21:$A$41,'Direkte input'!$B226,Skovbrug!$B$21:$B$41,'Direkte input'!$E226))</f>
        <v>#VALUE!</v>
      </c>
    </row>
    <row r="227" spans="1:9" x14ac:dyDescent="0.25">
      <c r="A227" t="s">
        <v>23</v>
      </c>
      <c r="B227" t="s">
        <v>99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99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100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100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workbookViewId="0">
      <selection activeCell="E63" activeCellId="1" sqref="E21 E63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174</v>
      </c>
      <c r="B1" t="s">
        <v>64</v>
      </c>
      <c r="C1" t="s">
        <v>129</v>
      </c>
      <c r="D1" t="s">
        <v>58</v>
      </c>
      <c r="E1" t="s">
        <v>156</v>
      </c>
      <c r="F1" t="s">
        <v>319</v>
      </c>
      <c r="G1" t="s">
        <v>225</v>
      </c>
      <c r="I1" s="156" t="s">
        <v>191</v>
      </c>
      <c r="J1" s="156"/>
      <c r="K1" s="156"/>
      <c r="L1" s="156"/>
      <c r="M1" s="156"/>
    </row>
    <row r="2" spans="1:13" x14ac:dyDescent="0.25">
      <c r="A2" t="s">
        <v>128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128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128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128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128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128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128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128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128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128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128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128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128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128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128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128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128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128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128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128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128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128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128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128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128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128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128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128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128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128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128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128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128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128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128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128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128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128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128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128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128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128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128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128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128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128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128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128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128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128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128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128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128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128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128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128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128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128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128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128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128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128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128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128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128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128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128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128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128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128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128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128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128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128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128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128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128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128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128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128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128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128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128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128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110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 t="e">
        <f>IF(B86="Vestdanmark",VLOOKUP(C86,Biogasanlæg!$A$39:$E$55,MATCH(D86,Biogasanlæg!$A$38:$E$38,0),FALSE),VLOOKUP(C86,Biogasanlæg!$I$39:$M$55,MATCH(D86,Biogasanlæg!$I$38:$M$38,0),FALSE))</f>
        <v>#REF!</v>
      </c>
    </row>
    <row r="87" spans="1:5" x14ac:dyDescent="0.25">
      <c r="A87" t="s">
        <v>110</v>
      </c>
      <c r="B87" t="s">
        <v>23</v>
      </c>
      <c r="C87" s="99" t="str">
        <f>Biogasanlæg!A13</f>
        <v>Kvæggylle</v>
      </c>
      <c r="D87">
        <f t="shared" si="6"/>
        <v>2019</v>
      </c>
      <c r="E87" t="e">
        <f>IF(B87="Vestdanmark",VLOOKUP(C87,Biogasanlæg!$A$39:$E$55,MATCH(D87,Biogasanlæg!$A$38:$E$38,0),FALSE),VLOOKUP(C87,Biogasanlæg!$I$39:$M$55,MATCH(D87,Biogasanlæg!$I$38:$M$38,0),FALSE))</f>
        <v>#REF!</v>
      </c>
    </row>
    <row r="88" spans="1:5" x14ac:dyDescent="0.25">
      <c r="A88" t="s">
        <v>110</v>
      </c>
      <c r="B88" t="s">
        <v>23</v>
      </c>
      <c r="C88" s="99" t="str">
        <f>Biogasanlæg!A14</f>
        <v>Fjerkrægylle</v>
      </c>
      <c r="D88">
        <f t="shared" si="6"/>
        <v>2019</v>
      </c>
      <c r="E88" t="e">
        <f>IF(B88="Vestdanmark",VLOOKUP(C88,Biogasanlæg!$A$39:$E$55,MATCH(D88,Biogasanlæg!$A$38:$E$38,0),FALSE),VLOOKUP(C88,Biogasanlæg!$I$39:$M$55,MATCH(D88,Biogasanlæg!$I$38:$M$38,0),FALSE))</f>
        <v>#REF!</v>
      </c>
    </row>
    <row r="89" spans="1:5" x14ac:dyDescent="0.25">
      <c r="A89" t="s">
        <v>110</v>
      </c>
      <c r="B89" t="s">
        <v>23</v>
      </c>
      <c r="C89" s="99" t="str">
        <f>Biogasanlæg!A15</f>
        <v>Spildevandsslam</v>
      </c>
      <c r="D89">
        <f t="shared" si="6"/>
        <v>2019</v>
      </c>
      <c r="E89" t="e">
        <f>IF(B89="Vestdanmark",VLOOKUP(C89,Biogasanlæg!$A$39:$E$55,MATCH(D89,Biogasanlæg!$A$38:$E$38,0),FALSE),VLOOKUP(C89,Biogasanlæg!$I$39:$M$55,MATCH(D89,Biogasanlæg!$I$38:$M$38,0),FALSE))</f>
        <v>#REF!</v>
      </c>
    </row>
    <row r="90" spans="1:5" x14ac:dyDescent="0.25">
      <c r="A90" t="s">
        <v>110</v>
      </c>
      <c r="B90" t="s">
        <v>23</v>
      </c>
      <c r="C90" s="99" t="str">
        <f>Biogasanlæg!A18</f>
        <v>Bioaffald</v>
      </c>
      <c r="D90">
        <f t="shared" si="6"/>
        <v>2019</v>
      </c>
      <c r="E90" t="e">
        <f>IF(B90="Vestdanmark",VLOOKUP(C90,Biogasanlæg!$A$39:$E$55,MATCH(D90,Biogasanlæg!$A$38:$E$38,0),FALSE),VLOOKUP(C90,Biogasanlæg!$I$39:$M$55,MATCH(D90,Biogasanlæg!$I$38:$M$38,0),FALSE))</f>
        <v>#REF!</v>
      </c>
    </row>
    <row r="91" spans="1:5" x14ac:dyDescent="0.25">
      <c r="A91" t="s">
        <v>110</v>
      </c>
      <c r="B91" t="s">
        <v>23</v>
      </c>
      <c r="C91" s="99" t="str">
        <f>Biogasanlæg!A19</f>
        <v>Industriaffald</v>
      </c>
      <c r="D91">
        <f t="shared" si="6"/>
        <v>2019</v>
      </c>
      <c r="E91" t="e">
        <f>IF(B91="Vestdanmark",VLOOKUP(C91,Biogasanlæg!$A$39:$E$55,MATCH(D91,Biogasanlæg!$A$38:$E$38,0),FALSE),VLOOKUP(C91,Biogasanlæg!$I$39:$M$55,MATCH(D91,Biogasanlæg!$I$38:$M$38,0),FALSE))</f>
        <v>#REF!</v>
      </c>
    </row>
    <row r="92" spans="1:5" x14ac:dyDescent="0.25">
      <c r="A92" t="s">
        <v>110</v>
      </c>
      <c r="B92" t="s">
        <v>23</v>
      </c>
      <c r="C92" s="99" t="str">
        <f>Biogasanlæg!A16</f>
        <v>Dybstrøelse</v>
      </c>
      <c r="D92">
        <f t="shared" si="6"/>
        <v>2019</v>
      </c>
      <c r="E92" t="e">
        <f>IF(B92="Vestdanmark",VLOOKUP(C92,Biogasanlæg!$A$39:$E$55,MATCH(D92,Biogasanlæg!$A$38:$E$38,0),FALSE),VLOOKUP(C92,Biogasanlæg!$I$39:$M$55,MATCH(D92,Biogasanlæg!$I$38:$M$38,0),FALSE))</f>
        <v>#REF!</v>
      </c>
    </row>
    <row r="93" spans="1:5" x14ac:dyDescent="0.25">
      <c r="A93" t="s">
        <v>110</v>
      </c>
      <c r="B93" t="s">
        <v>23</v>
      </c>
      <c r="C93" s="99" t="str">
        <f>Biogasanlæg!A17</f>
        <v>Brun saft</v>
      </c>
      <c r="D93">
        <f t="shared" si="6"/>
        <v>2019</v>
      </c>
      <c r="E93" t="e">
        <f>IF(B93="Vestdanmark",VLOOKUP(C93,Biogasanlæg!$A$39:$E$55,MATCH(D93,Biogasanlæg!$A$38:$E$38,0),FALSE),VLOOKUP(C93,Biogasanlæg!$I$39:$M$55,MATCH(D93,Biogasanlæg!$I$38:$M$38,0),FALSE))</f>
        <v>#REF!</v>
      </c>
    </row>
    <row r="94" spans="1:5" x14ac:dyDescent="0.25">
      <c r="A94" t="s">
        <v>110</v>
      </c>
      <c r="B94" t="s">
        <v>23</v>
      </c>
      <c r="C94" s="99" t="str">
        <f>Biogasanlæg!A20</f>
        <v>Halm</v>
      </c>
      <c r="D94">
        <f t="shared" si="6"/>
        <v>2019</v>
      </c>
      <c r="E94" s="312" t="e">
        <f>IF(B94="Vestdanmark",VLOOKUP(C94,Biogasanlæg!$A$39:$E$55,MATCH(D94,Biogasanlæg!$A$38:$E$38,0),FALSE),VLOOKUP(C94,Biogasanlæg!$I$39:$M$55,MATCH(D94,Biogasanlæg!$I$38:$M$38,0),FALSE))</f>
        <v>#REF!</v>
      </c>
    </row>
    <row r="95" spans="1:5" x14ac:dyDescent="0.25">
      <c r="A95" t="s">
        <v>110</v>
      </c>
      <c r="B95" t="s">
        <v>23</v>
      </c>
      <c r="C95" s="99" t="str">
        <f>Biogasanlæg!A21</f>
        <v>Korn</v>
      </c>
      <c r="D95">
        <f t="shared" si="6"/>
        <v>2019</v>
      </c>
      <c r="E95" t="e">
        <f>IF(B95="Vestdanmark",VLOOKUP(C95,Biogasanlæg!$A$39:$E$55,MATCH(D95,Biogasanlæg!$A$38:$E$38,0),FALSE),VLOOKUP(C95,Biogasanlæg!$I$39:$M$55,MATCH(D95,Biogasanlæg!$I$38:$M$38,0),FALSE))</f>
        <v>#REF!</v>
      </c>
    </row>
    <row r="96" spans="1:5" x14ac:dyDescent="0.25">
      <c r="A96" t="s">
        <v>110</v>
      </c>
      <c r="B96" t="s">
        <v>23</v>
      </c>
      <c r="C96" s="99" t="str">
        <f>Biogasanlæg!A22</f>
        <v>Græs</v>
      </c>
      <c r="D96">
        <f t="shared" si="6"/>
        <v>2019</v>
      </c>
      <c r="E96" t="e">
        <f>IF(B96="Vestdanmark",VLOOKUP(C96,Biogasanlæg!$A$39:$E$55,MATCH(D96,Biogasanlæg!$A$38:$E$38,0),FALSE),VLOOKUP(C96,Biogasanlæg!$I$39:$M$55,MATCH(D96,Biogasanlæg!$I$38:$M$38,0),FALSE))</f>
        <v>#REF!</v>
      </c>
    </row>
    <row r="97" spans="1:5" x14ac:dyDescent="0.25">
      <c r="A97" t="s">
        <v>110</v>
      </c>
      <c r="B97" t="s">
        <v>23</v>
      </c>
      <c r="C97" s="99" t="str">
        <f>Biogasanlæg!A23</f>
        <v>Majs</v>
      </c>
      <c r="D97">
        <f t="shared" si="6"/>
        <v>2019</v>
      </c>
      <c r="E97" t="e">
        <f>IF(B97="Vestdanmark",VLOOKUP(C97,Biogasanlæg!$A$39:$E$55,MATCH(D97,Biogasanlæg!$A$38:$E$38,0),FALSE),VLOOKUP(C97,Biogasanlæg!$I$39:$M$55,MATCH(D97,Biogasanlæg!$I$38:$M$38,0),FALSE))</f>
        <v>#REF!</v>
      </c>
    </row>
    <row r="98" spans="1:5" x14ac:dyDescent="0.25">
      <c r="A98" t="s">
        <v>110</v>
      </c>
      <c r="B98" t="s">
        <v>23</v>
      </c>
      <c r="C98" s="99" t="str">
        <f>Biogasanlæg!A24</f>
        <v>Roer</v>
      </c>
      <c r="D98">
        <f t="shared" si="6"/>
        <v>2019</v>
      </c>
      <c r="E98" t="e">
        <f>IF(B98="Vestdanmark",VLOOKUP(C98,Biogasanlæg!$A$39:$E$55,MATCH(D98,Biogasanlæg!$A$38:$E$38,0),FALSE),VLOOKUP(C98,Biogasanlæg!$I$39:$M$55,MATCH(D98,Biogasanlæg!$I$38:$M$38,0),FALSE))</f>
        <v>#REF!</v>
      </c>
    </row>
    <row r="99" spans="1:5" x14ac:dyDescent="0.25">
      <c r="A99" t="s">
        <v>110</v>
      </c>
      <c r="B99" t="s">
        <v>23</v>
      </c>
      <c r="C99" s="99" t="str">
        <f>Biogasanlæg!A25</f>
        <v>Have/parkaffald</v>
      </c>
      <c r="D99">
        <f t="shared" si="6"/>
        <v>2019</v>
      </c>
      <c r="E99" t="e">
        <f>IF(B99="Vestdanmark",VLOOKUP(C99,Biogasanlæg!$A$39:$E$55,MATCH(D99,Biogasanlæg!$A$38:$E$38,0),FALSE),VLOOKUP(C99,Biogasanlæg!$I$39:$M$55,MATCH(D99,Biogasanlæg!$I$38:$M$38,0),FALSE))</f>
        <v>#REF!</v>
      </c>
    </row>
    <row r="100" spans="1:5" x14ac:dyDescent="0.25">
      <c r="A100" t="s">
        <v>110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110</v>
      </c>
      <c r="B101" t="s">
        <v>23</v>
      </c>
      <c r="C101" s="99" t="str">
        <f>Biogasanlæg!A27</f>
        <v>Muslinger</v>
      </c>
      <c r="D101">
        <f t="shared" si="6"/>
        <v>2019</v>
      </c>
      <c r="E101" t="e">
        <f>IF(B101="Vestdanmark",VLOOKUP(C101,Biogasanlæg!$A$39:$E$55,MATCH(D101,Biogasanlæg!$A$38:$E$38,0),FALSE),VLOOKUP(C101,Biogasanlæg!$I$39:$M$55,MATCH(D101,Biogasanlæg!$I$38:$M$38,0),FALSE))</f>
        <v>#REF!</v>
      </c>
    </row>
    <row r="102" spans="1:5" x14ac:dyDescent="0.25">
      <c r="A102" t="s">
        <v>110</v>
      </c>
      <c r="B102" t="s">
        <v>23</v>
      </c>
      <c r="C102" s="99" t="str">
        <f>Biogasanlæg!A28</f>
        <v>Tang</v>
      </c>
      <c r="D102">
        <f t="shared" si="6"/>
        <v>2019</v>
      </c>
      <c r="E102" t="e">
        <f>IF(B102="Vestdanmark",VLOOKUP(C102,Biogasanlæg!$A$39:$E$55,MATCH(D102,Biogasanlæg!$A$38:$E$38,0),FALSE),VLOOKUP(C102,Biogasanlæg!$I$39:$M$55,MATCH(D102,Biogasanlæg!$I$38:$M$38,0),FALSE))</f>
        <v>#REF!</v>
      </c>
    </row>
    <row r="103" spans="1:5" x14ac:dyDescent="0.25">
      <c r="A103" t="s">
        <v>110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 t="e">
        <f>IF(B103="Vestdanmark",VLOOKUP(C103,Biogasanlæg!$A$39:$E$55,MATCH(D103,Biogasanlæg!$A$38:$E$38,0),FALSE),VLOOKUP(C103,Biogasanlæg!$I$39:$M$55,MATCH(D103,Biogasanlæg!$I$38:$M$38,0),FALSE))</f>
        <v>#REF!</v>
      </c>
    </row>
    <row r="104" spans="1:5" x14ac:dyDescent="0.25">
      <c r="A104" t="s">
        <v>110</v>
      </c>
      <c r="B104" t="s">
        <v>23</v>
      </c>
      <c r="C104" s="99" t="str">
        <f>Biogasanlæg!A13</f>
        <v>Kvæggylle</v>
      </c>
      <c r="D104">
        <f t="shared" si="7"/>
        <v>2030</v>
      </c>
      <c r="E104" t="e">
        <f>IF(B104="Vestdanmark",VLOOKUP(C104,Biogasanlæg!$A$39:$E$55,MATCH(D104,Biogasanlæg!$A$38:$E$38,0),FALSE),VLOOKUP(C104,Biogasanlæg!$I$39:$M$55,MATCH(D104,Biogasanlæg!$I$38:$M$38,0),FALSE))</f>
        <v>#REF!</v>
      </c>
    </row>
    <row r="105" spans="1:5" x14ac:dyDescent="0.25">
      <c r="A105" t="s">
        <v>110</v>
      </c>
      <c r="B105" t="s">
        <v>23</v>
      </c>
      <c r="C105" s="99" t="str">
        <f>Biogasanlæg!A14</f>
        <v>Fjerkrægylle</v>
      </c>
      <c r="D105">
        <f t="shared" si="7"/>
        <v>2030</v>
      </c>
      <c r="E105" t="e">
        <f>IF(B105="Vestdanmark",VLOOKUP(C105,Biogasanlæg!$A$39:$E$55,MATCH(D105,Biogasanlæg!$A$38:$E$38,0),FALSE),VLOOKUP(C105,Biogasanlæg!$I$39:$M$55,MATCH(D105,Biogasanlæg!$I$38:$M$38,0),FALSE))</f>
        <v>#REF!</v>
      </c>
    </row>
    <row r="106" spans="1:5" x14ac:dyDescent="0.25">
      <c r="A106" t="s">
        <v>110</v>
      </c>
      <c r="B106" t="s">
        <v>23</v>
      </c>
      <c r="C106" s="99" t="str">
        <f>Biogasanlæg!A15</f>
        <v>Spildevandsslam</v>
      </c>
      <c r="D106">
        <f t="shared" si="7"/>
        <v>2030</v>
      </c>
      <c r="E106" t="e">
        <f>IF(B106="Vestdanmark",VLOOKUP(C106,Biogasanlæg!$A$39:$E$55,MATCH(D106,Biogasanlæg!$A$38:$E$38,0),FALSE),VLOOKUP(C106,Biogasanlæg!$I$39:$M$55,MATCH(D106,Biogasanlæg!$I$38:$M$38,0),FALSE))</f>
        <v>#REF!</v>
      </c>
    </row>
    <row r="107" spans="1:5" x14ac:dyDescent="0.25">
      <c r="A107" t="s">
        <v>110</v>
      </c>
      <c r="B107" t="s">
        <v>23</v>
      </c>
      <c r="C107" s="99" t="str">
        <f>Biogasanlæg!A18</f>
        <v>Bioaffald</v>
      </c>
      <c r="D107">
        <f t="shared" si="7"/>
        <v>2030</v>
      </c>
      <c r="E107" t="e">
        <f>IF(B107="Vestdanmark",VLOOKUP(C107,Biogasanlæg!$A$39:$E$55,MATCH(D107,Biogasanlæg!$A$38:$E$38,0),FALSE),VLOOKUP(C107,Biogasanlæg!$I$39:$M$55,MATCH(D107,Biogasanlæg!$I$38:$M$38,0),FALSE))</f>
        <v>#REF!</v>
      </c>
    </row>
    <row r="108" spans="1:5" x14ac:dyDescent="0.25">
      <c r="A108" t="s">
        <v>110</v>
      </c>
      <c r="B108" t="s">
        <v>23</v>
      </c>
      <c r="C108" s="99" t="str">
        <f>Biogasanlæg!A19</f>
        <v>Industriaffald</v>
      </c>
      <c r="D108">
        <f t="shared" si="7"/>
        <v>2030</v>
      </c>
      <c r="E108" t="e">
        <f>IF(B108="Vestdanmark",VLOOKUP(C108,Biogasanlæg!$A$39:$E$55,MATCH(D108,Biogasanlæg!$A$38:$E$38,0),FALSE),VLOOKUP(C108,Biogasanlæg!$I$39:$M$55,MATCH(D108,Biogasanlæg!$I$38:$M$38,0),FALSE))</f>
        <v>#REF!</v>
      </c>
    </row>
    <row r="109" spans="1:5" x14ac:dyDescent="0.25">
      <c r="A109" t="s">
        <v>110</v>
      </c>
      <c r="B109" t="s">
        <v>23</v>
      </c>
      <c r="C109" s="99" t="str">
        <f>Biogasanlæg!A16</f>
        <v>Dybstrøelse</v>
      </c>
      <c r="D109">
        <f t="shared" si="7"/>
        <v>2030</v>
      </c>
      <c r="E109" t="e">
        <f>IF(B109="Vestdanmark",VLOOKUP(C109,Biogasanlæg!$A$39:$E$55,MATCH(D109,Biogasanlæg!$A$38:$E$38,0),FALSE),VLOOKUP(C109,Biogasanlæg!$I$39:$M$55,MATCH(D109,Biogasanlæg!$I$38:$M$38,0),FALSE))</f>
        <v>#REF!</v>
      </c>
    </row>
    <row r="110" spans="1:5" x14ac:dyDescent="0.25">
      <c r="A110" t="s">
        <v>110</v>
      </c>
      <c r="B110" t="s">
        <v>23</v>
      </c>
      <c r="C110" s="99" t="str">
        <f>Biogasanlæg!A17</f>
        <v>Brun saft</v>
      </c>
      <c r="D110">
        <f t="shared" si="7"/>
        <v>2030</v>
      </c>
      <c r="E110" t="e">
        <f>IF(B110="Vestdanmark",VLOOKUP(C110,Biogasanlæg!$A$39:$E$55,MATCH(D110,Biogasanlæg!$A$38:$E$38,0),FALSE),VLOOKUP(C110,Biogasanlæg!$I$39:$M$55,MATCH(D110,Biogasanlæg!$I$38:$M$38,0),FALSE))</f>
        <v>#REF!</v>
      </c>
    </row>
    <row r="111" spans="1:5" x14ac:dyDescent="0.25">
      <c r="A111" t="s">
        <v>110</v>
      </c>
      <c r="B111" t="s">
        <v>23</v>
      </c>
      <c r="C111" s="99" t="str">
        <f>Biogasanlæg!A20</f>
        <v>Halm</v>
      </c>
      <c r="D111">
        <f t="shared" si="7"/>
        <v>2030</v>
      </c>
      <c r="E111" t="e">
        <f>IF(B111="Vestdanmark",VLOOKUP(C111,Biogasanlæg!$A$39:$E$55,MATCH(D111,Biogasanlæg!$A$38:$E$38,0),FALSE),VLOOKUP(C111,Biogasanlæg!$I$39:$M$55,MATCH(D111,Biogasanlæg!$I$38:$M$38,0),FALSE))</f>
        <v>#REF!</v>
      </c>
    </row>
    <row r="112" spans="1:5" x14ac:dyDescent="0.25">
      <c r="A112" t="s">
        <v>110</v>
      </c>
      <c r="B112" t="s">
        <v>23</v>
      </c>
      <c r="C112" s="99" t="str">
        <f>Biogasanlæg!A21</f>
        <v>Korn</v>
      </c>
      <c r="D112">
        <f t="shared" si="7"/>
        <v>2030</v>
      </c>
      <c r="E112" t="e">
        <f>IF(B112="Vestdanmark",VLOOKUP(C112,Biogasanlæg!$A$39:$E$55,MATCH(D112,Biogasanlæg!$A$38:$E$38,0),FALSE),VLOOKUP(C112,Biogasanlæg!$I$39:$M$55,MATCH(D112,Biogasanlæg!$I$38:$M$38,0),FALSE))</f>
        <v>#REF!</v>
      </c>
    </row>
    <row r="113" spans="1:5" x14ac:dyDescent="0.25">
      <c r="A113" t="s">
        <v>110</v>
      </c>
      <c r="B113" t="s">
        <v>23</v>
      </c>
      <c r="C113" s="99" t="str">
        <f>Biogasanlæg!A22</f>
        <v>Græs</v>
      </c>
      <c r="D113">
        <f t="shared" si="7"/>
        <v>2030</v>
      </c>
      <c r="E113" t="e">
        <f>IF(B113="Vestdanmark",VLOOKUP(C113,Biogasanlæg!$A$39:$E$55,MATCH(D113,Biogasanlæg!$A$38:$E$38,0),FALSE),VLOOKUP(C113,Biogasanlæg!$I$39:$M$55,MATCH(D113,Biogasanlæg!$I$38:$M$38,0),FALSE))</f>
        <v>#REF!</v>
      </c>
    </row>
    <row r="114" spans="1:5" x14ac:dyDescent="0.25">
      <c r="A114" t="s">
        <v>110</v>
      </c>
      <c r="B114" t="s">
        <v>23</v>
      </c>
      <c r="C114" s="99" t="str">
        <f>Biogasanlæg!A23</f>
        <v>Majs</v>
      </c>
      <c r="D114">
        <f t="shared" si="7"/>
        <v>2030</v>
      </c>
      <c r="E114" t="e">
        <f>IF(B114="Vestdanmark",VLOOKUP(C114,Biogasanlæg!$A$39:$E$55,MATCH(D114,Biogasanlæg!$A$38:$E$38,0),FALSE),VLOOKUP(C114,Biogasanlæg!$I$39:$M$55,MATCH(D114,Biogasanlæg!$I$38:$M$38,0),FALSE))</f>
        <v>#REF!</v>
      </c>
    </row>
    <row r="115" spans="1:5" x14ac:dyDescent="0.25">
      <c r="A115" t="s">
        <v>110</v>
      </c>
      <c r="B115" t="s">
        <v>23</v>
      </c>
      <c r="C115" s="99" t="str">
        <f>Biogasanlæg!A24</f>
        <v>Roer</v>
      </c>
      <c r="D115">
        <f t="shared" si="7"/>
        <v>2030</v>
      </c>
      <c r="E115" t="e">
        <f>IF(B115="Vestdanmark",VLOOKUP(C115,Biogasanlæg!$A$39:$E$55,MATCH(D115,Biogasanlæg!$A$38:$E$38,0),FALSE),VLOOKUP(C115,Biogasanlæg!$I$39:$M$55,MATCH(D115,Biogasanlæg!$I$38:$M$38,0),FALSE))</f>
        <v>#REF!</v>
      </c>
    </row>
    <row r="116" spans="1:5" x14ac:dyDescent="0.25">
      <c r="A116" t="s">
        <v>110</v>
      </c>
      <c r="B116" t="s">
        <v>23</v>
      </c>
      <c r="C116" s="99" t="str">
        <f>Biogasanlæg!A25</f>
        <v>Have/parkaffald</v>
      </c>
      <c r="D116">
        <f t="shared" si="7"/>
        <v>2030</v>
      </c>
      <c r="E116" t="e">
        <f>IF(B116="Vestdanmark",VLOOKUP(C116,Biogasanlæg!$A$39:$E$55,MATCH(D116,Biogasanlæg!$A$38:$E$38,0),FALSE),VLOOKUP(C116,Biogasanlæg!$I$39:$M$55,MATCH(D116,Biogasanlæg!$I$38:$M$38,0),FALSE))</f>
        <v>#REF!</v>
      </c>
    </row>
    <row r="117" spans="1:5" x14ac:dyDescent="0.25">
      <c r="A117" t="s">
        <v>110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110</v>
      </c>
      <c r="B118" t="s">
        <v>23</v>
      </c>
      <c r="C118" s="99" t="str">
        <f>Biogasanlæg!A27</f>
        <v>Muslinger</v>
      </c>
      <c r="D118">
        <f t="shared" si="7"/>
        <v>2030</v>
      </c>
      <c r="E118" t="e">
        <f>IF(B118="Vestdanmark",VLOOKUP(C118,Biogasanlæg!$A$39:$E$55,MATCH(D118,Biogasanlæg!$A$38:$E$38,0),FALSE),VLOOKUP(C118,Biogasanlæg!$I$39:$M$55,MATCH(D118,Biogasanlæg!$I$38:$M$38,0),FALSE))</f>
        <v>#REF!</v>
      </c>
    </row>
    <row r="119" spans="1:5" x14ac:dyDescent="0.25">
      <c r="A119" t="s">
        <v>110</v>
      </c>
      <c r="B119" t="s">
        <v>23</v>
      </c>
      <c r="C119" s="99" t="str">
        <f>Biogasanlæg!A28</f>
        <v>Tang</v>
      </c>
      <c r="D119">
        <f t="shared" si="7"/>
        <v>2030</v>
      </c>
      <c r="E119" t="e">
        <f>IF(B119="Vestdanmark",VLOOKUP(C119,Biogasanlæg!$A$39:$E$55,MATCH(D119,Biogasanlæg!$A$38:$E$38,0),FALSE),VLOOKUP(C119,Biogasanlæg!$I$39:$M$55,MATCH(D119,Biogasanlæg!$I$38:$M$38,0),FALSE))</f>
        <v>#REF!</v>
      </c>
    </row>
    <row r="120" spans="1:5" x14ac:dyDescent="0.25">
      <c r="A120" t="s">
        <v>110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 t="e">
        <f>IF(B120="Vestdanmark",VLOOKUP(C120,Biogasanlæg!$A$39:$E$55,MATCH(D120,Biogasanlæg!$A$38:$E$38,0),FALSE),VLOOKUP(C120,Biogasanlæg!$I$39:$M$55,MATCH(D120,Biogasanlæg!$I$38:$M$38,0),FALSE))</f>
        <v>#REF!</v>
      </c>
    </row>
    <row r="121" spans="1:5" x14ac:dyDescent="0.25">
      <c r="A121" t="s">
        <v>110</v>
      </c>
      <c r="B121" t="s">
        <v>23</v>
      </c>
      <c r="C121" s="101" t="str">
        <f>Biogasanlæg!A13</f>
        <v>Kvæggylle</v>
      </c>
      <c r="D121">
        <f t="shared" si="8"/>
        <v>2050</v>
      </c>
      <c r="E121" t="e">
        <f>IF(B121="Vestdanmark",VLOOKUP(C121,Biogasanlæg!$A$39:$E$55,MATCH(D121,Biogasanlæg!$A$38:$E$38,0),FALSE),VLOOKUP(C121,Biogasanlæg!$I$39:$M$55,MATCH(D121,Biogasanlæg!$I$38:$M$38,0),FALSE))</f>
        <v>#REF!</v>
      </c>
    </row>
    <row r="122" spans="1:5" x14ac:dyDescent="0.25">
      <c r="A122" t="s">
        <v>110</v>
      </c>
      <c r="B122" t="s">
        <v>23</v>
      </c>
      <c r="C122" s="101" t="str">
        <f>Biogasanlæg!A14</f>
        <v>Fjerkrægylle</v>
      </c>
      <c r="D122">
        <f t="shared" si="8"/>
        <v>2050</v>
      </c>
      <c r="E122" t="e">
        <f>IF(B122="Vestdanmark",VLOOKUP(C122,Biogasanlæg!$A$39:$E$55,MATCH(D122,Biogasanlæg!$A$38:$E$38,0),FALSE),VLOOKUP(C122,Biogasanlæg!$I$39:$M$55,MATCH(D122,Biogasanlæg!$I$38:$M$38,0),FALSE))</f>
        <v>#REF!</v>
      </c>
    </row>
    <row r="123" spans="1:5" x14ac:dyDescent="0.25">
      <c r="A123" t="s">
        <v>110</v>
      </c>
      <c r="B123" t="s">
        <v>23</v>
      </c>
      <c r="C123" s="101" t="str">
        <f>Biogasanlæg!A15</f>
        <v>Spildevandsslam</v>
      </c>
      <c r="D123">
        <f t="shared" si="8"/>
        <v>2050</v>
      </c>
      <c r="E123" t="e">
        <f>IF(B123="Vestdanmark",VLOOKUP(C123,Biogasanlæg!$A$39:$E$55,MATCH(D123,Biogasanlæg!$A$38:$E$38,0),FALSE),VLOOKUP(C123,Biogasanlæg!$I$39:$M$55,MATCH(D123,Biogasanlæg!$I$38:$M$38,0),FALSE))</f>
        <v>#REF!</v>
      </c>
    </row>
    <row r="124" spans="1:5" x14ac:dyDescent="0.25">
      <c r="A124" t="s">
        <v>110</v>
      </c>
      <c r="B124" t="s">
        <v>23</v>
      </c>
      <c r="C124" s="101" t="str">
        <f>Biogasanlæg!A18</f>
        <v>Bioaffald</v>
      </c>
      <c r="D124">
        <f t="shared" si="8"/>
        <v>2050</v>
      </c>
      <c r="E124" t="e">
        <f>IF(B124="Vestdanmark",VLOOKUP(C124,Biogasanlæg!$A$39:$E$55,MATCH(D124,Biogasanlæg!$A$38:$E$38,0),FALSE),VLOOKUP(C124,Biogasanlæg!$I$39:$M$55,MATCH(D124,Biogasanlæg!$I$38:$M$38,0),FALSE))</f>
        <v>#REF!</v>
      </c>
    </row>
    <row r="125" spans="1:5" x14ac:dyDescent="0.25">
      <c r="A125" t="s">
        <v>110</v>
      </c>
      <c r="B125" t="s">
        <v>23</v>
      </c>
      <c r="C125" s="101" t="str">
        <f>Biogasanlæg!A19</f>
        <v>Industriaffald</v>
      </c>
      <c r="D125">
        <f t="shared" si="8"/>
        <v>2050</v>
      </c>
      <c r="E125" t="e">
        <f>IF(B125="Vestdanmark",VLOOKUP(C125,Biogasanlæg!$A$39:$E$55,MATCH(D125,Biogasanlæg!$A$38:$E$38,0),FALSE),VLOOKUP(C125,Biogasanlæg!$I$39:$M$55,MATCH(D125,Biogasanlæg!$I$38:$M$38,0),FALSE))</f>
        <v>#REF!</v>
      </c>
    </row>
    <row r="126" spans="1:5" x14ac:dyDescent="0.25">
      <c r="A126" t="s">
        <v>110</v>
      </c>
      <c r="B126" t="s">
        <v>23</v>
      </c>
      <c r="C126" s="101" t="str">
        <f>Biogasanlæg!A16</f>
        <v>Dybstrøelse</v>
      </c>
      <c r="D126">
        <f t="shared" si="8"/>
        <v>2050</v>
      </c>
      <c r="E126" t="e">
        <f>IF(B126="Vestdanmark",VLOOKUP(C126,Biogasanlæg!$A$39:$E$55,MATCH(D126,Biogasanlæg!$A$38:$E$38,0),FALSE),VLOOKUP(C126,Biogasanlæg!$I$39:$M$55,MATCH(D126,Biogasanlæg!$I$38:$M$38,0),FALSE))</f>
        <v>#REF!</v>
      </c>
    </row>
    <row r="127" spans="1:5" x14ac:dyDescent="0.25">
      <c r="A127" t="s">
        <v>110</v>
      </c>
      <c r="B127" t="s">
        <v>23</v>
      </c>
      <c r="C127" s="101" t="str">
        <f>Biogasanlæg!A17</f>
        <v>Brun saft</v>
      </c>
      <c r="D127">
        <f t="shared" si="8"/>
        <v>2050</v>
      </c>
      <c r="E127" t="e">
        <f>IF(B127="Vestdanmark",VLOOKUP(C127,Biogasanlæg!$A$39:$E$55,MATCH(D127,Biogasanlæg!$A$38:$E$38,0),FALSE),VLOOKUP(C127,Biogasanlæg!$I$39:$M$55,MATCH(D127,Biogasanlæg!$I$38:$M$38,0),FALSE))</f>
        <v>#REF!</v>
      </c>
    </row>
    <row r="128" spans="1:5" x14ac:dyDescent="0.25">
      <c r="A128" t="s">
        <v>110</v>
      </c>
      <c r="B128" t="s">
        <v>23</v>
      </c>
      <c r="C128" s="101" t="str">
        <f>Biogasanlæg!A20</f>
        <v>Halm</v>
      </c>
      <c r="D128">
        <f t="shared" si="8"/>
        <v>2050</v>
      </c>
      <c r="E128" t="e">
        <f>IF(B128="Vestdanmark",VLOOKUP(C128,Biogasanlæg!$A$39:$E$55,MATCH(D128,Biogasanlæg!$A$38:$E$38,0),FALSE),VLOOKUP(C128,Biogasanlæg!$I$39:$M$55,MATCH(D128,Biogasanlæg!$I$38:$M$38,0),FALSE))</f>
        <v>#REF!</v>
      </c>
    </row>
    <row r="129" spans="1:5" x14ac:dyDescent="0.25">
      <c r="A129" t="s">
        <v>110</v>
      </c>
      <c r="B129" t="s">
        <v>23</v>
      </c>
      <c r="C129" s="101" t="str">
        <f>Biogasanlæg!A21</f>
        <v>Korn</v>
      </c>
      <c r="D129">
        <f t="shared" si="8"/>
        <v>2050</v>
      </c>
      <c r="E129" t="e">
        <f>IF(B129="Vestdanmark",VLOOKUP(C129,Biogasanlæg!$A$39:$E$55,MATCH(D129,Biogasanlæg!$A$38:$E$38,0),FALSE),VLOOKUP(C129,Biogasanlæg!$I$39:$M$55,MATCH(D129,Biogasanlæg!$I$38:$M$38,0),FALSE))</f>
        <v>#REF!</v>
      </c>
    </row>
    <row r="130" spans="1:5" x14ac:dyDescent="0.25">
      <c r="A130" t="s">
        <v>110</v>
      </c>
      <c r="B130" t="s">
        <v>23</v>
      </c>
      <c r="C130" s="101" t="str">
        <f>Biogasanlæg!A22</f>
        <v>Græs</v>
      </c>
      <c r="D130">
        <f t="shared" si="8"/>
        <v>2050</v>
      </c>
      <c r="E130" t="e">
        <f>IF(B130="Vestdanmark",VLOOKUP(C130,Biogasanlæg!$A$39:$E$55,MATCH(D130,Biogasanlæg!$A$38:$E$38,0),FALSE),VLOOKUP(C130,Biogasanlæg!$I$39:$M$55,MATCH(D130,Biogasanlæg!$I$38:$M$38,0),FALSE))</f>
        <v>#REF!</v>
      </c>
    </row>
    <row r="131" spans="1:5" x14ac:dyDescent="0.25">
      <c r="A131" t="s">
        <v>110</v>
      </c>
      <c r="B131" t="s">
        <v>23</v>
      </c>
      <c r="C131" s="101" t="str">
        <f>Biogasanlæg!A23</f>
        <v>Majs</v>
      </c>
      <c r="D131">
        <f t="shared" si="8"/>
        <v>2050</v>
      </c>
      <c r="E131" t="e">
        <f>IF(B131="Vestdanmark",VLOOKUP(C131,Biogasanlæg!$A$39:$E$55,MATCH(D131,Biogasanlæg!$A$38:$E$38,0),FALSE),VLOOKUP(C131,Biogasanlæg!$I$39:$M$55,MATCH(D131,Biogasanlæg!$I$38:$M$38,0),FALSE))</f>
        <v>#REF!</v>
      </c>
    </row>
    <row r="132" spans="1:5" x14ac:dyDescent="0.25">
      <c r="A132" t="s">
        <v>110</v>
      </c>
      <c r="B132" t="s">
        <v>23</v>
      </c>
      <c r="C132" s="101" t="str">
        <f>Biogasanlæg!A24</f>
        <v>Roer</v>
      </c>
      <c r="D132">
        <f t="shared" si="8"/>
        <v>2050</v>
      </c>
      <c r="E132" t="e">
        <f>IF(B132="Vestdanmark",VLOOKUP(C132,Biogasanlæg!$A$39:$E$55,MATCH(D132,Biogasanlæg!$A$38:$E$38,0),FALSE),VLOOKUP(C132,Biogasanlæg!$I$39:$M$55,MATCH(D132,Biogasanlæg!$I$38:$M$38,0),FALSE))</f>
        <v>#REF!</v>
      </c>
    </row>
    <row r="133" spans="1:5" x14ac:dyDescent="0.25">
      <c r="A133" t="s">
        <v>110</v>
      </c>
      <c r="B133" t="s">
        <v>23</v>
      </c>
      <c r="C133" s="101" t="str">
        <f>Biogasanlæg!A25</f>
        <v>Have/parkaffald</v>
      </c>
      <c r="D133">
        <f t="shared" si="8"/>
        <v>2050</v>
      </c>
      <c r="E133" t="e">
        <f>IF(B133="Vestdanmark",VLOOKUP(C133,Biogasanlæg!$A$39:$E$55,MATCH(D133,Biogasanlæg!$A$38:$E$38,0),FALSE),VLOOKUP(C133,Biogasanlæg!$I$39:$M$55,MATCH(D133,Biogasanlæg!$I$38:$M$38,0),FALSE))</f>
        <v>#REF!</v>
      </c>
    </row>
    <row r="134" spans="1:5" x14ac:dyDescent="0.25">
      <c r="A134" t="s">
        <v>110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110</v>
      </c>
      <c r="B135" t="s">
        <v>23</v>
      </c>
      <c r="C135" s="101" t="str">
        <f>Biogasanlæg!A27</f>
        <v>Muslinger</v>
      </c>
      <c r="D135">
        <f t="shared" si="8"/>
        <v>2050</v>
      </c>
      <c r="E135" t="e">
        <f>IF(B135="Vestdanmark",VLOOKUP(C135,Biogasanlæg!$A$39:$E$55,MATCH(D135,Biogasanlæg!$A$38:$E$38,0),FALSE),VLOOKUP(C135,Biogasanlæg!$I$39:$M$55,MATCH(D135,Biogasanlæg!$I$38:$M$38,0),FALSE))</f>
        <v>#REF!</v>
      </c>
    </row>
    <row r="136" spans="1:5" x14ac:dyDescent="0.25">
      <c r="A136" t="s">
        <v>110</v>
      </c>
      <c r="B136" t="s">
        <v>23</v>
      </c>
      <c r="C136" s="101" t="str">
        <f>Biogasanlæg!A28</f>
        <v>Tang</v>
      </c>
      <c r="D136">
        <f t="shared" si="8"/>
        <v>2050</v>
      </c>
      <c r="E136" t="e">
        <f>IF(B136="Vestdanmark",VLOOKUP(C136,Biogasanlæg!$A$39:$E$55,MATCH(D136,Biogasanlæg!$A$38:$E$38,0),FALSE),VLOOKUP(C136,Biogasanlæg!$I$39:$M$55,MATCH(D136,Biogasanlæg!$I$38:$M$38,0),FALSE))</f>
        <v>#REF!</v>
      </c>
    </row>
    <row r="137" spans="1:5" x14ac:dyDescent="0.25">
      <c r="A137" t="s">
        <v>110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 t="e">
        <f>IF(B137="Vestdanmark",VLOOKUP(C137,Biogasanlæg!$A$39:$E$55,MATCH(D137,Biogasanlæg!$A$38:$E$38,0),FALSE),VLOOKUP(C137,Biogasanlæg!$I$39:$M$55,MATCH(D137,Biogasanlæg!$I$38:$M$38,0),FALSE))</f>
        <v>#REF!</v>
      </c>
    </row>
    <row r="138" spans="1:5" x14ac:dyDescent="0.25">
      <c r="A138" t="s">
        <v>110</v>
      </c>
      <c r="B138" t="s">
        <v>24</v>
      </c>
      <c r="C138" s="101" t="str">
        <f>Biogasanlæg!A13</f>
        <v>Kvæggylle</v>
      </c>
      <c r="D138">
        <f t="shared" si="9"/>
        <v>2019</v>
      </c>
      <c r="E138" t="e">
        <f>IF(B138="Vestdanmark",VLOOKUP(C138,Biogasanlæg!$A$39:$E$55,MATCH(D138,Biogasanlæg!$A$38:$E$38,0),FALSE),VLOOKUP(C138,Biogasanlæg!$I$39:$M$55,MATCH(D138,Biogasanlæg!$I$38:$M$38,0),FALSE))</f>
        <v>#REF!</v>
      </c>
    </row>
    <row r="139" spans="1:5" x14ac:dyDescent="0.25">
      <c r="A139" t="s">
        <v>110</v>
      </c>
      <c r="B139" t="s">
        <v>24</v>
      </c>
      <c r="C139" s="101" t="str">
        <f>Biogasanlæg!A14</f>
        <v>Fjerkrægylle</v>
      </c>
      <c r="D139">
        <f t="shared" si="9"/>
        <v>2019</v>
      </c>
      <c r="E139" t="e">
        <f>IF(B139="Vestdanmark",VLOOKUP(C139,Biogasanlæg!$A$39:$E$55,MATCH(D139,Biogasanlæg!$A$38:$E$38,0),FALSE),VLOOKUP(C139,Biogasanlæg!$I$39:$M$55,MATCH(D139,Biogasanlæg!$I$38:$M$38,0),FALSE))</f>
        <v>#REF!</v>
      </c>
    </row>
    <row r="140" spans="1:5" x14ac:dyDescent="0.25">
      <c r="A140" t="s">
        <v>110</v>
      </c>
      <c r="B140" t="s">
        <v>24</v>
      </c>
      <c r="C140" s="101" t="str">
        <f>Biogasanlæg!A15</f>
        <v>Spildevandsslam</v>
      </c>
      <c r="D140">
        <f t="shared" si="9"/>
        <v>2019</v>
      </c>
      <c r="E140" t="e">
        <f>IF(B140="Vestdanmark",VLOOKUP(C140,Biogasanlæg!$A$39:$E$55,MATCH(D140,Biogasanlæg!$A$38:$E$38,0),FALSE),VLOOKUP(C140,Biogasanlæg!$I$39:$M$55,MATCH(D140,Biogasanlæg!$I$38:$M$38,0),FALSE))</f>
        <v>#REF!</v>
      </c>
    </row>
    <row r="141" spans="1:5" x14ac:dyDescent="0.25">
      <c r="A141" t="s">
        <v>110</v>
      </c>
      <c r="B141" t="s">
        <v>24</v>
      </c>
      <c r="C141" s="101" t="str">
        <f>Biogasanlæg!A18</f>
        <v>Bioaffald</v>
      </c>
      <c r="D141">
        <f t="shared" si="9"/>
        <v>2019</v>
      </c>
      <c r="E141" t="e">
        <f>IF(B141="Vestdanmark",VLOOKUP(C141,Biogasanlæg!$A$39:$E$55,MATCH(D141,Biogasanlæg!$A$38:$E$38,0),FALSE),VLOOKUP(C141,Biogasanlæg!$I$39:$M$55,MATCH(D141,Biogasanlæg!$I$38:$M$38,0),FALSE))</f>
        <v>#REF!</v>
      </c>
    </row>
    <row r="142" spans="1:5" x14ac:dyDescent="0.25">
      <c r="A142" t="s">
        <v>110</v>
      </c>
      <c r="B142" t="s">
        <v>24</v>
      </c>
      <c r="C142" s="101" t="str">
        <f>Biogasanlæg!A19</f>
        <v>Industriaffald</v>
      </c>
      <c r="D142">
        <f t="shared" si="9"/>
        <v>2019</v>
      </c>
      <c r="E142" t="e">
        <f>IF(B142="Vestdanmark",VLOOKUP(C142,Biogasanlæg!$A$39:$E$55,MATCH(D142,Biogasanlæg!$A$38:$E$38,0),FALSE),VLOOKUP(C142,Biogasanlæg!$I$39:$M$55,MATCH(D142,Biogasanlæg!$I$38:$M$38,0),FALSE))</f>
        <v>#REF!</v>
      </c>
    </row>
    <row r="143" spans="1:5" x14ac:dyDescent="0.25">
      <c r="A143" t="s">
        <v>110</v>
      </c>
      <c r="B143" t="s">
        <v>24</v>
      </c>
      <c r="C143" s="101" t="str">
        <f>Biogasanlæg!A16</f>
        <v>Dybstrøelse</v>
      </c>
      <c r="D143">
        <f t="shared" si="9"/>
        <v>2019</v>
      </c>
      <c r="E143" t="e">
        <f>IF(B143="Vestdanmark",VLOOKUP(C143,Biogasanlæg!$A$39:$E$55,MATCH(D143,Biogasanlæg!$A$38:$E$38,0),FALSE),VLOOKUP(C143,Biogasanlæg!$I$39:$M$55,MATCH(D143,Biogasanlæg!$I$38:$M$38,0),FALSE))</f>
        <v>#REF!</v>
      </c>
    </row>
    <row r="144" spans="1:5" x14ac:dyDescent="0.25">
      <c r="A144" t="s">
        <v>110</v>
      </c>
      <c r="B144" t="s">
        <v>24</v>
      </c>
      <c r="C144" s="101" t="str">
        <f>Biogasanlæg!A17</f>
        <v>Brun saft</v>
      </c>
      <c r="D144">
        <f t="shared" si="9"/>
        <v>2019</v>
      </c>
      <c r="E144" t="e">
        <f>IF(B144="Vestdanmark",VLOOKUP(C144,Biogasanlæg!$A$39:$E$55,MATCH(D144,Biogasanlæg!$A$38:$E$38,0),FALSE),VLOOKUP(C144,Biogasanlæg!$I$39:$M$55,MATCH(D144,Biogasanlæg!$I$38:$M$38,0),FALSE))</f>
        <v>#REF!</v>
      </c>
    </row>
    <row r="145" spans="1:5" x14ac:dyDescent="0.25">
      <c r="A145" t="s">
        <v>110</v>
      </c>
      <c r="B145" t="s">
        <v>24</v>
      </c>
      <c r="C145" s="101" t="str">
        <f>Biogasanlæg!A20</f>
        <v>Halm</v>
      </c>
      <c r="D145">
        <f t="shared" si="9"/>
        <v>2019</v>
      </c>
      <c r="E145" t="e">
        <f>IF(B145="Vestdanmark",VLOOKUP(C145,Biogasanlæg!$A$39:$E$55,MATCH(D145,Biogasanlæg!$A$38:$E$38,0),FALSE),VLOOKUP(C145,Biogasanlæg!$I$39:$M$55,MATCH(D145,Biogasanlæg!$I$38:$M$38,0),FALSE))</f>
        <v>#REF!</v>
      </c>
    </row>
    <row r="146" spans="1:5" x14ac:dyDescent="0.25">
      <c r="A146" t="s">
        <v>110</v>
      </c>
      <c r="B146" t="s">
        <v>24</v>
      </c>
      <c r="C146" s="101" t="str">
        <f>Biogasanlæg!A21</f>
        <v>Korn</v>
      </c>
      <c r="D146">
        <f t="shared" si="9"/>
        <v>2019</v>
      </c>
      <c r="E146" t="e">
        <f>IF(B146="Vestdanmark",VLOOKUP(C146,Biogasanlæg!$A$39:$E$55,MATCH(D146,Biogasanlæg!$A$38:$E$38,0),FALSE),VLOOKUP(C146,Biogasanlæg!$I$39:$M$55,MATCH(D146,Biogasanlæg!$I$38:$M$38,0),FALSE))</f>
        <v>#REF!</v>
      </c>
    </row>
    <row r="147" spans="1:5" x14ac:dyDescent="0.25">
      <c r="A147" t="s">
        <v>110</v>
      </c>
      <c r="B147" t="s">
        <v>24</v>
      </c>
      <c r="C147" s="101" t="str">
        <f>Biogasanlæg!A22</f>
        <v>Græs</v>
      </c>
      <c r="D147">
        <f t="shared" si="9"/>
        <v>2019</v>
      </c>
      <c r="E147" t="e">
        <f>IF(B147="Vestdanmark",VLOOKUP(C147,Biogasanlæg!$A$39:$E$55,MATCH(D147,Biogasanlæg!$A$38:$E$38,0),FALSE),VLOOKUP(C147,Biogasanlæg!$I$39:$M$55,MATCH(D147,Biogasanlæg!$I$38:$M$38,0),FALSE))</f>
        <v>#REF!</v>
      </c>
    </row>
    <row r="148" spans="1:5" x14ac:dyDescent="0.25">
      <c r="A148" t="s">
        <v>110</v>
      </c>
      <c r="B148" t="s">
        <v>24</v>
      </c>
      <c r="C148" s="101" t="str">
        <f>Biogasanlæg!A23</f>
        <v>Majs</v>
      </c>
      <c r="D148">
        <f t="shared" si="9"/>
        <v>2019</v>
      </c>
      <c r="E148" t="e">
        <f>IF(B148="Vestdanmark",VLOOKUP(C148,Biogasanlæg!$A$39:$E$55,MATCH(D148,Biogasanlæg!$A$38:$E$38,0),FALSE),VLOOKUP(C148,Biogasanlæg!$I$39:$M$55,MATCH(D148,Biogasanlæg!$I$38:$M$38,0),FALSE))</f>
        <v>#REF!</v>
      </c>
    </row>
    <row r="149" spans="1:5" x14ac:dyDescent="0.25">
      <c r="A149" t="s">
        <v>110</v>
      </c>
      <c r="B149" t="s">
        <v>24</v>
      </c>
      <c r="C149" s="101" t="str">
        <f>Biogasanlæg!A24</f>
        <v>Roer</v>
      </c>
      <c r="D149">
        <f t="shared" si="9"/>
        <v>2019</v>
      </c>
      <c r="E149" t="e">
        <f>IF(B149="Vestdanmark",VLOOKUP(C149,Biogasanlæg!$A$39:$E$55,MATCH(D149,Biogasanlæg!$A$38:$E$38,0),FALSE),VLOOKUP(C149,Biogasanlæg!$I$39:$M$55,MATCH(D149,Biogasanlæg!$I$38:$M$38,0),FALSE))</f>
        <v>#REF!</v>
      </c>
    </row>
    <row r="150" spans="1:5" x14ac:dyDescent="0.25">
      <c r="A150" t="s">
        <v>110</v>
      </c>
      <c r="B150" t="s">
        <v>24</v>
      </c>
      <c r="C150" s="101" t="str">
        <f>Biogasanlæg!A25</f>
        <v>Have/parkaffald</v>
      </c>
      <c r="D150">
        <f t="shared" si="9"/>
        <v>2019</v>
      </c>
      <c r="E150" t="e">
        <f>IF(B150="Vestdanmark",VLOOKUP(C150,Biogasanlæg!$A$39:$E$55,MATCH(D150,Biogasanlæg!$A$38:$E$38,0),FALSE),VLOOKUP(C150,Biogasanlæg!$I$39:$M$55,MATCH(D150,Biogasanlæg!$I$38:$M$38,0),FALSE))</f>
        <v>#REF!</v>
      </c>
    </row>
    <row r="151" spans="1:5" x14ac:dyDescent="0.25">
      <c r="A151" t="s">
        <v>110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110</v>
      </c>
      <c r="B152" t="s">
        <v>24</v>
      </c>
      <c r="C152" s="101" t="str">
        <f>Biogasanlæg!A27</f>
        <v>Muslinger</v>
      </c>
      <c r="D152">
        <f t="shared" si="9"/>
        <v>2019</v>
      </c>
      <c r="E152" t="e">
        <f>IF(B152="Vestdanmark",VLOOKUP(C152,Biogasanlæg!$A$39:$E$55,MATCH(D152,Biogasanlæg!$A$38:$E$38,0),FALSE),VLOOKUP(C152,Biogasanlæg!$I$39:$M$55,MATCH(D152,Biogasanlæg!$I$38:$M$38,0),FALSE))</f>
        <v>#REF!</v>
      </c>
    </row>
    <row r="153" spans="1:5" x14ac:dyDescent="0.25">
      <c r="A153" t="s">
        <v>110</v>
      </c>
      <c r="B153" t="s">
        <v>24</v>
      </c>
      <c r="C153" s="101" t="str">
        <f>Biogasanlæg!A28</f>
        <v>Tang</v>
      </c>
      <c r="D153">
        <f t="shared" si="9"/>
        <v>2019</v>
      </c>
      <c r="E153" t="e">
        <f>IF(B153="Vestdanmark",VLOOKUP(C153,Biogasanlæg!$A$39:$E$55,MATCH(D153,Biogasanlæg!$A$38:$E$38,0),FALSE),VLOOKUP(C153,Biogasanlæg!$I$39:$M$55,MATCH(D153,Biogasanlæg!$I$38:$M$38,0),FALSE))</f>
        <v>#REF!</v>
      </c>
    </row>
    <row r="154" spans="1:5" x14ac:dyDescent="0.25">
      <c r="A154" t="s">
        <v>110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 t="e">
        <f>IF(B154="Vestdanmark",VLOOKUP(C154,Biogasanlæg!$A$39:$E$55,MATCH(D154,Biogasanlæg!$A$38:$E$38,0),FALSE),VLOOKUP(C154,Biogasanlæg!$I$39:$M$55,MATCH(D154,Biogasanlæg!$I$38:$M$38,0),FALSE))</f>
        <v>#REF!</v>
      </c>
    </row>
    <row r="155" spans="1:5" x14ac:dyDescent="0.25">
      <c r="A155" t="s">
        <v>110</v>
      </c>
      <c r="B155" t="s">
        <v>24</v>
      </c>
      <c r="C155" s="101" t="str">
        <f>Biogasanlæg!A13</f>
        <v>Kvæggylle</v>
      </c>
      <c r="D155">
        <f t="shared" si="10"/>
        <v>2030</v>
      </c>
      <c r="E155" t="e">
        <f>IF(B155="Vestdanmark",VLOOKUP(C155,Biogasanlæg!$A$39:$E$55,MATCH(D155,Biogasanlæg!$A$38:$E$38,0),FALSE),VLOOKUP(C155,Biogasanlæg!$I$39:$M$55,MATCH(D155,Biogasanlæg!$I$38:$M$38,0),FALSE))</f>
        <v>#REF!</v>
      </c>
    </row>
    <row r="156" spans="1:5" x14ac:dyDescent="0.25">
      <c r="A156" t="s">
        <v>110</v>
      </c>
      <c r="B156" t="s">
        <v>24</v>
      </c>
      <c r="C156" s="101" t="str">
        <f>Biogasanlæg!A14</f>
        <v>Fjerkrægylle</v>
      </c>
      <c r="D156">
        <f t="shared" si="10"/>
        <v>2030</v>
      </c>
      <c r="E156" t="e">
        <f>IF(B156="Vestdanmark",VLOOKUP(C156,Biogasanlæg!$A$39:$E$55,MATCH(D156,Biogasanlæg!$A$38:$E$38,0),FALSE),VLOOKUP(C156,Biogasanlæg!$I$39:$M$55,MATCH(D156,Biogasanlæg!$I$38:$M$38,0),FALSE))</f>
        <v>#REF!</v>
      </c>
    </row>
    <row r="157" spans="1:5" x14ac:dyDescent="0.25">
      <c r="A157" t="s">
        <v>110</v>
      </c>
      <c r="B157" t="s">
        <v>24</v>
      </c>
      <c r="C157" s="101" t="str">
        <f>Biogasanlæg!A15</f>
        <v>Spildevandsslam</v>
      </c>
      <c r="D157">
        <f t="shared" si="10"/>
        <v>2030</v>
      </c>
      <c r="E157" t="e">
        <f>IF(B157="Vestdanmark",VLOOKUP(C157,Biogasanlæg!$A$39:$E$55,MATCH(D157,Biogasanlæg!$A$38:$E$38,0),FALSE),VLOOKUP(C157,Biogasanlæg!$I$39:$M$55,MATCH(D157,Biogasanlæg!$I$38:$M$38,0),FALSE))</f>
        <v>#REF!</v>
      </c>
    </row>
    <row r="158" spans="1:5" x14ac:dyDescent="0.25">
      <c r="A158" t="s">
        <v>110</v>
      </c>
      <c r="B158" t="s">
        <v>24</v>
      </c>
      <c r="C158" s="101" t="str">
        <f>Biogasanlæg!A18</f>
        <v>Bioaffald</v>
      </c>
      <c r="D158">
        <f t="shared" si="10"/>
        <v>2030</v>
      </c>
      <c r="E158" t="e">
        <f>IF(B158="Vestdanmark",VLOOKUP(C158,Biogasanlæg!$A$39:$E$55,MATCH(D158,Biogasanlæg!$A$38:$E$38,0),FALSE),VLOOKUP(C158,Biogasanlæg!$I$39:$M$55,MATCH(D158,Biogasanlæg!$I$38:$M$38,0),FALSE))</f>
        <v>#REF!</v>
      </c>
    </row>
    <row r="159" spans="1:5" x14ac:dyDescent="0.25">
      <c r="A159" t="s">
        <v>110</v>
      </c>
      <c r="B159" t="s">
        <v>24</v>
      </c>
      <c r="C159" s="101" t="str">
        <f>Biogasanlæg!A19</f>
        <v>Industriaffald</v>
      </c>
      <c r="D159">
        <f t="shared" si="10"/>
        <v>2030</v>
      </c>
      <c r="E159" t="e">
        <f>IF(B159="Vestdanmark",VLOOKUP(C159,Biogasanlæg!$A$39:$E$55,MATCH(D159,Biogasanlæg!$A$38:$E$38,0),FALSE),VLOOKUP(C159,Biogasanlæg!$I$39:$M$55,MATCH(D159,Biogasanlæg!$I$38:$M$38,0),FALSE))</f>
        <v>#REF!</v>
      </c>
    </row>
    <row r="160" spans="1:5" x14ac:dyDescent="0.25">
      <c r="A160" t="s">
        <v>110</v>
      </c>
      <c r="B160" t="s">
        <v>24</v>
      </c>
      <c r="C160" s="101" t="str">
        <f>Biogasanlæg!A16</f>
        <v>Dybstrøelse</v>
      </c>
      <c r="D160">
        <f t="shared" si="10"/>
        <v>2030</v>
      </c>
      <c r="E160" t="e">
        <f>IF(B160="Vestdanmark",VLOOKUP(C160,Biogasanlæg!$A$39:$E$55,MATCH(D160,Biogasanlæg!$A$38:$E$38,0),FALSE),VLOOKUP(C160,Biogasanlæg!$I$39:$M$55,MATCH(D160,Biogasanlæg!$I$38:$M$38,0),FALSE))</f>
        <v>#REF!</v>
      </c>
    </row>
    <row r="161" spans="1:5" x14ac:dyDescent="0.25">
      <c r="A161" t="s">
        <v>110</v>
      </c>
      <c r="B161" t="s">
        <v>24</v>
      </c>
      <c r="C161" s="101" t="str">
        <f>Biogasanlæg!A17</f>
        <v>Brun saft</v>
      </c>
      <c r="D161">
        <f t="shared" si="10"/>
        <v>2030</v>
      </c>
      <c r="E161" t="e">
        <f>IF(B161="Vestdanmark",VLOOKUP(C161,Biogasanlæg!$A$39:$E$55,MATCH(D161,Biogasanlæg!$A$38:$E$38,0),FALSE),VLOOKUP(C161,Biogasanlæg!$I$39:$M$55,MATCH(D161,Biogasanlæg!$I$38:$M$38,0),FALSE))</f>
        <v>#REF!</v>
      </c>
    </row>
    <row r="162" spans="1:5" x14ac:dyDescent="0.25">
      <c r="A162" t="s">
        <v>110</v>
      </c>
      <c r="B162" t="s">
        <v>24</v>
      </c>
      <c r="C162" s="101" t="str">
        <f>Biogasanlæg!A20</f>
        <v>Halm</v>
      </c>
      <c r="D162">
        <f t="shared" si="10"/>
        <v>2030</v>
      </c>
      <c r="E162" t="e">
        <f>IF(B162="Vestdanmark",VLOOKUP(C162,Biogasanlæg!$A$39:$E$55,MATCH(D162,Biogasanlæg!$A$38:$E$38,0),FALSE),VLOOKUP(C162,Biogasanlæg!$I$39:$M$55,MATCH(D162,Biogasanlæg!$I$38:$M$38,0),FALSE))</f>
        <v>#REF!</v>
      </c>
    </row>
    <row r="163" spans="1:5" x14ac:dyDescent="0.25">
      <c r="A163" t="s">
        <v>110</v>
      </c>
      <c r="B163" t="s">
        <v>24</v>
      </c>
      <c r="C163" s="101" t="str">
        <f>Biogasanlæg!A21</f>
        <v>Korn</v>
      </c>
      <c r="D163">
        <f t="shared" si="10"/>
        <v>2030</v>
      </c>
      <c r="E163" t="e">
        <f>IF(B163="Vestdanmark",VLOOKUP(C163,Biogasanlæg!$A$39:$E$55,MATCH(D163,Biogasanlæg!$A$38:$E$38,0),FALSE),VLOOKUP(C163,Biogasanlæg!$I$39:$M$55,MATCH(D163,Biogasanlæg!$I$38:$M$38,0),FALSE))</f>
        <v>#REF!</v>
      </c>
    </row>
    <row r="164" spans="1:5" x14ac:dyDescent="0.25">
      <c r="A164" t="s">
        <v>110</v>
      </c>
      <c r="B164" t="s">
        <v>24</v>
      </c>
      <c r="C164" s="101" t="str">
        <f>Biogasanlæg!A22</f>
        <v>Græs</v>
      </c>
      <c r="D164">
        <f t="shared" si="10"/>
        <v>2030</v>
      </c>
      <c r="E164" t="e">
        <f>IF(B164="Vestdanmark",VLOOKUP(C164,Biogasanlæg!$A$39:$E$55,MATCH(D164,Biogasanlæg!$A$38:$E$38,0),FALSE),VLOOKUP(C164,Biogasanlæg!$I$39:$M$55,MATCH(D164,Biogasanlæg!$I$38:$M$38,0),FALSE))</f>
        <v>#REF!</v>
      </c>
    </row>
    <row r="165" spans="1:5" x14ac:dyDescent="0.25">
      <c r="A165" t="s">
        <v>110</v>
      </c>
      <c r="B165" t="s">
        <v>24</v>
      </c>
      <c r="C165" s="101" t="str">
        <f>Biogasanlæg!A23</f>
        <v>Majs</v>
      </c>
      <c r="D165">
        <f t="shared" si="10"/>
        <v>2030</v>
      </c>
      <c r="E165" t="e">
        <f>IF(B165="Vestdanmark",VLOOKUP(C165,Biogasanlæg!$A$39:$E$55,MATCH(D165,Biogasanlæg!$A$38:$E$38,0),FALSE),VLOOKUP(C165,Biogasanlæg!$I$39:$M$55,MATCH(D165,Biogasanlæg!$I$38:$M$38,0),FALSE))</f>
        <v>#REF!</v>
      </c>
    </row>
    <row r="166" spans="1:5" x14ac:dyDescent="0.25">
      <c r="A166" t="s">
        <v>110</v>
      </c>
      <c r="B166" t="s">
        <v>24</v>
      </c>
      <c r="C166" s="101" t="str">
        <f>Biogasanlæg!A24</f>
        <v>Roer</v>
      </c>
      <c r="D166">
        <f t="shared" si="10"/>
        <v>2030</v>
      </c>
      <c r="E166" t="e">
        <f>IF(B166="Vestdanmark",VLOOKUP(C166,Biogasanlæg!$A$39:$E$55,MATCH(D166,Biogasanlæg!$A$38:$E$38,0),FALSE),VLOOKUP(C166,Biogasanlæg!$I$39:$M$55,MATCH(D166,Biogasanlæg!$I$38:$M$38,0),FALSE))</f>
        <v>#REF!</v>
      </c>
    </row>
    <row r="167" spans="1:5" x14ac:dyDescent="0.25">
      <c r="A167" t="s">
        <v>110</v>
      </c>
      <c r="B167" t="s">
        <v>24</v>
      </c>
      <c r="C167" s="101" t="str">
        <f>Biogasanlæg!A25</f>
        <v>Have/parkaffald</v>
      </c>
      <c r="D167">
        <f t="shared" si="10"/>
        <v>2030</v>
      </c>
      <c r="E167" t="e">
        <f>IF(B167="Vestdanmark",VLOOKUP(C167,Biogasanlæg!$A$39:$E$55,MATCH(D167,Biogasanlæg!$A$38:$E$38,0),FALSE),VLOOKUP(C167,Biogasanlæg!$I$39:$M$55,MATCH(D167,Biogasanlæg!$I$38:$M$38,0),FALSE))</f>
        <v>#REF!</v>
      </c>
    </row>
    <row r="168" spans="1:5" x14ac:dyDescent="0.25">
      <c r="A168" t="s">
        <v>110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110</v>
      </c>
      <c r="B169" t="s">
        <v>24</v>
      </c>
      <c r="C169" s="101" t="str">
        <f>Biogasanlæg!A27</f>
        <v>Muslinger</v>
      </c>
      <c r="D169">
        <f t="shared" si="10"/>
        <v>2030</v>
      </c>
      <c r="E169" t="e">
        <f>IF(B169="Vestdanmark",VLOOKUP(C169,Biogasanlæg!$A$39:$E$55,MATCH(D169,Biogasanlæg!$A$38:$E$38,0),FALSE),VLOOKUP(C169,Biogasanlæg!$I$39:$M$55,MATCH(D169,Biogasanlæg!$I$38:$M$38,0),FALSE))</f>
        <v>#REF!</v>
      </c>
    </row>
    <row r="170" spans="1:5" x14ac:dyDescent="0.25">
      <c r="A170" t="s">
        <v>110</v>
      </c>
      <c r="B170" t="s">
        <v>24</v>
      </c>
      <c r="C170" s="101" t="str">
        <f>Biogasanlæg!A28</f>
        <v>Tang</v>
      </c>
      <c r="D170">
        <f t="shared" si="10"/>
        <v>2030</v>
      </c>
      <c r="E170" t="e">
        <f>IF(B170="Vestdanmark",VLOOKUP(C170,Biogasanlæg!$A$39:$E$55,MATCH(D170,Biogasanlæg!$A$38:$E$38,0),FALSE),VLOOKUP(C170,Biogasanlæg!$I$39:$M$55,MATCH(D170,Biogasanlæg!$I$38:$M$38,0),FALSE))</f>
        <v>#REF!</v>
      </c>
    </row>
    <row r="171" spans="1:5" x14ac:dyDescent="0.25">
      <c r="A171" t="s">
        <v>110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 t="e">
        <f>IF(B171="Vestdanmark",VLOOKUP(C171,Biogasanlæg!$A$39:$E$55,MATCH(D171,Biogasanlæg!$A$38:$E$38,0),FALSE),VLOOKUP(C171,Biogasanlæg!$I$39:$M$55,MATCH(D171,Biogasanlæg!$I$38:$M$38,0),FALSE))</f>
        <v>#REF!</v>
      </c>
    </row>
    <row r="172" spans="1:5" x14ac:dyDescent="0.25">
      <c r="A172" t="s">
        <v>110</v>
      </c>
      <c r="B172" t="s">
        <v>24</v>
      </c>
      <c r="C172" s="101" t="str">
        <f>Biogasanlæg!A13</f>
        <v>Kvæggylle</v>
      </c>
      <c r="D172">
        <f t="shared" si="11"/>
        <v>2050</v>
      </c>
      <c r="E172" t="e">
        <f>IF(B172="Vestdanmark",VLOOKUP(C172,Biogasanlæg!$A$39:$E$55,MATCH(D172,Biogasanlæg!$A$38:$E$38,0),FALSE),VLOOKUP(C172,Biogasanlæg!$I$39:$M$55,MATCH(D172,Biogasanlæg!$I$38:$M$38,0),FALSE))</f>
        <v>#REF!</v>
      </c>
    </row>
    <row r="173" spans="1:5" x14ac:dyDescent="0.25">
      <c r="A173" t="s">
        <v>110</v>
      </c>
      <c r="B173" t="s">
        <v>24</v>
      </c>
      <c r="C173" s="101" t="str">
        <f>Biogasanlæg!A14</f>
        <v>Fjerkrægylle</v>
      </c>
      <c r="D173">
        <f t="shared" si="11"/>
        <v>2050</v>
      </c>
      <c r="E173" t="e">
        <f>IF(B173="Vestdanmark",VLOOKUP(C173,Biogasanlæg!$A$39:$E$55,MATCH(D173,Biogasanlæg!$A$38:$E$38,0),FALSE),VLOOKUP(C173,Biogasanlæg!$I$39:$M$55,MATCH(D173,Biogasanlæg!$I$38:$M$38,0),FALSE))</f>
        <v>#REF!</v>
      </c>
    </row>
    <row r="174" spans="1:5" x14ac:dyDescent="0.25">
      <c r="A174" t="s">
        <v>110</v>
      </c>
      <c r="B174" t="s">
        <v>24</v>
      </c>
      <c r="C174" s="101" t="str">
        <f>Biogasanlæg!A15</f>
        <v>Spildevandsslam</v>
      </c>
      <c r="D174">
        <f t="shared" si="11"/>
        <v>2050</v>
      </c>
      <c r="E174" t="e">
        <f>IF(B174="Vestdanmark",VLOOKUP(C174,Biogasanlæg!$A$39:$E$55,MATCH(D174,Biogasanlæg!$A$38:$E$38,0),FALSE),VLOOKUP(C174,Biogasanlæg!$I$39:$M$55,MATCH(D174,Biogasanlæg!$I$38:$M$38,0),FALSE))</f>
        <v>#REF!</v>
      </c>
    </row>
    <row r="175" spans="1:5" x14ac:dyDescent="0.25">
      <c r="A175" t="s">
        <v>110</v>
      </c>
      <c r="B175" t="s">
        <v>24</v>
      </c>
      <c r="C175" s="101" t="str">
        <f>Biogasanlæg!A18</f>
        <v>Bioaffald</v>
      </c>
      <c r="D175">
        <f t="shared" si="11"/>
        <v>2050</v>
      </c>
      <c r="E175" t="e">
        <f>IF(B175="Vestdanmark",VLOOKUP(C175,Biogasanlæg!$A$39:$E$55,MATCH(D175,Biogasanlæg!$A$38:$E$38,0),FALSE),VLOOKUP(C175,Biogasanlæg!$I$39:$M$55,MATCH(D175,Biogasanlæg!$I$38:$M$38,0),FALSE))</f>
        <v>#REF!</v>
      </c>
    </row>
    <row r="176" spans="1:5" x14ac:dyDescent="0.25">
      <c r="A176" t="s">
        <v>110</v>
      </c>
      <c r="B176" t="s">
        <v>24</v>
      </c>
      <c r="C176" s="101" t="str">
        <f>Biogasanlæg!A19</f>
        <v>Industriaffald</v>
      </c>
      <c r="D176">
        <f t="shared" si="11"/>
        <v>2050</v>
      </c>
      <c r="E176" t="e">
        <f>IF(B176="Vestdanmark",VLOOKUP(C176,Biogasanlæg!$A$39:$E$55,MATCH(D176,Biogasanlæg!$A$38:$E$38,0),FALSE),VLOOKUP(C176,Biogasanlæg!$I$39:$M$55,MATCH(D176,Biogasanlæg!$I$38:$M$38,0),FALSE))</f>
        <v>#REF!</v>
      </c>
    </row>
    <row r="177" spans="1:18" x14ac:dyDescent="0.25">
      <c r="A177" t="s">
        <v>110</v>
      </c>
      <c r="B177" t="s">
        <v>24</v>
      </c>
      <c r="C177" s="101" t="str">
        <f>Biogasanlæg!A16</f>
        <v>Dybstrøelse</v>
      </c>
      <c r="D177">
        <f t="shared" si="11"/>
        <v>2050</v>
      </c>
      <c r="E177" t="e">
        <f>IF(B177="Vestdanmark",VLOOKUP(C177,Biogasanlæg!$A$39:$E$55,MATCH(D177,Biogasanlæg!$A$38:$E$38,0),FALSE),VLOOKUP(C177,Biogasanlæg!$I$39:$M$55,MATCH(D177,Biogasanlæg!$I$38:$M$38,0),FALSE))</f>
        <v>#REF!</v>
      </c>
    </row>
    <row r="178" spans="1:18" x14ac:dyDescent="0.25">
      <c r="A178" t="s">
        <v>110</v>
      </c>
      <c r="B178" t="s">
        <v>24</v>
      </c>
      <c r="C178" s="101" t="str">
        <f>Biogasanlæg!A17</f>
        <v>Brun saft</v>
      </c>
      <c r="D178">
        <f t="shared" si="11"/>
        <v>2050</v>
      </c>
      <c r="E178" t="e">
        <f>IF(B178="Vestdanmark",VLOOKUP(C178,Biogasanlæg!$A$39:$E$55,MATCH(D178,Biogasanlæg!$A$38:$E$38,0),FALSE),VLOOKUP(C178,Biogasanlæg!$I$39:$M$55,MATCH(D178,Biogasanlæg!$I$38:$M$38,0),FALSE))</f>
        <v>#REF!</v>
      </c>
    </row>
    <row r="179" spans="1:18" x14ac:dyDescent="0.25">
      <c r="A179" t="s">
        <v>110</v>
      </c>
      <c r="B179" t="s">
        <v>24</v>
      </c>
      <c r="C179" s="101" t="str">
        <f>Biogasanlæg!A20</f>
        <v>Halm</v>
      </c>
      <c r="D179">
        <f t="shared" si="11"/>
        <v>2050</v>
      </c>
      <c r="E179" t="e">
        <f>IF(B179="Vestdanmark",VLOOKUP(C179,Biogasanlæg!$A$39:$E$55,MATCH(D179,Biogasanlæg!$A$38:$E$38,0),FALSE),VLOOKUP(C179,Biogasanlæg!$I$39:$M$55,MATCH(D179,Biogasanlæg!$I$38:$M$38,0),FALSE))</f>
        <v>#REF!</v>
      </c>
    </row>
    <row r="180" spans="1:18" x14ac:dyDescent="0.25">
      <c r="A180" t="s">
        <v>110</v>
      </c>
      <c r="B180" t="s">
        <v>24</v>
      </c>
      <c r="C180" s="101" t="str">
        <f>Biogasanlæg!A21</f>
        <v>Korn</v>
      </c>
      <c r="D180">
        <f t="shared" si="11"/>
        <v>2050</v>
      </c>
      <c r="E180" t="e">
        <f>IF(B180="Vestdanmark",VLOOKUP(C180,Biogasanlæg!$A$39:$E$55,MATCH(D180,Biogasanlæg!$A$38:$E$38,0),FALSE),VLOOKUP(C180,Biogasanlæg!$I$39:$M$55,MATCH(D180,Biogasanlæg!$I$38:$M$38,0),FALSE))</f>
        <v>#REF!</v>
      </c>
    </row>
    <row r="181" spans="1:18" x14ac:dyDescent="0.25">
      <c r="A181" t="s">
        <v>110</v>
      </c>
      <c r="B181" t="s">
        <v>24</v>
      </c>
      <c r="C181" s="101" t="str">
        <f>Biogasanlæg!A22</f>
        <v>Græs</v>
      </c>
      <c r="D181">
        <f t="shared" si="11"/>
        <v>2050</v>
      </c>
      <c r="E181" t="e">
        <f>IF(B181="Vestdanmark",VLOOKUP(C181,Biogasanlæg!$A$39:$E$55,MATCH(D181,Biogasanlæg!$A$38:$E$38,0),FALSE),VLOOKUP(C181,Biogasanlæg!$I$39:$M$55,MATCH(D181,Biogasanlæg!$I$38:$M$38,0),FALSE))</f>
        <v>#REF!</v>
      </c>
    </row>
    <row r="182" spans="1:18" x14ac:dyDescent="0.25">
      <c r="A182" t="s">
        <v>110</v>
      </c>
      <c r="B182" t="s">
        <v>24</v>
      </c>
      <c r="C182" s="101" t="str">
        <f>Biogasanlæg!A23</f>
        <v>Majs</v>
      </c>
      <c r="D182">
        <f t="shared" si="11"/>
        <v>2050</v>
      </c>
      <c r="E182" t="e">
        <f>IF(B182="Vestdanmark",VLOOKUP(C182,Biogasanlæg!$A$39:$E$55,MATCH(D182,Biogasanlæg!$A$38:$E$38,0),FALSE),VLOOKUP(C182,Biogasanlæg!$I$39:$M$55,MATCH(D182,Biogasanlæg!$I$38:$M$38,0),FALSE))</f>
        <v>#REF!</v>
      </c>
    </row>
    <row r="183" spans="1:18" x14ac:dyDescent="0.25">
      <c r="A183" t="s">
        <v>110</v>
      </c>
      <c r="B183" t="s">
        <v>24</v>
      </c>
      <c r="C183" s="101" t="str">
        <f>Biogasanlæg!A24</f>
        <v>Roer</v>
      </c>
      <c r="D183">
        <f t="shared" si="11"/>
        <v>2050</v>
      </c>
      <c r="E183" t="e">
        <f>IF(B183="Vestdanmark",VLOOKUP(C183,Biogasanlæg!$A$39:$E$55,MATCH(D183,Biogasanlæg!$A$38:$E$38,0),FALSE),VLOOKUP(C183,Biogasanlæg!$I$39:$M$55,MATCH(D183,Biogasanlæg!$I$38:$M$38,0),FALSE))</f>
        <v>#REF!</v>
      </c>
    </row>
    <row r="184" spans="1:18" x14ac:dyDescent="0.25">
      <c r="A184" t="s">
        <v>110</v>
      </c>
      <c r="B184" t="s">
        <v>24</v>
      </c>
      <c r="C184" s="101" t="str">
        <f>Biogasanlæg!A25</f>
        <v>Have/parkaffald</v>
      </c>
      <c r="D184">
        <f t="shared" si="11"/>
        <v>2050</v>
      </c>
      <c r="E184" t="e">
        <f>IF(B184="Vestdanmark",VLOOKUP(C184,Biogasanlæg!$A$39:$E$55,MATCH(D184,Biogasanlæg!$A$38:$E$38,0),FALSE),VLOOKUP(C184,Biogasanlæg!$I$39:$M$55,MATCH(D184,Biogasanlæg!$I$38:$M$38,0),FALSE))</f>
        <v>#REF!</v>
      </c>
    </row>
    <row r="185" spans="1:18" x14ac:dyDescent="0.25">
      <c r="A185" t="s">
        <v>110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110</v>
      </c>
      <c r="B186" t="s">
        <v>24</v>
      </c>
      <c r="C186" s="101" t="str">
        <f>Biogasanlæg!A27</f>
        <v>Muslinger</v>
      </c>
      <c r="D186">
        <f t="shared" si="11"/>
        <v>2050</v>
      </c>
      <c r="E186" t="e">
        <f>IF(B186="Vestdanmark",VLOOKUP(C186,Biogasanlæg!$A$39:$E$55,MATCH(D186,Biogasanlæg!$A$38:$E$38,0),FALSE),VLOOKUP(C186,Biogasanlæg!$I$39:$M$55,MATCH(D186,Biogasanlæg!$I$38:$M$38,0),FALSE))</f>
        <v>#REF!</v>
      </c>
    </row>
    <row r="187" spans="1:18" x14ac:dyDescent="0.25">
      <c r="A187" t="s">
        <v>110</v>
      </c>
      <c r="B187" t="s">
        <v>24</v>
      </c>
      <c r="C187" s="101" t="str">
        <f>Biogasanlæg!A28</f>
        <v>Tang</v>
      </c>
      <c r="D187">
        <f t="shared" si="11"/>
        <v>2050</v>
      </c>
      <c r="E187" t="e">
        <f>IF(B187="Vestdanmark",VLOOKUP(C187,Biogasanlæg!$A$39:$E$55,MATCH(D187,Biogasanlæg!$A$38:$E$38,0),FALSE),VLOOKUP(C187,Biogasanlæg!$I$39:$M$55,MATCH(D187,Biogasanlæg!$I$38:$M$38,0),FALSE))</f>
        <v>#REF!</v>
      </c>
    </row>
    <row r="188" spans="1:18" x14ac:dyDescent="0.25">
      <c r="A188" s="100" t="s">
        <v>113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51" t="e">
        <f>VLOOKUP($C188,Fodersammensætning!A$3:E$17,MATCH(D188,Fodersammensætning!$A$2:$E$2,0),FALSE)*(-SUMIFS(IF(D188=År1,IF(B188="Vestdanmark",'Resultater - Vestdanmark'!H$3:H$482,'Resultater - Østdanmark'!H$3:H$482),IF(D188=År2,IF(B188="Vestdanmark",'Resultater - Vestdanmark'!I$3:I$482,'Resultater - Østdanmark'!I$3:I$482),IF(B188="Vestdanmark",'Resultater - Vestdanmark'!J$3:J$482,'Resultater - Østdanmark'!J$3:J$482))),'Resultater - Vestdanmark'!$F$3:$F$482,"Foder",'Resultater - Vestdanmark'!$A$3:$A$482,"&lt;&gt;Foderproduktion"))/SUMIFS(IF(D188=År1,'[1]Processer - data'!H$3:H$464,IF(D188=År2,'[1]Processer - data'!I$3:I$464,'[1]Processer - data'!J$3:J$464)),'[1]Processer - data'!$A$3:$A$464,"Foderproduktion",'[1]Processer - data'!$D$3:$D$464,$C188)</f>
        <v>#REF!</v>
      </c>
      <c r="G188" s="319"/>
    </row>
    <row r="189" spans="1:18" x14ac:dyDescent="0.25">
      <c r="A189" s="100" t="s">
        <v>113</v>
      </c>
      <c r="B189" t="s">
        <v>23</v>
      </c>
      <c r="C189" s="101" t="str">
        <f>Fodersammensætning!A4</f>
        <v>Halm</v>
      </c>
      <c r="D189">
        <f t="shared" si="12"/>
        <v>2019</v>
      </c>
      <c r="E189" s="151" t="e">
        <f>VLOOKUP($C189,Fodersammensætning!A$3:E$17,MATCH(D189,Fodersammensætning!$A$2:$E$2,0),FALSE)*(-SUMIFS(IF(D189=År1,IF(B189="Vestdanmark",'Resultater - Vestdanmark'!H$3:H$482,'Resultater - Østdanmark'!H$3:H$482),IF(D189=År2,IF(B189="Vestdanmark",'Resultater - Vestdanmark'!I$3:I$482,'Resultater - Østdanmark'!I$3:I$482),IF(B189="Vestdanmark",'Resultater - Vestdanmark'!J$3:J$482,'Resultater - Østdanmark'!J$3:J$482))),'Resultater - Vestdanmark'!$F$3:$F$482,"Foder",'Resultater - Vestdanmark'!$A$3:$A$482,"&lt;&gt;Foderproduktion"))/SUMIFS(IF(D189=År1,'[1]Processer - data'!H$3:H$464,IF(D189=År2,'[1]Processer - data'!I$3:I$464,'[1]Processer - data'!J$3:J$464)),'[1]Processer - data'!$A$3:$A$464,"Foderproduktion",'[1]Processer - data'!$D$3:$D$464,$C189)</f>
        <v>#REF!</v>
      </c>
      <c r="R189" s="98" t="e">
        <f>-SUMIFS('Resultater - Vestdanmark'!H$3:H$482,'Resultater - Vestdanmark'!$F$3:$F$482,"Foder",'Resultater - Vestdanmark'!$A$3:$A$482,"&lt;&gt;Foderproduktion")</f>
        <v>#REF!</v>
      </c>
    </row>
    <row r="190" spans="1:18" x14ac:dyDescent="0.25">
      <c r="A190" s="100" t="s">
        <v>113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51" t="e">
        <f>VLOOKUP($C190,Fodersammensætning!A$3:E$17,MATCH(D190,Fodersammensætning!$A$2:$E$2,0),FALSE)*(-SUMIFS(IF(D190=År1,IF(B190="Vestdanmark",'Resultater - Vestdanmark'!H$3:H$482,'Resultater - Østdanmark'!H$3:H$482),IF(D190=År2,IF(B190="Vestdanmark",'Resultater - Vestdanmark'!I$3:I$482,'Resultater - Østdanmark'!I$3:I$482),IF(B190="Vestdanmark",'Resultater - Vestdanmark'!J$3:J$482,'Resultater - Østdanmark'!J$3:J$482))),'Resultater - Vestdanmark'!$F$3:$F$482,"Foder",'Resultater - Vestdanmark'!$A$3:$A$482,"&lt;&gt;Foderproduktion"))/SUMIFS(IF(D190=År1,'[1]Processer - data'!H$3:H$464,IF(D190=År2,'[1]Processer - data'!I$3:I$464,'[1]Processer - data'!J$3:J$464)),'[1]Processer - data'!$A$3:$A$464,"Foderproduktion",'[1]Processer - data'!$D$3:$D$464,$C190)</f>
        <v>#REF!</v>
      </c>
    </row>
    <row r="191" spans="1:18" x14ac:dyDescent="0.25">
      <c r="A191" s="100" t="s">
        <v>113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51" t="e">
        <f>VLOOKUP($C191,Fodersammensætning!A$3:E$17,MATCH(D191,Fodersammensætning!$A$2:$E$2,0),FALSE)*(-SUMIFS(IF(D191=År1,IF(B191="Vestdanmark",'Resultater - Vestdanmark'!H$3:H$482,'Resultater - Østdanmark'!H$3:H$482),IF(D191=År2,IF(B191="Vestdanmark",'Resultater - Vestdanmark'!I$3:I$482,'Resultater - Østdanmark'!I$3:I$482),IF(B191="Vestdanmark",'Resultater - Vestdanmark'!J$3:J$482,'Resultater - Østdanmark'!J$3:J$482))),'Resultater - Vestdanmark'!$F$3:$F$482,"Foder",'Resultater - Vestdanmark'!$A$3:$A$482,"&lt;&gt;Foderproduktion"))/SUMIFS(IF(D191=År1,'[1]Processer - data'!H$3:H$464,IF(D191=År2,'[1]Processer - data'!I$3:I$464,'[1]Processer - data'!J$3:J$464)),'[1]Processer - data'!$A$3:$A$464,"Foderproduktion",'[1]Processer - data'!$D$3:$D$464,$C191)</f>
        <v>#REF!</v>
      </c>
    </row>
    <row r="192" spans="1:18" x14ac:dyDescent="0.25">
      <c r="A192" s="100" t="s">
        <v>113</v>
      </c>
      <c r="B192" t="s">
        <v>23</v>
      </c>
      <c r="C192" s="101" t="str">
        <f>Fodersammensætning!A7</f>
        <v>Roer</v>
      </c>
      <c r="D192">
        <f t="shared" si="12"/>
        <v>2019</v>
      </c>
      <c r="E192" s="151" t="e">
        <f>VLOOKUP($C192,Fodersammensætning!A$3:E$17,MATCH(D192,Fodersammensætning!$A$2:$E$2,0),FALSE)*(-SUMIFS(IF(D192=År1,IF(B192="Vestdanmark",'Resultater - Vestdanmark'!H$3:H$482,'Resultater - Østdanmark'!H$3:H$482),IF(D192=År2,IF(B192="Vestdanmark",'Resultater - Vestdanmark'!I$3:I$482,'Resultater - Østdanmark'!I$3:I$482),IF(B192="Vestdanmark",'Resultater - Vestdanmark'!J$3:J$482,'Resultater - Østdanmark'!J$3:J$482))),'Resultater - Vestdanmark'!$F$3:$F$482,"Foder",'Resultater - Vestdanmark'!$A$3:$A$482,"&lt;&gt;Foderproduktion"))/SUMIFS(IF(D192=År1,'[1]Processer - data'!H$3:H$464,IF(D192=År2,'[1]Processer - data'!I$3:I$464,'[1]Processer - data'!J$3:J$464)),'[1]Processer - data'!$A$3:$A$464,"Foderproduktion",'[1]Processer - data'!$D$3:$D$464,$C192)</f>
        <v>#REF!</v>
      </c>
    </row>
    <row r="193" spans="1:7" x14ac:dyDescent="0.25">
      <c r="A193" s="100" t="s">
        <v>113</v>
      </c>
      <c r="B193" t="s">
        <v>23</v>
      </c>
      <c r="C193" s="101" t="str">
        <f>Fodersammensætning!A8</f>
        <v>Majs</v>
      </c>
      <c r="D193">
        <f t="shared" si="12"/>
        <v>2019</v>
      </c>
      <c r="E193" s="151" t="e">
        <f>VLOOKUP($C193,Fodersammensætning!A$3:E$17,MATCH(D193,Fodersammensætning!$A$2:$E$2,0),FALSE)*(-SUMIFS(IF(D193=År1,IF(B193="Vestdanmark",'Resultater - Vestdanmark'!H$3:H$482,'Resultater - Østdanmark'!H$3:H$482),IF(D193=År2,IF(B193="Vestdanmark",'Resultater - Vestdanmark'!I$3:I$482,'Resultater - Østdanmark'!I$3:I$482),IF(B193="Vestdanmark",'Resultater - Vestdanmark'!J$3:J$482,'Resultater - Østdanmark'!J$3:J$482))),'Resultater - Vestdanmark'!$F$3:$F$482,"Foder",'Resultater - Vestdanmark'!$A$3:$A$482,"&lt;&gt;Foderproduktion"))/SUMIFS(IF(D193=År1,'[1]Processer - data'!H$3:H$464,IF(D193=År2,'[1]Processer - data'!I$3:I$464,'[1]Processer - data'!J$3:J$464)),'[1]Processer - data'!$A$3:$A$464,"Foderproduktion",'[1]Processer - data'!$D$3:$D$464,$C193)</f>
        <v>#REF!</v>
      </c>
    </row>
    <row r="194" spans="1:7" x14ac:dyDescent="0.25">
      <c r="A194" s="100" t="s">
        <v>113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51" t="e">
        <f>VLOOKUP($C194,Fodersammensætning!A$3:E$17,MATCH(D194,Fodersammensætning!$A$2:$E$2,0),FALSE)*(-SUMIFS(IF(D194=År1,IF(B194="Vestdanmark",'Resultater - Vestdanmark'!H$3:H$482,'Resultater - Østdanmark'!H$3:H$482),IF(D194=År2,IF(B194="Vestdanmark",'Resultater - Vestdanmark'!I$3:I$482,'Resultater - Østdanmark'!I$3:I$482),IF(B194="Vestdanmark",'Resultater - Vestdanmark'!J$3:J$482,'Resultater - Østdanmark'!J$3:J$482))),'Resultater - Vestdanmark'!$F$3:$F$482,"Foder",'Resultater - Vestdanmark'!$A$3:$A$482,"&lt;&gt;Foderproduktion"))/SUMIFS(IF(D194=År1,'[1]Processer - data'!H$3:H$464,IF(D194=År2,'[1]Processer - data'!I$3:I$464,'[1]Processer - data'!J$3:J$464)),'[1]Processer - data'!$A$3:$A$464,"Foderproduktion",'[1]Processer - data'!$D$3:$D$464,$C194)</f>
        <v>#REF!</v>
      </c>
    </row>
    <row r="195" spans="1:7" x14ac:dyDescent="0.25">
      <c r="A195" s="100" t="s">
        <v>113</v>
      </c>
      <c r="B195" t="s">
        <v>23</v>
      </c>
      <c r="C195" s="101" t="str">
        <f>Fodersammensætning!A10</f>
        <v>Tang</v>
      </c>
      <c r="D195">
        <f t="shared" si="12"/>
        <v>2019</v>
      </c>
      <c r="E195" s="151" t="e">
        <f>VLOOKUP($C195,Fodersammensætning!A$3:E$17,MATCH(D195,Fodersammensætning!$A$2:$E$2,0),FALSE)*(-SUMIFS(IF(D195=År1,IF(B195="Vestdanmark",'Resultater - Vestdanmark'!H$3:H$482,'Resultater - Østdanmark'!H$3:H$482),IF(D195=År2,IF(B195="Vestdanmark",'Resultater - Vestdanmark'!I$3:I$482,'Resultater - Østdanmark'!I$3:I$482),IF(B195="Vestdanmark",'Resultater - Vestdanmark'!J$3:J$482,'Resultater - Østdanmark'!J$3:J$482))),'Resultater - Vestdanmark'!$F$3:$F$482,"Foder",'Resultater - Vestdanmark'!$A$3:$A$482,"&lt;&gt;Foderproduktion"))/SUMIFS(IF(D195=År1,'[1]Processer - data'!H$3:H$464,IF(D195=År2,'[1]Processer - data'!I$3:I$464,'[1]Processer - data'!J$3:J$464)),'[1]Processer - data'!$A$3:$A$464,"Foderproduktion",'[1]Processer - data'!$D$3:$D$464,$C195)</f>
        <v>#REF!</v>
      </c>
    </row>
    <row r="196" spans="1:7" x14ac:dyDescent="0.25">
      <c r="A196" s="100" t="s">
        <v>113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51" t="e">
        <f>VLOOKUP($C196,Fodersammensætning!A$3:E$17,MATCH(D196,Fodersammensætning!$A$2:$E$2,0),FALSE)*(-SUMIFS(IF(D196=År1,IF(B196="Vestdanmark",'Resultater - Vestdanmark'!H$3:H$482,'Resultater - Østdanmark'!H$3:H$482),IF(D196=År2,IF(B196="Vestdanmark",'Resultater - Vestdanmark'!I$3:I$482,'Resultater - Østdanmark'!I$3:I$482),IF(B196="Vestdanmark",'Resultater - Vestdanmark'!J$3:J$482,'Resultater - Østdanmark'!J$3:J$482))),'Resultater - Vestdanmark'!$F$3:$F$482,"Foder",'Resultater - Vestdanmark'!$A$3:$A$482,"&lt;&gt;Foderproduktion"))/SUMIFS(IF(D196=År1,'[1]Processer - data'!H$3:H$464,IF(D196=År2,'[1]Processer - data'!I$3:I$464,'[1]Processer - data'!J$3:J$464)),'[1]Processer - data'!$A$3:$A$464,"Foderproduktion",'[1]Processer - data'!$D$3:$D$464,$C196)</f>
        <v>#REF!</v>
      </c>
    </row>
    <row r="197" spans="1:7" x14ac:dyDescent="0.25">
      <c r="A197" s="100" t="s">
        <v>113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51" t="e">
        <f>VLOOKUP($C197,Fodersammensætning!A$3:E$17,MATCH(D197,Fodersammensætning!$A$2:$E$2,0),FALSE)*(-SUMIFS(IF(D197=År1,IF(B197="Vestdanmark",'Resultater - Vestdanmark'!H$3:H$482,'Resultater - Østdanmark'!H$3:H$482),IF(D197=År2,IF(B197="Vestdanmark",'Resultater - Vestdanmark'!I$3:I$482,'Resultater - Østdanmark'!I$3:I$482),IF(B197="Vestdanmark",'Resultater - Vestdanmark'!J$3:J$482,'Resultater - Østdanmark'!J$3:J$482))),'Resultater - Vestdanmark'!$F$3:$F$482,"Foder",'Resultater - Vestdanmark'!$A$3:$A$482,"&lt;&gt;Foderproduktion"))/SUMIFS(IF(D197=År1,'[1]Processer - data'!H$3:H$464,IF(D197=År2,'[1]Processer - data'!I$3:I$464,'[1]Processer - data'!J$3:J$464)),'[1]Processer - data'!$A$3:$A$464,"Foderproduktion",'[1]Processer - data'!$D$3:$D$464,$C197)</f>
        <v>#REF!</v>
      </c>
    </row>
    <row r="198" spans="1:7" x14ac:dyDescent="0.25">
      <c r="A198" s="100" t="s">
        <v>113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51" t="e">
        <f>VLOOKUP($C198,Fodersammensætning!A$3:E$17,MATCH(D198,Fodersammensætning!$A$2:$E$2,0),FALSE)*(-SUMIFS(IF(D198=År1,IF(B198="Vestdanmark",'Resultater - Vestdanmark'!H$3:H$482,'Resultater - Østdanmark'!H$3:H$482),IF(D198=År2,IF(B198="Vestdanmark",'Resultater - Vestdanmark'!I$3:I$482,'Resultater - Østdanmark'!I$3:I$482),IF(B198="Vestdanmark",'Resultater - Vestdanmark'!J$3:J$482,'Resultater - Østdanmark'!J$3:J$482))),'Resultater - Vestdanmark'!$F$3:$F$482,"Foder",'Resultater - Vestdanmark'!$A$3:$A$482,"&lt;&gt;Foderproduktion"))/SUMIFS(IF(D198=År1,'[1]Processer - data'!H$3:H$464,IF(D198=År2,'[1]Processer - data'!I$3:I$464,'[1]Processer - data'!J$3:J$464)),'[1]Processer - data'!$A$3:$A$464,"Foderproduktion",'[1]Processer - data'!$D$3:$D$464,$C198)</f>
        <v>#REF!</v>
      </c>
    </row>
    <row r="199" spans="1:7" x14ac:dyDescent="0.25">
      <c r="A199" s="100" t="s">
        <v>113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51" t="e">
        <f>VLOOKUP($C199,Fodersammensætning!A$3:E$17,MATCH(D199,Fodersammensætning!$A$2:$E$2,0),FALSE)*(-SUMIFS(IF(D199=År1,IF(B199="Vestdanmark",'Resultater - Vestdanmark'!H$3:H$482,'Resultater - Østdanmark'!H$3:H$482),IF(D199=År2,IF(B199="Vestdanmark",'Resultater - Vestdanmark'!I$3:I$482,'Resultater - Østdanmark'!I$3:I$482),IF(B199="Vestdanmark",'Resultater - Vestdanmark'!J$3:J$482,'Resultater - Østdanmark'!J$3:J$482))),'Resultater - Vestdanmark'!$F$3:$F$482,"Foder",'Resultater - Vestdanmark'!$A$3:$A$482,"&lt;&gt;Foderproduktion"))/SUMIFS(IF(D199=År1,'[1]Processer - data'!H$3:H$464,IF(D199=År2,'[1]Processer - data'!I$3:I$464,'[1]Processer - data'!J$3:J$464)),'[1]Processer - data'!$A$3:$A$464,"Foderproduktion",'[1]Processer - data'!$D$3:$D$464,$C199)</f>
        <v>#REF!</v>
      </c>
    </row>
    <row r="200" spans="1:7" x14ac:dyDescent="0.25">
      <c r="A200" s="100" t="s">
        <v>113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51" t="e">
        <f>VLOOKUP($C200,Fodersammensætning!A$3:E$17,MATCH(D200,Fodersammensætning!$A$2:$E$2,0),FALSE)*(-SUMIFS(IF(D200=År1,IF(B200="Vestdanmark",'Resultater - Vestdanmark'!H$3:H$482,'Resultater - Østdanmark'!H$3:H$482),IF(D200=År2,IF(B200="Vestdanmark",'Resultater - Vestdanmark'!I$3:I$482,'Resultater - Østdanmark'!I$3:I$482),IF(B200="Vestdanmark",'Resultater - Vestdanmark'!J$3:J$482,'Resultater - Østdanmark'!J$3:J$482))),'Resultater - Vestdanmark'!$F$3:$F$482,"Foder",'Resultater - Vestdanmark'!$A$3:$A$482,"&lt;&gt;Foderproduktion"))/SUMIFS(IF(D200=År1,'[1]Processer - data'!H$3:H$464,IF(D200=År2,'[1]Processer - data'!I$3:I$464,'[1]Processer - data'!J$3:J$464)),'[1]Processer - data'!$A$3:$A$464,"Foderproduktion",'[1]Processer - data'!$D$3:$D$464,$C200)</f>
        <v>#REF!</v>
      </c>
    </row>
    <row r="201" spans="1:7" x14ac:dyDescent="0.25">
      <c r="A201" s="100" t="s">
        <v>113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51" t="e">
        <f>VLOOKUP($C201,Fodersammensætning!A$3:E$17,MATCH(D201,Fodersammensætning!$A$2:$E$2,0),FALSE)*(-SUMIFS(IF(D201=År1,IF(B201="Vestdanmark",'Resultater - Vestdanmark'!H$3:H$482,'Resultater - Østdanmark'!H$3:H$482),IF(D201=År2,IF(B201="Vestdanmark",'Resultater - Vestdanmark'!I$3:I$482,'Resultater - Østdanmark'!I$3:I$482),IF(B201="Vestdanmark",'Resultater - Vestdanmark'!J$3:J$482,'Resultater - Østdanmark'!J$3:J$482))),'Resultater - Vestdanmark'!$F$3:$F$482,"Foder",'Resultater - Vestdanmark'!$A$3:$A$482,"&lt;&gt;Foderproduktion"))/SUMIFS(IF(D201=År1,'[1]Processer - data'!H$3:H$464,IF(D201=År2,'[1]Processer - data'!I$3:I$464,'[1]Processer - data'!J$3:J$464)),'[1]Processer - data'!$A$3:$A$464,"Foderproduktion",'[1]Processer - data'!$D$3:$D$464,$C201)</f>
        <v>#REF!</v>
      </c>
    </row>
    <row r="202" spans="1:7" x14ac:dyDescent="0.25">
      <c r="A202" s="100" t="s">
        <v>113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51" t="e">
        <f>VLOOKUP($C202,Fodersammensætning!A$3:E$17,MATCH(D202,Fodersammensætning!$A$2:$E$2,0),FALSE)*(-SUMIFS(IF(D202=År1,IF(B202="Vestdanmark",'Resultater - Vestdanmark'!H$3:H$482,'Resultater - Østdanmark'!H$3:H$482),IF(D202=År2,IF(B202="Vestdanmark",'Resultater - Vestdanmark'!I$3:I$482,'Resultater - Østdanmark'!I$3:I$482),IF(B202="Vestdanmark",'Resultater - Vestdanmark'!J$3:J$482,'Resultater - Østdanmark'!J$3:J$482))),'Resultater - Vestdanmark'!$F$3:$F$482,"Foder",'Resultater - Vestdanmark'!$A$3:$A$482,"&lt;&gt;Foderproduktion"))/SUMIFS(IF(D202=År1,'[1]Processer - data'!H$3:H$464,IF(D202=År2,'[1]Processer - data'!I$3:I$464,'[1]Processer - data'!J$3:J$464)),'[1]Processer - data'!$A$3:$A$464,"Foderproduktion",'[1]Processer - data'!$D$3:$D$464,$C202)</f>
        <v>#REF!</v>
      </c>
    </row>
    <row r="203" spans="1:7" x14ac:dyDescent="0.25">
      <c r="A203" s="100" t="s">
        <v>113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51" t="e">
        <f>VLOOKUP($C203,Fodersammensætning!A$3:E$17,MATCH(D203,Fodersammensætning!$A$2:$E$2,0),FALSE)*(-SUMIFS(IF(D203=År1,IF(B203="Vestdanmark",'Resultater - Vestdanmark'!H$3:H$482,'Resultater - Østdanmark'!H$3:H$482),IF(D203=År2,IF(B203="Vestdanmark",'Resultater - Vestdanmark'!I$3:I$482,'Resultater - Østdanmark'!I$3:I$482),IF(B203="Vestdanmark",'Resultater - Vestdanmark'!J$3:J$482,'Resultater - Østdanmark'!J$3:J$482))),'Resultater - Vestdanmark'!$F$3:$F$482,"Foder",'Resultater - Vestdanmark'!$A$3:$A$482,"&lt;&gt;Foderproduktion"))/SUMIFS(IF(D203=År1,'[1]Processer - data'!H$3:H$464,IF(D203=År2,'[1]Processer - data'!I$3:I$464,'[1]Processer - data'!J$3:J$464)),'[1]Processer - data'!$A$3:$A$464,"Foderproduktion",'[1]Processer - data'!$D$3:$D$464,$C203)</f>
        <v>#REF!</v>
      </c>
      <c r="G203" s="319"/>
    </row>
    <row r="204" spans="1:7" x14ac:dyDescent="0.25">
      <c r="A204" s="100" t="s">
        <v>113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51" t="e">
        <f>VLOOKUP($C204,Fodersammensætning!A$3:E$17,MATCH(D204,Fodersammensætning!$A$2:$E$2,0),FALSE)*(-SUMIFS(IF(D204=År1,IF(B204="Vestdanmark",'Resultater - Vestdanmark'!H$3:H$482,'Resultater - Østdanmark'!H$3:H$482),IF(D204=År2,IF(B204="Vestdanmark",'Resultater - Vestdanmark'!I$3:I$482,'Resultater - Østdanmark'!I$3:I$482),IF(B204="Vestdanmark",'Resultater - Vestdanmark'!J$3:J$482,'Resultater - Østdanmark'!J$3:J$482))),'Resultater - Vestdanmark'!$F$3:$F$482,"Foder",'Resultater - Vestdanmark'!$A$3:$A$482,"&lt;&gt;Foderproduktion"))/SUMIFS(IF(D204=År1,'[1]Processer - data'!H$3:H$464,IF(D204=År2,'[1]Processer - data'!I$3:I$464,'[1]Processer - data'!J$3:J$464)),'[1]Processer - data'!$A$3:$A$464,"Foderproduktion",'[1]Processer - data'!$D$3:$D$464,$C204)</f>
        <v>#REF!</v>
      </c>
      <c r="G204" s="319"/>
    </row>
    <row r="205" spans="1:7" x14ac:dyDescent="0.25">
      <c r="A205" s="100" t="s">
        <v>113</v>
      </c>
      <c r="B205" t="s">
        <v>23</v>
      </c>
      <c r="C205" s="101" t="str">
        <f t="shared" si="14"/>
        <v>Kartofler</v>
      </c>
      <c r="D205">
        <f t="shared" si="13"/>
        <v>2030</v>
      </c>
      <c r="E205" s="151" t="e">
        <f>VLOOKUP($C205,Fodersammensætning!A$3:E$17,MATCH(D205,Fodersammensætning!$A$2:$E$2,0),FALSE)*(-SUMIFS(IF(D205=År1,IF(B205="Vestdanmark",'Resultater - Vestdanmark'!H$3:H$482,'Resultater - Østdanmark'!H$3:H$482),IF(D205=År2,IF(B205="Vestdanmark",'Resultater - Vestdanmark'!I$3:I$482,'Resultater - Østdanmark'!I$3:I$482),IF(B205="Vestdanmark",'Resultater - Vestdanmark'!J$3:J$482,'Resultater - Østdanmark'!J$3:J$482))),'Resultater - Vestdanmark'!$F$3:$F$482,"Foder",'Resultater - Vestdanmark'!$A$3:$A$482,"&lt;&gt;Foderproduktion"))/SUMIFS(IF(D205=År1,'[1]Processer - data'!H$3:H$464,IF(D205=År2,'[1]Processer - data'!I$3:I$464,'[1]Processer - data'!J$3:J$464)),'[1]Processer - data'!$A$3:$A$464,"Foderproduktion",'[1]Processer - data'!$D$3:$D$464,$C205)</f>
        <v>#REF!</v>
      </c>
      <c r="G205" s="319"/>
    </row>
    <row r="206" spans="1:7" x14ac:dyDescent="0.25">
      <c r="A206" s="100" t="s">
        <v>113</v>
      </c>
      <c r="B206" t="s">
        <v>23</v>
      </c>
      <c r="C206" s="101" t="str">
        <f t="shared" si="14"/>
        <v>Bælgsæd</v>
      </c>
      <c r="D206">
        <f t="shared" si="13"/>
        <v>2030</v>
      </c>
      <c r="E206" s="151" t="e">
        <f>VLOOKUP($C206,Fodersammensætning!A$3:E$17,MATCH(D206,Fodersammensætning!$A$2:$E$2,0),FALSE)*(-SUMIFS(IF(D206=År1,IF(B206="Vestdanmark",'Resultater - Vestdanmark'!H$3:H$482,'Resultater - Østdanmark'!H$3:H$482),IF(D206=År2,IF(B206="Vestdanmark",'Resultater - Vestdanmark'!I$3:I$482,'Resultater - Østdanmark'!I$3:I$482),IF(B206="Vestdanmark",'Resultater - Vestdanmark'!J$3:J$482,'Resultater - Østdanmark'!J$3:J$482))),'Resultater - Vestdanmark'!$F$3:$F$482,"Foder",'Resultater - Vestdanmark'!$A$3:$A$482,"&lt;&gt;Foderproduktion"))/SUMIFS(IF(D206=År1,'[1]Processer - data'!H$3:H$464,IF(D206=År2,'[1]Processer - data'!I$3:I$464,'[1]Processer - data'!J$3:J$464)),'[1]Processer - data'!$A$3:$A$464,"Foderproduktion",'[1]Processer - data'!$D$3:$D$464,$C206)</f>
        <v>#REF!</v>
      </c>
      <c r="G206" s="319"/>
    </row>
    <row r="207" spans="1:7" x14ac:dyDescent="0.25">
      <c r="A207" s="100" t="s">
        <v>113</v>
      </c>
      <c r="B207" t="s">
        <v>23</v>
      </c>
      <c r="C207" s="101" t="str">
        <f t="shared" si="14"/>
        <v>Roer</v>
      </c>
      <c r="D207">
        <f t="shared" si="13"/>
        <v>2030</v>
      </c>
      <c r="E207" s="151" t="e">
        <f>VLOOKUP($C207,Fodersammensætning!A$3:E$17,MATCH(D207,Fodersammensætning!$A$2:$E$2,0),FALSE)*(-SUMIFS(IF(D207=År1,IF(B207="Vestdanmark",'Resultater - Vestdanmark'!H$3:H$482,'Resultater - Østdanmark'!H$3:H$482),IF(D207=År2,IF(B207="Vestdanmark",'Resultater - Vestdanmark'!I$3:I$482,'Resultater - Østdanmark'!I$3:I$482),IF(B207="Vestdanmark",'Resultater - Vestdanmark'!J$3:J$482,'Resultater - Østdanmark'!J$3:J$482))),'Resultater - Vestdanmark'!$F$3:$F$482,"Foder",'Resultater - Vestdanmark'!$A$3:$A$482,"&lt;&gt;Foderproduktion"))/SUMIFS(IF(D207=År1,'[1]Processer - data'!H$3:H$464,IF(D207=År2,'[1]Processer - data'!I$3:I$464,'[1]Processer - data'!J$3:J$464)),'[1]Processer - data'!$A$3:$A$464,"Foderproduktion",'[1]Processer - data'!$D$3:$D$464,$C207)</f>
        <v>#REF!</v>
      </c>
      <c r="G207" s="319"/>
    </row>
    <row r="208" spans="1:7" x14ac:dyDescent="0.25">
      <c r="A208" s="100" t="s">
        <v>113</v>
      </c>
      <c r="B208" t="s">
        <v>23</v>
      </c>
      <c r="C208" s="101" t="str">
        <f t="shared" si="14"/>
        <v>Majs</v>
      </c>
      <c r="D208">
        <f t="shared" si="13"/>
        <v>2030</v>
      </c>
      <c r="E208" s="151" t="e">
        <f>VLOOKUP($C208,Fodersammensætning!A$3:E$17,MATCH(D208,Fodersammensætning!$A$2:$E$2,0),FALSE)*(-SUMIFS(IF(D208=År1,IF(B208="Vestdanmark",'Resultater - Vestdanmark'!H$3:H$482,'Resultater - Østdanmark'!H$3:H$482),IF(D208=År2,IF(B208="Vestdanmark",'Resultater - Vestdanmark'!I$3:I$482,'Resultater - Østdanmark'!I$3:I$482),IF(B208="Vestdanmark",'Resultater - Vestdanmark'!J$3:J$482,'Resultater - Østdanmark'!J$3:J$482))),'Resultater - Vestdanmark'!$F$3:$F$482,"Foder",'Resultater - Vestdanmark'!$A$3:$A$482,"&lt;&gt;Foderproduktion"))/SUMIFS(IF(D208=År1,'[1]Processer - data'!H$3:H$464,IF(D208=År2,'[1]Processer - data'!I$3:I$464,'[1]Processer - data'!J$3:J$464)),'[1]Processer - data'!$A$3:$A$464,"Foderproduktion",'[1]Processer - data'!$D$3:$D$464,$C208)</f>
        <v>#REF!</v>
      </c>
      <c r="G208" s="319"/>
    </row>
    <row r="209" spans="1:7" x14ac:dyDescent="0.25">
      <c r="A209" s="100" t="s">
        <v>113</v>
      </c>
      <c r="B209" t="s">
        <v>23</v>
      </c>
      <c r="C209" s="101" t="str">
        <f t="shared" si="14"/>
        <v>Rapskage</v>
      </c>
      <c r="D209">
        <f t="shared" si="13"/>
        <v>2030</v>
      </c>
      <c r="E209" s="151" t="e">
        <f>VLOOKUP($C209,Fodersammensætning!A$3:E$17,MATCH(D209,Fodersammensætning!$A$2:$E$2,0),FALSE)*(-SUMIFS(IF(D209=År1,IF(B209="Vestdanmark",'Resultater - Vestdanmark'!H$3:H$482,'Resultater - Østdanmark'!H$3:H$482),IF(D209=År2,IF(B209="Vestdanmark",'Resultater - Vestdanmark'!I$3:I$482,'Resultater - Østdanmark'!I$3:I$482),IF(B209="Vestdanmark",'Resultater - Vestdanmark'!J$3:J$482,'Resultater - Østdanmark'!J$3:J$482))),'Resultater - Vestdanmark'!$F$3:$F$482,"Foder",'Resultater - Vestdanmark'!$A$3:$A$482,"&lt;&gt;Foderproduktion"))/SUMIFS(IF(D209=År1,'[1]Processer - data'!H$3:H$464,IF(D209=År2,'[1]Processer - data'!I$3:I$464,'[1]Processer - data'!J$3:J$464)),'[1]Processer - data'!$A$3:$A$464,"Foderproduktion",'[1]Processer - data'!$D$3:$D$464,$C209)</f>
        <v>#REF!</v>
      </c>
      <c r="G209" s="319"/>
    </row>
    <row r="210" spans="1:7" x14ac:dyDescent="0.25">
      <c r="A210" s="100" t="s">
        <v>113</v>
      </c>
      <c r="B210" t="s">
        <v>23</v>
      </c>
      <c r="C210" s="101" t="str">
        <f t="shared" si="14"/>
        <v>Tang</v>
      </c>
      <c r="D210">
        <f t="shared" si="13"/>
        <v>2030</v>
      </c>
      <c r="E210" s="151" t="e">
        <f>VLOOKUP($C210,Fodersammensætning!A$3:E$17,MATCH(D210,Fodersammensætning!$A$2:$E$2,0),FALSE)*(-SUMIFS(IF(D210=År1,IF(B210="Vestdanmark",'Resultater - Vestdanmark'!H$3:H$482,'Resultater - Østdanmark'!H$3:H$482),IF(D210=År2,IF(B210="Vestdanmark",'Resultater - Vestdanmark'!I$3:I$482,'Resultater - Østdanmark'!I$3:I$482),IF(B210="Vestdanmark",'Resultater - Vestdanmark'!J$3:J$482,'Resultater - Østdanmark'!J$3:J$482))),'Resultater - Vestdanmark'!$F$3:$F$482,"Foder",'Resultater - Vestdanmark'!$A$3:$A$482,"&lt;&gt;Foderproduktion"))/SUMIFS(IF(D210=År1,'[1]Processer - data'!H$3:H$464,IF(D210=År2,'[1]Processer - data'!I$3:I$464,'[1]Processer - data'!J$3:J$464)),'[1]Processer - data'!$A$3:$A$464,"Foderproduktion",'[1]Processer - data'!$D$3:$D$464,$C210)</f>
        <v>#REF!</v>
      </c>
      <c r="G210" s="319"/>
    </row>
    <row r="211" spans="1:7" x14ac:dyDescent="0.25">
      <c r="A211" s="100" t="s">
        <v>113</v>
      </c>
      <c r="B211" t="s">
        <v>23</v>
      </c>
      <c r="C211" s="101" t="str">
        <f t="shared" si="14"/>
        <v>Muslinger</v>
      </c>
      <c r="D211">
        <f t="shared" si="13"/>
        <v>2030</v>
      </c>
      <c r="E211" s="151" t="e">
        <f>VLOOKUP($C211,Fodersammensætning!A$3:E$17,MATCH(D211,Fodersammensætning!$A$2:$E$2,0),FALSE)*(-SUMIFS(IF(D211=År1,IF(B211="Vestdanmark",'Resultater - Vestdanmark'!H$3:H$482,'Resultater - Østdanmark'!H$3:H$482),IF(D211=År2,IF(B211="Vestdanmark",'Resultater - Vestdanmark'!I$3:I$482,'Resultater - Østdanmark'!I$3:I$482),IF(B211="Vestdanmark",'Resultater - Vestdanmark'!J$3:J$482,'Resultater - Østdanmark'!J$3:J$482))),'Resultater - Vestdanmark'!$F$3:$F$482,"Foder",'Resultater - Vestdanmark'!$A$3:$A$482,"&lt;&gt;Foderproduktion"))/SUMIFS(IF(D211=År1,'[1]Processer - data'!H$3:H$464,IF(D211=År2,'[1]Processer - data'!I$3:I$464,'[1]Processer - data'!J$3:J$464)),'[1]Processer - data'!$A$3:$A$464,"Foderproduktion",'[1]Processer - data'!$D$3:$D$464,$C211)</f>
        <v>#REF!</v>
      </c>
      <c r="G211" s="319"/>
    </row>
    <row r="212" spans="1:7" x14ac:dyDescent="0.25">
      <c r="A212" s="100" t="s">
        <v>113</v>
      </c>
      <c r="B212" t="s">
        <v>23</v>
      </c>
      <c r="C212" s="101" t="str">
        <f t="shared" si="14"/>
        <v>Græs</v>
      </c>
      <c r="D212">
        <f t="shared" si="13"/>
        <v>2030</v>
      </c>
      <c r="E212" s="151" t="e">
        <f>VLOOKUP($C212,Fodersammensætning!A$3:E$17,MATCH(D212,Fodersammensætning!$A$2:$E$2,0),FALSE)*(-SUMIFS(IF(D212=År1,IF(B212="Vestdanmark",'Resultater - Vestdanmark'!H$3:H$482,'Resultater - Østdanmark'!H$3:H$482),IF(D212=År2,IF(B212="Vestdanmark",'Resultater - Vestdanmark'!I$3:I$482,'Resultater - Østdanmark'!I$3:I$482),IF(B212="Vestdanmark",'Resultater - Vestdanmark'!J$3:J$482,'Resultater - Østdanmark'!J$3:J$482))),'Resultater - Vestdanmark'!$F$3:$F$482,"Foder",'Resultater - Vestdanmark'!$A$3:$A$482,"&lt;&gt;Foderproduktion"))/SUMIFS(IF(D212=År1,'[1]Processer - data'!H$3:H$464,IF(D212=År2,'[1]Processer - data'!I$3:I$464,'[1]Processer - data'!J$3:J$464)),'[1]Processer - data'!$A$3:$A$464,"Foderproduktion",'[1]Processer - data'!$D$3:$D$464,$C212)</f>
        <v>#REF!</v>
      </c>
      <c r="G212" s="319"/>
    </row>
    <row r="213" spans="1:7" x14ac:dyDescent="0.25">
      <c r="A213" s="100" t="s">
        <v>113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51" t="e">
        <f>VLOOKUP($C213,Fodersammensætning!A$3:E$17,MATCH(D213,Fodersammensætning!$A$2:$E$2,0),FALSE)*(-SUMIFS(IF(D213=År1,IF(B213="Vestdanmark",'Resultater - Vestdanmark'!H$3:H$482,'Resultater - Østdanmark'!H$3:H$482),IF(D213=År2,IF(B213="Vestdanmark",'Resultater - Vestdanmark'!I$3:I$482,'Resultater - Østdanmark'!I$3:I$482),IF(B213="Vestdanmark",'Resultater - Vestdanmark'!J$3:J$482,'Resultater - Østdanmark'!J$3:J$482))),'Resultater - Vestdanmark'!$F$3:$F$482,"Foder",'Resultater - Vestdanmark'!$A$3:$A$482,"&lt;&gt;Foderproduktion"))/SUMIFS(IF(D213=År1,'[1]Processer - data'!H$3:H$464,IF(D213=År2,'[1]Processer - data'!I$3:I$464,'[1]Processer - data'!J$3:J$464)),'[1]Processer - data'!$A$3:$A$464,"Foderproduktion",'[1]Processer - data'!$D$3:$D$464,$C213)</f>
        <v>#REF!</v>
      </c>
      <c r="G213" s="319"/>
    </row>
    <row r="214" spans="1:7" x14ac:dyDescent="0.25">
      <c r="A214" s="100" t="s">
        <v>113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51" t="e">
        <f>VLOOKUP($C214,Fodersammensætning!A$3:E$17,MATCH(D214,Fodersammensætning!$A$2:$E$2,0),FALSE)*(-SUMIFS(IF(D214=År1,IF(B214="Vestdanmark",'Resultater - Vestdanmark'!H$3:H$482,'Resultater - Østdanmark'!H$3:H$482),IF(D214=År2,IF(B214="Vestdanmark",'Resultater - Vestdanmark'!I$3:I$482,'Resultater - Østdanmark'!I$3:I$482),IF(B214="Vestdanmark",'Resultater - Vestdanmark'!J$3:J$482,'Resultater - Østdanmark'!J$3:J$482))),'Resultater - Vestdanmark'!$F$3:$F$482,"Foder",'Resultater - Vestdanmark'!$A$3:$A$482,"&lt;&gt;Foderproduktion"))/SUMIFS(IF(D214=År1,'[1]Processer - data'!H$3:H$464,IF(D214=År2,'[1]Processer - data'!I$3:I$464,'[1]Processer - data'!J$3:J$464)),'[1]Processer - data'!$A$3:$A$464,"Foderproduktion",'[1]Processer - data'!$D$3:$D$464,$C214)</f>
        <v>#REF!</v>
      </c>
      <c r="G214" s="319"/>
    </row>
    <row r="215" spans="1:7" x14ac:dyDescent="0.25">
      <c r="A215" s="100" t="s">
        <v>113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51" t="e">
        <f>VLOOKUP($C215,Fodersammensætning!A$3:E$17,MATCH(D215,Fodersammensætning!$A$2:$E$2,0),FALSE)*(-SUMIFS(IF(D215=År1,IF(B215="Vestdanmark",'Resultater - Vestdanmark'!H$3:H$482,'Resultater - Østdanmark'!H$3:H$482),IF(D215=År2,IF(B215="Vestdanmark",'Resultater - Vestdanmark'!I$3:I$482,'Resultater - Østdanmark'!I$3:I$482),IF(B215="Vestdanmark",'Resultater - Vestdanmark'!J$3:J$482,'Resultater - Østdanmark'!J$3:J$482))),'Resultater - Vestdanmark'!$F$3:$F$482,"Foder",'Resultater - Vestdanmark'!$A$3:$A$482,"&lt;&gt;Foderproduktion"))/SUMIFS(IF(D215=År1,'[1]Processer - data'!H$3:H$464,IF(D215=År2,'[1]Processer - data'!I$3:I$464,'[1]Processer - data'!J$3:J$464)),'[1]Processer - data'!$A$3:$A$464,"Foderproduktion",'[1]Processer - data'!$D$3:$D$464,$C215)</f>
        <v>#REF!</v>
      </c>
      <c r="G215" s="319"/>
    </row>
    <row r="216" spans="1:7" x14ac:dyDescent="0.25">
      <c r="A216" s="100" t="s">
        <v>113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51" t="e">
        <f>VLOOKUP($C216,Fodersammensætning!A$3:E$17,MATCH(D216,Fodersammensætning!$A$2:$E$2,0),FALSE)*(-SUMIFS(IF(D216=År1,IF(B216="Vestdanmark",'Resultater - Vestdanmark'!H$3:H$482,'Resultater - Østdanmark'!H$3:H$482),IF(D216=År2,IF(B216="Vestdanmark",'Resultater - Vestdanmark'!I$3:I$482,'Resultater - Østdanmark'!I$3:I$482),IF(B216="Vestdanmark",'Resultater - Vestdanmark'!J$3:J$482,'Resultater - Østdanmark'!J$3:J$482))),'Resultater - Vestdanmark'!$F$3:$F$482,"Foder",'Resultater - Vestdanmark'!$A$3:$A$482,"&lt;&gt;Foderproduktion"))/SUMIFS(IF(D216=År1,'[1]Processer - data'!H$3:H$464,IF(D216=År2,'[1]Processer - data'!I$3:I$464,'[1]Processer - data'!J$3:J$464)),'[1]Processer - data'!$A$3:$A$464,"Foderproduktion",'[1]Processer - data'!$D$3:$D$464,$C216)</f>
        <v>#REF!</v>
      </c>
      <c r="G216" s="319"/>
    </row>
    <row r="217" spans="1:7" x14ac:dyDescent="0.25">
      <c r="A217" s="100" t="s">
        <v>113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51" t="e">
        <f>VLOOKUP($C217,Fodersammensætning!A$3:E$17,MATCH(D217,Fodersammensætning!$A$2:$E$2,0),FALSE)*(-SUMIFS(IF(D217=År1,IF(B217="Vestdanmark",'Resultater - Vestdanmark'!H$3:H$482,'Resultater - Østdanmark'!H$3:H$482),IF(D217=År2,IF(B217="Vestdanmark",'Resultater - Vestdanmark'!I$3:I$482,'Resultater - Østdanmark'!I$3:I$482),IF(B217="Vestdanmark",'Resultater - Vestdanmark'!J$3:J$482,'Resultater - Østdanmark'!J$3:J$482))),'Resultater - Vestdanmark'!$F$3:$F$482,"Foder",'Resultater - Vestdanmark'!$A$3:$A$482,"&lt;&gt;Foderproduktion"))/SUMIFS(IF(D217=År1,'[1]Processer - data'!H$3:H$464,IF(D217=År2,'[1]Processer - data'!I$3:I$464,'[1]Processer - data'!J$3:J$464)),'[1]Processer - data'!$A$3:$A$464,"Foderproduktion",'[1]Processer - data'!$D$3:$D$464,$C217)</f>
        <v>#REF!</v>
      </c>
      <c r="G217" s="319"/>
    </row>
    <row r="218" spans="1:7" x14ac:dyDescent="0.25">
      <c r="A218" s="100" t="s">
        <v>113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51" t="e">
        <f>VLOOKUP($C218,Fodersammensætning!A$3:E$17,MATCH(D218,Fodersammensætning!$A$2:$E$2,0),FALSE)*(-SUMIFS(IF(D218=År1,IF(B218="Vestdanmark",'Resultater - Vestdanmark'!H$3:H$482,'Resultater - Østdanmark'!H$3:H$482),IF(D218=År2,IF(B218="Vestdanmark",'Resultater - Vestdanmark'!I$3:I$482,'Resultater - Østdanmark'!I$3:I$482),IF(B218="Vestdanmark",'Resultater - Vestdanmark'!J$3:J$482,'Resultater - Østdanmark'!J$3:J$482))),'Resultater - Vestdanmark'!$F$3:$F$482,"Foder",'Resultater - Vestdanmark'!$A$3:$A$482,"&lt;&gt;Foderproduktion"))/SUMIFS(IF(D218=År1,'[1]Processer - data'!H$3:H$464,IF(D218=År2,'[1]Processer - data'!I$3:I$464,'[1]Processer - data'!J$3:J$464)),'[1]Processer - data'!$A$3:$A$464,"Foderproduktion",'[1]Processer - data'!$D$3:$D$464,$C218)</f>
        <v>#REF!</v>
      </c>
    </row>
    <row r="219" spans="1:7" x14ac:dyDescent="0.25">
      <c r="A219" s="100" t="s">
        <v>113</v>
      </c>
      <c r="B219" t="s">
        <v>23</v>
      </c>
      <c r="C219" s="101" t="str">
        <f t="shared" si="14"/>
        <v>Halm</v>
      </c>
      <c r="D219">
        <f t="shared" si="15"/>
        <v>2050</v>
      </c>
      <c r="E219" s="151" t="e">
        <f>VLOOKUP($C219,Fodersammensætning!A$3:E$17,MATCH(D219,Fodersammensætning!$A$2:$E$2,0),FALSE)*(-SUMIFS(IF(D219=År1,IF(B219="Vestdanmark",'Resultater - Vestdanmark'!H$3:H$482,'Resultater - Østdanmark'!H$3:H$482),IF(D219=År2,IF(B219="Vestdanmark",'Resultater - Vestdanmark'!I$3:I$482,'Resultater - Østdanmark'!I$3:I$482),IF(B219="Vestdanmark",'Resultater - Vestdanmark'!J$3:J$482,'Resultater - Østdanmark'!J$3:J$482))),'Resultater - Vestdanmark'!$F$3:$F$482,"Foder",'Resultater - Vestdanmark'!$A$3:$A$482,"&lt;&gt;Foderproduktion"))/SUMIFS(IF(D219=År1,'[1]Processer - data'!H$3:H$464,IF(D219=År2,'[1]Processer - data'!I$3:I$464,'[1]Processer - data'!J$3:J$464)),'[1]Processer - data'!$A$3:$A$464,"Foderproduktion",'[1]Processer - data'!$D$3:$D$464,$C219)</f>
        <v>#REF!</v>
      </c>
    </row>
    <row r="220" spans="1:7" x14ac:dyDescent="0.25">
      <c r="A220" s="100" t="s">
        <v>113</v>
      </c>
      <c r="B220" t="s">
        <v>23</v>
      </c>
      <c r="C220" s="101" t="str">
        <f t="shared" si="14"/>
        <v>Kartofler</v>
      </c>
      <c r="D220">
        <f t="shared" si="15"/>
        <v>2050</v>
      </c>
      <c r="E220" s="151" t="e">
        <f>VLOOKUP($C220,Fodersammensætning!A$3:E$17,MATCH(D220,Fodersammensætning!$A$2:$E$2,0),FALSE)*(-SUMIFS(IF(D220=År1,IF(B220="Vestdanmark",'Resultater - Vestdanmark'!H$3:H$482,'Resultater - Østdanmark'!H$3:H$482),IF(D220=År2,IF(B220="Vestdanmark",'Resultater - Vestdanmark'!I$3:I$482,'Resultater - Østdanmark'!I$3:I$482),IF(B220="Vestdanmark",'Resultater - Vestdanmark'!J$3:J$482,'Resultater - Østdanmark'!J$3:J$482))),'Resultater - Vestdanmark'!$F$3:$F$482,"Foder",'Resultater - Vestdanmark'!$A$3:$A$482,"&lt;&gt;Foderproduktion"))/SUMIFS(IF(D220=År1,'[1]Processer - data'!H$3:H$464,IF(D220=År2,'[1]Processer - data'!I$3:I$464,'[1]Processer - data'!J$3:J$464)),'[1]Processer - data'!$A$3:$A$464,"Foderproduktion",'[1]Processer - data'!$D$3:$D$464,$C220)</f>
        <v>#REF!</v>
      </c>
    </row>
    <row r="221" spans="1:7" x14ac:dyDescent="0.25">
      <c r="A221" s="100" t="s">
        <v>113</v>
      </c>
      <c r="B221" t="s">
        <v>23</v>
      </c>
      <c r="C221" s="101" t="str">
        <f t="shared" si="14"/>
        <v>Bælgsæd</v>
      </c>
      <c r="D221">
        <f t="shared" si="15"/>
        <v>2050</v>
      </c>
      <c r="E221" s="151" t="e">
        <f>VLOOKUP($C221,Fodersammensætning!A$3:E$17,MATCH(D221,Fodersammensætning!$A$2:$E$2,0),FALSE)*(-SUMIFS(IF(D221=År1,IF(B221="Vestdanmark",'Resultater - Vestdanmark'!H$3:H$482,'Resultater - Østdanmark'!H$3:H$482),IF(D221=År2,IF(B221="Vestdanmark",'Resultater - Vestdanmark'!I$3:I$482,'Resultater - Østdanmark'!I$3:I$482),IF(B221="Vestdanmark",'Resultater - Vestdanmark'!J$3:J$482,'Resultater - Østdanmark'!J$3:J$482))),'Resultater - Vestdanmark'!$F$3:$F$482,"Foder",'Resultater - Vestdanmark'!$A$3:$A$482,"&lt;&gt;Foderproduktion"))/SUMIFS(IF(D221=År1,'[1]Processer - data'!H$3:H$464,IF(D221=År2,'[1]Processer - data'!I$3:I$464,'[1]Processer - data'!J$3:J$464)),'[1]Processer - data'!$A$3:$A$464,"Foderproduktion",'[1]Processer - data'!$D$3:$D$464,$C221)</f>
        <v>#REF!</v>
      </c>
    </row>
    <row r="222" spans="1:7" x14ac:dyDescent="0.25">
      <c r="A222" s="100" t="s">
        <v>113</v>
      </c>
      <c r="B222" t="s">
        <v>23</v>
      </c>
      <c r="C222" s="101" t="str">
        <f t="shared" si="14"/>
        <v>Roer</v>
      </c>
      <c r="D222">
        <f t="shared" si="15"/>
        <v>2050</v>
      </c>
      <c r="E222" s="151" t="e">
        <f>VLOOKUP($C222,Fodersammensætning!A$3:E$17,MATCH(D222,Fodersammensætning!$A$2:$E$2,0),FALSE)*(-SUMIFS(IF(D222=År1,IF(B222="Vestdanmark",'Resultater - Vestdanmark'!H$3:H$482,'Resultater - Østdanmark'!H$3:H$482),IF(D222=År2,IF(B222="Vestdanmark",'Resultater - Vestdanmark'!I$3:I$482,'Resultater - Østdanmark'!I$3:I$482),IF(B222="Vestdanmark",'Resultater - Vestdanmark'!J$3:J$482,'Resultater - Østdanmark'!J$3:J$482))),'Resultater - Vestdanmark'!$F$3:$F$482,"Foder",'Resultater - Vestdanmark'!$A$3:$A$482,"&lt;&gt;Foderproduktion"))/SUMIFS(IF(D222=År1,'[1]Processer - data'!H$3:H$464,IF(D222=År2,'[1]Processer - data'!I$3:I$464,'[1]Processer - data'!J$3:J$464)),'[1]Processer - data'!$A$3:$A$464,"Foderproduktion",'[1]Processer - data'!$D$3:$D$464,$C222)</f>
        <v>#REF!</v>
      </c>
    </row>
    <row r="223" spans="1:7" x14ac:dyDescent="0.25">
      <c r="A223" s="100" t="s">
        <v>113</v>
      </c>
      <c r="B223" t="s">
        <v>23</v>
      </c>
      <c r="C223" s="101" t="str">
        <f t="shared" si="14"/>
        <v>Majs</v>
      </c>
      <c r="D223">
        <f t="shared" si="15"/>
        <v>2050</v>
      </c>
      <c r="E223" s="151" t="e">
        <f>VLOOKUP($C223,Fodersammensætning!A$3:E$17,MATCH(D223,Fodersammensætning!$A$2:$E$2,0),FALSE)*(-SUMIFS(IF(D223=År1,IF(B223="Vestdanmark",'Resultater - Vestdanmark'!H$3:H$482,'Resultater - Østdanmark'!H$3:H$482),IF(D223=År2,IF(B223="Vestdanmark",'Resultater - Vestdanmark'!I$3:I$482,'Resultater - Østdanmark'!I$3:I$482),IF(B223="Vestdanmark",'Resultater - Vestdanmark'!J$3:J$482,'Resultater - Østdanmark'!J$3:J$482))),'Resultater - Vestdanmark'!$F$3:$F$482,"Foder",'Resultater - Vestdanmark'!$A$3:$A$482,"&lt;&gt;Foderproduktion"))/SUMIFS(IF(D223=År1,'[1]Processer - data'!H$3:H$464,IF(D223=År2,'[1]Processer - data'!I$3:I$464,'[1]Processer - data'!J$3:J$464)),'[1]Processer - data'!$A$3:$A$464,"Foderproduktion",'[1]Processer - data'!$D$3:$D$464,$C223)</f>
        <v>#REF!</v>
      </c>
    </row>
    <row r="224" spans="1:7" x14ac:dyDescent="0.25">
      <c r="A224" s="100" t="s">
        <v>113</v>
      </c>
      <c r="B224" t="s">
        <v>23</v>
      </c>
      <c r="C224" s="101" t="str">
        <f t="shared" si="14"/>
        <v>Rapskage</v>
      </c>
      <c r="D224">
        <f t="shared" si="15"/>
        <v>2050</v>
      </c>
      <c r="E224" s="151" t="e">
        <f>VLOOKUP($C224,Fodersammensætning!A$3:E$17,MATCH(D224,Fodersammensætning!$A$2:$E$2,0),FALSE)*(-SUMIFS(IF(D224=År1,IF(B224="Vestdanmark",'Resultater - Vestdanmark'!H$3:H$482,'Resultater - Østdanmark'!H$3:H$482),IF(D224=År2,IF(B224="Vestdanmark",'Resultater - Vestdanmark'!I$3:I$482,'Resultater - Østdanmark'!I$3:I$482),IF(B224="Vestdanmark",'Resultater - Vestdanmark'!J$3:J$482,'Resultater - Østdanmark'!J$3:J$482))),'Resultater - Vestdanmark'!$F$3:$F$482,"Foder",'Resultater - Vestdanmark'!$A$3:$A$482,"&lt;&gt;Foderproduktion"))/SUMIFS(IF(D224=År1,'[1]Processer - data'!H$3:H$464,IF(D224=År2,'[1]Processer - data'!I$3:I$464,'[1]Processer - data'!J$3:J$464)),'[1]Processer - data'!$A$3:$A$464,"Foderproduktion",'[1]Processer - data'!$D$3:$D$464,$C224)</f>
        <v>#REF!</v>
      </c>
    </row>
    <row r="225" spans="1:5" x14ac:dyDescent="0.25">
      <c r="A225" s="100" t="s">
        <v>113</v>
      </c>
      <c r="B225" t="s">
        <v>23</v>
      </c>
      <c r="C225" s="101" t="str">
        <f t="shared" si="14"/>
        <v>Tang</v>
      </c>
      <c r="D225">
        <f t="shared" si="15"/>
        <v>2050</v>
      </c>
      <c r="E225" s="151" t="e">
        <f>VLOOKUP($C225,Fodersammensætning!A$3:E$17,MATCH(D225,Fodersammensætning!$A$2:$E$2,0),FALSE)*(-SUMIFS(IF(D225=År1,IF(B225="Vestdanmark",'Resultater - Vestdanmark'!H$3:H$482,'Resultater - Østdanmark'!H$3:H$482),IF(D225=År2,IF(B225="Vestdanmark",'Resultater - Vestdanmark'!I$3:I$482,'Resultater - Østdanmark'!I$3:I$482),IF(B225="Vestdanmark",'Resultater - Vestdanmark'!J$3:J$482,'Resultater - Østdanmark'!J$3:J$482))),'Resultater - Vestdanmark'!$F$3:$F$482,"Foder",'Resultater - Vestdanmark'!$A$3:$A$482,"&lt;&gt;Foderproduktion"))/SUMIFS(IF(D225=År1,'[1]Processer - data'!H$3:H$464,IF(D225=År2,'[1]Processer - data'!I$3:I$464,'[1]Processer - data'!J$3:J$464)),'[1]Processer - data'!$A$3:$A$464,"Foderproduktion",'[1]Processer - data'!$D$3:$D$464,$C225)</f>
        <v>#REF!</v>
      </c>
    </row>
    <row r="226" spans="1:5" x14ac:dyDescent="0.25">
      <c r="A226" s="100" t="s">
        <v>113</v>
      </c>
      <c r="B226" t="s">
        <v>23</v>
      </c>
      <c r="C226" s="101" t="str">
        <f t="shared" si="14"/>
        <v>Muslinger</v>
      </c>
      <c r="D226">
        <f t="shared" si="15"/>
        <v>2050</v>
      </c>
      <c r="E226" s="151" t="e">
        <f>VLOOKUP($C226,Fodersammensætning!A$3:E$17,MATCH(D226,Fodersammensætning!$A$2:$E$2,0),FALSE)*(-SUMIFS(IF(D226=År1,IF(B226="Vestdanmark",'Resultater - Vestdanmark'!H$3:H$482,'Resultater - Østdanmark'!H$3:H$482),IF(D226=År2,IF(B226="Vestdanmark",'Resultater - Vestdanmark'!I$3:I$482,'Resultater - Østdanmark'!I$3:I$482),IF(B226="Vestdanmark",'Resultater - Vestdanmark'!J$3:J$482,'Resultater - Østdanmark'!J$3:J$482))),'Resultater - Vestdanmark'!$F$3:$F$482,"Foder",'Resultater - Vestdanmark'!$A$3:$A$482,"&lt;&gt;Foderproduktion"))/SUMIFS(IF(D226=År1,'[1]Processer - data'!H$3:H$464,IF(D226=År2,'[1]Processer - data'!I$3:I$464,'[1]Processer - data'!J$3:J$464)),'[1]Processer - data'!$A$3:$A$464,"Foderproduktion",'[1]Processer - data'!$D$3:$D$464,$C226)</f>
        <v>#REF!</v>
      </c>
    </row>
    <row r="227" spans="1:5" x14ac:dyDescent="0.25">
      <c r="A227" s="100" t="s">
        <v>113</v>
      </c>
      <c r="B227" t="s">
        <v>23</v>
      </c>
      <c r="C227" s="101" t="str">
        <f t="shared" si="14"/>
        <v>Græs</v>
      </c>
      <c r="D227">
        <f t="shared" si="15"/>
        <v>2050</v>
      </c>
      <c r="E227" s="151" t="e">
        <f>VLOOKUP($C227,Fodersammensætning!A$3:E$17,MATCH(D227,Fodersammensætning!$A$2:$E$2,0),FALSE)*(-SUMIFS(IF(D227=År1,IF(B227="Vestdanmark",'Resultater - Vestdanmark'!H$3:H$482,'Resultater - Østdanmark'!H$3:H$482),IF(D227=År2,IF(B227="Vestdanmark",'Resultater - Vestdanmark'!I$3:I$482,'Resultater - Østdanmark'!I$3:I$482),IF(B227="Vestdanmark",'Resultater - Vestdanmark'!J$3:J$482,'Resultater - Østdanmark'!J$3:J$482))),'Resultater - Vestdanmark'!$F$3:$F$482,"Foder",'Resultater - Vestdanmark'!$A$3:$A$482,"&lt;&gt;Foderproduktion"))/SUMIFS(IF(D227=År1,'[1]Processer - data'!H$3:H$464,IF(D227=År2,'[1]Processer - data'!I$3:I$464,'[1]Processer - data'!J$3:J$464)),'[1]Processer - data'!$A$3:$A$464,"Foderproduktion",'[1]Processer - data'!$D$3:$D$464,$C227)</f>
        <v>#REF!</v>
      </c>
    </row>
    <row r="228" spans="1:5" x14ac:dyDescent="0.25">
      <c r="A228" s="100" t="s">
        <v>113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51" t="e">
        <f>VLOOKUP($C228,Fodersammensætning!A$3:E$17,MATCH(D228,Fodersammensætning!$A$2:$E$2,0),FALSE)*(-SUMIFS(IF(D228=År1,IF(B228="Vestdanmark",'Resultater - Vestdanmark'!H$3:H$482,'Resultater - Østdanmark'!H$3:H$482),IF(D228=År2,IF(B228="Vestdanmark",'Resultater - Vestdanmark'!I$3:I$482,'Resultater - Østdanmark'!I$3:I$482),IF(B228="Vestdanmark",'Resultater - Vestdanmark'!J$3:J$482,'Resultater - Østdanmark'!J$3:J$482))),'Resultater - Vestdanmark'!$F$3:$F$482,"Foder",'Resultater - Vestdanmark'!$A$3:$A$482,"&lt;&gt;Foderproduktion"))/SUMIFS(IF(D228=År1,'[1]Processer - data'!H$3:H$464,IF(D228=År2,'[1]Processer - data'!I$3:I$464,'[1]Processer - data'!J$3:J$464)),'[1]Processer - data'!$A$3:$A$464,"Foderproduktion",'[1]Processer - data'!$D$3:$D$464,$C228)</f>
        <v>#REF!</v>
      </c>
    </row>
    <row r="229" spans="1:5" x14ac:dyDescent="0.25">
      <c r="A229" s="100" t="s">
        <v>113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51" t="e">
        <f>VLOOKUP($C229,Fodersammensætning!A$3:E$17,MATCH(D229,Fodersammensætning!$A$2:$E$2,0),FALSE)*(-SUMIFS(IF(D229=År1,IF(B229="Vestdanmark",'Resultater - Vestdanmark'!H$3:H$482,'Resultater - Østdanmark'!H$3:H$482),IF(D229=År2,IF(B229="Vestdanmark",'Resultater - Vestdanmark'!I$3:I$482,'Resultater - Østdanmark'!I$3:I$482),IF(B229="Vestdanmark",'Resultater - Vestdanmark'!J$3:J$482,'Resultater - Østdanmark'!J$3:J$482))),'Resultater - Vestdanmark'!$F$3:$F$482,"Foder",'Resultater - Vestdanmark'!$A$3:$A$482,"&lt;&gt;Foderproduktion"))/SUMIFS(IF(D229=År1,'[1]Processer - data'!H$3:H$464,IF(D229=År2,'[1]Processer - data'!I$3:I$464,'[1]Processer - data'!J$3:J$464)),'[1]Processer - data'!$A$3:$A$464,"Foderproduktion",'[1]Processer - data'!$D$3:$D$464,$C229)</f>
        <v>#REF!</v>
      </c>
    </row>
    <row r="230" spans="1:5" x14ac:dyDescent="0.25">
      <c r="A230" s="100" t="s">
        <v>113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51" t="e">
        <f>VLOOKUP($C230,Fodersammensætning!A$3:E$17,MATCH(D230,Fodersammensætning!$A$2:$E$2,0),FALSE)*(-SUMIFS(IF(D230=År1,IF(B230="Vestdanmark",'Resultater - Vestdanmark'!H$3:H$482,'Resultater - Østdanmark'!H$3:H$482),IF(D230=År2,IF(B230="Vestdanmark",'Resultater - Vestdanmark'!I$3:I$482,'Resultater - Østdanmark'!I$3:I$482),IF(B230="Vestdanmark",'Resultater - Vestdanmark'!J$3:J$482,'Resultater - Østdanmark'!J$3:J$482))),'Resultater - Vestdanmark'!$F$3:$F$482,"Foder",'Resultater - Vestdanmark'!$A$3:$A$482,"&lt;&gt;Foderproduktion"))/SUMIFS(IF(D230=År1,'[1]Processer - data'!H$3:H$464,IF(D230=År2,'[1]Processer - data'!I$3:I$464,'[1]Processer - data'!J$3:J$464)),'[1]Processer - data'!$A$3:$A$464,"Foderproduktion",'[1]Processer - data'!$D$3:$D$464,$C230)</f>
        <v>#REF!</v>
      </c>
    </row>
    <row r="231" spans="1:5" x14ac:dyDescent="0.25">
      <c r="A231" s="100" t="s">
        <v>113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51" t="e">
        <f>VLOOKUP($C231,Fodersammensætning!A$3:E$17,MATCH(D231,Fodersammensætning!$A$2:$E$2,0),FALSE)*(-SUMIFS(IF(D231=År1,IF(B231="Vestdanmark",'Resultater - Vestdanmark'!H$3:H$482,'Resultater - Østdanmark'!H$3:H$482),IF(D231=År2,IF(B231="Vestdanmark",'Resultater - Vestdanmark'!I$3:I$482,'Resultater - Østdanmark'!I$3:I$482),IF(B231="Vestdanmark",'Resultater - Vestdanmark'!J$3:J$482,'Resultater - Østdanmark'!J$3:J$482))),'Resultater - Vestdanmark'!$F$3:$F$482,"Foder",'Resultater - Vestdanmark'!$A$3:$A$482,"&lt;&gt;Foderproduktion"))/SUMIFS(IF(D231=År1,'[1]Processer - data'!H$3:H$464,IF(D231=År2,'[1]Processer - data'!I$3:I$464,'[1]Processer - data'!J$3:J$464)),'[1]Processer - data'!$A$3:$A$464,"Foderproduktion",'[1]Processer - data'!$D$3:$D$464,$C231)</f>
        <v>#REF!</v>
      </c>
    </row>
    <row r="232" spans="1:5" x14ac:dyDescent="0.25">
      <c r="A232" s="100" t="s">
        <v>113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51" t="e">
        <f>VLOOKUP($C232,Fodersammensætning!A$3:E$17,MATCH(D232,Fodersammensætning!$A$2:$E$2,0),FALSE)*(-SUMIFS(IF(D232=År1,IF(B232="Vestdanmark",'Resultater - Vestdanmark'!H$3:H$482,'Resultater - Østdanmark'!H$3:H$482),IF(D232=År2,IF(B232="Vestdanmark",'Resultater - Vestdanmark'!I$3:I$482,'Resultater - Østdanmark'!I$3:I$482),IF(B232="Vestdanmark",'Resultater - Vestdanmark'!J$3:J$482,'Resultater - Østdanmark'!J$3:J$482))),'Resultater - Vestdanmark'!$F$3:$F$482,"Foder",'Resultater - Vestdanmark'!$A$3:$A$482,"&lt;&gt;Foderproduktion"))/SUMIFS(IF(D232=År1,'[1]Processer - data'!H$3:H$464,IF(D232=År2,'[1]Processer - data'!I$3:I$464,'[1]Processer - data'!J$3:J$464)),'[1]Processer - data'!$A$3:$A$464,"Foderproduktion",'[1]Processer - data'!$D$3:$D$464,$C232)</f>
        <v>#REF!</v>
      </c>
    </row>
    <row r="233" spans="1:5" x14ac:dyDescent="0.25">
      <c r="A233" s="100" t="s">
        <v>113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51" t="e">
        <f>VLOOKUP($C233,Fodersammensætning!A$3:E$17,MATCH(D233,Fodersammensætning!$A$2:$E$2,0),FALSE)*(-SUMIFS(IF(D233=År1,IF(B233="Vestdanmark",'Resultater - Vestdanmark'!H$3:H$482,'Resultater - Østdanmark'!H$3:H$482),IF(D233=År2,IF(B233="Vestdanmark",'Resultater - Vestdanmark'!I$3:I$482,'Resultater - Østdanmark'!I$3:I$482),IF(B233="Vestdanmark",'Resultater - Vestdanmark'!J$3:J$482,'Resultater - Østdanmark'!J$3:J$482))),'Resultater - Vestdanmark'!$F$3:$F$482,"Foder",'Resultater - Vestdanmark'!$A$3:$A$482,"&lt;&gt;Foderproduktion"))/SUMIFS(IF(D233=År1,'[1]Processer - data'!H$3:H$464,IF(D233=År2,'[1]Processer - data'!I$3:I$464,'[1]Processer - data'!J$3:J$464)),'[1]Processer - data'!$A$3:$A$464,"Foderproduktion",'[1]Processer - data'!$D$3:$D$464,$C233)</f>
        <v>#REF!</v>
      </c>
    </row>
    <row r="234" spans="1:5" x14ac:dyDescent="0.25">
      <c r="A234" s="100" t="s">
        <v>113</v>
      </c>
      <c r="B234" t="s">
        <v>24</v>
      </c>
      <c r="C234" s="101" t="str">
        <f t="shared" si="14"/>
        <v>Halm</v>
      </c>
      <c r="D234">
        <f t="shared" si="16"/>
        <v>2019</v>
      </c>
      <c r="E234" s="151" t="e">
        <f>VLOOKUP($C234,Fodersammensætning!A$3:E$17,MATCH(D234,Fodersammensætning!$A$2:$E$2,0),FALSE)*(-SUMIFS(IF(D234=År1,IF(B234="Vestdanmark",'Resultater - Vestdanmark'!H$3:H$482,'Resultater - Østdanmark'!H$3:H$482),IF(D234=År2,IF(B234="Vestdanmark",'Resultater - Vestdanmark'!I$3:I$482,'Resultater - Østdanmark'!I$3:I$482),IF(B234="Vestdanmark",'Resultater - Vestdanmark'!J$3:J$482,'Resultater - Østdanmark'!J$3:J$482))),'Resultater - Vestdanmark'!$F$3:$F$482,"Foder",'Resultater - Vestdanmark'!$A$3:$A$482,"&lt;&gt;Foderproduktion"))/SUMIFS(IF(D234=År1,'[1]Processer - data'!H$3:H$464,IF(D234=År2,'[1]Processer - data'!I$3:I$464,'[1]Processer - data'!J$3:J$464)),'[1]Processer - data'!$A$3:$A$464,"Foderproduktion",'[1]Processer - data'!$D$3:$D$464,$C234)</f>
        <v>#REF!</v>
      </c>
    </row>
    <row r="235" spans="1:5" x14ac:dyDescent="0.25">
      <c r="A235" s="100" t="s">
        <v>113</v>
      </c>
      <c r="B235" t="s">
        <v>24</v>
      </c>
      <c r="C235" s="101" t="str">
        <f t="shared" si="14"/>
        <v>Kartofler</v>
      </c>
      <c r="D235">
        <f t="shared" si="16"/>
        <v>2019</v>
      </c>
      <c r="E235" s="151" t="e">
        <f>VLOOKUP($C235,Fodersammensætning!A$3:E$17,MATCH(D235,Fodersammensætning!$A$2:$E$2,0),FALSE)*(-SUMIFS(IF(D235=År1,IF(B235="Vestdanmark",'Resultater - Vestdanmark'!H$3:H$482,'Resultater - Østdanmark'!H$3:H$482),IF(D235=År2,IF(B235="Vestdanmark",'Resultater - Vestdanmark'!I$3:I$482,'Resultater - Østdanmark'!I$3:I$482),IF(B235="Vestdanmark",'Resultater - Vestdanmark'!J$3:J$482,'Resultater - Østdanmark'!J$3:J$482))),'Resultater - Vestdanmark'!$F$3:$F$482,"Foder",'Resultater - Vestdanmark'!$A$3:$A$482,"&lt;&gt;Foderproduktion"))/SUMIFS(IF(D235=År1,'[1]Processer - data'!H$3:H$464,IF(D235=År2,'[1]Processer - data'!I$3:I$464,'[1]Processer - data'!J$3:J$464)),'[1]Processer - data'!$A$3:$A$464,"Foderproduktion",'[1]Processer - data'!$D$3:$D$464,$C235)</f>
        <v>#REF!</v>
      </c>
    </row>
    <row r="236" spans="1:5" x14ac:dyDescent="0.25">
      <c r="A236" s="100" t="s">
        <v>113</v>
      </c>
      <c r="B236" t="s">
        <v>24</v>
      </c>
      <c r="C236" s="101" t="str">
        <f t="shared" si="14"/>
        <v>Bælgsæd</v>
      </c>
      <c r="D236">
        <f t="shared" si="16"/>
        <v>2019</v>
      </c>
      <c r="E236" s="151" t="e">
        <f>VLOOKUP($C236,Fodersammensætning!A$3:E$17,MATCH(D236,Fodersammensætning!$A$2:$E$2,0),FALSE)*(-SUMIFS(IF(D236=År1,IF(B236="Vestdanmark",'Resultater - Vestdanmark'!H$3:H$482,'Resultater - Østdanmark'!H$3:H$482),IF(D236=År2,IF(B236="Vestdanmark",'Resultater - Vestdanmark'!I$3:I$482,'Resultater - Østdanmark'!I$3:I$482),IF(B236="Vestdanmark",'Resultater - Vestdanmark'!J$3:J$482,'Resultater - Østdanmark'!J$3:J$482))),'Resultater - Vestdanmark'!$F$3:$F$482,"Foder",'Resultater - Vestdanmark'!$A$3:$A$482,"&lt;&gt;Foderproduktion"))/SUMIFS(IF(D236=År1,'[1]Processer - data'!H$3:H$464,IF(D236=År2,'[1]Processer - data'!I$3:I$464,'[1]Processer - data'!J$3:J$464)),'[1]Processer - data'!$A$3:$A$464,"Foderproduktion",'[1]Processer - data'!$D$3:$D$464,$C236)</f>
        <v>#REF!</v>
      </c>
    </row>
    <row r="237" spans="1:5" x14ac:dyDescent="0.25">
      <c r="A237" s="100" t="s">
        <v>113</v>
      </c>
      <c r="B237" t="s">
        <v>24</v>
      </c>
      <c r="C237" s="101" t="str">
        <f t="shared" si="14"/>
        <v>Roer</v>
      </c>
      <c r="D237">
        <f t="shared" si="16"/>
        <v>2019</v>
      </c>
      <c r="E237" s="151" t="e">
        <f>VLOOKUP($C237,Fodersammensætning!A$3:E$17,MATCH(D237,Fodersammensætning!$A$2:$E$2,0),FALSE)*(-SUMIFS(IF(D237=År1,IF(B237="Vestdanmark",'Resultater - Vestdanmark'!H$3:H$482,'Resultater - Østdanmark'!H$3:H$482),IF(D237=År2,IF(B237="Vestdanmark",'Resultater - Vestdanmark'!I$3:I$482,'Resultater - Østdanmark'!I$3:I$482),IF(B237="Vestdanmark",'Resultater - Vestdanmark'!J$3:J$482,'Resultater - Østdanmark'!J$3:J$482))),'Resultater - Vestdanmark'!$F$3:$F$482,"Foder",'Resultater - Vestdanmark'!$A$3:$A$482,"&lt;&gt;Foderproduktion"))/SUMIFS(IF(D237=År1,'[1]Processer - data'!H$3:H$464,IF(D237=År2,'[1]Processer - data'!I$3:I$464,'[1]Processer - data'!J$3:J$464)),'[1]Processer - data'!$A$3:$A$464,"Foderproduktion",'[1]Processer - data'!$D$3:$D$464,$C237)</f>
        <v>#REF!</v>
      </c>
    </row>
    <row r="238" spans="1:5" x14ac:dyDescent="0.25">
      <c r="A238" s="100" t="s">
        <v>113</v>
      </c>
      <c r="B238" t="s">
        <v>24</v>
      </c>
      <c r="C238" s="101" t="str">
        <f t="shared" si="14"/>
        <v>Majs</v>
      </c>
      <c r="D238">
        <f t="shared" si="16"/>
        <v>2019</v>
      </c>
      <c r="E238" s="151" t="e">
        <f>VLOOKUP($C238,Fodersammensætning!A$3:E$17,MATCH(D238,Fodersammensætning!$A$2:$E$2,0),FALSE)*(-SUMIFS(IF(D238=År1,IF(B238="Vestdanmark",'Resultater - Vestdanmark'!H$3:H$482,'Resultater - Østdanmark'!H$3:H$482),IF(D238=År2,IF(B238="Vestdanmark",'Resultater - Vestdanmark'!I$3:I$482,'Resultater - Østdanmark'!I$3:I$482),IF(B238="Vestdanmark",'Resultater - Vestdanmark'!J$3:J$482,'Resultater - Østdanmark'!J$3:J$482))),'Resultater - Vestdanmark'!$F$3:$F$482,"Foder",'Resultater - Vestdanmark'!$A$3:$A$482,"&lt;&gt;Foderproduktion"))/SUMIFS(IF(D238=År1,'[1]Processer - data'!H$3:H$464,IF(D238=År2,'[1]Processer - data'!I$3:I$464,'[1]Processer - data'!J$3:J$464)),'[1]Processer - data'!$A$3:$A$464,"Foderproduktion",'[1]Processer - data'!$D$3:$D$464,$C238)</f>
        <v>#REF!</v>
      </c>
    </row>
    <row r="239" spans="1:5" x14ac:dyDescent="0.25">
      <c r="A239" s="100" t="s">
        <v>113</v>
      </c>
      <c r="B239" t="s">
        <v>24</v>
      </c>
      <c r="C239" s="101" t="str">
        <f t="shared" si="14"/>
        <v>Rapskage</v>
      </c>
      <c r="D239">
        <f t="shared" si="16"/>
        <v>2019</v>
      </c>
      <c r="E239" s="151" t="e">
        <f>VLOOKUP($C239,Fodersammensætning!A$3:E$17,MATCH(D239,Fodersammensætning!$A$2:$E$2,0),FALSE)*(-SUMIFS(IF(D239=År1,IF(B239="Vestdanmark",'Resultater - Vestdanmark'!H$3:H$482,'Resultater - Østdanmark'!H$3:H$482),IF(D239=År2,IF(B239="Vestdanmark",'Resultater - Vestdanmark'!I$3:I$482,'Resultater - Østdanmark'!I$3:I$482),IF(B239="Vestdanmark",'Resultater - Vestdanmark'!J$3:J$482,'Resultater - Østdanmark'!J$3:J$482))),'Resultater - Vestdanmark'!$F$3:$F$482,"Foder",'Resultater - Vestdanmark'!$A$3:$A$482,"&lt;&gt;Foderproduktion"))/SUMIFS(IF(D239=År1,'[1]Processer - data'!H$3:H$464,IF(D239=År2,'[1]Processer - data'!I$3:I$464,'[1]Processer - data'!J$3:J$464)),'[1]Processer - data'!$A$3:$A$464,"Foderproduktion",'[1]Processer - data'!$D$3:$D$464,$C239)</f>
        <v>#REF!</v>
      </c>
    </row>
    <row r="240" spans="1:5" x14ac:dyDescent="0.25">
      <c r="A240" s="100" t="s">
        <v>113</v>
      </c>
      <c r="B240" t="s">
        <v>24</v>
      </c>
      <c r="C240" s="101" t="str">
        <f t="shared" si="14"/>
        <v>Tang</v>
      </c>
      <c r="D240">
        <f t="shared" si="16"/>
        <v>2019</v>
      </c>
      <c r="E240" s="151" t="e">
        <f>VLOOKUP($C240,Fodersammensætning!A$3:E$17,MATCH(D240,Fodersammensætning!$A$2:$E$2,0),FALSE)*(-SUMIFS(IF(D240=År1,IF(B240="Vestdanmark",'Resultater - Vestdanmark'!H$3:H$482,'Resultater - Østdanmark'!H$3:H$482),IF(D240=År2,IF(B240="Vestdanmark",'Resultater - Vestdanmark'!I$3:I$482,'Resultater - Østdanmark'!I$3:I$482),IF(B240="Vestdanmark",'Resultater - Vestdanmark'!J$3:J$482,'Resultater - Østdanmark'!J$3:J$482))),'Resultater - Vestdanmark'!$F$3:$F$482,"Foder",'Resultater - Vestdanmark'!$A$3:$A$482,"&lt;&gt;Foderproduktion"))/SUMIFS(IF(D240=År1,'[1]Processer - data'!H$3:H$464,IF(D240=År2,'[1]Processer - data'!I$3:I$464,'[1]Processer - data'!J$3:J$464)),'[1]Processer - data'!$A$3:$A$464,"Foderproduktion",'[1]Processer - data'!$D$3:$D$464,$C240)</f>
        <v>#REF!</v>
      </c>
    </row>
    <row r="241" spans="1:5" x14ac:dyDescent="0.25">
      <c r="A241" s="100" t="s">
        <v>113</v>
      </c>
      <c r="B241" t="s">
        <v>24</v>
      </c>
      <c r="C241" s="101" t="str">
        <f t="shared" si="14"/>
        <v>Muslinger</v>
      </c>
      <c r="D241">
        <f t="shared" si="16"/>
        <v>2019</v>
      </c>
      <c r="E241" s="151" t="e">
        <f>VLOOKUP($C241,Fodersammensætning!A$3:E$17,MATCH(D241,Fodersammensætning!$A$2:$E$2,0),FALSE)*(-SUMIFS(IF(D241=År1,IF(B241="Vestdanmark",'Resultater - Vestdanmark'!H$3:H$482,'Resultater - Østdanmark'!H$3:H$482),IF(D241=År2,IF(B241="Vestdanmark",'Resultater - Vestdanmark'!I$3:I$482,'Resultater - Østdanmark'!I$3:I$482),IF(B241="Vestdanmark",'Resultater - Vestdanmark'!J$3:J$482,'Resultater - Østdanmark'!J$3:J$482))),'Resultater - Vestdanmark'!$F$3:$F$482,"Foder",'Resultater - Vestdanmark'!$A$3:$A$482,"&lt;&gt;Foderproduktion"))/SUMIFS(IF(D241=År1,'[1]Processer - data'!H$3:H$464,IF(D241=År2,'[1]Processer - data'!I$3:I$464,'[1]Processer - data'!J$3:J$464)),'[1]Processer - data'!$A$3:$A$464,"Foderproduktion",'[1]Processer - data'!$D$3:$D$464,$C241)</f>
        <v>#REF!</v>
      </c>
    </row>
    <row r="242" spans="1:5" x14ac:dyDescent="0.25">
      <c r="A242" s="100" t="s">
        <v>113</v>
      </c>
      <c r="B242" t="s">
        <v>24</v>
      </c>
      <c r="C242" s="101" t="str">
        <f t="shared" si="14"/>
        <v>Græs</v>
      </c>
      <c r="D242">
        <f t="shared" si="16"/>
        <v>2019</v>
      </c>
      <c r="E242" s="151" t="e">
        <f>VLOOKUP($C242,Fodersammensætning!A$3:E$17,MATCH(D242,Fodersammensætning!$A$2:$E$2,0),FALSE)*(-SUMIFS(IF(D242=År1,IF(B242="Vestdanmark",'Resultater - Vestdanmark'!H$3:H$482,'Resultater - Østdanmark'!H$3:H$482),IF(D242=År2,IF(B242="Vestdanmark",'Resultater - Vestdanmark'!I$3:I$482,'Resultater - Østdanmark'!I$3:I$482),IF(B242="Vestdanmark",'Resultater - Vestdanmark'!J$3:J$482,'Resultater - Østdanmark'!J$3:J$482))),'Resultater - Vestdanmark'!$F$3:$F$482,"Foder",'Resultater - Vestdanmark'!$A$3:$A$482,"&lt;&gt;Foderproduktion"))/SUMIFS(IF(D242=År1,'[1]Processer - data'!H$3:H$464,IF(D242=År2,'[1]Processer - data'!I$3:I$464,'[1]Processer - data'!J$3:J$464)),'[1]Processer - data'!$A$3:$A$464,"Foderproduktion",'[1]Processer - data'!$D$3:$D$464,$C242)</f>
        <v>#REF!</v>
      </c>
    </row>
    <row r="243" spans="1:5" x14ac:dyDescent="0.25">
      <c r="A243" s="100" t="s">
        <v>113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51" t="e">
        <f>VLOOKUP($C243,Fodersammensætning!A$3:E$17,MATCH(D243,Fodersammensætning!$A$2:$E$2,0),FALSE)*(-SUMIFS(IF(D243=År1,IF(B243="Vestdanmark",'Resultater - Vestdanmark'!H$3:H$482,'Resultater - Østdanmark'!H$3:H$482),IF(D243=År2,IF(B243="Vestdanmark",'Resultater - Vestdanmark'!I$3:I$482,'Resultater - Østdanmark'!I$3:I$482),IF(B243="Vestdanmark",'Resultater - Vestdanmark'!J$3:J$482,'Resultater - Østdanmark'!J$3:J$482))),'Resultater - Vestdanmark'!$F$3:$F$482,"Foder",'Resultater - Vestdanmark'!$A$3:$A$482,"&lt;&gt;Foderproduktion"))/SUMIFS(IF(D243=År1,'[1]Processer - data'!H$3:H$464,IF(D243=År2,'[1]Processer - data'!I$3:I$464,'[1]Processer - data'!J$3:J$464)),'[1]Processer - data'!$A$3:$A$464,"Foderproduktion",'[1]Processer - data'!$D$3:$D$464,$C243)</f>
        <v>#REF!</v>
      </c>
    </row>
    <row r="244" spans="1:5" x14ac:dyDescent="0.25">
      <c r="A244" s="100" t="s">
        <v>113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51" t="e">
        <f>VLOOKUP($C244,Fodersammensætning!A$3:E$17,MATCH(D244,Fodersammensætning!$A$2:$E$2,0),FALSE)*(-SUMIFS(IF(D244=År1,IF(B244="Vestdanmark",'Resultater - Vestdanmark'!H$3:H$482,'Resultater - Østdanmark'!H$3:H$482),IF(D244=År2,IF(B244="Vestdanmark",'Resultater - Vestdanmark'!I$3:I$482,'Resultater - Østdanmark'!I$3:I$482),IF(B244="Vestdanmark",'Resultater - Vestdanmark'!J$3:J$482,'Resultater - Østdanmark'!J$3:J$482))),'Resultater - Vestdanmark'!$F$3:$F$482,"Foder",'Resultater - Vestdanmark'!$A$3:$A$482,"&lt;&gt;Foderproduktion"))/SUMIFS(IF(D244=År1,'[1]Processer - data'!H$3:H$464,IF(D244=År2,'[1]Processer - data'!I$3:I$464,'[1]Processer - data'!J$3:J$464)),'[1]Processer - data'!$A$3:$A$464,"Foderproduktion",'[1]Processer - data'!$D$3:$D$464,$C244)</f>
        <v>#REF!</v>
      </c>
    </row>
    <row r="245" spans="1:5" x14ac:dyDescent="0.25">
      <c r="A245" s="100" t="s">
        <v>113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51" t="e">
        <f>VLOOKUP($C245,Fodersammensætning!A$3:E$17,MATCH(D245,Fodersammensætning!$A$2:$E$2,0),FALSE)*(-SUMIFS(IF(D245=År1,IF(B245="Vestdanmark",'Resultater - Vestdanmark'!H$3:H$482,'Resultater - Østdanmark'!H$3:H$482),IF(D245=År2,IF(B245="Vestdanmark",'Resultater - Vestdanmark'!I$3:I$482,'Resultater - Østdanmark'!I$3:I$482),IF(B245="Vestdanmark",'Resultater - Vestdanmark'!J$3:J$482,'Resultater - Østdanmark'!J$3:J$482))),'Resultater - Vestdanmark'!$F$3:$F$482,"Foder",'Resultater - Vestdanmark'!$A$3:$A$482,"&lt;&gt;Foderproduktion"))/SUMIFS(IF(D245=År1,'[1]Processer - data'!H$3:H$464,IF(D245=År2,'[1]Processer - data'!I$3:I$464,'[1]Processer - data'!J$3:J$464)),'[1]Processer - data'!$A$3:$A$464,"Foderproduktion",'[1]Processer - data'!$D$3:$D$464,$C245)</f>
        <v>#REF!</v>
      </c>
    </row>
    <row r="246" spans="1:5" x14ac:dyDescent="0.25">
      <c r="A246" s="100" t="s">
        <v>113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51" t="e">
        <f>VLOOKUP($C246,Fodersammensætning!A$3:E$17,MATCH(D246,Fodersammensætning!$A$2:$E$2,0),FALSE)*(-SUMIFS(IF(D246=År1,IF(B246="Vestdanmark",'Resultater - Vestdanmark'!H$3:H$482,'Resultater - Østdanmark'!H$3:H$482),IF(D246=År2,IF(B246="Vestdanmark",'Resultater - Vestdanmark'!I$3:I$482,'Resultater - Østdanmark'!I$3:I$482),IF(B246="Vestdanmark",'Resultater - Vestdanmark'!J$3:J$482,'Resultater - Østdanmark'!J$3:J$482))),'Resultater - Vestdanmark'!$F$3:$F$482,"Foder",'Resultater - Vestdanmark'!$A$3:$A$482,"&lt;&gt;Foderproduktion"))/SUMIFS(IF(D246=År1,'[1]Processer - data'!H$3:H$464,IF(D246=År2,'[1]Processer - data'!I$3:I$464,'[1]Processer - data'!J$3:J$464)),'[1]Processer - data'!$A$3:$A$464,"Foderproduktion",'[1]Processer - data'!$D$3:$D$464,$C246)</f>
        <v>#REF!</v>
      </c>
    </row>
    <row r="247" spans="1:5" x14ac:dyDescent="0.25">
      <c r="A247" s="100" t="s">
        <v>113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51" t="e">
        <f>VLOOKUP($C247,Fodersammensætning!A$3:E$17,MATCH(D247,Fodersammensætning!$A$2:$E$2,0),FALSE)*(-SUMIFS(IF(D247=År1,IF(B247="Vestdanmark",'Resultater - Vestdanmark'!H$3:H$482,'Resultater - Østdanmark'!H$3:H$482),IF(D247=År2,IF(B247="Vestdanmark",'Resultater - Vestdanmark'!I$3:I$482,'Resultater - Østdanmark'!I$3:I$482),IF(B247="Vestdanmark",'Resultater - Vestdanmark'!J$3:J$482,'Resultater - Østdanmark'!J$3:J$482))),'Resultater - Vestdanmark'!$F$3:$F$482,"Foder",'Resultater - Vestdanmark'!$A$3:$A$482,"&lt;&gt;Foderproduktion"))/SUMIFS(IF(D247=År1,'[1]Processer - data'!H$3:H$464,IF(D247=År2,'[1]Processer - data'!I$3:I$464,'[1]Processer - data'!J$3:J$464)),'[1]Processer - data'!$A$3:$A$464,"Foderproduktion",'[1]Processer - data'!$D$3:$D$464,$C247)</f>
        <v>#REF!</v>
      </c>
    </row>
    <row r="248" spans="1:5" x14ac:dyDescent="0.25">
      <c r="A248" s="100" t="s">
        <v>113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51" t="e">
        <f>VLOOKUP($C248,Fodersammensætning!A$3:E$17,MATCH(D248,Fodersammensætning!$A$2:$E$2,0),FALSE)*(-SUMIFS(IF(D248=År1,IF(B248="Vestdanmark",'Resultater - Vestdanmark'!H$3:H$482,'Resultater - Østdanmark'!H$3:H$482),IF(D248=År2,IF(B248="Vestdanmark",'Resultater - Vestdanmark'!I$3:I$482,'Resultater - Østdanmark'!I$3:I$482),IF(B248="Vestdanmark",'Resultater - Vestdanmark'!J$3:J$482,'Resultater - Østdanmark'!J$3:J$482))),'Resultater - Vestdanmark'!$F$3:$F$482,"Foder",'Resultater - Vestdanmark'!$A$3:$A$482,"&lt;&gt;Foderproduktion"))/SUMIFS(IF(D248=År1,'[1]Processer - data'!H$3:H$464,IF(D248=År2,'[1]Processer - data'!I$3:I$464,'[1]Processer - data'!J$3:J$464)),'[1]Processer - data'!$A$3:$A$464,"Foderproduktion",'[1]Processer - data'!$D$3:$D$464,$C248)</f>
        <v>#REF!</v>
      </c>
    </row>
    <row r="249" spans="1:5" x14ac:dyDescent="0.25">
      <c r="A249" s="100" t="s">
        <v>113</v>
      </c>
      <c r="B249" t="s">
        <v>24</v>
      </c>
      <c r="C249" s="101" t="str">
        <f t="shared" si="14"/>
        <v>Halm</v>
      </c>
      <c r="D249">
        <f t="shared" si="17"/>
        <v>2030</v>
      </c>
      <c r="E249" s="151" t="e">
        <f>VLOOKUP($C249,Fodersammensætning!A$3:E$17,MATCH(D249,Fodersammensætning!$A$2:$E$2,0),FALSE)*(-SUMIFS(IF(D249=År1,IF(B249="Vestdanmark",'Resultater - Vestdanmark'!H$3:H$482,'Resultater - Østdanmark'!H$3:H$482),IF(D249=År2,IF(B249="Vestdanmark",'Resultater - Vestdanmark'!I$3:I$482,'Resultater - Østdanmark'!I$3:I$482),IF(B249="Vestdanmark",'Resultater - Vestdanmark'!J$3:J$482,'Resultater - Østdanmark'!J$3:J$482))),'Resultater - Vestdanmark'!$F$3:$F$482,"Foder",'Resultater - Vestdanmark'!$A$3:$A$482,"&lt;&gt;Foderproduktion"))/SUMIFS(IF(D249=År1,'[1]Processer - data'!H$3:H$464,IF(D249=År2,'[1]Processer - data'!I$3:I$464,'[1]Processer - data'!J$3:J$464)),'[1]Processer - data'!$A$3:$A$464,"Foderproduktion",'[1]Processer - data'!$D$3:$D$464,$C249)</f>
        <v>#REF!</v>
      </c>
    </row>
    <row r="250" spans="1:5" x14ac:dyDescent="0.25">
      <c r="A250" s="100" t="s">
        <v>113</v>
      </c>
      <c r="B250" t="s">
        <v>24</v>
      </c>
      <c r="C250" s="101" t="str">
        <f t="shared" si="14"/>
        <v>Kartofler</v>
      </c>
      <c r="D250">
        <f t="shared" si="17"/>
        <v>2030</v>
      </c>
      <c r="E250" s="151" t="e">
        <f>VLOOKUP($C250,Fodersammensætning!A$3:E$17,MATCH(D250,Fodersammensætning!$A$2:$E$2,0),FALSE)*(-SUMIFS(IF(D250=År1,IF(B250="Vestdanmark",'Resultater - Vestdanmark'!H$3:H$482,'Resultater - Østdanmark'!H$3:H$482),IF(D250=År2,IF(B250="Vestdanmark",'Resultater - Vestdanmark'!I$3:I$482,'Resultater - Østdanmark'!I$3:I$482),IF(B250="Vestdanmark",'Resultater - Vestdanmark'!J$3:J$482,'Resultater - Østdanmark'!J$3:J$482))),'Resultater - Vestdanmark'!$F$3:$F$482,"Foder",'Resultater - Vestdanmark'!$A$3:$A$482,"&lt;&gt;Foderproduktion"))/SUMIFS(IF(D250=År1,'[1]Processer - data'!H$3:H$464,IF(D250=År2,'[1]Processer - data'!I$3:I$464,'[1]Processer - data'!J$3:J$464)),'[1]Processer - data'!$A$3:$A$464,"Foderproduktion",'[1]Processer - data'!$D$3:$D$464,$C250)</f>
        <v>#REF!</v>
      </c>
    </row>
    <row r="251" spans="1:5" x14ac:dyDescent="0.25">
      <c r="A251" s="100" t="s">
        <v>113</v>
      </c>
      <c r="B251" t="s">
        <v>24</v>
      </c>
      <c r="C251" s="101" t="str">
        <f t="shared" si="14"/>
        <v>Bælgsæd</v>
      </c>
      <c r="D251">
        <f t="shared" si="17"/>
        <v>2030</v>
      </c>
      <c r="E251" s="151" t="e">
        <f>VLOOKUP($C251,Fodersammensætning!A$3:E$17,MATCH(D251,Fodersammensætning!$A$2:$E$2,0),FALSE)*(-SUMIFS(IF(D251=År1,IF(B251="Vestdanmark",'Resultater - Vestdanmark'!H$3:H$482,'Resultater - Østdanmark'!H$3:H$482),IF(D251=År2,IF(B251="Vestdanmark",'Resultater - Vestdanmark'!I$3:I$482,'Resultater - Østdanmark'!I$3:I$482),IF(B251="Vestdanmark",'Resultater - Vestdanmark'!J$3:J$482,'Resultater - Østdanmark'!J$3:J$482))),'Resultater - Vestdanmark'!$F$3:$F$482,"Foder",'Resultater - Vestdanmark'!$A$3:$A$482,"&lt;&gt;Foderproduktion"))/SUMIFS(IF(D251=År1,'[1]Processer - data'!H$3:H$464,IF(D251=År2,'[1]Processer - data'!I$3:I$464,'[1]Processer - data'!J$3:J$464)),'[1]Processer - data'!$A$3:$A$464,"Foderproduktion",'[1]Processer - data'!$D$3:$D$464,$C251)</f>
        <v>#REF!</v>
      </c>
    </row>
    <row r="252" spans="1:5" x14ac:dyDescent="0.25">
      <c r="A252" s="100" t="s">
        <v>113</v>
      </c>
      <c r="B252" t="s">
        <v>24</v>
      </c>
      <c r="C252" s="101" t="str">
        <f t="shared" si="14"/>
        <v>Roer</v>
      </c>
      <c r="D252">
        <f t="shared" si="17"/>
        <v>2030</v>
      </c>
      <c r="E252" s="151" t="e">
        <f>VLOOKUP($C252,Fodersammensætning!A$3:E$17,MATCH(D252,Fodersammensætning!$A$2:$E$2,0),FALSE)*(-SUMIFS(IF(D252=År1,IF(B252="Vestdanmark",'Resultater - Vestdanmark'!H$3:H$482,'Resultater - Østdanmark'!H$3:H$482),IF(D252=År2,IF(B252="Vestdanmark",'Resultater - Vestdanmark'!I$3:I$482,'Resultater - Østdanmark'!I$3:I$482),IF(B252="Vestdanmark",'Resultater - Vestdanmark'!J$3:J$482,'Resultater - Østdanmark'!J$3:J$482))),'Resultater - Vestdanmark'!$F$3:$F$482,"Foder",'Resultater - Vestdanmark'!$A$3:$A$482,"&lt;&gt;Foderproduktion"))/SUMIFS(IF(D252=År1,'[1]Processer - data'!H$3:H$464,IF(D252=År2,'[1]Processer - data'!I$3:I$464,'[1]Processer - data'!J$3:J$464)),'[1]Processer - data'!$A$3:$A$464,"Foderproduktion",'[1]Processer - data'!$D$3:$D$464,$C252)</f>
        <v>#REF!</v>
      </c>
    </row>
    <row r="253" spans="1:5" x14ac:dyDescent="0.25">
      <c r="A253" s="100" t="s">
        <v>113</v>
      </c>
      <c r="B253" t="s">
        <v>24</v>
      </c>
      <c r="C253" s="101" t="str">
        <f t="shared" si="14"/>
        <v>Majs</v>
      </c>
      <c r="D253">
        <f t="shared" si="17"/>
        <v>2030</v>
      </c>
      <c r="E253" s="151" t="e">
        <f>VLOOKUP($C253,Fodersammensætning!A$3:E$17,MATCH(D253,Fodersammensætning!$A$2:$E$2,0),FALSE)*(-SUMIFS(IF(D253=År1,IF(B253="Vestdanmark",'Resultater - Vestdanmark'!H$3:H$482,'Resultater - Østdanmark'!H$3:H$482),IF(D253=År2,IF(B253="Vestdanmark",'Resultater - Vestdanmark'!I$3:I$482,'Resultater - Østdanmark'!I$3:I$482),IF(B253="Vestdanmark",'Resultater - Vestdanmark'!J$3:J$482,'Resultater - Østdanmark'!J$3:J$482))),'Resultater - Vestdanmark'!$F$3:$F$482,"Foder",'Resultater - Vestdanmark'!$A$3:$A$482,"&lt;&gt;Foderproduktion"))/SUMIFS(IF(D253=År1,'[1]Processer - data'!H$3:H$464,IF(D253=År2,'[1]Processer - data'!I$3:I$464,'[1]Processer - data'!J$3:J$464)),'[1]Processer - data'!$A$3:$A$464,"Foderproduktion",'[1]Processer - data'!$D$3:$D$464,$C253)</f>
        <v>#REF!</v>
      </c>
    </row>
    <row r="254" spans="1:5" x14ac:dyDescent="0.25">
      <c r="A254" s="100" t="s">
        <v>113</v>
      </c>
      <c r="B254" t="s">
        <v>24</v>
      </c>
      <c r="C254" s="101" t="str">
        <f t="shared" si="14"/>
        <v>Rapskage</v>
      </c>
      <c r="D254">
        <f t="shared" si="17"/>
        <v>2030</v>
      </c>
      <c r="E254" s="151" t="e">
        <f>VLOOKUP($C254,Fodersammensætning!A$3:E$17,MATCH(D254,Fodersammensætning!$A$2:$E$2,0),FALSE)*(-SUMIFS(IF(D254=År1,IF(B254="Vestdanmark",'Resultater - Vestdanmark'!H$3:H$482,'Resultater - Østdanmark'!H$3:H$482),IF(D254=År2,IF(B254="Vestdanmark",'Resultater - Vestdanmark'!I$3:I$482,'Resultater - Østdanmark'!I$3:I$482),IF(B254="Vestdanmark",'Resultater - Vestdanmark'!J$3:J$482,'Resultater - Østdanmark'!J$3:J$482))),'Resultater - Vestdanmark'!$F$3:$F$482,"Foder",'Resultater - Vestdanmark'!$A$3:$A$482,"&lt;&gt;Foderproduktion"))/SUMIFS(IF(D254=År1,'[1]Processer - data'!H$3:H$464,IF(D254=År2,'[1]Processer - data'!I$3:I$464,'[1]Processer - data'!J$3:J$464)),'[1]Processer - data'!$A$3:$A$464,"Foderproduktion",'[1]Processer - data'!$D$3:$D$464,$C254)</f>
        <v>#REF!</v>
      </c>
    </row>
    <row r="255" spans="1:5" x14ac:dyDescent="0.25">
      <c r="A255" s="100" t="s">
        <v>113</v>
      </c>
      <c r="B255" t="s">
        <v>24</v>
      </c>
      <c r="C255" s="101" t="str">
        <f t="shared" si="14"/>
        <v>Tang</v>
      </c>
      <c r="D255">
        <f t="shared" si="17"/>
        <v>2030</v>
      </c>
      <c r="E255" s="151" t="e">
        <f>VLOOKUP($C255,Fodersammensætning!A$3:E$17,MATCH(D255,Fodersammensætning!$A$2:$E$2,0),FALSE)*(-SUMIFS(IF(D255=År1,IF(B255="Vestdanmark",'Resultater - Vestdanmark'!H$3:H$482,'Resultater - Østdanmark'!H$3:H$482),IF(D255=År2,IF(B255="Vestdanmark",'Resultater - Vestdanmark'!I$3:I$482,'Resultater - Østdanmark'!I$3:I$482),IF(B255="Vestdanmark",'Resultater - Vestdanmark'!J$3:J$482,'Resultater - Østdanmark'!J$3:J$482))),'Resultater - Vestdanmark'!$F$3:$F$482,"Foder",'Resultater - Vestdanmark'!$A$3:$A$482,"&lt;&gt;Foderproduktion"))/SUMIFS(IF(D255=År1,'[1]Processer - data'!H$3:H$464,IF(D255=År2,'[1]Processer - data'!I$3:I$464,'[1]Processer - data'!J$3:J$464)),'[1]Processer - data'!$A$3:$A$464,"Foderproduktion",'[1]Processer - data'!$D$3:$D$464,$C255)</f>
        <v>#REF!</v>
      </c>
    </row>
    <row r="256" spans="1:5" x14ac:dyDescent="0.25">
      <c r="A256" s="100" t="s">
        <v>113</v>
      </c>
      <c r="B256" t="s">
        <v>24</v>
      </c>
      <c r="C256" s="101" t="str">
        <f t="shared" si="14"/>
        <v>Muslinger</v>
      </c>
      <c r="D256">
        <f t="shared" si="17"/>
        <v>2030</v>
      </c>
      <c r="E256" s="151" t="e">
        <f>VLOOKUP($C256,Fodersammensætning!A$3:E$17,MATCH(D256,Fodersammensætning!$A$2:$E$2,0),FALSE)*(-SUMIFS(IF(D256=År1,IF(B256="Vestdanmark",'Resultater - Vestdanmark'!H$3:H$482,'Resultater - Østdanmark'!H$3:H$482),IF(D256=År2,IF(B256="Vestdanmark",'Resultater - Vestdanmark'!I$3:I$482,'Resultater - Østdanmark'!I$3:I$482),IF(B256="Vestdanmark",'Resultater - Vestdanmark'!J$3:J$482,'Resultater - Østdanmark'!J$3:J$482))),'Resultater - Vestdanmark'!$F$3:$F$482,"Foder",'Resultater - Vestdanmark'!$A$3:$A$482,"&lt;&gt;Foderproduktion"))/SUMIFS(IF(D256=År1,'[1]Processer - data'!H$3:H$464,IF(D256=År2,'[1]Processer - data'!I$3:I$464,'[1]Processer - data'!J$3:J$464)),'[1]Processer - data'!$A$3:$A$464,"Foderproduktion",'[1]Processer - data'!$D$3:$D$464,$C256)</f>
        <v>#REF!</v>
      </c>
    </row>
    <row r="257" spans="1:5" x14ac:dyDescent="0.25">
      <c r="A257" s="100" t="s">
        <v>113</v>
      </c>
      <c r="B257" t="s">
        <v>24</v>
      </c>
      <c r="C257" s="101" t="str">
        <f t="shared" si="14"/>
        <v>Græs</v>
      </c>
      <c r="D257">
        <f t="shared" si="17"/>
        <v>2030</v>
      </c>
      <c r="E257" s="151" t="e">
        <f>VLOOKUP($C257,Fodersammensætning!A$3:E$17,MATCH(D257,Fodersammensætning!$A$2:$E$2,0),FALSE)*(-SUMIFS(IF(D257=År1,IF(B257="Vestdanmark",'Resultater - Vestdanmark'!H$3:H$482,'Resultater - Østdanmark'!H$3:H$482),IF(D257=År2,IF(B257="Vestdanmark",'Resultater - Vestdanmark'!I$3:I$482,'Resultater - Østdanmark'!I$3:I$482),IF(B257="Vestdanmark",'Resultater - Vestdanmark'!J$3:J$482,'Resultater - Østdanmark'!J$3:J$482))),'Resultater - Vestdanmark'!$F$3:$F$482,"Foder",'Resultater - Vestdanmark'!$A$3:$A$482,"&lt;&gt;Foderproduktion"))/SUMIFS(IF(D257=År1,'[1]Processer - data'!H$3:H$464,IF(D257=År2,'[1]Processer - data'!I$3:I$464,'[1]Processer - data'!J$3:J$464)),'[1]Processer - data'!$A$3:$A$464,"Foderproduktion",'[1]Processer - data'!$D$3:$D$464,$C257)</f>
        <v>#REF!</v>
      </c>
    </row>
    <row r="258" spans="1:5" x14ac:dyDescent="0.25">
      <c r="A258" s="100" t="s">
        <v>113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51" t="e">
        <f>VLOOKUP($C258,Fodersammensætning!A$3:E$17,MATCH(D258,Fodersammensætning!$A$2:$E$2,0),FALSE)*(-SUMIFS(IF(D258=År1,IF(B258="Vestdanmark",'Resultater - Vestdanmark'!H$3:H$482,'Resultater - Østdanmark'!H$3:H$482),IF(D258=År2,IF(B258="Vestdanmark",'Resultater - Vestdanmark'!I$3:I$482,'Resultater - Østdanmark'!I$3:I$482),IF(B258="Vestdanmark",'Resultater - Vestdanmark'!J$3:J$482,'Resultater - Østdanmark'!J$3:J$482))),'Resultater - Vestdanmark'!$F$3:$F$482,"Foder",'Resultater - Vestdanmark'!$A$3:$A$482,"&lt;&gt;Foderproduktion"))/SUMIFS(IF(D258=År1,'[1]Processer - data'!H$3:H$464,IF(D258=År2,'[1]Processer - data'!I$3:I$464,'[1]Processer - data'!J$3:J$464)),'[1]Processer - data'!$A$3:$A$464,"Foderproduktion",'[1]Processer - data'!$D$3:$D$464,$C258)</f>
        <v>#REF!</v>
      </c>
    </row>
    <row r="259" spans="1:5" x14ac:dyDescent="0.25">
      <c r="A259" s="100" t="s">
        <v>113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51" t="e">
        <f>VLOOKUP($C259,Fodersammensætning!A$3:E$17,MATCH(D259,Fodersammensætning!$A$2:$E$2,0),FALSE)*(-SUMIFS(IF(D259=År1,IF(B259="Vestdanmark",'Resultater - Vestdanmark'!H$3:H$482,'Resultater - Østdanmark'!H$3:H$482),IF(D259=År2,IF(B259="Vestdanmark",'Resultater - Vestdanmark'!I$3:I$482,'Resultater - Østdanmark'!I$3:I$482),IF(B259="Vestdanmark",'Resultater - Vestdanmark'!J$3:J$482,'Resultater - Østdanmark'!J$3:J$482))),'Resultater - Vestdanmark'!$F$3:$F$482,"Foder",'Resultater - Vestdanmark'!$A$3:$A$482,"&lt;&gt;Foderproduktion"))/SUMIFS(IF(D259=År1,'[1]Processer - data'!H$3:H$464,IF(D259=År2,'[1]Processer - data'!I$3:I$464,'[1]Processer - data'!J$3:J$464)),'[1]Processer - data'!$A$3:$A$464,"Foderproduktion",'[1]Processer - data'!$D$3:$D$464,$C259)</f>
        <v>#REF!</v>
      </c>
    </row>
    <row r="260" spans="1:5" x14ac:dyDescent="0.25">
      <c r="A260" s="100" t="s">
        <v>113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51" t="e">
        <f>VLOOKUP($C260,Fodersammensætning!A$3:E$17,MATCH(D260,Fodersammensætning!$A$2:$E$2,0),FALSE)*(-SUMIFS(IF(D260=År1,IF(B260="Vestdanmark",'Resultater - Vestdanmark'!H$3:H$482,'Resultater - Østdanmark'!H$3:H$482),IF(D260=År2,IF(B260="Vestdanmark",'Resultater - Vestdanmark'!I$3:I$482,'Resultater - Østdanmark'!I$3:I$482),IF(B260="Vestdanmark",'Resultater - Vestdanmark'!J$3:J$482,'Resultater - Østdanmark'!J$3:J$482))),'Resultater - Vestdanmark'!$F$3:$F$482,"Foder",'Resultater - Vestdanmark'!$A$3:$A$482,"&lt;&gt;Foderproduktion"))/SUMIFS(IF(D260=År1,'[1]Processer - data'!H$3:H$464,IF(D260=År2,'[1]Processer - data'!I$3:I$464,'[1]Processer - data'!J$3:J$464)),'[1]Processer - data'!$A$3:$A$464,"Foderproduktion",'[1]Processer - data'!$D$3:$D$464,$C260)</f>
        <v>#REF!</v>
      </c>
    </row>
    <row r="261" spans="1:5" x14ac:dyDescent="0.25">
      <c r="A261" s="100" t="s">
        <v>113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51" t="e">
        <f>VLOOKUP($C261,Fodersammensætning!A$3:E$17,MATCH(D261,Fodersammensætning!$A$2:$E$2,0),FALSE)*(-SUMIFS(IF(D261=År1,IF(B261="Vestdanmark",'Resultater - Vestdanmark'!H$3:H$482,'Resultater - Østdanmark'!H$3:H$482),IF(D261=År2,IF(B261="Vestdanmark",'Resultater - Vestdanmark'!I$3:I$482,'Resultater - Østdanmark'!I$3:I$482),IF(B261="Vestdanmark",'Resultater - Vestdanmark'!J$3:J$482,'Resultater - Østdanmark'!J$3:J$482))),'Resultater - Vestdanmark'!$F$3:$F$482,"Foder",'Resultater - Vestdanmark'!$A$3:$A$482,"&lt;&gt;Foderproduktion"))/SUMIFS(IF(D261=År1,'[1]Processer - data'!H$3:H$464,IF(D261=År2,'[1]Processer - data'!I$3:I$464,'[1]Processer - data'!J$3:J$464)),'[1]Processer - data'!$A$3:$A$464,"Foderproduktion",'[1]Processer - data'!$D$3:$D$464,$C261)</f>
        <v>#REF!</v>
      </c>
    </row>
    <row r="262" spans="1:5" x14ac:dyDescent="0.25">
      <c r="A262" s="100" t="s">
        <v>113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51" t="e">
        <f>VLOOKUP($C262,Fodersammensætning!A$3:E$17,MATCH(D262,Fodersammensætning!$A$2:$E$2,0),FALSE)*(-SUMIFS(IF(D262=År1,IF(B262="Vestdanmark",'Resultater - Vestdanmark'!H$3:H$482,'Resultater - Østdanmark'!H$3:H$482),IF(D262=År2,IF(B262="Vestdanmark",'Resultater - Vestdanmark'!I$3:I$482,'Resultater - Østdanmark'!I$3:I$482),IF(B262="Vestdanmark",'Resultater - Vestdanmark'!J$3:J$482,'Resultater - Østdanmark'!J$3:J$482))),'Resultater - Vestdanmark'!$F$3:$F$482,"Foder",'Resultater - Vestdanmark'!$A$3:$A$482,"&lt;&gt;Foderproduktion"))/SUMIFS(IF(D262=År1,'[1]Processer - data'!H$3:H$464,IF(D262=År2,'[1]Processer - data'!I$3:I$464,'[1]Processer - data'!J$3:J$464)),'[1]Processer - data'!$A$3:$A$464,"Foderproduktion",'[1]Processer - data'!$D$3:$D$464,$C262)</f>
        <v>#REF!</v>
      </c>
    </row>
    <row r="263" spans="1:5" x14ac:dyDescent="0.25">
      <c r="A263" s="100" t="s">
        <v>113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51" t="e">
        <f>VLOOKUP($C263,Fodersammensætning!A$3:E$17,MATCH(D263,Fodersammensætning!$A$2:$E$2,0),FALSE)*(-SUMIFS(IF(D263=År1,IF(B263="Vestdanmark",'Resultater - Vestdanmark'!H$3:H$482,'Resultater - Østdanmark'!H$3:H$482),IF(D263=År2,IF(B263="Vestdanmark",'Resultater - Vestdanmark'!I$3:I$482,'Resultater - Østdanmark'!I$3:I$482),IF(B263="Vestdanmark",'Resultater - Vestdanmark'!J$3:J$482,'Resultater - Østdanmark'!J$3:J$482))),'Resultater - Vestdanmark'!$F$3:$F$482,"Foder",'Resultater - Vestdanmark'!$A$3:$A$482,"&lt;&gt;Foderproduktion"))/SUMIFS(IF(D263=År1,'[1]Processer - data'!H$3:H$464,IF(D263=År2,'[1]Processer - data'!I$3:I$464,'[1]Processer - data'!J$3:J$464)),'[1]Processer - data'!$A$3:$A$464,"Foderproduktion",'[1]Processer - data'!$D$3:$D$464,$C263)</f>
        <v>#REF!</v>
      </c>
    </row>
    <row r="264" spans="1:5" x14ac:dyDescent="0.25">
      <c r="A264" s="100" t="s">
        <v>113</v>
      </c>
      <c r="B264" t="s">
        <v>24</v>
      </c>
      <c r="C264" s="101" t="str">
        <f t="shared" si="14"/>
        <v>Halm</v>
      </c>
      <c r="D264">
        <f t="shared" si="18"/>
        <v>2050</v>
      </c>
      <c r="E264" s="151" t="e">
        <f>VLOOKUP($C264,Fodersammensætning!A$3:E$17,MATCH(D264,Fodersammensætning!$A$2:$E$2,0),FALSE)*(-SUMIFS(IF(D264=År1,IF(B264="Vestdanmark",'Resultater - Vestdanmark'!H$3:H$482,'Resultater - Østdanmark'!H$3:H$482),IF(D264=År2,IF(B264="Vestdanmark",'Resultater - Vestdanmark'!I$3:I$482,'Resultater - Østdanmark'!I$3:I$482),IF(B264="Vestdanmark",'Resultater - Vestdanmark'!J$3:J$482,'Resultater - Østdanmark'!J$3:J$482))),'Resultater - Vestdanmark'!$F$3:$F$482,"Foder",'Resultater - Vestdanmark'!$A$3:$A$482,"&lt;&gt;Foderproduktion"))/SUMIFS(IF(D264=År1,'[1]Processer - data'!H$3:H$464,IF(D264=År2,'[1]Processer - data'!I$3:I$464,'[1]Processer - data'!J$3:J$464)),'[1]Processer - data'!$A$3:$A$464,"Foderproduktion",'[1]Processer - data'!$D$3:$D$464,$C264)</f>
        <v>#REF!</v>
      </c>
    </row>
    <row r="265" spans="1:5" x14ac:dyDescent="0.25">
      <c r="A265" s="100" t="s">
        <v>113</v>
      </c>
      <c r="B265" t="s">
        <v>24</v>
      </c>
      <c r="C265" s="101" t="str">
        <f t="shared" si="14"/>
        <v>Kartofler</v>
      </c>
      <c r="D265">
        <f t="shared" si="18"/>
        <v>2050</v>
      </c>
      <c r="E265" s="151" t="e">
        <f>VLOOKUP($C265,Fodersammensætning!A$3:E$17,MATCH(D265,Fodersammensætning!$A$2:$E$2,0),FALSE)*(-SUMIFS(IF(D265=År1,IF(B265="Vestdanmark",'Resultater - Vestdanmark'!H$3:H$482,'Resultater - Østdanmark'!H$3:H$482),IF(D265=År2,IF(B265="Vestdanmark",'Resultater - Vestdanmark'!I$3:I$482,'Resultater - Østdanmark'!I$3:I$482),IF(B265="Vestdanmark",'Resultater - Vestdanmark'!J$3:J$482,'Resultater - Østdanmark'!J$3:J$482))),'Resultater - Vestdanmark'!$F$3:$F$482,"Foder",'Resultater - Vestdanmark'!$A$3:$A$482,"&lt;&gt;Foderproduktion"))/SUMIFS(IF(D265=År1,'[1]Processer - data'!H$3:H$464,IF(D265=År2,'[1]Processer - data'!I$3:I$464,'[1]Processer - data'!J$3:J$464)),'[1]Processer - data'!$A$3:$A$464,"Foderproduktion",'[1]Processer - data'!$D$3:$D$464,$C265)</f>
        <v>#REF!</v>
      </c>
    </row>
    <row r="266" spans="1:5" x14ac:dyDescent="0.25">
      <c r="A266" s="100" t="s">
        <v>113</v>
      </c>
      <c r="B266" t="s">
        <v>24</v>
      </c>
      <c r="C266" s="101" t="str">
        <f t="shared" si="14"/>
        <v>Bælgsæd</v>
      </c>
      <c r="D266">
        <f t="shared" si="18"/>
        <v>2050</v>
      </c>
      <c r="E266" s="151" t="e">
        <f>VLOOKUP($C266,Fodersammensætning!A$3:E$17,MATCH(D266,Fodersammensætning!$A$2:$E$2,0),FALSE)*(-SUMIFS(IF(D266=År1,IF(B266="Vestdanmark",'Resultater - Vestdanmark'!H$3:H$482,'Resultater - Østdanmark'!H$3:H$482),IF(D266=År2,IF(B266="Vestdanmark",'Resultater - Vestdanmark'!I$3:I$482,'Resultater - Østdanmark'!I$3:I$482),IF(B266="Vestdanmark",'Resultater - Vestdanmark'!J$3:J$482,'Resultater - Østdanmark'!J$3:J$482))),'Resultater - Vestdanmark'!$F$3:$F$482,"Foder",'Resultater - Vestdanmark'!$A$3:$A$482,"&lt;&gt;Foderproduktion"))/SUMIFS(IF(D266=År1,'[1]Processer - data'!H$3:H$464,IF(D266=År2,'[1]Processer - data'!I$3:I$464,'[1]Processer - data'!J$3:J$464)),'[1]Processer - data'!$A$3:$A$464,"Foderproduktion",'[1]Processer - data'!$D$3:$D$464,$C266)</f>
        <v>#REF!</v>
      </c>
    </row>
    <row r="267" spans="1:5" x14ac:dyDescent="0.25">
      <c r="A267" s="100" t="s">
        <v>113</v>
      </c>
      <c r="B267" t="s">
        <v>24</v>
      </c>
      <c r="C267" s="101" t="str">
        <f t="shared" si="14"/>
        <v>Roer</v>
      </c>
      <c r="D267">
        <f t="shared" si="18"/>
        <v>2050</v>
      </c>
      <c r="E267" s="151" t="e">
        <f>VLOOKUP($C267,Fodersammensætning!A$3:E$17,MATCH(D267,Fodersammensætning!$A$2:$E$2,0),FALSE)*(-SUMIFS(IF(D267=År1,IF(B267="Vestdanmark",'Resultater - Vestdanmark'!H$3:H$482,'Resultater - Østdanmark'!H$3:H$482),IF(D267=År2,IF(B267="Vestdanmark",'Resultater - Vestdanmark'!I$3:I$482,'Resultater - Østdanmark'!I$3:I$482),IF(B267="Vestdanmark",'Resultater - Vestdanmark'!J$3:J$482,'Resultater - Østdanmark'!J$3:J$482))),'Resultater - Vestdanmark'!$F$3:$F$482,"Foder",'Resultater - Vestdanmark'!$A$3:$A$482,"&lt;&gt;Foderproduktion"))/SUMIFS(IF(D267=År1,'[1]Processer - data'!H$3:H$464,IF(D267=År2,'[1]Processer - data'!I$3:I$464,'[1]Processer - data'!J$3:J$464)),'[1]Processer - data'!$A$3:$A$464,"Foderproduktion",'[1]Processer - data'!$D$3:$D$464,$C267)</f>
        <v>#REF!</v>
      </c>
    </row>
    <row r="268" spans="1:5" x14ac:dyDescent="0.25">
      <c r="A268" s="100" t="s">
        <v>113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51" t="e">
        <f>VLOOKUP($C268,Fodersammensætning!A$3:E$17,MATCH(D268,Fodersammensætning!$A$2:$E$2,0),FALSE)*(-SUMIFS(IF(D268=År1,IF(B268="Vestdanmark",'Resultater - Vestdanmark'!H$3:H$482,'Resultater - Østdanmark'!H$3:H$482),IF(D268=År2,IF(B268="Vestdanmark",'Resultater - Vestdanmark'!I$3:I$482,'Resultater - Østdanmark'!I$3:I$482),IF(B268="Vestdanmark",'Resultater - Vestdanmark'!J$3:J$482,'Resultater - Østdanmark'!J$3:J$482))),'Resultater - Vestdanmark'!$F$3:$F$482,"Foder",'Resultater - Vestdanmark'!$A$3:$A$482,"&lt;&gt;Foderproduktion"))/SUMIFS(IF(D268=År1,'[1]Processer - data'!H$3:H$464,IF(D268=År2,'[1]Processer - data'!I$3:I$464,'[1]Processer - data'!J$3:J$464)),'[1]Processer - data'!$A$3:$A$464,"Foderproduktion",'[1]Processer - data'!$D$3:$D$464,$C268)</f>
        <v>#REF!</v>
      </c>
    </row>
    <row r="269" spans="1:5" x14ac:dyDescent="0.25">
      <c r="A269" s="100" t="s">
        <v>113</v>
      </c>
      <c r="B269" t="s">
        <v>24</v>
      </c>
      <c r="C269" s="101" t="str">
        <f t="shared" si="19"/>
        <v>Rapskage</v>
      </c>
      <c r="D269">
        <f t="shared" si="18"/>
        <v>2050</v>
      </c>
      <c r="E269" s="151" t="e">
        <f>VLOOKUP($C269,Fodersammensætning!A$3:E$17,MATCH(D269,Fodersammensætning!$A$2:$E$2,0),FALSE)*(-SUMIFS(IF(D269=År1,IF(B269="Vestdanmark",'Resultater - Vestdanmark'!H$3:H$482,'Resultater - Østdanmark'!H$3:H$482),IF(D269=År2,IF(B269="Vestdanmark",'Resultater - Vestdanmark'!I$3:I$482,'Resultater - Østdanmark'!I$3:I$482),IF(B269="Vestdanmark",'Resultater - Vestdanmark'!J$3:J$482,'Resultater - Østdanmark'!J$3:J$482))),'Resultater - Vestdanmark'!$F$3:$F$482,"Foder",'Resultater - Vestdanmark'!$A$3:$A$482,"&lt;&gt;Foderproduktion"))/SUMIFS(IF(D269=År1,'[1]Processer - data'!H$3:H$464,IF(D269=År2,'[1]Processer - data'!I$3:I$464,'[1]Processer - data'!J$3:J$464)),'[1]Processer - data'!$A$3:$A$464,"Foderproduktion",'[1]Processer - data'!$D$3:$D$464,$C269)</f>
        <v>#REF!</v>
      </c>
    </row>
    <row r="270" spans="1:5" x14ac:dyDescent="0.25">
      <c r="A270" s="100" t="s">
        <v>113</v>
      </c>
      <c r="B270" t="s">
        <v>24</v>
      </c>
      <c r="C270" s="101" t="str">
        <f t="shared" si="19"/>
        <v>Tang</v>
      </c>
      <c r="D270">
        <f t="shared" si="18"/>
        <v>2050</v>
      </c>
      <c r="E270" s="151" t="e">
        <f>VLOOKUP($C270,Fodersammensætning!A$3:E$17,MATCH(D270,Fodersammensætning!$A$2:$E$2,0),FALSE)*(-SUMIFS(IF(D270=År1,IF(B270="Vestdanmark",'Resultater - Vestdanmark'!H$3:H$482,'Resultater - Østdanmark'!H$3:H$482),IF(D270=År2,IF(B270="Vestdanmark",'Resultater - Vestdanmark'!I$3:I$482,'Resultater - Østdanmark'!I$3:I$482),IF(B270="Vestdanmark",'Resultater - Vestdanmark'!J$3:J$482,'Resultater - Østdanmark'!J$3:J$482))),'Resultater - Vestdanmark'!$F$3:$F$482,"Foder",'Resultater - Vestdanmark'!$A$3:$A$482,"&lt;&gt;Foderproduktion"))/SUMIFS(IF(D270=År1,'[1]Processer - data'!H$3:H$464,IF(D270=År2,'[1]Processer - data'!I$3:I$464,'[1]Processer - data'!J$3:J$464)),'[1]Processer - data'!$A$3:$A$464,"Foderproduktion",'[1]Processer - data'!$D$3:$D$464,$C270)</f>
        <v>#REF!</v>
      </c>
    </row>
    <row r="271" spans="1:5" x14ac:dyDescent="0.25">
      <c r="A271" s="100" t="s">
        <v>113</v>
      </c>
      <c r="B271" t="s">
        <v>24</v>
      </c>
      <c r="C271" s="101" t="str">
        <f t="shared" si="19"/>
        <v>Muslinger</v>
      </c>
      <c r="D271">
        <f t="shared" si="18"/>
        <v>2050</v>
      </c>
      <c r="E271" s="151" t="e">
        <f>VLOOKUP($C271,Fodersammensætning!A$3:E$17,MATCH(D271,Fodersammensætning!$A$2:$E$2,0),FALSE)*(-SUMIFS(IF(D271=År1,IF(B271="Vestdanmark",'Resultater - Vestdanmark'!H$3:H$482,'Resultater - Østdanmark'!H$3:H$482),IF(D271=År2,IF(B271="Vestdanmark",'Resultater - Vestdanmark'!I$3:I$482,'Resultater - Østdanmark'!I$3:I$482),IF(B271="Vestdanmark",'Resultater - Vestdanmark'!J$3:J$482,'Resultater - Østdanmark'!J$3:J$482))),'Resultater - Vestdanmark'!$F$3:$F$482,"Foder",'Resultater - Vestdanmark'!$A$3:$A$482,"&lt;&gt;Foderproduktion"))/SUMIFS(IF(D271=År1,'[1]Processer - data'!H$3:H$464,IF(D271=År2,'[1]Processer - data'!I$3:I$464,'[1]Processer - data'!J$3:J$464)),'[1]Processer - data'!$A$3:$A$464,"Foderproduktion",'[1]Processer - data'!$D$3:$D$464,$C271)</f>
        <v>#REF!</v>
      </c>
    </row>
    <row r="272" spans="1:5" x14ac:dyDescent="0.25">
      <c r="A272" s="100" t="s">
        <v>113</v>
      </c>
      <c r="B272" t="s">
        <v>24</v>
      </c>
      <c r="C272" s="101" t="str">
        <f t="shared" si="19"/>
        <v>Græs</v>
      </c>
      <c r="D272">
        <f t="shared" si="18"/>
        <v>2050</v>
      </c>
      <c r="E272" s="151" t="e">
        <f>VLOOKUP($C272,Fodersammensætning!A$3:E$17,MATCH(D272,Fodersammensætning!$A$2:$E$2,0),FALSE)*(-SUMIFS(IF(D272=År1,IF(B272="Vestdanmark",'Resultater - Vestdanmark'!H$3:H$482,'Resultater - Østdanmark'!H$3:H$482),IF(D272=År2,IF(B272="Vestdanmark",'Resultater - Vestdanmark'!I$3:I$482,'Resultater - Østdanmark'!I$3:I$482),IF(B272="Vestdanmark",'Resultater - Vestdanmark'!J$3:J$482,'Resultater - Østdanmark'!J$3:J$482))),'Resultater - Vestdanmark'!$F$3:$F$482,"Foder",'Resultater - Vestdanmark'!$A$3:$A$482,"&lt;&gt;Foderproduktion"))/SUMIFS(IF(D272=År1,'[1]Processer - data'!H$3:H$464,IF(D272=År2,'[1]Processer - data'!I$3:I$464,'[1]Processer - data'!J$3:J$464)),'[1]Processer - data'!$A$3:$A$464,"Foderproduktion",'[1]Processer - data'!$D$3:$D$464,$C272)</f>
        <v>#REF!</v>
      </c>
    </row>
    <row r="273" spans="1:7" x14ac:dyDescent="0.25">
      <c r="A273" s="100" t="s">
        <v>113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51" t="e">
        <f>VLOOKUP($C273,Fodersammensætning!A$3:E$17,MATCH(D273,Fodersammensætning!$A$2:$E$2,0),FALSE)*(-SUMIFS(IF(D273=År1,IF(B273="Vestdanmark",'Resultater - Vestdanmark'!H$3:H$482,'Resultater - Østdanmark'!H$3:H$482),IF(D273=År2,IF(B273="Vestdanmark",'Resultater - Vestdanmark'!I$3:I$482,'Resultater - Østdanmark'!I$3:I$482),IF(B273="Vestdanmark",'Resultater - Vestdanmark'!J$3:J$482,'Resultater - Østdanmark'!J$3:J$482))),'Resultater - Vestdanmark'!$F$3:$F$482,"Foder",'Resultater - Vestdanmark'!$A$3:$A$482,"&lt;&gt;Foderproduktion"))/SUMIFS(IF(D273=År1,'[1]Processer - data'!H$3:H$464,IF(D273=År2,'[1]Processer - data'!I$3:I$464,'[1]Processer - data'!J$3:J$464)),'[1]Processer - data'!$A$3:$A$464,"Foderproduktion",'[1]Processer - data'!$D$3:$D$464,$C273)</f>
        <v>#REF!</v>
      </c>
    </row>
    <row r="274" spans="1:7" x14ac:dyDescent="0.25">
      <c r="A274" s="100" t="s">
        <v>113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51" t="e">
        <f>VLOOKUP($C274,Fodersammensætning!A$3:E$17,MATCH(D274,Fodersammensætning!$A$2:$E$2,0),FALSE)*(-SUMIFS(IF(D274=År1,IF(B274="Vestdanmark",'Resultater - Vestdanmark'!H$3:H$482,'Resultater - Østdanmark'!H$3:H$482),IF(D274=År2,IF(B274="Vestdanmark",'Resultater - Vestdanmark'!I$3:I$482,'Resultater - Østdanmark'!I$3:I$482),IF(B274="Vestdanmark",'Resultater - Vestdanmark'!J$3:J$482,'Resultater - Østdanmark'!J$3:J$482))),'Resultater - Vestdanmark'!$F$3:$F$482,"Foder",'Resultater - Vestdanmark'!$A$3:$A$482,"&lt;&gt;Foderproduktion"))/SUMIFS(IF(D274=År1,'[1]Processer - data'!H$3:H$464,IF(D274=År2,'[1]Processer - data'!I$3:I$464,'[1]Processer - data'!J$3:J$464)),'[1]Processer - data'!$A$3:$A$464,"Foderproduktion",'[1]Processer - data'!$D$3:$D$464,$C274)</f>
        <v>#REF!</v>
      </c>
    </row>
    <row r="275" spans="1:7" x14ac:dyDescent="0.25">
      <c r="A275" s="100" t="s">
        <v>113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51" t="e">
        <f>VLOOKUP($C275,Fodersammensætning!A$3:E$17,MATCH(D275,Fodersammensætning!$A$2:$E$2,0),FALSE)*(-SUMIFS(IF(D275=År1,IF(B275="Vestdanmark",'Resultater - Vestdanmark'!H$3:H$482,'Resultater - Østdanmark'!H$3:H$482),IF(D275=År2,IF(B275="Vestdanmark",'Resultater - Vestdanmark'!I$3:I$482,'Resultater - Østdanmark'!I$3:I$482),IF(B275="Vestdanmark",'Resultater - Vestdanmark'!J$3:J$482,'Resultater - Østdanmark'!J$3:J$482))),'Resultater - Vestdanmark'!$F$3:$F$482,"Foder",'Resultater - Vestdanmark'!$A$3:$A$482,"&lt;&gt;Foderproduktion"))/SUMIFS(IF(D275=År1,'[1]Processer - data'!H$3:H$464,IF(D275=År2,'[1]Processer - data'!I$3:I$464,'[1]Processer - data'!J$3:J$464)),'[1]Processer - data'!$A$3:$A$464,"Foderproduktion",'[1]Processer - data'!$D$3:$D$464,$C275)</f>
        <v>#REF!</v>
      </c>
    </row>
    <row r="276" spans="1:7" x14ac:dyDescent="0.25">
      <c r="A276" s="100" t="s">
        <v>113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51" t="e">
        <f>VLOOKUP($C276,Fodersammensætning!A$3:E$17,MATCH(D276,Fodersammensætning!$A$2:$E$2,0),FALSE)*(-SUMIFS(IF(D276=År1,IF(B276="Vestdanmark",'Resultater - Vestdanmark'!H$3:H$482,'Resultater - Østdanmark'!H$3:H$482),IF(D276=År2,IF(B276="Vestdanmark",'Resultater - Vestdanmark'!I$3:I$482,'Resultater - Østdanmark'!I$3:I$482),IF(B276="Vestdanmark",'Resultater - Vestdanmark'!J$3:J$482,'Resultater - Østdanmark'!J$3:J$482))),'Resultater - Vestdanmark'!$F$3:$F$482,"Foder",'Resultater - Vestdanmark'!$A$3:$A$482,"&lt;&gt;Foderproduktion"))/SUMIFS(IF(D276=År1,'[1]Processer - data'!H$3:H$464,IF(D276=År2,'[1]Processer - data'!I$3:I$464,'[1]Processer - data'!J$3:J$464)),'[1]Processer - data'!$A$3:$A$464,"Foderproduktion",'[1]Processer - data'!$D$3:$D$464,$C276)</f>
        <v>#REF!</v>
      </c>
    </row>
    <row r="277" spans="1:7" x14ac:dyDescent="0.25">
      <c r="A277" s="100" t="s">
        <v>113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51" t="e">
        <f>VLOOKUP($C277,Fodersammensætning!A$3:E$17,MATCH(D277,Fodersammensætning!$A$2:$E$2,0),FALSE)*(-SUMIFS(IF(D277=År1,IF(B277="Vestdanmark",'Resultater - Vestdanmark'!H$3:H$482,'Resultater - Østdanmark'!H$3:H$482),IF(D277=År2,IF(B277="Vestdanmark",'Resultater - Vestdanmark'!I$3:I$482,'Resultater - Østdanmark'!I$3:I$482),IF(B277="Vestdanmark",'Resultater - Vestdanmark'!J$3:J$482,'Resultater - Østdanmark'!J$3:J$482))),'Resultater - Vestdanmark'!$F$3:$F$482,"Foder",'Resultater - Vestdanmark'!$A$3:$A$482,"&lt;&gt;Foderproduktion"))/SUMIFS(IF(D277=År1,'[1]Processer - data'!H$3:H$464,IF(D277=År2,'[1]Processer - data'!I$3:I$464,'[1]Processer - data'!J$3:J$464)),'[1]Processer - data'!$A$3:$A$464,"Foderproduktion",'[1]Processer - data'!$D$3:$D$464,$C277)</f>
        <v>#REF!</v>
      </c>
    </row>
    <row r="278" spans="1:7" x14ac:dyDescent="0.25">
      <c r="A278" t="s">
        <v>121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t="e">
        <f>IF(SUMIFS(Restprodukter!$G$2:$G$37,Restprodukter!$A$2:$A$37,C278,Restprodukter!$B$2:$B$37,B278,Restprodukter!$C$2:$C$37,D278)&gt;=0,SUMIFS(Restprodukter!$G$2:$G$37,Restprodukter!$A$2:$A$37,C278,Restprodukter!$B$2:$B$37,B278,Restprodukter!$C$2:$C$37,D278)*IF(A278="Energi",1-VLOOKUP(C278,'Forbrug til andet'!$A$9:$D$14,MATCH('Forbrug af biomasse'!D278,'Forbrug til andet'!$A$8:$D$8,0),FALSE),VLOOKUP(C278,'Forbrug til andet'!$A$9:$D$14,MATCH('Forbrug af biomasse'!D278,'Forbrug til andet'!$A$8:$D$8,0),FALSE)),0)</f>
        <v>#REF!</v>
      </c>
      <c r="F278">
        <v>1</v>
      </c>
    </row>
    <row r="279" spans="1:7" x14ac:dyDescent="0.25">
      <c r="A279" t="s">
        <v>121</v>
      </c>
      <c r="B279" t="s">
        <v>23</v>
      </c>
      <c r="C279" t="str">
        <f>'Forbrug til andet'!A10</f>
        <v>Rapsolie</v>
      </c>
      <c r="D279">
        <f t="shared" si="20"/>
        <v>2019</v>
      </c>
      <c r="E279" t="e">
        <f>IF(SUMIFS(Restprodukter!$G$2:$G$37,Restprodukter!$A$2:$A$37,C279,Restprodukter!$B$2:$B$37,B279,Restprodukter!$C$2:$C$37,D279)&gt;=0,SUMIFS(Restprodukter!$G$2:$G$37,Restprodukter!$A$2:$A$37,C279,Restprodukter!$B$2:$B$37,B279,Restprodukter!$C$2:$C$37,D279)*IF(A279="Energi",1-VLOOKUP(C279,'Forbrug til andet'!$A$9:$D$14,MATCH('Forbrug af biomasse'!D279,'Forbrug til andet'!$A$8:$D$8,0),FALSE),VLOOKUP(C279,'Forbrug til andet'!$A$9:$D$14,MATCH('Forbrug af biomasse'!D279,'Forbrug til andet'!$A$8:$D$8,0),FALSE)),0)</f>
        <v>#REF!</v>
      </c>
      <c r="F279" s="171">
        <v>1</v>
      </c>
    </row>
    <row r="280" spans="1:7" x14ac:dyDescent="0.25">
      <c r="A280" t="s">
        <v>121</v>
      </c>
      <c r="B280" t="s">
        <v>23</v>
      </c>
      <c r="C280" t="str">
        <f>'Forbrug til andet'!A11</f>
        <v>Pil &amp; poppel</v>
      </c>
      <c r="D280">
        <f t="shared" si="20"/>
        <v>2019</v>
      </c>
      <c r="E280" t="e">
        <f>IF(SUMIFS(Restprodukter!$G$2:$G$37,Restprodukter!$A$2:$A$37,C280,Restprodukter!$B$2:$B$37,B280,Restprodukter!$C$2:$C$37,D280)&gt;=0,SUMIFS(Restprodukter!$G$2:$G$37,Restprodukter!$A$2:$A$37,C280,Restprodukter!$B$2:$B$37,B280,Restprodukter!$C$2:$C$37,D280)*IF(A280="Energi",1-VLOOKUP(C280,'Forbrug til andet'!$A$9:$D$14,MATCH('Forbrug af biomasse'!D280,'Forbrug til andet'!$A$8:$D$8,0),FALSE),VLOOKUP(C280,'Forbrug til andet'!$A$9:$D$14,MATCH('Forbrug af biomasse'!D280,'Forbrug til andet'!$A$8:$D$8,0),FALSE)),0)</f>
        <v>#REF!</v>
      </c>
      <c r="F280" s="171">
        <v>1</v>
      </c>
    </row>
    <row r="281" spans="1:7" x14ac:dyDescent="0.25">
      <c r="A281" t="s">
        <v>121</v>
      </c>
      <c r="B281" t="s">
        <v>23</v>
      </c>
      <c r="C281" t="str">
        <f>'Forbrug til andet'!A12</f>
        <v>Træ til energi</v>
      </c>
      <c r="D281">
        <f t="shared" si="20"/>
        <v>2019</v>
      </c>
      <c r="E281" t="e">
        <f>IF(SUMIFS(Restprodukter!$G$2:$G$37,Restprodukter!$A$2:$A$37,C281,Restprodukter!$B$2:$B$37,B281,Restprodukter!$C$2:$C$37,D281)&gt;=0,SUMIFS(Restprodukter!$G$2:$G$37,Restprodukter!$A$2:$A$37,C281,Restprodukter!$B$2:$B$37,B281,Restprodukter!$C$2:$C$37,D281)*IF(A281="Energi",1-VLOOKUP(C281,'Forbrug til andet'!$A$9:$D$14,MATCH('Forbrug af biomasse'!D281,'Forbrug til andet'!$A$8:$D$8,0),FALSE),VLOOKUP(C281,'Forbrug til andet'!$A$9:$D$14,MATCH('Forbrug af biomasse'!D281,'Forbrug til andet'!$A$8:$D$8,0),FALSE)),0)</f>
        <v>#REF!</v>
      </c>
      <c r="F281" s="171">
        <v>1</v>
      </c>
    </row>
    <row r="282" spans="1:7" x14ac:dyDescent="0.25">
      <c r="A282" t="s">
        <v>121</v>
      </c>
      <c r="B282" t="s">
        <v>23</v>
      </c>
      <c r="C282" t="str">
        <f>'Forbrug til andet'!A13</f>
        <v>Have/parkaffald</v>
      </c>
      <c r="D282">
        <f t="shared" si="20"/>
        <v>2019</v>
      </c>
      <c r="E282" t="e">
        <f>IF(SUMIFS(Restprodukter!$G$2:$G$37,Restprodukter!$A$2:$A$37,C282,Restprodukter!$B$2:$B$37,B282,Restprodukter!$C$2:$C$37,D282)&gt;=0,SUMIFS(Restprodukter!$G$2:$G$37,Restprodukter!$A$2:$A$37,C282,Restprodukter!$B$2:$B$37,B282,Restprodukter!$C$2:$C$37,D282)*IF(A282="Energi",1-VLOOKUP(C282,'Forbrug til andet'!$A$9:$D$14,MATCH('Forbrug af biomasse'!D282,'Forbrug til andet'!$A$8:$D$8,0),FALSE),VLOOKUP(C282,'Forbrug til andet'!$A$9:$D$14,MATCH('Forbrug af biomasse'!D282,'Forbrug til andet'!$A$8:$D$8,0),FALSE)),0)</f>
        <v>#REF!</v>
      </c>
      <c r="F282" s="171">
        <v>1</v>
      </c>
    </row>
    <row r="283" spans="1:7" x14ac:dyDescent="0.25">
      <c r="A283" t="s">
        <v>121</v>
      </c>
      <c r="B283" t="s">
        <v>23</v>
      </c>
      <c r="C283" t="str">
        <f>'Forbrug til andet'!A14</f>
        <v>Bioaffald</v>
      </c>
      <c r="D283">
        <f t="shared" si="20"/>
        <v>2019</v>
      </c>
      <c r="E283" t="e">
        <f>IF(SUMIFS(Restprodukter!$G$2:$G$37,Restprodukter!$A$2:$A$37,C283,Restprodukter!$B$2:$B$37,B283,Restprodukter!$C$2:$C$37,D283)&gt;=0,SUMIFS(Restprodukter!$G$2:$G$37,Restprodukter!$A$2:$A$37,C283,Restprodukter!$B$2:$B$37,B283,Restprodukter!$C$2:$C$37,D283)*IF(A283="Energi",1-VLOOKUP(C283,'Forbrug til andet'!$A$9:$D$14,MATCH('Forbrug af biomasse'!D283,'Forbrug til andet'!$A$8:$D$8,0),FALSE),VLOOKUP(C283,'Forbrug til andet'!$A$9:$D$14,MATCH('Forbrug af biomasse'!D283,'Forbrug til andet'!$A$8:$D$8,0),FALSE)),0)</f>
        <v>#REF!</v>
      </c>
      <c r="F283" s="171">
        <v>1</v>
      </c>
    </row>
    <row r="284" spans="1:7" x14ac:dyDescent="0.25">
      <c r="A284" t="s">
        <v>165</v>
      </c>
      <c r="B284" t="s">
        <v>23</v>
      </c>
      <c r="C284" t="str">
        <f t="shared" ref="C284:C289" si="21">C278</f>
        <v>Halm</v>
      </c>
      <c r="D284">
        <f t="shared" si="20"/>
        <v>2019</v>
      </c>
      <c r="E284" t="e">
        <f>IF(SUMIFS(Restprodukter!$G$2:$G$37,Restprodukter!$A$2:$A$37,C284,Restprodukter!$B$2:$B$37,B284,Restprodukter!$C$2:$C$37,D284)&gt;=0,SUMIFS(Restprodukter!$G$2:$G$37,Restprodukter!$A$2:$A$37,C284,Restprodukter!$B$2:$B$37,B284,Restprodukter!$C$2:$C$37,D284)*IF(A284="Energi",1-VLOOKUP(C284,'Forbrug til andet'!$A$9:$D$14,MATCH('Forbrug af biomasse'!D284,'Forbrug til andet'!$A$8:$D$8,0),FALSE),VLOOKUP(C284,'Forbrug til andet'!$A$9:$D$14,MATCH('Forbrug af biomasse'!D284,'Forbrug til andet'!$A$8:$D$8,0),FALSE)),0)</f>
        <v>#REF!</v>
      </c>
      <c r="F284" s="171">
        <v>1</v>
      </c>
      <c r="G284">
        <v>1</v>
      </c>
    </row>
    <row r="285" spans="1:7" x14ac:dyDescent="0.25">
      <c r="A285" t="s">
        <v>165</v>
      </c>
      <c r="B285" t="s">
        <v>23</v>
      </c>
      <c r="C285" t="str">
        <f t="shared" si="21"/>
        <v>Rapsolie</v>
      </c>
      <c r="D285">
        <f t="shared" si="20"/>
        <v>2019</v>
      </c>
      <c r="E285" t="e">
        <f>IF(SUMIFS(Restprodukter!$G$2:$G$37,Restprodukter!$A$2:$A$37,C285,Restprodukter!$B$2:$B$37,B285,Restprodukter!$C$2:$C$37,D285)&gt;=0,SUMIFS(Restprodukter!$G$2:$G$37,Restprodukter!$A$2:$A$37,C285,Restprodukter!$B$2:$B$37,B285,Restprodukter!$C$2:$C$37,D285)*IF(A285="Energi",1-VLOOKUP(C285,'Forbrug til andet'!$A$9:$D$14,MATCH('Forbrug af biomasse'!D285,'Forbrug til andet'!$A$8:$D$8,0),FALSE),VLOOKUP(C285,'Forbrug til andet'!$A$9:$D$14,MATCH('Forbrug af biomasse'!D285,'Forbrug til andet'!$A$8:$D$8,0),FALSE)),0)</f>
        <v>#REF!</v>
      </c>
      <c r="F285" s="171">
        <v>1</v>
      </c>
      <c r="G285" s="171">
        <v>1</v>
      </c>
    </row>
    <row r="286" spans="1:7" x14ac:dyDescent="0.25">
      <c r="A286" t="s">
        <v>165</v>
      </c>
      <c r="B286" t="s">
        <v>23</v>
      </c>
      <c r="C286" t="str">
        <f t="shared" si="21"/>
        <v>Pil &amp; poppel</v>
      </c>
      <c r="D286">
        <f t="shared" si="20"/>
        <v>2019</v>
      </c>
      <c r="E286" t="e">
        <f>IF(SUMIFS(Restprodukter!$G$2:$G$37,Restprodukter!$A$2:$A$37,C286,Restprodukter!$B$2:$B$37,B286,Restprodukter!$C$2:$C$37,D286)&gt;=0,SUMIFS(Restprodukter!$G$2:$G$37,Restprodukter!$A$2:$A$37,C286,Restprodukter!$B$2:$B$37,B286,Restprodukter!$C$2:$C$37,D286)*IF(A286="Energi",1-VLOOKUP(C286,'Forbrug til andet'!$A$9:$D$14,MATCH('Forbrug af biomasse'!D286,'Forbrug til andet'!$A$8:$D$8,0),FALSE),VLOOKUP(C286,'Forbrug til andet'!$A$9:$D$14,MATCH('Forbrug af biomasse'!D286,'Forbrug til andet'!$A$8:$D$8,0),FALSE)),0)</f>
        <v>#REF!</v>
      </c>
      <c r="F286" s="171">
        <v>1</v>
      </c>
      <c r="G286" s="171">
        <v>1</v>
      </c>
    </row>
    <row r="287" spans="1:7" x14ac:dyDescent="0.25">
      <c r="A287" t="s">
        <v>165</v>
      </c>
      <c r="B287" t="s">
        <v>23</v>
      </c>
      <c r="C287" t="str">
        <f t="shared" si="21"/>
        <v>Træ til energi</v>
      </c>
      <c r="D287">
        <f t="shared" si="20"/>
        <v>2019</v>
      </c>
      <c r="E287" t="e">
        <f>IF(SUMIFS(Restprodukter!$G$2:$G$37,Restprodukter!$A$2:$A$37,C287,Restprodukter!$B$2:$B$37,B287,Restprodukter!$C$2:$C$37,D287)&gt;=0,SUMIFS(Restprodukter!$G$2:$G$37,Restprodukter!$A$2:$A$37,C287,Restprodukter!$B$2:$B$37,B287,Restprodukter!$C$2:$C$37,D287)*IF(A287="Energi",1-VLOOKUP(C287,'Forbrug til andet'!$A$9:$D$14,MATCH('Forbrug af biomasse'!D287,'Forbrug til andet'!$A$8:$D$8,0),FALSE),VLOOKUP(C287,'Forbrug til andet'!$A$9:$D$14,MATCH('Forbrug af biomasse'!D287,'Forbrug til andet'!$A$8:$D$8,0),FALSE)),0)</f>
        <v>#REF!</v>
      </c>
      <c r="F287" s="171">
        <v>1</v>
      </c>
      <c r="G287" s="171">
        <v>1</v>
      </c>
    </row>
    <row r="288" spans="1:7" x14ac:dyDescent="0.25">
      <c r="A288" t="s">
        <v>165</v>
      </c>
      <c r="B288" t="s">
        <v>23</v>
      </c>
      <c r="C288" t="str">
        <f t="shared" si="21"/>
        <v>Have/parkaffald</v>
      </c>
      <c r="D288">
        <f t="shared" si="20"/>
        <v>2019</v>
      </c>
      <c r="E288" t="e">
        <f>IF(SUMIFS(Restprodukter!$G$2:$G$37,Restprodukter!$A$2:$A$37,C288,Restprodukter!$B$2:$B$37,B288,Restprodukter!$C$2:$C$37,D288)&gt;=0,SUMIFS(Restprodukter!$G$2:$G$37,Restprodukter!$A$2:$A$37,C288,Restprodukter!$B$2:$B$37,B288,Restprodukter!$C$2:$C$37,D288)*IF(A288="Energi",1-VLOOKUP(C288,'Forbrug til andet'!$A$9:$D$14,MATCH('Forbrug af biomasse'!D288,'Forbrug til andet'!$A$8:$D$8,0),FALSE),VLOOKUP(C288,'Forbrug til andet'!$A$9:$D$14,MATCH('Forbrug af biomasse'!D288,'Forbrug til andet'!$A$8:$D$8,0),FALSE)),0)</f>
        <v>#REF!</v>
      </c>
      <c r="F288" s="171">
        <v>1</v>
      </c>
      <c r="G288" s="171">
        <v>1</v>
      </c>
    </row>
    <row r="289" spans="1:7" x14ac:dyDescent="0.25">
      <c r="A289" t="s">
        <v>165</v>
      </c>
      <c r="B289" t="s">
        <v>23</v>
      </c>
      <c r="C289" t="str">
        <f t="shared" si="21"/>
        <v>Bioaffald</v>
      </c>
      <c r="D289">
        <f t="shared" si="20"/>
        <v>2019</v>
      </c>
      <c r="E289" t="e">
        <f>IF(SUMIFS(Restprodukter!$G$2:$G$37,Restprodukter!$A$2:$A$37,C289,Restprodukter!$B$2:$B$37,B289,Restprodukter!$C$2:$C$37,D289)&gt;=0,SUMIFS(Restprodukter!$G$2:$G$37,Restprodukter!$A$2:$A$37,C289,Restprodukter!$B$2:$B$37,B289,Restprodukter!$C$2:$C$37,D289)*IF(A289="Energi",1-VLOOKUP(C289,'Forbrug til andet'!$A$9:$D$14,MATCH('Forbrug af biomasse'!D289,'Forbrug til andet'!$A$8:$D$8,0),FALSE),VLOOKUP(C289,'Forbrug til andet'!$A$9:$D$14,MATCH('Forbrug af biomasse'!D289,'Forbrug til andet'!$A$8:$D$8,0),FALSE)),0)</f>
        <v>#REF!</v>
      </c>
      <c r="F289" s="171">
        <v>1</v>
      </c>
      <c r="G289" s="171">
        <v>1</v>
      </c>
    </row>
    <row r="290" spans="1:7" x14ac:dyDescent="0.25">
      <c r="A290" t="s">
        <v>121</v>
      </c>
      <c r="B290" t="s">
        <v>24</v>
      </c>
      <c r="C290" t="str">
        <f t="shared" ref="C290:C315" si="22">C284</f>
        <v>Halm</v>
      </c>
      <c r="D290">
        <f t="shared" si="20"/>
        <v>2019</v>
      </c>
      <c r="E290" t="e">
        <f>IF(SUMIFS(Restprodukter!$G$2:$G$37,Restprodukter!$A$2:$A$37,C290,Restprodukter!$B$2:$B$37,B290,Restprodukter!$C$2:$C$37,D290)&gt;=0,SUMIFS(Restprodukter!$G$2:$G$37,Restprodukter!$A$2:$A$37,C290,Restprodukter!$B$2:$B$37,B290,Restprodukter!$C$2:$C$37,D290)*IF(A290="Energi",1-VLOOKUP(C290,'Forbrug til andet'!$A$9:$D$14,MATCH('Forbrug af biomasse'!D290,'Forbrug til andet'!$A$8:$D$8,0),FALSE),VLOOKUP(C290,'Forbrug til andet'!$A$9:$D$14,MATCH('Forbrug af biomasse'!D290,'Forbrug til andet'!$A$8:$D$8,0),FALSE)),0)</f>
        <v>#REF!</v>
      </c>
      <c r="F290" s="171">
        <v>1</v>
      </c>
    </row>
    <row r="291" spans="1:7" x14ac:dyDescent="0.25">
      <c r="A291" t="s">
        <v>121</v>
      </c>
      <c r="B291" t="s">
        <v>24</v>
      </c>
      <c r="C291" t="str">
        <f t="shared" si="22"/>
        <v>Rapsolie</v>
      </c>
      <c r="D291">
        <f t="shared" si="20"/>
        <v>2019</v>
      </c>
      <c r="E291" t="e">
        <f>IF(SUMIFS(Restprodukter!$G$2:$G$37,Restprodukter!$A$2:$A$37,C291,Restprodukter!$B$2:$B$37,B291,Restprodukter!$C$2:$C$37,D291)&gt;=0,SUMIFS(Restprodukter!$G$2:$G$37,Restprodukter!$A$2:$A$37,C291,Restprodukter!$B$2:$B$37,B291,Restprodukter!$C$2:$C$37,D291)*IF(A291="Energi",1-VLOOKUP(C291,'Forbrug til andet'!$A$9:$D$14,MATCH('Forbrug af biomasse'!D291,'Forbrug til andet'!$A$8:$D$8,0),FALSE),VLOOKUP(C291,'Forbrug til andet'!$A$9:$D$14,MATCH('Forbrug af biomasse'!D291,'Forbrug til andet'!$A$8:$D$8,0),FALSE)),0)</f>
        <v>#REF!</v>
      </c>
      <c r="F291" s="171">
        <v>1</v>
      </c>
    </row>
    <row r="292" spans="1:7" x14ac:dyDescent="0.25">
      <c r="A292" t="s">
        <v>121</v>
      </c>
      <c r="B292" t="s">
        <v>24</v>
      </c>
      <c r="C292" t="str">
        <f t="shared" si="22"/>
        <v>Pil &amp; poppel</v>
      </c>
      <c r="D292">
        <f t="shared" si="20"/>
        <v>2019</v>
      </c>
      <c r="E292" t="e">
        <f>IF(SUMIFS(Restprodukter!$G$2:$G$37,Restprodukter!$A$2:$A$37,C292,Restprodukter!$B$2:$B$37,B292,Restprodukter!$C$2:$C$37,D292)&gt;=0,SUMIFS(Restprodukter!$G$2:$G$37,Restprodukter!$A$2:$A$37,C292,Restprodukter!$B$2:$B$37,B292,Restprodukter!$C$2:$C$37,D292)*IF(A292="Energi",1-VLOOKUP(C292,'Forbrug til andet'!$A$9:$D$14,MATCH('Forbrug af biomasse'!D292,'Forbrug til andet'!$A$8:$D$8,0),FALSE),VLOOKUP(C292,'Forbrug til andet'!$A$9:$D$14,MATCH('Forbrug af biomasse'!D292,'Forbrug til andet'!$A$8:$D$8,0),FALSE)),0)</f>
        <v>#REF!</v>
      </c>
      <c r="F292" s="171">
        <v>1</v>
      </c>
    </row>
    <row r="293" spans="1:7" x14ac:dyDescent="0.25">
      <c r="A293" t="s">
        <v>121</v>
      </c>
      <c r="B293" t="s">
        <v>24</v>
      </c>
      <c r="C293" t="str">
        <f t="shared" si="22"/>
        <v>Træ til energi</v>
      </c>
      <c r="D293">
        <f t="shared" si="20"/>
        <v>2019</v>
      </c>
      <c r="E293" t="e">
        <f>IF(SUMIFS(Restprodukter!$G$2:$G$37,Restprodukter!$A$2:$A$37,C293,Restprodukter!$B$2:$B$37,B293,Restprodukter!$C$2:$C$37,D293)&gt;=0,SUMIFS(Restprodukter!$G$2:$G$37,Restprodukter!$A$2:$A$37,C293,Restprodukter!$B$2:$B$37,B293,Restprodukter!$C$2:$C$37,D293)*IF(A293="Energi",1-VLOOKUP(C293,'Forbrug til andet'!$A$9:$D$14,MATCH('Forbrug af biomasse'!D293,'Forbrug til andet'!$A$8:$D$8,0),FALSE),VLOOKUP(C293,'Forbrug til andet'!$A$9:$D$14,MATCH('Forbrug af biomasse'!D293,'Forbrug til andet'!$A$8:$D$8,0),FALSE)),0)</f>
        <v>#REF!</v>
      </c>
      <c r="F293" s="171">
        <v>1</v>
      </c>
    </row>
    <row r="294" spans="1:7" x14ac:dyDescent="0.25">
      <c r="A294" t="s">
        <v>121</v>
      </c>
      <c r="B294" t="s">
        <v>24</v>
      </c>
      <c r="C294" t="str">
        <f t="shared" si="22"/>
        <v>Have/parkaffald</v>
      </c>
      <c r="D294">
        <f t="shared" si="20"/>
        <v>2019</v>
      </c>
      <c r="E294" t="e">
        <f>IF(SUMIFS(Restprodukter!$G$2:$G$37,Restprodukter!$A$2:$A$37,C294,Restprodukter!$B$2:$B$37,B294,Restprodukter!$C$2:$C$37,D294)&gt;=0,SUMIFS(Restprodukter!$G$2:$G$37,Restprodukter!$A$2:$A$37,C294,Restprodukter!$B$2:$B$37,B294,Restprodukter!$C$2:$C$37,D294)*IF(A294="Energi",1-VLOOKUP(C294,'Forbrug til andet'!$A$9:$D$14,MATCH('Forbrug af biomasse'!D294,'Forbrug til andet'!$A$8:$D$8,0),FALSE),VLOOKUP(C294,'Forbrug til andet'!$A$9:$D$14,MATCH('Forbrug af biomasse'!D294,'Forbrug til andet'!$A$8:$D$8,0),FALSE)),0)</f>
        <v>#REF!</v>
      </c>
      <c r="F294" s="171">
        <v>1</v>
      </c>
    </row>
    <row r="295" spans="1:7" x14ac:dyDescent="0.25">
      <c r="A295" t="s">
        <v>121</v>
      </c>
      <c r="B295" t="s">
        <v>24</v>
      </c>
      <c r="C295" t="str">
        <f t="shared" si="22"/>
        <v>Bioaffald</v>
      </c>
      <c r="D295">
        <f t="shared" si="20"/>
        <v>2019</v>
      </c>
      <c r="E295" t="e">
        <f>IF(SUMIFS(Restprodukter!$G$2:$G$37,Restprodukter!$A$2:$A$37,C295,Restprodukter!$B$2:$B$37,B295,Restprodukter!$C$2:$C$37,D295)&gt;=0,SUMIFS(Restprodukter!$G$2:$G$37,Restprodukter!$A$2:$A$37,C295,Restprodukter!$B$2:$B$37,B295,Restprodukter!$C$2:$C$37,D295)*IF(A295="Energi",1-VLOOKUP(C295,'Forbrug til andet'!$A$9:$D$14,MATCH('Forbrug af biomasse'!D295,'Forbrug til andet'!$A$8:$D$8,0),FALSE),VLOOKUP(C295,'Forbrug til andet'!$A$9:$D$14,MATCH('Forbrug af biomasse'!D295,'Forbrug til andet'!$A$8:$D$8,0),FALSE)),0)</f>
        <v>#REF!</v>
      </c>
      <c r="F295" s="171">
        <v>1</v>
      </c>
    </row>
    <row r="296" spans="1:7" x14ac:dyDescent="0.25">
      <c r="A296" t="s">
        <v>165</v>
      </c>
      <c r="B296" t="s">
        <v>24</v>
      </c>
      <c r="C296" t="str">
        <f t="shared" si="22"/>
        <v>Halm</v>
      </c>
      <c r="D296">
        <f t="shared" si="20"/>
        <v>2019</v>
      </c>
      <c r="E296" t="e">
        <f>IF(SUMIFS(Restprodukter!$G$2:$G$37,Restprodukter!$A$2:$A$37,C296,Restprodukter!$B$2:$B$37,B296,Restprodukter!$C$2:$C$37,D296)&gt;=0,SUMIFS(Restprodukter!$G$2:$G$37,Restprodukter!$A$2:$A$37,C296,Restprodukter!$B$2:$B$37,B296,Restprodukter!$C$2:$C$37,D296)*IF(A296="Energi",1-VLOOKUP(C296,'Forbrug til andet'!$A$9:$D$14,MATCH('Forbrug af biomasse'!D296,'Forbrug til andet'!$A$8:$D$8,0),FALSE),VLOOKUP(C296,'Forbrug til andet'!$A$9:$D$14,MATCH('Forbrug af biomasse'!D296,'Forbrug til andet'!$A$8:$D$8,0),FALSE)),0)</f>
        <v>#REF!</v>
      </c>
      <c r="F296" s="171">
        <v>1</v>
      </c>
      <c r="G296" s="171">
        <v>1</v>
      </c>
    </row>
    <row r="297" spans="1:7" x14ac:dyDescent="0.25">
      <c r="A297" t="s">
        <v>165</v>
      </c>
      <c r="B297" t="s">
        <v>24</v>
      </c>
      <c r="C297" t="str">
        <f t="shared" si="22"/>
        <v>Rapsolie</v>
      </c>
      <c r="D297">
        <f t="shared" si="20"/>
        <v>2019</v>
      </c>
      <c r="E297" t="e">
        <f>IF(SUMIFS(Restprodukter!$G$2:$G$37,Restprodukter!$A$2:$A$37,C297,Restprodukter!$B$2:$B$37,B297,Restprodukter!$C$2:$C$37,D297)&gt;=0,SUMIFS(Restprodukter!$G$2:$G$37,Restprodukter!$A$2:$A$37,C297,Restprodukter!$B$2:$B$37,B297,Restprodukter!$C$2:$C$37,D297)*IF(A297="Energi",1-VLOOKUP(C297,'Forbrug til andet'!$A$9:$D$14,MATCH('Forbrug af biomasse'!D297,'Forbrug til andet'!$A$8:$D$8,0),FALSE),VLOOKUP(C297,'Forbrug til andet'!$A$9:$D$14,MATCH('Forbrug af biomasse'!D297,'Forbrug til andet'!$A$8:$D$8,0),FALSE)),0)</f>
        <v>#REF!</v>
      </c>
      <c r="F297" s="171">
        <v>1</v>
      </c>
      <c r="G297" s="171">
        <v>1</v>
      </c>
    </row>
    <row r="298" spans="1:7" x14ac:dyDescent="0.25">
      <c r="A298" t="s">
        <v>165</v>
      </c>
      <c r="B298" t="s">
        <v>24</v>
      </c>
      <c r="C298" t="str">
        <f t="shared" si="22"/>
        <v>Pil &amp; poppel</v>
      </c>
      <c r="D298">
        <f t="shared" si="20"/>
        <v>2019</v>
      </c>
      <c r="E298" t="e">
        <f>IF(SUMIFS(Restprodukter!$G$2:$G$37,Restprodukter!$A$2:$A$37,C298,Restprodukter!$B$2:$B$37,B298,Restprodukter!$C$2:$C$37,D298)&gt;=0,SUMIFS(Restprodukter!$G$2:$G$37,Restprodukter!$A$2:$A$37,C298,Restprodukter!$B$2:$B$37,B298,Restprodukter!$C$2:$C$37,D298)*IF(A298="Energi",1-VLOOKUP(C298,'Forbrug til andet'!$A$9:$D$14,MATCH('Forbrug af biomasse'!D298,'Forbrug til andet'!$A$8:$D$8,0),FALSE),VLOOKUP(C298,'Forbrug til andet'!$A$9:$D$14,MATCH('Forbrug af biomasse'!D298,'Forbrug til andet'!$A$8:$D$8,0),FALSE)),0)</f>
        <v>#REF!</v>
      </c>
      <c r="F298" s="171">
        <v>1</v>
      </c>
      <c r="G298" s="171">
        <v>1</v>
      </c>
    </row>
    <row r="299" spans="1:7" x14ac:dyDescent="0.25">
      <c r="A299" t="s">
        <v>165</v>
      </c>
      <c r="B299" t="s">
        <v>24</v>
      </c>
      <c r="C299" t="str">
        <f t="shared" si="22"/>
        <v>Træ til energi</v>
      </c>
      <c r="D299">
        <f t="shared" si="20"/>
        <v>2019</v>
      </c>
      <c r="E299" t="e">
        <f>IF(SUMIFS(Restprodukter!$G$2:$G$37,Restprodukter!$A$2:$A$37,C299,Restprodukter!$B$2:$B$37,B299,Restprodukter!$C$2:$C$37,D299)&gt;=0,SUMIFS(Restprodukter!$G$2:$G$37,Restprodukter!$A$2:$A$37,C299,Restprodukter!$B$2:$B$37,B299,Restprodukter!$C$2:$C$37,D299)*IF(A299="Energi",1-VLOOKUP(C299,'Forbrug til andet'!$A$9:$D$14,MATCH('Forbrug af biomasse'!D299,'Forbrug til andet'!$A$8:$D$8,0),FALSE),VLOOKUP(C299,'Forbrug til andet'!$A$9:$D$14,MATCH('Forbrug af biomasse'!D299,'Forbrug til andet'!$A$8:$D$8,0),FALSE)),0)</f>
        <v>#REF!</v>
      </c>
      <c r="F299" s="171">
        <v>1</v>
      </c>
      <c r="G299" s="171">
        <v>1</v>
      </c>
    </row>
    <row r="300" spans="1:7" x14ac:dyDescent="0.25">
      <c r="A300" t="s">
        <v>165</v>
      </c>
      <c r="B300" t="s">
        <v>24</v>
      </c>
      <c r="C300" t="str">
        <f t="shared" si="22"/>
        <v>Have/parkaffald</v>
      </c>
      <c r="D300">
        <f t="shared" si="20"/>
        <v>2019</v>
      </c>
      <c r="E300" t="e">
        <f>IF(SUMIFS(Restprodukter!$G$2:$G$37,Restprodukter!$A$2:$A$37,C300,Restprodukter!$B$2:$B$37,B300,Restprodukter!$C$2:$C$37,D300)&gt;=0,SUMIFS(Restprodukter!$G$2:$G$37,Restprodukter!$A$2:$A$37,C300,Restprodukter!$B$2:$B$37,B300,Restprodukter!$C$2:$C$37,D300)*IF(A300="Energi",1-VLOOKUP(C300,'Forbrug til andet'!$A$9:$D$14,MATCH('Forbrug af biomasse'!D300,'Forbrug til andet'!$A$8:$D$8,0),FALSE),VLOOKUP(C300,'Forbrug til andet'!$A$9:$D$14,MATCH('Forbrug af biomasse'!D300,'Forbrug til andet'!$A$8:$D$8,0),FALSE)),0)</f>
        <v>#REF!</v>
      </c>
      <c r="F300" s="171">
        <v>1</v>
      </c>
      <c r="G300" s="171">
        <v>1</v>
      </c>
    </row>
    <row r="301" spans="1:7" x14ac:dyDescent="0.25">
      <c r="A301" t="s">
        <v>165</v>
      </c>
      <c r="B301" t="s">
        <v>24</v>
      </c>
      <c r="C301" t="str">
        <f t="shared" si="22"/>
        <v>Bioaffald</v>
      </c>
      <c r="D301">
        <f t="shared" si="20"/>
        <v>2019</v>
      </c>
      <c r="E301" t="e">
        <f>IF(SUMIFS(Restprodukter!$G$2:$G$37,Restprodukter!$A$2:$A$37,C301,Restprodukter!$B$2:$B$37,B301,Restprodukter!$C$2:$C$37,D301)&gt;=0,SUMIFS(Restprodukter!$G$2:$G$37,Restprodukter!$A$2:$A$37,C301,Restprodukter!$B$2:$B$37,B301,Restprodukter!$C$2:$C$37,D301)*IF(A301="Energi",1-VLOOKUP(C301,'Forbrug til andet'!$A$9:$D$14,MATCH('Forbrug af biomasse'!D301,'Forbrug til andet'!$A$8:$D$8,0),FALSE),VLOOKUP(C301,'Forbrug til andet'!$A$9:$D$14,MATCH('Forbrug af biomasse'!D301,'Forbrug til andet'!$A$8:$D$8,0),FALSE)),0)</f>
        <v>#REF!</v>
      </c>
      <c r="F301" s="171">
        <v>1</v>
      </c>
      <c r="G301" s="171">
        <v>1</v>
      </c>
    </row>
    <row r="302" spans="1:7" x14ac:dyDescent="0.25">
      <c r="A302" t="s">
        <v>121</v>
      </c>
      <c r="B302" t="s">
        <v>23</v>
      </c>
      <c r="C302" t="str">
        <f t="shared" si="22"/>
        <v>Halm</v>
      </c>
      <c r="D302">
        <f t="shared" ref="D302:D325" si="23">År2</f>
        <v>2030</v>
      </c>
      <c r="E302" t="e">
        <f>IF(SUMIFS(Restprodukter!$G$2:$G$37,Restprodukter!$A$2:$A$37,C302,Restprodukter!$B$2:$B$37,B302,Restprodukter!$C$2:$C$37,D302)&gt;=0,SUMIFS(Restprodukter!$G$2:$G$37,Restprodukter!$A$2:$A$37,C302,Restprodukter!$B$2:$B$37,B302,Restprodukter!$C$2:$C$37,D302)*IF(A302="Energi",1-VLOOKUP(C302,'Forbrug til andet'!$A$9:$D$14,MATCH('Forbrug af biomasse'!D302,'Forbrug til andet'!$A$8:$D$8,0),FALSE),VLOOKUP(C302,'Forbrug til andet'!$A$9:$D$14,MATCH('Forbrug af biomasse'!D302,'Forbrug til andet'!$A$8:$D$8,0),FALSE)),0)</f>
        <v>#REF!</v>
      </c>
      <c r="F302" s="171">
        <v>1</v>
      </c>
    </row>
    <row r="303" spans="1:7" x14ac:dyDescent="0.25">
      <c r="A303" t="s">
        <v>121</v>
      </c>
      <c r="B303" t="s">
        <v>23</v>
      </c>
      <c r="C303" t="str">
        <f t="shared" si="22"/>
        <v>Rapsolie</v>
      </c>
      <c r="D303">
        <f t="shared" si="23"/>
        <v>2030</v>
      </c>
      <c r="E303" t="e">
        <f>IF(SUMIFS(Restprodukter!$G$2:$G$37,Restprodukter!$A$2:$A$37,C303,Restprodukter!$B$2:$B$37,B303,Restprodukter!$C$2:$C$37,D303)&gt;=0,SUMIFS(Restprodukter!$G$2:$G$37,Restprodukter!$A$2:$A$37,C303,Restprodukter!$B$2:$B$37,B303,Restprodukter!$C$2:$C$37,D303)*IF(A303="Energi",1-VLOOKUP(C303,'Forbrug til andet'!$A$9:$D$14,MATCH('Forbrug af biomasse'!D303,'Forbrug til andet'!$A$8:$D$8,0),FALSE),VLOOKUP(C303,'Forbrug til andet'!$A$9:$D$14,MATCH('Forbrug af biomasse'!D303,'Forbrug til andet'!$A$8:$D$8,0),FALSE)),0)</f>
        <v>#REF!</v>
      </c>
      <c r="F303" s="171">
        <v>1</v>
      </c>
    </row>
    <row r="304" spans="1:7" x14ac:dyDescent="0.25">
      <c r="A304" t="s">
        <v>121</v>
      </c>
      <c r="B304" t="s">
        <v>23</v>
      </c>
      <c r="C304" t="str">
        <f t="shared" si="22"/>
        <v>Pil &amp; poppel</v>
      </c>
      <c r="D304">
        <f t="shared" si="23"/>
        <v>2030</v>
      </c>
      <c r="E304" t="e">
        <f>IF(SUMIFS(Restprodukter!$G$2:$G$37,Restprodukter!$A$2:$A$37,C304,Restprodukter!$B$2:$B$37,B304,Restprodukter!$C$2:$C$37,D304)&gt;=0,SUMIFS(Restprodukter!$G$2:$G$37,Restprodukter!$A$2:$A$37,C304,Restprodukter!$B$2:$B$37,B304,Restprodukter!$C$2:$C$37,D304)*IF(A304="Energi",1-VLOOKUP(C304,'Forbrug til andet'!$A$9:$D$14,MATCH('Forbrug af biomasse'!D304,'Forbrug til andet'!$A$8:$D$8,0),FALSE),VLOOKUP(C304,'Forbrug til andet'!$A$9:$D$14,MATCH('Forbrug af biomasse'!D304,'Forbrug til andet'!$A$8:$D$8,0),FALSE)),0)</f>
        <v>#REF!</v>
      </c>
      <c r="F304" s="171">
        <v>1</v>
      </c>
    </row>
    <row r="305" spans="1:7" x14ac:dyDescent="0.25">
      <c r="A305" t="s">
        <v>121</v>
      </c>
      <c r="B305" t="s">
        <v>23</v>
      </c>
      <c r="C305" t="str">
        <f t="shared" si="22"/>
        <v>Træ til energi</v>
      </c>
      <c r="D305">
        <f t="shared" si="23"/>
        <v>2030</v>
      </c>
      <c r="E305" t="e">
        <f>IF(SUMIFS(Restprodukter!$G$2:$G$37,Restprodukter!$A$2:$A$37,C305,Restprodukter!$B$2:$B$37,B305,Restprodukter!$C$2:$C$37,D305)&gt;=0,SUMIFS(Restprodukter!$G$2:$G$37,Restprodukter!$A$2:$A$37,C305,Restprodukter!$B$2:$B$37,B305,Restprodukter!$C$2:$C$37,D305)*IF(A305="Energi",1-VLOOKUP(C305,'Forbrug til andet'!$A$9:$D$14,MATCH('Forbrug af biomasse'!D305,'Forbrug til andet'!$A$8:$D$8,0),FALSE),VLOOKUP(C305,'Forbrug til andet'!$A$9:$D$14,MATCH('Forbrug af biomasse'!D305,'Forbrug til andet'!$A$8:$D$8,0),FALSE)),0)</f>
        <v>#REF!</v>
      </c>
      <c r="F305" s="171">
        <v>1</v>
      </c>
    </row>
    <row r="306" spans="1:7" x14ac:dyDescent="0.25">
      <c r="A306" t="s">
        <v>121</v>
      </c>
      <c r="B306" t="s">
        <v>23</v>
      </c>
      <c r="C306" t="str">
        <f t="shared" si="22"/>
        <v>Have/parkaffald</v>
      </c>
      <c r="D306">
        <f t="shared" si="23"/>
        <v>2030</v>
      </c>
      <c r="E306" t="e">
        <f>IF(SUMIFS(Restprodukter!$G$2:$G$37,Restprodukter!$A$2:$A$37,C306,Restprodukter!$B$2:$B$37,B306,Restprodukter!$C$2:$C$37,D306)&gt;=0,SUMIFS(Restprodukter!$G$2:$G$37,Restprodukter!$A$2:$A$37,C306,Restprodukter!$B$2:$B$37,B306,Restprodukter!$C$2:$C$37,D306)*IF(A306="Energi",1-VLOOKUP(C306,'Forbrug til andet'!$A$9:$D$14,MATCH('Forbrug af biomasse'!D306,'Forbrug til andet'!$A$8:$D$8,0),FALSE),VLOOKUP(C306,'Forbrug til andet'!$A$9:$D$14,MATCH('Forbrug af biomasse'!D306,'Forbrug til andet'!$A$8:$D$8,0),FALSE)),0)</f>
        <v>#REF!</v>
      </c>
      <c r="F306" s="171">
        <v>1</v>
      </c>
    </row>
    <row r="307" spans="1:7" x14ac:dyDescent="0.25">
      <c r="A307" t="s">
        <v>121</v>
      </c>
      <c r="B307" t="s">
        <v>23</v>
      </c>
      <c r="C307" t="str">
        <f t="shared" si="22"/>
        <v>Bioaffald</v>
      </c>
      <c r="D307">
        <f t="shared" si="23"/>
        <v>2030</v>
      </c>
      <c r="E307" t="e">
        <f>IF(SUMIFS(Restprodukter!$G$2:$G$37,Restprodukter!$A$2:$A$37,C307,Restprodukter!$B$2:$B$37,B307,Restprodukter!$C$2:$C$37,D307)&gt;=0,SUMIFS(Restprodukter!$G$2:$G$37,Restprodukter!$A$2:$A$37,C307,Restprodukter!$B$2:$B$37,B307,Restprodukter!$C$2:$C$37,D307)*IF(A307="Energi",1-VLOOKUP(C307,'Forbrug til andet'!$A$9:$D$14,MATCH('Forbrug af biomasse'!D307,'Forbrug til andet'!$A$8:$D$8,0),FALSE),VLOOKUP(C307,'Forbrug til andet'!$A$9:$D$14,MATCH('Forbrug af biomasse'!D307,'Forbrug til andet'!$A$8:$D$8,0),FALSE)),0)</f>
        <v>#REF!</v>
      </c>
      <c r="F307" s="171">
        <v>1</v>
      </c>
    </row>
    <row r="308" spans="1:7" x14ac:dyDescent="0.25">
      <c r="A308" t="s">
        <v>165</v>
      </c>
      <c r="B308" t="s">
        <v>23</v>
      </c>
      <c r="C308" t="str">
        <f t="shared" si="22"/>
        <v>Halm</v>
      </c>
      <c r="D308">
        <f t="shared" si="23"/>
        <v>2030</v>
      </c>
      <c r="E308" t="e">
        <f>IF(SUMIFS(Restprodukter!$G$2:$G$37,Restprodukter!$A$2:$A$37,C308,Restprodukter!$B$2:$B$37,B308,Restprodukter!$C$2:$C$37,D308)&gt;=0,SUMIFS(Restprodukter!$G$2:$G$37,Restprodukter!$A$2:$A$37,C308,Restprodukter!$B$2:$B$37,B308,Restprodukter!$C$2:$C$37,D308)*IF(A308="Energi",1-VLOOKUP(C308,'Forbrug til andet'!$A$9:$D$14,MATCH('Forbrug af biomasse'!D308,'Forbrug til andet'!$A$8:$D$8,0),FALSE),VLOOKUP(C308,'Forbrug til andet'!$A$9:$D$14,MATCH('Forbrug af biomasse'!D308,'Forbrug til andet'!$A$8:$D$8,0),FALSE)),0)</f>
        <v>#REF!</v>
      </c>
      <c r="F308" s="171">
        <v>1</v>
      </c>
      <c r="G308" s="171">
        <v>1</v>
      </c>
    </row>
    <row r="309" spans="1:7" x14ac:dyDescent="0.25">
      <c r="A309" t="s">
        <v>165</v>
      </c>
      <c r="B309" t="s">
        <v>23</v>
      </c>
      <c r="C309" t="str">
        <f t="shared" si="22"/>
        <v>Rapsolie</v>
      </c>
      <c r="D309">
        <f t="shared" si="23"/>
        <v>2030</v>
      </c>
      <c r="E309" t="e">
        <f>IF(SUMIFS(Restprodukter!$G$2:$G$37,Restprodukter!$A$2:$A$37,C309,Restprodukter!$B$2:$B$37,B309,Restprodukter!$C$2:$C$37,D309)&gt;=0,SUMIFS(Restprodukter!$G$2:$G$37,Restprodukter!$A$2:$A$37,C309,Restprodukter!$B$2:$B$37,B309,Restprodukter!$C$2:$C$37,D309)*IF(A309="Energi",1-VLOOKUP(C309,'Forbrug til andet'!$A$9:$D$14,MATCH('Forbrug af biomasse'!D309,'Forbrug til andet'!$A$8:$D$8,0),FALSE),VLOOKUP(C309,'Forbrug til andet'!$A$9:$D$14,MATCH('Forbrug af biomasse'!D309,'Forbrug til andet'!$A$8:$D$8,0),FALSE)),0)</f>
        <v>#REF!</v>
      </c>
      <c r="F309" s="171">
        <v>1</v>
      </c>
      <c r="G309" s="171">
        <v>1</v>
      </c>
    </row>
    <row r="310" spans="1:7" x14ac:dyDescent="0.25">
      <c r="A310" t="s">
        <v>165</v>
      </c>
      <c r="B310" t="s">
        <v>23</v>
      </c>
      <c r="C310" t="str">
        <f t="shared" si="22"/>
        <v>Pil &amp; poppel</v>
      </c>
      <c r="D310">
        <f t="shared" si="23"/>
        <v>2030</v>
      </c>
      <c r="E310" t="e">
        <f>IF(SUMIFS(Restprodukter!$G$2:$G$37,Restprodukter!$A$2:$A$37,C310,Restprodukter!$B$2:$B$37,B310,Restprodukter!$C$2:$C$37,D310)&gt;=0,SUMIFS(Restprodukter!$G$2:$G$37,Restprodukter!$A$2:$A$37,C310,Restprodukter!$B$2:$B$37,B310,Restprodukter!$C$2:$C$37,D310)*IF(A310="Energi",1-VLOOKUP(C310,'Forbrug til andet'!$A$9:$D$14,MATCH('Forbrug af biomasse'!D310,'Forbrug til andet'!$A$8:$D$8,0),FALSE),VLOOKUP(C310,'Forbrug til andet'!$A$9:$D$14,MATCH('Forbrug af biomasse'!D310,'Forbrug til andet'!$A$8:$D$8,0),FALSE)),0)</f>
        <v>#REF!</v>
      </c>
      <c r="F310" s="171">
        <v>1</v>
      </c>
      <c r="G310" s="171">
        <v>1</v>
      </c>
    </row>
    <row r="311" spans="1:7" x14ac:dyDescent="0.25">
      <c r="A311" t="s">
        <v>165</v>
      </c>
      <c r="B311" t="s">
        <v>23</v>
      </c>
      <c r="C311" t="str">
        <f t="shared" si="22"/>
        <v>Træ til energi</v>
      </c>
      <c r="D311">
        <f t="shared" si="23"/>
        <v>2030</v>
      </c>
      <c r="E311" t="e">
        <f>IF(SUMIFS(Restprodukter!$G$2:$G$37,Restprodukter!$A$2:$A$37,C311,Restprodukter!$B$2:$B$37,B311,Restprodukter!$C$2:$C$37,D311)&gt;=0,SUMIFS(Restprodukter!$G$2:$G$37,Restprodukter!$A$2:$A$37,C311,Restprodukter!$B$2:$B$37,B311,Restprodukter!$C$2:$C$37,D311)*IF(A311="Energi",1-VLOOKUP(C311,'Forbrug til andet'!$A$9:$D$14,MATCH('Forbrug af biomasse'!D311,'Forbrug til andet'!$A$8:$D$8,0),FALSE),VLOOKUP(C311,'Forbrug til andet'!$A$9:$D$14,MATCH('Forbrug af biomasse'!D311,'Forbrug til andet'!$A$8:$D$8,0),FALSE)),0)</f>
        <v>#REF!</v>
      </c>
      <c r="F311" s="171">
        <v>1</v>
      </c>
      <c r="G311" s="171">
        <v>1</v>
      </c>
    </row>
    <row r="312" spans="1:7" x14ac:dyDescent="0.25">
      <c r="A312" t="s">
        <v>165</v>
      </c>
      <c r="B312" t="s">
        <v>23</v>
      </c>
      <c r="C312" t="str">
        <f t="shared" si="22"/>
        <v>Have/parkaffald</v>
      </c>
      <c r="D312">
        <f t="shared" si="23"/>
        <v>2030</v>
      </c>
      <c r="E312" t="e">
        <f>IF(SUMIFS(Restprodukter!$G$2:$G$37,Restprodukter!$A$2:$A$37,C312,Restprodukter!$B$2:$B$37,B312,Restprodukter!$C$2:$C$37,D312)&gt;=0,SUMIFS(Restprodukter!$G$2:$G$37,Restprodukter!$A$2:$A$37,C312,Restprodukter!$B$2:$B$37,B312,Restprodukter!$C$2:$C$37,D312)*IF(A312="Energi",1-VLOOKUP(C312,'Forbrug til andet'!$A$9:$D$14,MATCH('Forbrug af biomasse'!D312,'Forbrug til andet'!$A$8:$D$8,0),FALSE),VLOOKUP(C312,'Forbrug til andet'!$A$9:$D$14,MATCH('Forbrug af biomasse'!D312,'Forbrug til andet'!$A$8:$D$8,0),FALSE)),0)</f>
        <v>#REF!</v>
      </c>
      <c r="F312" s="171">
        <v>1</v>
      </c>
      <c r="G312" s="171">
        <v>1</v>
      </c>
    </row>
    <row r="313" spans="1:7" x14ac:dyDescent="0.25">
      <c r="A313" t="s">
        <v>165</v>
      </c>
      <c r="B313" t="s">
        <v>23</v>
      </c>
      <c r="C313" t="str">
        <f t="shared" si="22"/>
        <v>Bioaffald</v>
      </c>
      <c r="D313">
        <f t="shared" si="23"/>
        <v>2030</v>
      </c>
      <c r="E313" t="e">
        <f>IF(SUMIFS(Restprodukter!$G$2:$G$37,Restprodukter!$A$2:$A$37,C313,Restprodukter!$B$2:$B$37,B313,Restprodukter!$C$2:$C$37,D313)&gt;=0,SUMIFS(Restprodukter!$G$2:$G$37,Restprodukter!$A$2:$A$37,C313,Restprodukter!$B$2:$B$37,B313,Restprodukter!$C$2:$C$37,D313)*IF(A313="Energi",1-VLOOKUP(C313,'Forbrug til andet'!$A$9:$D$14,MATCH('Forbrug af biomasse'!D313,'Forbrug til andet'!$A$8:$D$8,0),FALSE),VLOOKUP(C313,'Forbrug til andet'!$A$9:$D$14,MATCH('Forbrug af biomasse'!D313,'Forbrug til andet'!$A$8:$D$8,0),FALSE)),0)</f>
        <v>#REF!</v>
      </c>
      <c r="F313" s="171">
        <v>1</v>
      </c>
      <c r="G313" s="171">
        <v>1</v>
      </c>
    </row>
    <row r="314" spans="1:7" x14ac:dyDescent="0.25">
      <c r="A314" t="s">
        <v>121</v>
      </c>
      <c r="B314" t="s">
        <v>24</v>
      </c>
      <c r="C314" t="str">
        <f t="shared" si="22"/>
        <v>Halm</v>
      </c>
      <c r="D314">
        <f t="shared" si="23"/>
        <v>2030</v>
      </c>
      <c r="E314" t="e">
        <f>IF(SUMIFS(Restprodukter!$G$2:$G$37,Restprodukter!$A$2:$A$37,C314,Restprodukter!$B$2:$B$37,B314,Restprodukter!$C$2:$C$37,D314)&gt;=0,SUMIFS(Restprodukter!$G$2:$G$37,Restprodukter!$A$2:$A$37,C314,Restprodukter!$B$2:$B$37,B314,Restprodukter!$C$2:$C$37,D314)*IF(A314="Energi",1-VLOOKUP(C314,'Forbrug til andet'!$A$9:$D$14,MATCH('Forbrug af biomasse'!D314,'Forbrug til andet'!$A$8:$D$8,0),FALSE),VLOOKUP(C314,'Forbrug til andet'!$A$9:$D$14,MATCH('Forbrug af biomasse'!D314,'Forbrug til andet'!$A$8:$D$8,0),FALSE)),0)</f>
        <v>#REF!</v>
      </c>
      <c r="F314" s="171">
        <v>1</v>
      </c>
    </row>
    <row r="315" spans="1:7" x14ac:dyDescent="0.25">
      <c r="A315" t="s">
        <v>121</v>
      </c>
      <c r="B315" t="s">
        <v>24</v>
      </c>
      <c r="C315" t="str">
        <f t="shared" si="22"/>
        <v>Rapsolie</v>
      </c>
      <c r="D315">
        <f t="shared" si="23"/>
        <v>2030</v>
      </c>
      <c r="E315" t="e">
        <f>IF(SUMIFS(Restprodukter!$G$2:$G$37,Restprodukter!$A$2:$A$37,C315,Restprodukter!$B$2:$B$37,B315,Restprodukter!$C$2:$C$37,D315)&gt;=0,SUMIFS(Restprodukter!$G$2:$G$37,Restprodukter!$A$2:$A$37,C315,Restprodukter!$B$2:$B$37,B315,Restprodukter!$C$2:$C$37,D315)*IF(A315="Energi",1-VLOOKUP(C315,'Forbrug til andet'!$A$9:$D$14,MATCH('Forbrug af biomasse'!D315,'Forbrug til andet'!$A$8:$D$8,0),FALSE),VLOOKUP(C315,'Forbrug til andet'!$A$9:$D$14,MATCH('Forbrug af biomasse'!D315,'Forbrug til andet'!$A$8:$D$8,0),FALSE)),0)</f>
        <v>#REF!</v>
      </c>
      <c r="F315" s="171">
        <v>1</v>
      </c>
    </row>
    <row r="316" spans="1:7" x14ac:dyDescent="0.25">
      <c r="A316" t="s">
        <v>121</v>
      </c>
      <c r="B316" t="s">
        <v>24</v>
      </c>
      <c r="C316" t="str">
        <f t="shared" ref="C316:C347" si="24">C310</f>
        <v>Pil &amp; poppel</v>
      </c>
      <c r="D316">
        <f t="shared" si="23"/>
        <v>2030</v>
      </c>
      <c r="E316" t="e">
        <f>IF(SUMIFS(Restprodukter!$G$2:$G$37,Restprodukter!$A$2:$A$37,C316,Restprodukter!$B$2:$B$37,B316,Restprodukter!$C$2:$C$37,D316)&gt;=0,SUMIFS(Restprodukter!$G$2:$G$37,Restprodukter!$A$2:$A$37,C316,Restprodukter!$B$2:$B$37,B316,Restprodukter!$C$2:$C$37,D316)*IF(A316="Energi",1-VLOOKUP(C316,'Forbrug til andet'!$A$9:$D$14,MATCH('Forbrug af biomasse'!D316,'Forbrug til andet'!$A$8:$D$8,0),FALSE),VLOOKUP(C316,'Forbrug til andet'!$A$9:$D$14,MATCH('Forbrug af biomasse'!D316,'Forbrug til andet'!$A$8:$D$8,0),FALSE)),0)</f>
        <v>#REF!</v>
      </c>
      <c r="F316" s="171">
        <v>1</v>
      </c>
    </row>
    <row r="317" spans="1:7" x14ac:dyDescent="0.25">
      <c r="A317" t="s">
        <v>121</v>
      </c>
      <c r="B317" t="s">
        <v>24</v>
      </c>
      <c r="C317" t="str">
        <f t="shared" si="24"/>
        <v>Træ til energi</v>
      </c>
      <c r="D317">
        <f t="shared" si="23"/>
        <v>2030</v>
      </c>
      <c r="E317" t="e">
        <f>IF(SUMIFS(Restprodukter!$G$2:$G$37,Restprodukter!$A$2:$A$37,C317,Restprodukter!$B$2:$B$37,B317,Restprodukter!$C$2:$C$37,D317)&gt;=0,SUMIFS(Restprodukter!$G$2:$G$37,Restprodukter!$A$2:$A$37,C317,Restprodukter!$B$2:$B$37,B317,Restprodukter!$C$2:$C$37,D317)*IF(A317="Energi",1-VLOOKUP(C317,'Forbrug til andet'!$A$9:$D$14,MATCH('Forbrug af biomasse'!D317,'Forbrug til andet'!$A$8:$D$8,0),FALSE),VLOOKUP(C317,'Forbrug til andet'!$A$9:$D$14,MATCH('Forbrug af biomasse'!D317,'Forbrug til andet'!$A$8:$D$8,0),FALSE)),0)</f>
        <v>#REF!</v>
      </c>
      <c r="F317" s="171">
        <v>1</v>
      </c>
    </row>
    <row r="318" spans="1:7" x14ac:dyDescent="0.25">
      <c r="A318" t="s">
        <v>121</v>
      </c>
      <c r="B318" t="s">
        <v>24</v>
      </c>
      <c r="C318" t="str">
        <f t="shared" si="24"/>
        <v>Have/parkaffald</v>
      </c>
      <c r="D318">
        <f t="shared" si="23"/>
        <v>2030</v>
      </c>
      <c r="E318" t="e">
        <f>IF(SUMIFS(Restprodukter!$G$2:$G$37,Restprodukter!$A$2:$A$37,C318,Restprodukter!$B$2:$B$37,B318,Restprodukter!$C$2:$C$37,D318)&gt;=0,SUMIFS(Restprodukter!$G$2:$G$37,Restprodukter!$A$2:$A$37,C318,Restprodukter!$B$2:$B$37,B318,Restprodukter!$C$2:$C$37,D318)*IF(A318="Energi",1-VLOOKUP(C318,'Forbrug til andet'!$A$9:$D$14,MATCH('Forbrug af biomasse'!D318,'Forbrug til andet'!$A$8:$D$8,0),FALSE),VLOOKUP(C318,'Forbrug til andet'!$A$9:$D$14,MATCH('Forbrug af biomasse'!D318,'Forbrug til andet'!$A$8:$D$8,0),FALSE)),0)</f>
        <v>#REF!</v>
      </c>
      <c r="F318" s="171">
        <v>1</v>
      </c>
    </row>
    <row r="319" spans="1:7" x14ac:dyDescent="0.25">
      <c r="A319" t="s">
        <v>121</v>
      </c>
      <c r="B319" t="s">
        <v>24</v>
      </c>
      <c r="C319" t="str">
        <f t="shared" si="24"/>
        <v>Bioaffald</v>
      </c>
      <c r="D319">
        <f t="shared" si="23"/>
        <v>2030</v>
      </c>
      <c r="E319" t="e">
        <f>IF(SUMIFS(Restprodukter!$G$2:$G$37,Restprodukter!$A$2:$A$37,C319,Restprodukter!$B$2:$B$37,B319,Restprodukter!$C$2:$C$37,D319)&gt;=0,SUMIFS(Restprodukter!$G$2:$G$37,Restprodukter!$A$2:$A$37,C319,Restprodukter!$B$2:$B$37,B319,Restprodukter!$C$2:$C$37,D319)*IF(A319="Energi",1-VLOOKUP(C319,'Forbrug til andet'!$A$9:$D$14,MATCH('Forbrug af biomasse'!D319,'Forbrug til andet'!$A$8:$D$8,0),FALSE),VLOOKUP(C319,'Forbrug til andet'!$A$9:$D$14,MATCH('Forbrug af biomasse'!D319,'Forbrug til andet'!$A$8:$D$8,0),FALSE)),0)</f>
        <v>#REF!</v>
      </c>
      <c r="F319" s="171">
        <v>1</v>
      </c>
    </row>
    <row r="320" spans="1:7" x14ac:dyDescent="0.25">
      <c r="A320" t="s">
        <v>165</v>
      </c>
      <c r="B320" t="s">
        <v>24</v>
      </c>
      <c r="C320" t="str">
        <f t="shared" si="24"/>
        <v>Halm</v>
      </c>
      <c r="D320">
        <f t="shared" si="23"/>
        <v>2030</v>
      </c>
      <c r="E320" t="e">
        <f>IF(SUMIFS(Restprodukter!$G$2:$G$37,Restprodukter!$A$2:$A$37,C320,Restprodukter!$B$2:$B$37,B320,Restprodukter!$C$2:$C$37,D320)&gt;=0,SUMIFS(Restprodukter!$G$2:$G$37,Restprodukter!$A$2:$A$37,C320,Restprodukter!$B$2:$B$37,B320,Restprodukter!$C$2:$C$37,D320)*IF(A320="Energi",1-VLOOKUP(C320,'Forbrug til andet'!$A$9:$D$14,MATCH('Forbrug af biomasse'!D320,'Forbrug til andet'!$A$8:$D$8,0),FALSE),VLOOKUP(C320,'Forbrug til andet'!$A$9:$D$14,MATCH('Forbrug af biomasse'!D320,'Forbrug til andet'!$A$8:$D$8,0),FALSE)),0)</f>
        <v>#REF!</v>
      </c>
      <c r="F320" s="171">
        <v>1</v>
      </c>
      <c r="G320" s="171">
        <v>1</v>
      </c>
    </row>
    <row r="321" spans="1:7" x14ac:dyDescent="0.25">
      <c r="A321" t="s">
        <v>165</v>
      </c>
      <c r="B321" t="s">
        <v>24</v>
      </c>
      <c r="C321" t="str">
        <f t="shared" si="24"/>
        <v>Rapsolie</v>
      </c>
      <c r="D321">
        <f t="shared" si="23"/>
        <v>2030</v>
      </c>
      <c r="E321" t="e">
        <f>IF(SUMIFS(Restprodukter!$G$2:$G$37,Restprodukter!$A$2:$A$37,C321,Restprodukter!$B$2:$B$37,B321,Restprodukter!$C$2:$C$37,D321)&gt;=0,SUMIFS(Restprodukter!$G$2:$G$37,Restprodukter!$A$2:$A$37,C321,Restprodukter!$B$2:$B$37,B321,Restprodukter!$C$2:$C$37,D321)*IF(A321="Energi",1-VLOOKUP(C321,'Forbrug til andet'!$A$9:$D$14,MATCH('Forbrug af biomasse'!D321,'Forbrug til andet'!$A$8:$D$8,0),FALSE),VLOOKUP(C321,'Forbrug til andet'!$A$9:$D$14,MATCH('Forbrug af biomasse'!D321,'Forbrug til andet'!$A$8:$D$8,0),FALSE)),0)</f>
        <v>#REF!</v>
      </c>
      <c r="F321" s="171">
        <v>1</v>
      </c>
      <c r="G321" s="171">
        <v>1</v>
      </c>
    </row>
    <row r="322" spans="1:7" x14ac:dyDescent="0.25">
      <c r="A322" t="s">
        <v>165</v>
      </c>
      <c r="B322" t="s">
        <v>24</v>
      </c>
      <c r="C322" t="str">
        <f t="shared" si="24"/>
        <v>Pil &amp; poppel</v>
      </c>
      <c r="D322">
        <f t="shared" si="23"/>
        <v>2030</v>
      </c>
      <c r="E322" t="e">
        <f>IF(SUMIFS(Restprodukter!$G$2:$G$37,Restprodukter!$A$2:$A$37,C322,Restprodukter!$B$2:$B$37,B322,Restprodukter!$C$2:$C$37,D322)&gt;=0,SUMIFS(Restprodukter!$G$2:$G$37,Restprodukter!$A$2:$A$37,C322,Restprodukter!$B$2:$B$37,B322,Restprodukter!$C$2:$C$37,D322)*IF(A322="Energi",1-VLOOKUP(C322,'Forbrug til andet'!$A$9:$D$14,MATCH('Forbrug af biomasse'!D322,'Forbrug til andet'!$A$8:$D$8,0),FALSE),VLOOKUP(C322,'Forbrug til andet'!$A$9:$D$14,MATCH('Forbrug af biomasse'!D322,'Forbrug til andet'!$A$8:$D$8,0),FALSE)),0)</f>
        <v>#REF!</v>
      </c>
      <c r="F322" s="171">
        <v>1</v>
      </c>
      <c r="G322" s="171">
        <v>1</v>
      </c>
    </row>
    <row r="323" spans="1:7" x14ac:dyDescent="0.25">
      <c r="A323" t="s">
        <v>165</v>
      </c>
      <c r="B323" t="s">
        <v>24</v>
      </c>
      <c r="C323" t="str">
        <f t="shared" si="24"/>
        <v>Træ til energi</v>
      </c>
      <c r="D323">
        <f t="shared" si="23"/>
        <v>2030</v>
      </c>
      <c r="E323" t="e">
        <f>IF(SUMIFS(Restprodukter!$G$2:$G$37,Restprodukter!$A$2:$A$37,C323,Restprodukter!$B$2:$B$37,B323,Restprodukter!$C$2:$C$37,D323)&gt;=0,SUMIFS(Restprodukter!$G$2:$G$37,Restprodukter!$A$2:$A$37,C323,Restprodukter!$B$2:$B$37,B323,Restprodukter!$C$2:$C$37,D323)*IF(A323="Energi",1-VLOOKUP(C323,'Forbrug til andet'!$A$9:$D$14,MATCH('Forbrug af biomasse'!D323,'Forbrug til andet'!$A$8:$D$8,0),FALSE),VLOOKUP(C323,'Forbrug til andet'!$A$9:$D$14,MATCH('Forbrug af biomasse'!D323,'Forbrug til andet'!$A$8:$D$8,0),FALSE)),0)</f>
        <v>#REF!</v>
      </c>
      <c r="F323" s="171">
        <v>1</v>
      </c>
      <c r="G323" s="171">
        <v>1</v>
      </c>
    </row>
    <row r="324" spans="1:7" x14ac:dyDescent="0.25">
      <c r="A324" t="s">
        <v>165</v>
      </c>
      <c r="B324" t="s">
        <v>24</v>
      </c>
      <c r="C324" t="str">
        <f t="shared" si="24"/>
        <v>Have/parkaffald</v>
      </c>
      <c r="D324">
        <f t="shared" si="23"/>
        <v>2030</v>
      </c>
      <c r="E324" t="e">
        <f>IF(SUMIFS(Restprodukter!$G$2:$G$37,Restprodukter!$A$2:$A$37,C324,Restprodukter!$B$2:$B$37,B324,Restprodukter!$C$2:$C$37,D324)&gt;=0,SUMIFS(Restprodukter!$G$2:$G$37,Restprodukter!$A$2:$A$37,C324,Restprodukter!$B$2:$B$37,B324,Restprodukter!$C$2:$C$37,D324)*IF(A324="Energi",1-VLOOKUP(C324,'Forbrug til andet'!$A$9:$D$14,MATCH('Forbrug af biomasse'!D324,'Forbrug til andet'!$A$8:$D$8,0),FALSE),VLOOKUP(C324,'Forbrug til andet'!$A$9:$D$14,MATCH('Forbrug af biomasse'!D324,'Forbrug til andet'!$A$8:$D$8,0),FALSE)),0)</f>
        <v>#REF!</v>
      </c>
      <c r="F324" s="171">
        <v>1</v>
      </c>
      <c r="G324" s="171">
        <v>1</v>
      </c>
    </row>
    <row r="325" spans="1:7" x14ac:dyDescent="0.25">
      <c r="A325" t="s">
        <v>165</v>
      </c>
      <c r="B325" t="s">
        <v>24</v>
      </c>
      <c r="C325" t="str">
        <f t="shared" si="24"/>
        <v>Bioaffald</v>
      </c>
      <c r="D325">
        <f t="shared" si="23"/>
        <v>2030</v>
      </c>
      <c r="E325" t="e">
        <f>IF(SUMIFS(Restprodukter!$G$2:$G$37,Restprodukter!$A$2:$A$37,C325,Restprodukter!$B$2:$B$37,B325,Restprodukter!$C$2:$C$37,D325)&gt;=0,SUMIFS(Restprodukter!$G$2:$G$37,Restprodukter!$A$2:$A$37,C325,Restprodukter!$B$2:$B$37,B325,Restprodukter!$C$2:$C$37,D325)*IF(A325="Energi",1-VLOOKUP(C325,'Forbrug til andet'!$A$9:$D$14,MATCH('Forbrug af biomasse'!D325,'Forbrug til andet'!$A$8:$D$8,0),FALSE),VLOOKUP(C325,'Forbrug til andet'!$A$9:$D$14,MATCH('Forbrug af biomasse'!D325,'Forbrug til andet'!$A$8:$D$8,0),FALSE)),0)</f>
        <v>#REF!</v>
      </c>
      <c r="F325" s="171">
        <v>1</v>
      </c>
      <c r="G325" s="171">
        <v>1</v>
      </c>
    </row>
    <row r="326" spans="1:7" x14ac:dyDescent="0.25">
      <c r="A326" t="s">
        <v>121</v>
      </c>
      <c r="B326" t="s">
        <v>23</v>
      </c>
      <c r="C326" t="str">
        <f t="shared" si="24"/>
        <v>Halm</v>
      </c>
      <c r="D326">
        <f t="shared" ref="D326:D349" si="25">År3</f>
        <v>2050</v>
      </c>
      <c r="E326" t="e">
        <f>IF(SUMIFS(Restprodukter!$G$2:$G$37,Restprodukter!$A$2:$A$37,C326,Restprodukter!$B$2:$B$37,B326,Restprodukter!$C$2:$C$37,D326)&gt;=0,SUMIFS(Restprodukter!$G$2:$G$37,Restprodukter!$A$2:$A$37,C326,Restprodukter!$B$2:$B$37,B326,Restprodukter!$C$2:$C$37,D326)*IF(A326="Energi",1-VLOOKUP(C326,'Forbrug til andet'!$A$9:$D$14,MATCH('Forbrug af biomasse'!D326,'Forbrug til andet'!$A$8:$D$8,0),FALSE),VLOOKUP(C326,'Forbrug til andet'!$A$9:$D$14,MATCH('Forbrug af biomasse'!D326,'Forbrug til andet'!$A$8:$D$8,0),FALSE)),0)</f>
        <v>#REF!</v>
      </c>
      <c r="F326" s="171">
        <v>1</v>
      </c>
    </row>
    <row r="327" spans="1:7" x14ac:dyDescent="0.25">
      <c r="A327" t="s">
        <v>121</v>
      </c>
      <c r="B327" t="s">
        <v>23</v>
      </c>
      <c r="C327" t="str">
        <f t="shared" si="24"/>
        <v>Rapsolie</v>
      </c>
      <c r="D327">
        <f t="shared" si="25"/>
        <v>2050</v>
      </c>
      <c r="E327" t="e">
        <f>IF(SUMIFS(Restprodukter!$G$2:$G$37,Restprodukter!$A$2:$A$37,C327,Restprodukter!$B$2:$B$37,B327,Restprodukter!$C$2:$C$37,D327)&gt;=0,SUMIFS(Restprodukter!$G$2:$G$37,Restprodukter!$A$2:$A$37,C327,Restprodukter!$B$2:$B$37,B327,Restprodukter!$C$2:$C$37,D327)*IF(A327="Energi",1-VLOOKUP(C327,'Forbrug til andet'!$A$9:$D$14,MATCH('Forbrug af biomasse'!D327,'Forbrug til andet'!$A$8:$D$8,0),FALSE),VLOOKUP(C327,'Forbrug til andet'!$A$9:$D$14,MATCH('Forbrug af biomasse'!D327,'Forbrug til andet'!$A$8:$D$8,0),FALSE)),0)</f>
        <v>#REF!</v>
      </c>
      <c r="F327" s="171">
        <v>1</v>
      </c>
    </row>
    <row r="328" spans="1:7" x14ac:dyDescent="0.25">
      <c r="A328" t="s">
        <v>121</v>
      </c>
      <c r="B328" t="s">
        <v>23</v>
      </c>
      <c r="C328" t="str">
        <f t="shared" si="24"/>
        <v>Pil &amp; poppel</v>
      </c>
      <c r="D328">
        <f t="shared" si="25"/>
        <v>2050</v>
      </c>
      <c r="E328" t="e">
        <f>IF(SUMIFS(Restprodukter!$G$2:$G$37,Restprodukter!$A$2:$A$37,C328,Restprodukter!$B$2:$B$37,B328,Restprodukter!$C$2:$C$37,D328)&gt;=0,SUMIFS(Restprodukter!$G$2:$G$37,Restprodukter!$A$2:$A$37,C328,Restprodukter!$B$2:$B$37,B328,Restprodukter!$C$2:$C$37,D328)*IF(A328="Energi",1-VLOOKUP(C328,'Forbrug til andet'!$A$9:$D$14,MATCH('Forbrug af biomasse'!D328,'Forbrug til andet'!$A$8:$D$8,0),FALSE),VLOOKUP(C328,'Forbrug til andet'!$A$9:$D$14,MATCH('Forbrug af biomasse'!D328,'Forbrug til andet'!$A$8:$D$8,0),FALSE)),0)</f>
        <v>#REF!</v>
      </c>
      <c r="F328" s="171">
        <v>1</v>
      </c>
    </row>
    <row r="329" spans="1:7" x14ac:dyDescent="0.25">
      <c r="A329" t="s">
        <v>121</v>
      </c>
      <c r="B329" t="s">
        <v>23</v>
      </c>
      <c r="C329" t="str">
        <f t="shared" si="24"/>
        <v>Træ til energi</v>
      </c>
      <c r="D329">
        <f t="shared" si="25"/>
        <v>2050</v>
      </c>
      <c r="E329" t="e">
        <f>IF(SUMIFS(Restprodukter!$G$2:$G$37,Restprodukter!$A$2:$A$37,C329,Restprodukter!$B$2:$B$37,B329,Restprodukter!$C$2:$C$37,D329)&gt;=0,SUMIFS(Restprodukter!$G$2:$G$37,Restprodukter!$A$2:$A$37,C329,Restprodukter!$B$2:$B$37,B329,Restprodukter!$C$2:$C$37,D329)*IF(A329="Energi",1-VLOOKUP(C329,'Forbrug til andet'!$A$9:$D$14,MATCH('Forbrug af biomasse'!D329,'Forbrug til andet'!$A$8:$D$8,0),FALSE),VLOOKUP(C329,'Forbrug til andet'!$A$9:$D$14,MATCH('Forbrug af biomasse'!D329,'Forbrug til andet'!$A$8:$D$8,0),FALSE)),0)</f>
        <v>#REF!</v>
      </c>
      <c r="F329" s="171">
        <v>1</v>
      </c>
    </row>
    <row r="330" spans="1:7" x14ac:dyDescent="0.25">
      <c r="A330" t="s">
        <v>121</v>
      </c>
      <c r="B330" t="s">
        <v>23</v>
      </c>
      <c r="C330" t="str">
        <f t="shared" si="24"/>
        <v>Have/parkaffald</v>
      </c>
      <c r="D330">
        <f t="shared" si="25"/>
        <v>2050</v>
      </c>
      <c r="E330" t="e">
        <f>IF(SUMIFS(Restprodukter!$G$2:$G$37,Restprodukter!$A$2:$A$37,C330,Restprodukter!$B$2:$B$37,B330,Restprodukter!$C$2:$C$37,D330)&gt;=0,SUMIFS(Restprodukter!$G$2:$G$37,Restprodukter!$A$2:$A$37,C330,Restprodukter!$B$2:$B$37,B330,Restprodukter!$C$2:$C$37,D330)*IF(A330="Energi",1-VLOOKUP(C330,'Forbrug til andet'!$A$9:$D$14,MATCH('Forbrug af biomasse'!D330,'Forbrug til andet'!$A$8:$D$8,0),FALSE),VLOOKUP(C330,'Forbrug til andet'!$A$9:$D$14,MATCH('Forbrug af biomasse'!D330,'Forbrug til andet'!$A$8:$D$8,0),FALSE)),0)</f>
        <v>#REF!</v>
      </c>
      <c r="F330" s="171">
        <v>1</v>
      </c>
    </row>
    <row r="331" spans="1:7" x14ac:dyDescent="0.25">
      <c r="A331" t="s">
        <v>121</v>
      </c>
      <c r="B331" t="s">
        <v>23</v>
      </c>
      <c r="C331" t="str">
        <f t="shared" si="24"/>
        <v>Bioaffald</v>
      </c>
      <c r="D331">
        <f t="shared" si="25"/>
        <v>2050</v>
      </c>
      <c r="E331" t="e">
        <f>IF(SUMIFS(Restprodukter!$G$2:$G$37,Restprodukter!$A$2:$A$37,C331,Restprodukter!$B$2:$B$37,B331,Restprodukter!$C$2:$C$37,D331)&gt;=0,SUMIFS(Restprodukter!$G$2:$G$37,Restprodukter!$A$2:$A$37,C331,Restprodukter!$B$2:$B$37,B331,Restprodukter!$C$2:$C$37,D331)*IF(A331="Energi",1-VLOOKUP(C331,'Forbrug til andet'!$A$9:$D$14,MATCH('Forbrug af biomasse'!D331,'Forbrug til andet'!$A$8:$D$8,0),FALSE),VLOOKUP(C331,'Forbrug til andet'!$A$9:$D$14,MATCH('Forbrug af biomasse'!D331,'Forbrug til andet'!$A$8:$D$8,0),FALSE)),0)</f>
        <v>#REF!</v>
      </c>
      <c r="F331" s="171">
        <v>1</v>
      </c>
    </row>
    <row r="332" spans="1:7" x14ac:dyDescent="0.25">
      <c r="A332" t="s">
        <v>165</v>
      </c>
      <c r="B332" t="s">
        <v>23</v>
      </c>
      <c r="C332" t="str">
        <f t="shared" si="24"/>
        <v>Halm</v>
      </c>
      <c r="D332">
        <f t="shared" si="25"/>
        <v>2050</v>
      </c>
      <c r="E332" t="e">
        <f>IF(SUMIFS(Restprodukter!$G$2:$G$37,Restprodukter!$A$2:$A$37,C332,Restprodukter!$B$2:$B$37,B332,Restprodukter!$C$2:$C$37,D332)&gt;=0,SUMIFS(Restprodukter!$G$2:$G$37,Restprodukter!$A$2:$A$37,C332,Restprodukter!$B$2:$B$37,B332,Restprodukter!$C$2:$C$37,D332)*IF(A332="Energi",1-VLOOKUP(C332,'Forbrug til andet'!$A$9:$D$14,MATCH('Forbrug af biomasse'!D332,'Forbrug til andet'!$A$8:$D$8,0),FALSE),VLOOKUP(C332,'Forbrug til andet'!$A$9:$D$14,MATCH('Forbrug af biomasse'!D332,'Forbrug til andet'!$A$8:$D$8,0),FALSE)),0)</f>
        <v>#REF!</v>
      </c>
      <c r="F332" s="171">
        <v>1</v>
      </c>
      <c r="G332" s="171">
        <v>1</v>
      </c>
    </row>
    <row r="333" spans="1:7" x14ac:dyDescent="0.25">
      <c r="A333" t="s">
        <v>165</v>
      </c>
      <c r="B333" t="s">
        <v>23</v>
      </c>
      <c r="C333" t="str">
        <f t="shared" si="24"/>
        <v>Rapsolie</v>
      </c>
      <c r="D333">
        <f t="shared" si="25"/>
        <v>2050</v>
      </c>
      <c r="E333" t="e">
        <f>IF(SUMIFS(Restprodukter!$G$2:$G$37,Restprodukter!$A$2:$A$37,C333,Restprodukter!$B$2:$B$37,B333,Restprodukter!$C$2:$C$37,D333)&gt;=0,SUMIFS(Restprodukter!$G$2:$G$37,Restprodukter!$A$2:$A$37,C333,Restprodukter!$B$2:$B$37,B333,Restprodukter!$C$2:$C$37,D333)*IF(A333="Energi",1-VLOOKUP(C333,'Forbrug til andet'!$A$9:$D$14,MATCH('Forbrug af biomasse'!D333,'Forbrug til andet'!$A$8:$D$8,0),FALSE),VLOOKUP(C333,'Forbrug til andet'!$A$9:$D$14,MATCH('Forbrug af biomasse'!D333,'Forbrug til andet'!$A$8:$D$8,0),FALSE)),0)</f>
        <v>#REF!</v>
      </c>
      <c r="F333" s="171">
        <v>1</v>
      </c>
      <c r="G333" s="171">
        <v>1</v>
      </c>
    </row>
    <row r="334" spans="1:7" x14ac:dyDescent="0.25">
      <c r="A334" t="s">
        <v>165</v>
      </c>
      <c r="B334" t="s">
        <v>23</v>
      </c>
      <c r="C334" t="str">
        <f t="shared" si="24"/>
        <v>Pil &amp; poppel</v>
      </c>
      <c r="D334">
        <f t="shared" si="25"/>
        <v>2050</v>
      </c>
      <c r="E334" t="e">
        <f>IF(SUMIFS(Restprodukter!$G$2:$G$37,Restprodukter!$A$2:$A$37,C334,Restprodukter!$B$2:$B$37,B334,Restprodukter!$C$2:$C$37,D334)&gt;=0,SUMIFS(Restprodukter!$G$2:$G$37,Restprodukter!$A$2:$A$37,C334,Restprodukter!$B$2:$B$37,B334,Restprodukter!$C$2:$C$37,D334)*IF(A334="Energi",1-VLOOKUP(C334,'Forbrug til andet'!$A$9:$D$14,MATCH('Forbrug af biomasse'!D334,'Forbrug til andet'!$A$8:$D$8,0),FALSE),VLOOKUP(C334,'Forbrug til andet'!$A$9:$D$14,MATCH('Forbrug af biomasse'!D334,'Forbrug til andet'!$A$8:$D$8,0),FALSE)),0)</f>
        <v>#REF!</v>
      </c>
      <c r="F334" s="171">
        <v>1</v>
      </c>
      <c r="G334" s="171">
        <v>1</v>
      </c>
    </row>
    <row r="335" spans="1:7" x14ac:dyDescent="0.25">
      <c r="A335" t="s">
        <v>165</v>
      </c>
      <c r="B335" t="s">
        <v>23</v>
      </c>
      <c r="C335" t="str">
        <f t="shared" si="24"/>
        <v>Træ til energi</v>
      </c>
      <c r="D335">
        <f t="shared" si="25"/>
        <v>2050</v>
      </c>
      <c r="E335" t="e">
        <f>IF(SUMIFS(Restprodukter!$G$2:$G$37,Restprodukter!$A$2:$A$37,C335,Restprodukter!$B$2:$B$37,B335,Restprodukter!$C$2:$C$37,D335)&gt;=0,SUMIFS(Restprodukter!$G$2:$G$37,Restprodukter!$A$2:$A$37,C335,Restprodukter!$B$2:$B$37,B335,Restprodukter!$C$2:$C$37,D335)*IF(A335="Energi",1-VLOOKUP(C335,'Forbrug til andet'!$A$9:$D$14,MATCH('Forbrug af biomasse'!D335,'Forbrug til andet'!$A$8:$D$8,0),FALSE),VLOOKUP(C335,'Forbrug til andet'!$A$9:$D$14,MATCH('Forbrug af biomasse'!D335,'Forbrug til andet'!$A$8:$D$8,0),FALSE)),0)</f>
        <v>#REF!</v>
      </c>
      <c r="F335" s="171">
        <v>1</v>
      </c>
      <c r="G335" s="171">
        <v>1</v>
      </c>
    </row>
    <row r="336" spans="1:7" x14ac:dyDescent="0.25">
      <c r="A336" t="s">
        <v>165</v>
      </c>
      <c r="B336" t="s">
        <v>23</v>
      </c>
      <c r="C336" t="str">
        <f t="shared" si="24"/>
        <v>Have/parkaffald</v>
      </c>
      <c r="D336">
        <f t="shared" si="25"/>
        <v>2050</v>
      </c>
      <c r="E336" t="e">
        <f>IF(SUMIFS(Restprodukter!$G$2:$G$37,Restprodukter!$A$2:$A$37,C336,Restprodukter!$B$2:$B$37,B336,Restprodukter!$C$2:$C$37,D336)&gt;=0,SUMIFS(Restprodukter!$G$2:$G$37,Restprodukter!$A$2:$A$37,C336,Restprodukter!$B$2:$B$37,B336,Restprodukter!$C$2:$C$37,D336)*IF(A336="Energi",1-VLOOKUP(C336,'Forbrug til andet'!$A$9:$D$14,MATCH('Forbrug af biomasse'!D336,'Forbrug til andet'!$A$8:$D$8,0),FALSE),VLOOKUP(C336,'Forbrug til andet'!$A$9:$D$14,MATCH('Forbrug af biomasse'!D336,'Forbrug til andet'!$A$8:$D$8,0),FALSE)),0)</f>
        <v>#REF!</v>
      </c>
      <c r="F336" s="171">
        <v>1</v>
      </c>
      <c r="G336" s="171">
        <v>1</v>
      </c>
    </row>
    <row r="337" spans="1:7" x14ac:dyDescent="0.25">
      <c r="A337" t="s">
        <v>165</v>
      </c>
      <c r="B337" t="s">
        <v>23</v>
      </c>
      <c r="C337" t="str">
        <f t="shared" si="24"/>
        <v>Bioaffald</v>
      </c>
      <c r="D337">
        <f t="shared" si="25"/>
        <v>2050</v>
      </c>
      <c r="E337" t="e">
        <f>IF(SUMIFS(Restprodukter!$G$2:$G$37,Restprodukter!$A$2:$A$37,C337,Restprodukter!$B$2:$B$37,B337,Restprodukter!$C$2:$C$37,D337)&gt;=0,SUMIFS(Restprodukter!$G$2:$G$37,Restprodukter!$A$2:$A$37,C337,Restprodukter!$B$2:$B$37,B337,Restprodukter!$C$2:$C$37,D337)*IF(A337="Energi",1-VLOOKUP(C337,'Forbrug til andet'!$A$9:$D$14,MATCH('Forbrug af biomasse'!D337,'Forbrug til andet'!$A$8:$D$8,0),FALSE),VLOOKUP(C337,'Forbrug til andet'!$A$9:$D$14,MATCH('Forbrug af biomasse'!D337,'Forbrug til andet'!$A$8:$D$8,0),FALSE)),0)</f>
        <v>#REF!</v>
      </c>
      <c r="F337" s="171">
        <v>1</v>
      </c>
      <c r="G337" s="171">
        <v>1</v>
      </c>
    </row>
    <row r="338" spans="1:7" x14ac:dyDescent="0.25">
      <c r="A338" t="s">
        <v>121</v>
      </c>
      <c r="B338" t="s">
        <v>24</v>
      </c>
      <c r="C338" t="str">
        <f t="shared" si="24"/>
        <v>Halm</v>
      </c>
      <c r="D338">
        <f t="shared" si="25"/>
        <v>2050</v>
      </c>
      <c r="E338" t="e">
        <f>IF(SUMIFS(Restprodukter!$G$2:$G$37,Restprodukter!$A$2:$A$37,C338,Restprodukter!$B$2:$B$37,B338,Restprodukter!$C$2:$C$37,D338)&gt;=0,SUMIFS(Restprodukter!$G$2:$G$37,Restprodukter!$A$2:$A$37,C338,Restprodukter!$B$2:$B$37,B338,Restprodukter!$C$2:$C$37,D338)*IF(A338="Energi",1-VLOOKUP(C338,'Forbrug til andet'!$A$9:$D$14,MATCH('Forbrug af biomasse'!D338,'Forbrug til andet'!$A$8:$D$8,0),FALSE),VLOOKUP(C338,'Forbrug til andet'!$A$9:$D$14,MATCH('Forbrug af biomasse'!D338,'Forbrug til andet'!$A$8:$D$8,0),FALSE)),0)</f>
        <v>#REF!</v>
      </c>
      <c r="F338" s="171">
        <v>1</v>
      </c>
    </row>
    <row r="339" spans="1:7" x14ac:dyDescent="0.25">
      <c r="A339" t="s">
        <v>121</v>
      </c>
      <c r="B339" t="s">
        <v>24</v>
      </c>
      <c r="C339" t="str">
        <f t="shared" si="24"/>
        <v>Rapsolie</v>
      </c>
      <c r="D339">
        <f t="shared" si="25"/>
        <v>2050</v>
      </c>
      <c r="E339" t="e">
        <f>IF(SUMIFS(Restprodukter!$G$2:$G$37,Restprodukter!$A$2:$A$37,C339,Restprodukter!$B$2:$B$37,B339,Restprodukter!$C$2:$C$37,D339)&gt;=0,SUMIFS(Restprodukter!$G$2:$G$37,Restprodukter!$A$2:$A$37,C339,Restprodukter!$B$2:$B$37,B339,Restprodukter!$C$2:$C$37,D339)*IF(A339="Energi",1-VLOOKUP(C339,'Forbrug til andet'!$A$9:$D$14,MATCH('Forbrug af biomasse'!D339,'Forbrug til andet'!$A$8:$D$8,0),FALSE),VLOOKUP(C339,'Forbrug til andet'!$A$9:$D$14,MATCH('Forbrug af biomasse'!D339,'Forbrug til andet'!$A$8:$D$8,0),FALSE)),0)</f>
        <v>#REF!</v>
      </c>
      <c r="F339" s="171">
        <v>1</v>
      </c>
    </row>
    <row r="340" spans="1:7" x14ac:dyDescent="0.25">
      <c r="A340" t="s">
        <v>121</v>
      </c>
      <c r="B340" t="s">
        <v>24</v>
      </c>
      <c r="C340" t="str">
        <f t="shared" si="24"/>
        <v>Pil &amp; poppel</v>
      </c>
      <c r="D340">
        <f t="shared" si="25"/>
        <v>2050</v>
      </c>
      <c r="E340" t="e">
        <f>IF(SUMIFS(Restprodukter!$G$2:$G$37,Restprodukter!$A$2:$A$37,C340,Restprodukter!$B$2:$B$37,B340,Restprodukter!$C$2:$C$37,D340)&gt;=0,SUMIFS(Restprodukter!$G$2:$G$37,Restprodukter!$A$2:$A$37,C340,Restprodukter!$B$2:$B$37,B340,Restprodukter!$C$2:$C$37,D340)*IF(A340="Energi",1-VLOOKUP(C340,'Forbrug til andet'!$A$9:$D$14,MATCH('Forbrug af biomasse'!D340,'Forbrug til andet'!$A$8:$D$8,0),FALSE),VLOOKUP(C340,'Forbrug til andet'!$A$9:$D$14,MATCH('Forbrug af biomasse'!D340,'Forbrug til andet'!$A$8:$D$8,0),FALSE)),0)</f>
        <v>#REF!</v>
      </c>
      <c r="F340" s="171">
        <v>1</v>
      </c>
    </row>
    <row r="341" spans="1:7" x14ac:dyDescent="0.25">
      <c r="A341" t="s">
        <v>121</v>
      </c>
      <c r="B341" t="s">
        <v>24</v>
      </c>
      <c r="C341" t="str">
        <f t="shared" si="24"/>
        <v>Træ til energi</v>
      </c>
      <c r="D341">
        <f t="shared" si="25"/>
        <v>2050</v>
      </c>
      <c r="E341" t="e">
        <f>IF(SUMIFS(Restprodukter!$G$2:$G$37,Restprodukter!$A$2:$A$37,C341,Restprodukter!$B$2:$B$37,B341,Restprodukter!$C$2:$C$37,D341)&gt;=0,SUMIFS(Restprodukter!$G$2:$G$37,Restprodukter!$A$2:$A$37,C341,Restprodukter!$B$2:$B$37,B341,Restprodukter!$C$2:$C$37,D341)*IF(A341="Energi",1-VLOOKUP(C341,'Forbrug til andet'!$A$9:$D$14,MATCH('Forbrug af biomasse'!D341,'Forbrug til andet'!$A$8:$D$8,0),FALSE),VLOOKUP(C341,'Forbrug til andet'!$A$9:$D$14,MATCH('Forbrug af biomasse'!D341,'Forbrug til andet'!$A$8:$D$8,0),FALSE)),0)</f>
        <v>#REF!</v>
      </c>
      <c r="F341" s="171">
        <v>1</v>
      </c>
    </row>
    <row r="342" spans="1:7" x14ac:dyDescent="0.25">
      <c r="A342" t="s">
        <v>121</v>
      </c>
      <c r="B342" t="s">
        <v>24</v>
      </c>
      <c r="C342" t="str">
        <f t="shared" si="24"/>
        <v>Have/parkaffald</v>
      </c>
      <c r="D342">
        <f t="shared" si="25"/>
        <v>2050</v>
      </c>
      <c r="E342" t="e">
        <f>IF(SUMIFS(Restprodukter!$G$2:$G$37,Restprodukter!$A$2:$A$37,C342,Restprodukter!$B$2:$B$37,B342,Restprodukter!$C$2:$C$37,D342)&gt;=0,SUMIFS(Restprodukter!$G$2:$G$37,Restprodukter!$A$2:$A$37,C342,Restprodukter!$B$2:$B$37,B342,Restprodukter!$C$2:$C$37,D342)*IF(A342="Energi",1-VLOOKUP(C342,'Forbrug til andet'!$A$9:$D$14,MATCH('Forbrug af biomasse'!D342,'Forbrug til andet'!$A$8:$D$8,0),FALSE),VLOOKUP(C342,'Forbrug til andet'!$A$9:$D$14,MATCH('Forbrug af biomasse'!D342,'Forbrug til andet'!$A$8:$D$8,0),FALSE)),0)</f>
        <v>#REF!</v>
      </c>
      <c r="F342" s="171">
        <v>1</v>
      </c>
    </row>
    <row r="343" spans="1:7" x14ac:dyDescent="0.25">
      <c r="A343" t="s">
        <v>121</v>
      </c>
      <c r="B343" t="s">
        <v>24</v>
      </c>
      <c r="C343" t="str">
        <f t="shared" si="24"/>
        <v>Bioaffald</v>
      </c>
      <c r="D343">
        <f t="shared" si="25"/>
        <v>2050</v>
      </c>
      <c r="E343" t="e">
        <f>IF(SUMIFS(Restprodukter!$G$2:$G$37,Restprodukter!$A$2:$A$37,C343,Restprodukter!$B$2:$B$37,B343,Restprodukter!$C$2:$C$37,D343)&gt;=0,SUMIFS(Restprodukter!$G$2:$G$37,Restprodukter!$A$2:$A$37,C343,Restprodukter!$B$2:$B$37,B343,Restprodukter!$C$2:$C$37,D343)*IF(A343="Energi",1-VLOOKUP(C343,'Forbrug til andet'!$A$9:$D$14,MATCH('Forbrug af biomasse'!D343,'Forbrug til andet'!$A$8:$D$8,0),FALSE),VLOOKUP(C343,'Forbrug til andet'!$A$9:$D$14,MATCH('Forbrug af biomasse'!D343,'Forbrug til andet'!$A$8:$D$8,0),FALSE)),0)</f>
        <v>#REF!</v>
      </c>
      <c r="F343" s="171">
        <v>1</v>
      </c>
    </row>
    <row r="344" spans="1:7" x14ac:dyDescent="0.25">
      <c r="A344" t="s">
        <v>165</v>
      </c>
      <c r="B344" t="s">
        <v>24</v>
      </c>
      <c r="C344" t="str">
        <f t="shared" si="24"/>
        <v>Halm</v>
      </c>
      <c r="D344">
        <f t="shared" si="25"/>
        <v>2050</v>
      </c>
      <c r="E344" t="e">
        <f>IF(SUMIFS(Restprodukter!$G$2:$G$37,Restprodukter!$A$2:$A$37,C344,Restprodukter!$B$2:$B$37,B344,Restprodukter!$C$2:$C$37,D344)&gt;=0,SUMIFS(Restprodukter!$G$2:$G$37,Restprodukter!$A$2:$A$37,C344,Restprodukter!$B$2:$B$37,B344,Restprodukter!$C$2:$C$37,D344)*IF(A344="Energi",1-VLOOKUP(C344,'Forbrug til andet'!$A$9:$D$14,MATCH('Forbrug af biomasse'!D344,'Forbrug til andet'!$A$8:$D$8,0),FALSE),VLOOKUP(C344,'Forbrug til andet'!$A$9:$D$14,MATCH('Forbrug af biomasse'!D344,'Forbrug til andet'!$A$8:$D$8,0),FALSE)),0)</f>
        <v>#REF!</v>
      </c>
      <c r="F344" s="171">
        <v>1</v>
      </c>
      <c r="G344" s="171">
        <v>1</v>
      </c>
    </row>
    <row r="345" spans="1:7" x14ac:dyDescent="0.25">
      <c r="A345" t="s">
        <v>165</v>
      </c>
      <c r="B345" t="s">
        <v>24</v>
      </c>
      <c r="C345" t="str">
        <f t="shared" si="24"/>
        <v>Rapsolie</v>
      </c>
      <c r="D345">
        <f t="shared" si="25"/>
        <v>2050</v>
      </c>
      <c r="E345" t="e">
        <f>IF(SUMIFS(Restprodukter!$G$2:$G$37,Restprodukter!$A$2:$A$37,C345,Restprodukter!$B$2:$B$37,B345,Restprodukter!$C$2:$C$37,D345)&gt;=0,SUMIFS(Restprodukter!$G$2:$G$37,Restprodukter!$A$2:$A$37,C345,Restprodukter!$B$2:$B$37,B345,Restprodukter!$C$2:$C$37,D345)*IF(A345="Energi",1-VLOOKUP(C345,'Forbrug til andet'!$A$9:$D$14,MATCH('Forbrug af biomasse'!D345,'Forbrug til andet'!$A$8:$D$8,0),FALSE),VLOOKUP(C345,'Forbrug til andet'!$A$9:$D$14,MATCH('Forbrug af biomasse'!D345,'Forbrug til andet'!$A$8:$D$8,0),FALSE)),0)</f>
        <v>#REF!</v>
      </c>
      <c r="F345" s="171">
        <v>1</v>
      </c>
      <c r="G345" s="171">
        <v>1</v>
      </c>
    </row>
    <row r="346" spans="1:7" x14ac:dyDescent="0.25">
      <c r="A346" t="s">
        <v>165</v>
      </c>
      <c r="B346" t="s">
        <v>24</v>
      </c>
      <c r="C346" t="str">
        <f t="shared" si="24"/>
        <v>Pil &amp; poppel</v>
      </c>
      <c r="D346">
        <f t="shared" si="25"/>
        <v>2050</v>
      </c>
      <c r="E346" t="e">
        <f>IF(SUMIFS(Restprodukter!$G$2:$G$37,Restprodukter!$A$2:$A$37,C346,Restprodukter!$B$2:$B$37,B346,Restprodukter!$C$2:$C$37,D346)&gt;=0,SUMIFS(Restprodukter!$G$2:$G$37,Restprodukter!$A$2:$A$37,C346,Restprodukter!$B$2:$B$37,B346,Restprodukter!$C$2:$C$37,D346)*IF(A346="Energi",1-VLOOKUP(C346,'Forbrug til andet'!$A$9:$D$14,MATCH('Forbrug af biomasse'!D346,'Forbrug til andet'!$A$8:$D$8,0),FALSE),VLOOKUP(C346,'Forbrug til andet'!$A$9:$D$14,MATCH('Forbrug af biomasse'!D346,'Forbrug til andet'!$A$8:$D$8,0),FALSE)),0)</f>
        <v>#REF!</v>
      </c>
      <c r="F346" s="171">
        <v>1</v>
      </c>
      <c r="G346" s="171">
        <v>1</v>
      </c>
    </row>
    <row r="347" spans="1:7" x14ac:dyDescent="0.25">
      <c r="A347" t="s">
        <v>165</v>
      </c>
      <c r="B347" t="s">
        <v>24</v>
      </c>
      <c r="C347" t="str">
        <f t="shared" si="24"/>
        <v>Træ til energi</v>
      </c>
      <c r="D347">
        <f t="shared" si="25"/>
        <v>2050</v>
      </c>
      <c r="E347" t="e">
        <f>IF(SUMIFS(Restprodukter!$G$2:$G$37,Restprodukter!$A$2:$A$37,C347,Restprodukter!$B$2:$B$37,B347,Restprodukter!$C$2:$C$37,D347)&gt;=0,SUMIFS(Restprodukter!$G$2:$G$37,Restprodukter!$A$2:$A$37,C347,Restprodukter!$B$2:$B$37,B347,Restprodukter!$C$2:$C$37,D347)*IF(A347="Energi",1-VLOOKUP(C347,'Forbrug til andet'!$A$9:$D$14,MATCH('Forbrug af biomasse'!D347,'Forbrug til andet'!$A$8:$D$8,0),FALSE),VLOOKUP(C347,'Forbrug til andet'!$A$9:$D$14,MATCH('Forbrug af biomasse'!D347,'Forbrug til andet'!$A$8:$D$8,0),FALSE)),0)</f>
        <v>#REF!</v>
      </c>
      <c r="F347" s="171">
        <v>1</v>
      </c>
      <c r="G347" s="171">
        <v>1</v>
      </c>
    </row>
    <row r="348" spans="1:7" x14ac:dyDescent="0.25">
      <c r="A348" t="s">
        <v>165</v>
      </c>
      <c r="B348" t="s">
        <v>24</v>
      </c>
      <c r="C348" t="str">
        <f t="shared" ref="C348:C349" si="26">C342</f>
        <v>Have/parkaffald</v>
      </c>
      <c r="D348">
        <f t="shared" si="25"/>
        <v>2050</v>
      </c>
      <c r="E348" t="e">
        <f>IF(SUMIFS(Restprodukter!$G$2:$G$37,Restprodukter!$A$2:$A$37,C348,Restprodukter!$B$2:$B$37,B348,Restprodukter!$C$2:$C$37,D348)&gt;=0,SUMIFS(Restprodukter!$G$2:$G$37,Restprodukter!$A$2:$A$37,C348,Restprodukter!$B$2:$B$37,B348,Restprodukter!$C$2:$C$37,D348)*IF(A348="Energi",1-VLOOKUP(C348,'Forbrug til andet'!$A$9:$D$14,MATCH('Forbrug af biomasse'!D348,'Forbrug til andet'!$A$8:$D$8,0),FALSE),VLOOKUP(C348,'Forbrug til andet'!$A$9:$D$14,MATCH('Forbrug af biomasse'!D348,'Forbrug til andet'!$A$8:$D$8,0),FALSE)),0)</f>
        <v>#REF!</v>
      </c>
      <c r="F348" s="171">
        <v>1</v>
      </c>
      <c r="G348" s="171">
        <v>1</v>
      </c>
    </row>
    <row r="349" spans="1:7" x14ac:dyDescent="0.25">
      <c r="A349" t="s">
        <v>165</v>
      </c>
      <c r="B349" t="s">
        <v>24</v>
      </c>
      <c r="C349" t="str">
        <f t="shared" si="26"/>
        <v>Bioaffald</v>
      </c>
      <c r="D349">
        <f t="shared" si="25"/>
        <v>2050</v>
      </c>
      <c r="E349" t="e">
        <f>IF(SUMIFS(Restprodukter!$G$2:$G$37,Restprodukter!$A$2:$A$37,C349,Restprodukter!$B$2:$B$37,B349,Restprodukter!$C$2:$C$37,D349)&gt;=0,SUMIFS(Restprodukter!$G$2:$G$37,Restprodukter!$A$2:$A$37,C349,Restprodukter!$B$2:$B$37,B349,Restprodukter!$C$2:$C$37,D349)*IF(A349="Energi",1-VLOOKUP(C349,'Forbrug til andet'!$A$9:$D$14,MATCH('Forbrug af biomasse'!D349,'Forbrug til andet'!$A$8:$D$8,0),FALSE),VLOOKUP(C349,'Forbrug til andet'!$A$9:$D$14,MATCH('Forbrug af biomasse'!D349,'Forbrug til andet'!$A$8:$D$8,0),FALSE)),0)</f>
        <v>#REF!</v>
      </c>
      <c r="F349" s="171">
        <v>1</v>
      </c>
      <c r="G349" s="171">
        <v>1</v>
      </c>
    </row>
    <row r="350" spans="1:7" x14ac:dyDescent="0.25">
      <c r="A350" t="s">
        <v>115</v>
      </c>
      <c r="B350" t="s">
        <v>23</v>
      </c>
      <c r="C350" t="s">
        <v>136</v>
      </c>
      <c r="D350">
        <f t="shared" ref="D350:D355" si="27">År1</f>
        <v>2019</v>
      </c>
      <c r="E350" t="e">
        <f>SUMIFS(IF(D350=År1,IF(B350="Vestdanmark",'Resultater - Vestdanmark'!$H$3:$H$474,'Resultater - Østdanmark'!$H$3:$H$474),IF(D350=År2,IF(B350="Vestdanmark",'Resultater - Vestdanmark'!$I$3:$I$474,'Resultater - Østdanmark'!$I$3:$I$474),IF(B350="Vestdanmark",'Resultater - Vestdanmark'!$J$3:$J$474,'Resultater - Østdanmark'!$J$3:$J$474))),'Resultater - Vestdanmark'!$D$3:$D$474,C350,'Resultater - Vestdanmark'!$F$3:$F$474,A350)/SUMIFS(IF(D350=År1,'[1]Processer - data'!$H$3:$H$467,IF(D350=År2,'[1]Processer - data'!$I$3:$I$467,'[1]Processer - data'!$J$3:$J$467)),'[1]Processer - data'!$D$3:$D$467,C350,'[1]Processer - data'!$F$3:$F$467,A350)</f>
        <v>#REF!</v>
      </c>
    </row>
    <row r="351" spans="1:7" x14ac:dyDescent="0.25">
      <c r="A351" t="s">
        <v>115</v>
      </c>
      <c r="B351" t="s">
        <v>23</v>
      </c>
      <c r="C351" t="s">
        <v>137</v>
      </c>
      <c r="D351">
        <f t="shared" si="27"/>
        <v>2019</v>
      </c>
      <c r="E351" t="e">
        <f>SUMIFS(IF(D351=År1,IF(B351="Vestdanmark",'Resultater - Vestdanmark'!$H$3:$H$474,'Resultater - Østdanmark'!$H$3:$H$474),IF(D351=År2,IF(B351="Vestdanmark",'Resultater - Vestdanmark'!$I$3:$I$474,'Resultater - Østdanmark'!$I$3:$I$474),IF(B351="Vestdanmark",'Resultater - Vestdanmark'!$J$3:$J$474,'Resultater - Østdanmark'!$J$3:$J$474))),'Resultater - Vestdanmark'!$D$3:$D$474,C351,'Resultater - Vestdanmark'!$F$3:$F$474,A351)/SUMIFS(IF(D351=År1,'[1]Processer - data'!$H$3:$H$467,IF(D351=År2,'[1]Processer - data'!$I$3:$I$467,'[1]Processer - data'!$J$3:$J$467)),'[1]Processer - data'!$D$3:$D$467,C351,'[1]Processer - data'!$F$3:$F$467,A351)</f>
        <v>#REF!</v>
      </c>
    </row>
    <row r="352" spans="1:7" x14ac:dyDescent="0.25">
      <c r="A352" t="s">
        <v>115</v>
      </c>
      <c r="B352" t="s">
        <v>23</v>
      </c>
      <c r="C352" t="s">
        <v>138</v>
      </c>
      <c r="D352">
        <f t="shared" si="27"/>
        <v>2019</v>
      </c>
      <c r="E352" t="e">
        <f>SUMIFS(IF(D352=År1,IF(B352="Vestdanmark",'Resultater - Vestdanmark'!$H$3:$H$474,'Resultater - Østdanmark'!$H$3:$H$474),IF(D352=År2,IF(B352="Vestdanmark",'Resultater - Vestdanmark'!$I$3:$I$474,'Resultater - Østdanmark'!$I$3:$I$474),IF(B352="Vestdanmark",'Resultater - Vestdanmark'!$J$3:$J$474,'Resultater - Østdanmark'!$J$3:$J$474))),'Resultater - Vestdanmark'!$D$3:$D$474,C352,'Resultater - Vestdanmark'!$F$3:$F$474,A352)/SUMIFS(IF(D352=År1,'[1]Processer - data'!$H$3:$H$467,IF(D352=År2,'[1]Processer - data'!$I$3:$I$467,'[1]Processer - data'!$J$3:$J$467)),'[1]Processer - data'!$D$3:$D$467,C352,'[1]Processer - data'!$F$3:$F$467,A352)</f>
        <v>#REF!</v>
      </c>
    </row>
    <row r="353" spans="1:5" x14ac:dyDescent="0.25">
      <c r="A353" t="s">
        <v>115</v>
      </c>
      <c r="B353" t="s">
        <v>23</v>
      </c>
      <c r="C353" t="s">
        <v>102</v>
      </c>
      <c r="D353">
        <f t="shared" si="27"/>
        <v>2019</v>
      </c>
      <c r="E353" t="e">
        <f>SUMIFS(IF(D353=År1,IF(B353="Vestdanmark",'Resultater - Vestdanmark'!$H$3:$H$474,'Resultater - Østdanmark'!$H$3:$H$474),IF(D353=År2,IF(B353="Vestdanmark",'Resultater - Vestdanmark'!$I$3:$I$474,'Resultater - Østdanmark'!$I$3:$I$474),IF(B353="Vestdanmark",'Resultater - Vestdanmark'!$J$3:$J$474,'Resultater - Østdanmark'!$J$3:$J$474))),'Resultater - Vestdanmark'!$D$3:$D$474,C353,'Resultater - Vestdanmark'!$F$3:$F$474,A353)/SUMIFS(IF(D353=År1,'[1]Processer - data'!$H$3:$H$467,IF(D353=År2,'[1]Processer - data'!$I$3:$I$467,'[1]Processer - data'!$J$3:$J$467)),'[1]Processer - data'!$D$3:$D$467,C353,'[1]Processer - data'!$F$3:$F$467,A353)</f>
        <v>#REF!</v>
      </c>
    </row>
    <row r="354" spans="1:5" x14ac:dyDescent="0.25">
      <c r="A354" t="s">
        <v>115</v>
      </c>
      <c r="B354" t="s">
        <v>23</v>
      </c>
      <c r="C354" t="s">
        <v>111</v>
      </c>
      <c r="D354">
        <f t="shared" si="27"/>
        <v>2019</v>
      </c>
      <c r="E354" t="e">
        <f>SUMIFS(IF(D354=År1,IF(B354="Vestdanmark",'Resultater - Vestdanmark'!$H$3:$H$474,'Resultater - Østdanmark'!$H$3:$H$474),IF(D354=År2,IF(B354="Vestdanmark",'Resultater - Vestdanmark'!$I$3:$I$474,'Resultater - Østdanmark'!$I$3:$I$474),IF(B354="Vestdanmark",'Resultater - Vestdanmark'!$J$3:$J$474,'Resultater - Østdanmark'!$J$3:$J$474))),'Resultater - Vestdanmark'!$D$3:$D$474,C354,'Resultater - Vestdanmark'!$F$3:$F$474,A354)/SUMIFS(IF(D354=År1,'[1]Processer - data'!$H$3:$H$467,IF(D354=År2,'[1]Processer - data'!$I$3:$I$467,'[1]Processer - data'!$J$3:$J$467)),'[1]Processer - data'!$D$3:$D$467,C354,'[1]Processer - data'!$F$3:$F$467,A354)</f>
        <v>#REF!</v>
      </c>
    </row>
    <row r="355" spans="1:5" x14ac:dyDescent="0.25">
      <c r="A355" t="s">
        <v>115</v>
      </c>
      <c r="B355" t="s">
        <v>23</v>
      </c>
      <c r="C355" t="s">
        <v>116</v>
      </c>
      <c r="D355">
        <f t="shared" si="27"/>
        <v>2019</v>
      </c>
      <c r="E355" t="e">
        <f>SUMIFS(IF(D355=År1,IF(B355="Vestdanmark",'Resultater - Vestdanmark'!$H$3:$H$474,'Resultater - Østdanmark'!$H$3:$H$474),IF(D355=År2,IF(B355="Vestdanmark",'Resultater - Vestdanmark'!$I$3:$I$474,'Resultater - Østdanmark'!$I$3:$I$474),IF(B355="Vestdanmark",'Resultater - Vestdanmark'!$J$3:$J$474,'Resultater - Østdanmark'!$J$3:$J$474))),'Resultater - Vestdanmark'!$D$3:$D$474,C355,'Resultater - Vestdanmark'!$F$3:$F$474,A355)/SUMIFS(IF(D355=År1,'[1]Processer - data'!$H$3:$H$467,IF(D355=År2,'[1]Processer - data'!$I$3:$I$467,'[1]Processer - data'!$J$3:$J$467)),'[1]Processer - data'!$D$3:$D$467,C355,'[1]Processer - data'!$F$3:$F$467,A355)</f>
        <v>#REF!</v>
      </c>
    </row>
    <row r="356" spans="1:5" x14ac:dyDescent="0.25">
      <c r="A356" t="s">
        <v>115</v>
      </c>
      <c r="B356" t="s">
        <v>23</v>
      </c>
      <c r="C356" t="s">
        <v>136</v>
      </c>
      <c r="D356">
        <f t="shared" ref="D356:D361" si="28">År2</f>
        <v>2030</v>
      </c>
      <c r="E356" t="e">
        <f>SUMIFS(IF(D356=År1,IF(B356="Vestdanmark",'Resultater - Vestdanmark'!$H$3:$H$474,'Resultater - Østdanmark'!$H$3:$H$474),IF(D356=År2,IF(B356="Vestdanmark",'Resultater - Vestdanmark'!$I$3:$I$474,'Resultater - Østdanmark'!$I$3:$I$474),IF(B356="Vestdanmark",'Resultater - Vestdanmark'!$J$3:$J$474,'Resultater - Østdanmark'!$J$3:$J$474))),'Resultater - Vestdanmark'!$D$3:$D$474,C356,'Resultater - Vestdanmark'!$F$3:$F$474,A356)/SUMIFS(IF(D356=År1,'[1]Processer - data'!$H$3:$H$467,IF(D356=År2,'[1]Processer - data'!$I$3:$I$467,'[1]Processer - data'!$J$3:$J$467)),'[1]Processer - data'!$D$3:$D$467,C356,'[1]Processer - data'!$F$3:$F$467,A356)</f>
        <v>#REF!</v>
      </c>
    </row>
    <row r="357" spans="1:5" x14ac:dyDescent="0.25">
      <c r="A357" t="s">
        <v>115</v>
      </c>
      <c r="B357" t="s">
        <v>23</v>
      </c>
      <c r="C357" t="s">
        <v>137</v>
      </c>
      <c r="D357">
        <f t="shared" si="28"/>
        <v>2030</v>
      </c>
      <c r="E357" t="e">
        <f>SUMIFS(IF(D357=År1,IF(B357="Vestdanmark",'Resultater - Vestdanmark'!$H$3:$H$474,'Resultater - Østdanmark'!$H$3:$H$474),IF(D357=År2,IF(B357="Vestdanmark",'Resultater - Vestdanmark'!$I$3:$I$474,'Resultater - Østdanmark'!$I$3:$I$474),IF(B357="Vestdanmark",'Resultater - Vestdanmark'!$J$3:$J$474,'Resultater - Østdanmark'!$J$3:$J$474))),'Resultater - Vestdanmark'!$D$3:$D$474,C357,'Resultater - Vestdanmark'!$F$3:$F$474,A357)/SUMIFS(IF(D357=År1,'[1]Processer - data'!$H$3:$H$467,IF(D357=År2,'[1]Processer - data'!$I$3:$I$467,'[1]Processer - data'!$J$3:$J$467)),'[1]Processer - data'!$D$3:$D$467,C357,'[1]Processer - data'!$F$3:$F$467,A357)</f>
        <v>#REF!</v>
      </c>
    </row>
    <row r="358" spans="1:5" x14ac:dyDescent="0.25">
      <c r="A358" t="s">
        <v>115</v>
      </c>
      <c r="B358" t="s">
        <v>23</v>
      </c>
      <c r="C358" t="s">
        <v>138</v>
      </c>
      <c r="D358">
        <f t="shared" si="28"/>
        <v>2030</v>
      </c>
      <c r="E358" t="e">
        <f>SUMIFS(IF(D358=År1,IF(B358="Vestdanmark",'Resultater - Vestdanmark'!$H$3:$H$474,'Resultater - Østdanmark'!$H$3:$H$474),IF(D358=År2,IF(B358="Vestdanmark",'Resultater - Vestdanmark'!$I$3:$I$474,'Resultater - Østdanmark'!$I$3:$I$474),IF(B358="Vestdanmark",'Resultater - Vestdanmark'!$J$3:$J$474,'Resultater - Østdanmark'!$J$3:$J$474))),'Resultater - Vestdanmark'!$D$3:$D$474,C358,'Resultater - Vestdanmark'!$F$3:$F$474,A358)/SUMIFS(IF(D358=År1,'[1]Processer - data'!$H$3:$H$467,IF(D358=År2,'[1]Processer - data'!$I$3:$I$467,'[1]Processer - data'!$J$3:$J$467)),'[1]Processer - data'!$D$3:$D$467,C358,'[1]Processer - data'!$F$3:$F$467,A358)</f>
        <v>#REF!</v>
      </c>
    </row>
    <row r="359" spans="1:5" x14ac:dyDescent="0.25">
      <c r="A359" t="s">
        <v>115</v>
      </c>
      <c r="B359" t="s">
        <v>23</v>
      </c>
      <c r="C359" t="s">
        <v>102</v>
      </c>
      <c r="D359">
        <f t="shared" si="28"/>
        <v>2030</v>
      </c>
      <c r="E359" t="e">
        <f>SUMIFS(IF(D359=År1,IF(B359="Vestdanmark",'Resultater - Vestdanmark'!$H$3:$H$474,'Resultater - Østdanmark'!$H$3:$H$474),IF(D359=År2,IF(B359="Vestdanmark",'Resultater - Vestdanmark'!$I$3:$I$474,'Resultater - Østdanmark'!$I$3:$I$474),IF(B359="Vestdanmark",'Resultater - Vestdanmark'!$J$3:$J$474,'Resultater - Østdanmark'!$J$3:$J$474))),'Resultater - Vestdanmark'!$D$3:$D$474,C359,'Resultater - Vestdanmark'!$F$3:$F$474,A359)/SUMIFS(IF(D359=År1,'[1]Processer - data'!$H$3:$H$467,IF(D359=År2,'[1]Processer - data'!$I$3:$I$467,'[1]Processer - data'!$J$3:$J$467)),'[1]Processer - data'!$D$3:$D$467,C359,'[1]Processer - data'!$F$3:$F$467,A359)</f>
        <v>#REF!</v>
      </c>
    </row>
    <row r="360" spans="1:5" x14ac:dyDescent="0.25">
      <c r="A360" t="s">
        <v>115</v>
      </c>
      <c r="B360" t="s">
        <v>23</v>
      </c>
      <c r="C360" t="s">
        <v>111</v>
      </c>
      <c r="D360">
        <f t="shared" si="28"/>
        <v>2030</v>
      </c>
      <c r="E360" t="e">
        <f>SUMIFS(IF(D360=År1,IF(B360="Vestdanmark",'Resultater - Vestdanmark'!$H$3:$H$474,'Resultater - Østdanmark'!$H$3:$H$474),IF(D360=År2,IF(B360="Vestdanmark",'Resultater - Vestdanmark'!$I$3:$I$474,'Resultater - Østdanmark'!$I$3:$I$474),IF(B360="Vestdanmark",'Resultater - Vestdanmark'!$J$3:$J$474,'Resultater - Østdanmark'!$J$3:$J$474))),'Resultater - Vestdanmark'!$D$3:$D$474,C360,'Resultater - Vestdanmark'!$F$3:$F$474,A360)/SUMIFS(IF(D360=År1,'[1]Processer - data'!$H$3:$H$467,IF(D360=År2,'[1]Processer - data'!$I$3:$I$467,'[1]Processer - data'!$J$3:$J$467)),'[1]Processer - data'!$D$3:$D$467,C360,'[1]Processer - data'!$F$3:$F$467,A360)</f>
        <v>#REF!</v>
      </c>
    </row>
    <row r="361" spans="1:5" x14ac:dyDescent="0.25">
      <c r="A361" t="s">
        <v>115</v>
      </c>
      <c r="B361" t="s">
        <v>23</v>
      </c>
      <c r="C361" t="s">
        <v>116</v>
      </c>
      <c r="D361">
        <f t="shared" si="28"/>
        <v>2030</v>
      </c>
      <c r="E361" t="e">
        <f>SUMIFS(IF(D361=År1,IF(B361="Vestdanmark",'Resultater - Vestdanmark'!$H$3:$H$474,'Resultater - Østdanmark'!$H$3:$H$474),IF(D361=År2,IF(B361="Vestdanmark",'Resultater - Vestdanmark'!$I$3:$I$474,'Resultater - Østdanmark'!$I$3:$I$474),IF(B361="Vestdanmark",'Resultater - Vestdanmark'!$J$3:$J$474,'Resultater - Østdanmark'!$J$3:$J$474))),'Resultater - Vestdanmark'!$D$3:$D$474,C361,'Resultater - Vestdanmark'!$F$3:$F$474,A361)/SUMIFS(IF(D361=År1,'[1]Processer - data'!$H$3:$H$467,IF(D361=År2,'[1]Processer - data'!$I$3:$I$467,'[1]Processer - data'!$J$3:$J$467)),'[1]Processer - data'!$D$3:$D$467,C361,'[1]Processer - data'!$F$3:$F$467,A361)</f>
        <v>#REF!</v>
      </c>
    </row>
    <row r="362" spans="1:5" x14ac:dyDescent="0.25">
      <c r="A362" t="s">
        <v>115</v>
      </c>
      <c r="B362" t="s">
        <v>23</v>
      </c>
      <c r="C362" t="s">
        <v>136</v>
      </c>
      <c r="D362">
        <f t="shared" ref="D362:D367" si="29">År3</f>
        <v>2050</v>
      </c>
      <c r="E362" t="e">
        <f>SUMIFS(IF(D362=År1,IF(B362="Vestdanmark",'Resultater - Vestdanmark'!$H$3:$H$474,'Resultater - Østdanmark'!$H$3:$H$474),IF(D362=År2,IF(B362="Vestdanmark",'Resultater - Vestdanmark'!$I$3:$I$474,'Resultater - Østdanmark'!$I$3:$I$474),IF(B362="Vestdanmark",'Resultater - Vestdanmark'!$J$3:$J$474,'Resultater - Østdanmark'!$J$3:$J$474))),'Resultater - Vestdanmark'!$D$3:$D$474,C362,'Resultater - Vestdanmark'!$F$3:$F$474,A362)/SUMIFS(IF(D362=År1,'[1]Processer - data'!$H$3:$H$467,IF(D362=År2,'[1]Processer - data'!$I$3:$I$467,'[1]Processer - data'!$J$3:$J$467)),'[1]Processer - data'!$D$3:$D$467,C362,'[1]Processer - data'!$F$3:$F$467,A362)</f>
        <v>#REF!</v>
      </c>
    </row>
    <row r="363" spans="1:5" x14ac:dyDescent="0.25">
      <c r="A363" t="s">
        <v>115</v>
      </c>
      <c r="B363" t="s">
        <v>23</v>
      </c>
      <c r="C363" t="s">
        <v>137</v>
      </c>
      <c r="D363">
        <f t="shared" si="29"/>
        <v>2050</v>
      </c>
      <c r="E363" t="e">
        <f>SUMIFS(IF(D363=År1,IF(B363="Vestdanmark",'Resultater - Vestdanmark'!$H$3:$H$474,'Resultater - Østdanmark'!$H$3:$H$474),IF(D363=År2,IF(B363="Vestdanmark",'Resultater - Vestdanmark'!$I$3:$I$474,'Resultater - Østdanmark'!$I$3:$I$474),IF(B363="Vestdanmark",'Resultater - Vestdanmark'!$J$3:$J$474,'Resultater - Østdanmark'!$J$3:$J$474))),'Resultater - Vestdanmark'!$D$3:$D$474,C363,'Resultater - Vestdanmark'!$F$3:$F$474,A363)/SUMIFS(IF(D363=År1,'[1]Processer - data'!$H$3:$H$467,IF(D363=År2,'[1]Processer - data'!$I$3:$I$467,'[1]Processer - data'!$J$3:$J$467)),'[1]Processer - data'!$D$3:$D$467,C363,'[1]Processer - data'!$F$3:$F$467,A363)</f>
        <v>#REF!</v>
      </c>
    </row>
    <row r="364" spans="1:5" x14ac:dyDescent="0.25">
      <c r="A364" t="s">
        <v>115</v>
      </c>
      <c r="B364" t="s">
        <v>23</v>
      </c>
      <c r="C364" t="s">
        <v>138</v>
      </c>
      <c r="D364">
        <f t="shared" si="29"/>
        <v>2050</v>
      </c>
      <c r="E364" t="e">
        <f>SUMIFS(IF(D364=År1,IF(B364="Vestdanmark",'Resultater - Vestdanmark'!$H$3:$H$474,'Resultater - Østdanmark'!$H$3:$H$474),IF(D364=År2,IF(B364="Vestdanmark",'Resultater - Vestdanmark'!$I$3:$I$474,'Resultater - Østdanmark'!$I$3:$I$474),IF(B364="Vestdanmark",'Resultater - Vestdanmark'!$J$3:$J$474,'Resultater - Østdanmark'!$J$3:$J$474))),'Resultater - Vestdanmark'!$D$3:$D$474,C364,'Resultater - Vestdanmark'!$F$3:$F$474,A364)/SUMIFS(IF(D364=År1,'[1]Processer - data'!$H$3:$H$467,IF(D364=År2,'[1]Processer - data'!$I$3:$I$467,'[1]Processer - data'!$J$3:$J$467)),'[1]Processer - data'!$D$3:$D$467,C364,'[1]Processer - data'!$F$3:$F$467,A364)</f>
        <v>#REF!</v>
      </c>
    </row>
    <row r="365" spans="1:5" x14ac:dyDescent="0.25">
      <c r="A365" t="s">
        <v>115</v>
      </c>
      <c r="B365" t="s">
        <v>23</v>
      </c>
      <c r="C365" t="s">
        <v>102</v>
      </c>
      <c r="D365">
        <f t="shared" si="29"/>
        <v>2050</v>
      </c>
      <c r="E365" t="e">
        <f>SUMIFS(IF(D365=År1,IF(B365="Vestdanmark",'Resultater - Vestdanmark'!$H$3:$H$474,'Resultater - Østdanmark'!$H$3:$H$474),IF(D365=År2,IF(B365="Vestdanmark",'Resultater - Vestdanmark'!$I$3:$I$474,'Resultater - Østdanmark'!$I$3:$I$474),IF(B365="Vestdanmark",'Resultater - Vestdanmark'!$J$3:$J$474,'Resultater - Østdanmark'!$J$3:$J$474))),'Resultater - Vestdanmark'!$D$3:$D$474,C365,'Resultater - Vestdanmark'!$F$3:$F$474,A365)/SUMIFS(IF(D365=År1,'[1]Processer - data'!$H$3:$H$467,IF(D365=År2,'[1]Processer - data'!$I$3:$I$467,'[1]Processer - data'!$J$3:$J$467)),'[1]Processer - data'!$D$3:$D$467,C365,'[1]Processer - data'!$F$3:$F$467,A365)</f>
        <v>#REF!</v>
      </c>
    </row>
    <row r="366" spans="1:5" x14ac:dyDescent="0.25">
      <c r="A366" t="s">
        <v>115</v>
      </c>
      <c r="B366" t="s">
        <v>23</v>
      </c>
      <c r="C366" t="s">
        <v>111</v>
      </c>
      <c r="D366">
        <f t="shared" si="29"/>
        <v>2050</v>
      </c>
      <c r="E366" t="e">
        <f>SUMIFS(IF(D366=År1,IF(B366="Vestdanmark",'Resultater - Vestdanmark'!$H$3:$H$474,'Resultater - Østdanmark'!$H$3:$H$474),IF(D366=År2,IF(B366="Vestdanmark",'Resultater - Vestdanmark'!$I$3:$I$474,'Resultater - Østdanmark'!$I$3:$I$474),IF(B366="Vestdanmark",'Resultater - Vestdanmark'!$J$3:$J$474,'Resultater - Østdanmark'!$J$3:$J$474))),'Resultater - Vestdanmark'!$D$3:$D$474,C366,'Resultater - Vestdanmark'!$F$3:$F$474,A366)/SUMIFS(IF(D366=År1,'[1]Processer - data'!$H$3:$H$467,IF(D366=År2,'[1]Processer - data'!$I$3:$I$467,'[1]Processer - data'!$J$3:$J$467)),'[1]Processer - data'!$D$3:$D$467,C366,'[1]Processer - data'!$F$3:$F$467,A366)</f>
        <v>#REF!</v>
      </c>
    </row>
    <row r="367" spans="1:5" x14ac:dyDescent="0.25">
      <c r="A367" t="s">
        <v>115</v>
      </c>
      <c r="B367" t="s">
        <v>23</v>
      </c>
      <c r="C367" t="s">
        <v>116</v>
      </c>
      <c r="D367">
        <f t="shared" si="29"/>
        <v>2050</v>
      </c>
      <c r="E367" t="e">
        <f>SUMIFS(IF(D367=År1,IF(B367="Vestdanmark",'Resultater - Vestdanmark'!$H$3:$H$474,'Resultater - Østdanmark'!$H$3:$H$474),IF(D367=År2,IF(B367="Vestdanmark",'Resultater - Vestdanmark'!$I$3:$I$474,'Resultater - Østdanmark'!$I$3:$I$474),IF(B367="Vestdanmark",'Resultater - Vestdanmark'!$J$3:$J$474,'Resultater - Østdanmark'!$J$3:$J$474))),'Resultater - Vestdanmark'!$D$3:$D$474,C367,'Resultater - Vestdanmark'!$F$3:$F$474,A367)/SUMIFS(IF(D367=År1,'[1]Processer - data'!$H$3:$H$467,IF(D367=År2,'[1]Processer - data'!$I$3:$I$467,'[1]Processer - data'!$J$3:$J$467)),'[1]Processer - data'!$D$3:$D$467,C367,'[1]Processer - data'!$F$3:$F$467,A367)</f>
        <v>#REF!</v>
      </c>
    </row>
    <row r="368" spans="1:5" x14ac:dyDescent="0.25">
      <c r="A368" t="s">
        <v>115</v>
      </c>
      <c r="B368" t="s">
        <v>24</v>
      </c>
      <c r="C368" t="s">
        <v>136</v>
      </c>
      <c r="D368">
        <f t="shared" ref="D368:D373" si="30">År1</f>
        <v>2019</v>
      </c>
      <c r="E368" t="e">
        <f>SUMIFS(IF(D368=År1,IF(B368="Vestdanmark",'Resultater - Vestdanmark'!$H$3:$H$474,'Resultater - Østdanmark'!$H$3:$H$474),IF(D368=År2,IF(B368="Vestdanmark",'Resultater - Vestdanmark'!$I$3:$I$474,'Resultater - Østdanmark'!$I$3:$I$474),IF(B368="Vestdanmark",'Resultater - Vestdanmark'!$J$3:$J$474,'Resultater - Østdanmark'!$J$3:$J$474))),'Resultater - Vestdanmark'!$D$3:$D$474,C368,'Resultater - Vestdanmark'!$F$3:$F$474,A368)/SUMIFS(IF(D368=År1,'[1]Processer - data'!$H$3:$H$467,IF(D368=År2,'[1]Processer - data'!$I$3:$I$467,'[1]Processer - data'!$J$3:$J$467)),'[1]Processer - data'!$D$3:$D$467,C368,'[1]Processer - data'!$F$3:$F$467,A368)</f>
        <v>#REF!</v>
      </c>
    </row>
    <row r="369" spans="1:5" x14ac:dyDescent="0.25">
      <c r="A369" t="s">
        <v>115</v>
      </c>
      <c r="B369" t="s">
        <v>24</v>
      </c>
      <c r="C369" t="s">
        <v>137</v>
      </c>
      <c r="D369">
        <f t="shared" si="30"/>
        <v>2019</v>
      </c>
      <c r="E369" t="e">
        <f>SUMIFS(IF(D369=År1,IF(B369="Vestdanmark",'Resultater - Vestdanmark'!$H$3:$H$474,'Resultater - Østdanmark'!$H$3:$H$474),IF(D369=År2,IF(B369="Vestdanmark",'Resultater - Vestdanmark'!$I$3:$I$474,'Resultater - Østdanmark'!$I$3:$I$474),IF(B369="Vestdanmark",'Resultater - Vestdanmark'!$J$3:$J$474,'Resultater - Østdanmark'!$J$3:$J$474))),'Resultater - Vestdanmark'!$D$3:$D$474,C369,'Resultater - Vestdanmark'!$F$3:$F$474,A369)/SUMIFS(IF(D369=År1,'[1]Processer - data'!$H$3:$H$467,IF(D369=År2,'[1]Processer - data'!$I$3:$I$467,'[1]Processer - data'!$J$3:$J$467)),'[1]Processer - data'!$D$3:$D$467,C369,'[1]Processer - data'!$F$3:$F$467,A369)</f>
        <v>#REF!</v>
      </c>
    </row>
    <row r="370" spans="1:5" x14ac:dyDescent="0.25">
      <c r="A370" t="s">
        <v>115</v>
      </c>
      <c r="B370" t="s">
        <v>24</v>
      </c>
      <c r="C370" t="s">
        <v>138</v>
      </c>
      <c r="D370">
        <f t="shared" si="30"/>
        <v>2019</v>
      </c>
      <c r="E370" t="e">
        <f>SUMIFS(IF(D370=År1,IF(B370="Vestdanmark",'Resultater - Vestdanmark'!$H$3:$H$474,'Resultater - Østdanmark'!$H$3:$H$474),IF(D370=År2,IF(B370="Vestdanmark",'Resultater - Vestdanmark'!$I$3:$I$474,'Resultater - Østdanmark'!$I$3:$I$474),IF(B370="Vestdanmark",'Resultater - Vestdanmark'!$J$3:$J$474,'Resultater - Østdanmark'!$J$3:$J$474))),'Resultater - Vestdanmark'!$D$3:$D$474,C370,'Resultater - Vestdanmark'!$F$3:$F$474,A370)/SUMIFS(IF(D370=År1,'[1]Processer - data'!$H$3:$H$467,IF(D370=År2,'[1]Processer - data'!$I$3:$I$467,'[1]Processer - data'!$J$3:$J$467)),'[1]Processer - data'!$D$3:$D$467,C370,'[1]Processer - data'!$F$3:$F$467,A370)</f>
        <v>#REF!</v>
      </c>
    </row>
    <row r="371" spans="1:5" x14ac:dyDescent="0.25">
      <c r="A371" t="s">
        <v>115</v>
      </c>
      <c r="B371" t="s">
        <v>24</v>
      </c>
      <c r="C371" t="s">
        <v>102</v>
      </c>
      <c r="D371">
        <f t="shared" si="30"/>
        <v>2019</v>
      </c>
      <c r="E371" t="e">
        <f>SUMIFS(IF(D371=År1,IF(B371="Vestdanmark",'Resultater - Vestdanmark'!$H$3:$H$474,'Resultater - Østdanmark'!$H$3:$H$474),IF(D371=År2,IF(B371="Vestdanmark",'Resultater - Vestdanmark'!$I$3:$I$474,'Resultater - Østdanmark'!$I$3:$I$474),IF(B371="Vestdanmark",'Resultater - Vestdanmark'!$J$3:$J$474,'Resultater - Østdanmark'!$J$3:$J$474))),'Resultater - Vestdanmark'!$D$3:$D$474,C371,'Resultater - Vestdanmark'!$F$3:$F$474,A371)/SUMIFS(IF(D371=År1,'[1]Processer - data'!$H$3:$H$467,IF(D371=År2,'[1]Processer - data'!$I$3:$I$467,'[1]Processer - data'!$J$3:$J$467)),'[1]Processer - data'!$D$3:$D$467,C371,'[1]Processer - data'!$F$3:$F$467,A371)</f>
        <v>#REF!</v>
      </c>
    </row>
    <row r="372" spans="1:5" x14ac:dyDescent="0.25">
      <c r="A372" t="s">
        <v>115</v>
      </c>
      <c r="B372" t="s">
        <v>24</v>
      </c>
      <c r="C372" t="s">
        <v>111</v>
      </c>
      <c r="D372">
        <f t="shared" si="30"/>
        <v>2019</v>
      </c>
      <c r="E372" t="e">
        <f>SUMIFS(IF(D372=År1,IF(B372="Vestdanmark",'Resultater - Vestdanmark'!$H$3:$H$474,'Resultater - Østdanmark'!$H$3:$H$474),IF(D372=År2,IF(B372="Vestdanmark",'Resultater - Vestdanmark'!$I$3:$I$474,'Resultater - Østdanmark'!$I$3:$I$474),IF(B372="Vestdanmark",'Resultater - Vestdanmark'!$J$3:$J$474,'Resultater - Østdanmark'!$J$3:$J$474))),'Resultater - Vestdanmark'!$D$3:$D$474,C372,'Resultater - Vestdanmark'!$F$3:$F$474,A372)/SUMIFS(IF(D372=År1,'[1]Processer - data'!$H$3:$H$467,IF(D372=År2,'[1]Processer - data'!$I$3:$I$467,'[1]Processer - data'!$J$3:$J$467)),'[1]Processer - data'!$D$3:$D$467,C372,'[1]Processer - data'!$F$3:$F$467,A372)</f>
        <v>#REF!</v>
      </c>
    </row>
    <row r="373" spans="1:5" x14ac:dyDescent="0.25">
      <c r="A373" t="s">
        <v>115</v>
      </c>
      <c r="B373" t="s">
        <v>24</v>
      </c>
      <c r="C373" t="s">
        <v>116</v>
      </c>
      <c r="D373">
        <f t="shared" si="30"/>
        <v>2019</v>
      </c>
      <c r="E373" t="e">
        <f>SUMIFS(IF(D373=År1,IF(B373="Vestdanmark",'Resultater - Vestdanmark'!$H$3:$H$474,'Resultater - Østdanmark'!$H$3:$H$474),IF(D373=År2,IF(B373="Vestdanmark",'Resultater - Vestdanmark'!$I$3:$I$474,'Resultater - Østdanmark'!$I$3:$I$474),IF(B373="Vestdanmark",'Resultater - Vestdanmark'!$J$3:$J$474,'Resultater - Østdanmark'!$J$3:$J$474))),'Resultater - Vestdanmark'!$D$3:$D$474,C373,'Resultater - Vestdanmark'!$F$3:$F$474,A373)/SUMIFS(IF(D373=År1,'[1]Processer - data'!$H$3:$H$467,IF(D373=År2,'[1]Processer - data'!$I$3:$I$467,'[1]Processer - data'!$J$3:$J$467)),'[1]Processer - data'!$D$3:$D$467,C373,'[1]Processer - data'!$F$3:$F$467,A373)</f>
        <v>#REF!</v>
      </c>
    </row>
    <row r="374" spans="1:5" x14ac:dyDescent="0.25">
      <c r="A374" t="s">
        <v>115</v>
      </c>
      <c r="B374" t="s">
        <v>24</v>
      </c>
      <c r="C374" t="s">
        <v>136</v>
      </c>
      <c r="D374">
        <f t="shared" ref="D374:D379" si="31">År2</f>
        <v>2030</v>
      </c>
      <c r="E374" t="e">
        <f>SUMIFS(IF(D374=År1,IF(B374="Vestdanmark",'Resultater - Vestdanmark'!$H$3:$H$474,'Resultater - Østdanmark'!$H$3:$H$474),IF(D374=År2,IF(B374="Vestdanmark",'Resultater - Vestdanmark'!$I$3:$I$474,'Resultater - Østdanmark'!$I$3:$I$474),IF(B374="Vestdanmark",'Resultater - Vestdanmark'!$J$3:$J$474,'Resultater - Østdanmark'!$J$3:$J$474))),'Resultater - Vestdanmark'!$D$3:$D$474,C374,'Resultater - Vestdanmark'!$F$3:$F$474,A374)/SUMIFS(IF(D374=År1,'[1]Processer - data'!$H$3:$H$467,IF(D374=År2,'[1]Processer - data'!$I$3:$I$467,'[1]Processer - data'!$J$3:$J$467)),'[1]Processer - data'!$D$3:$D$467,C374,'[1]Processer - data'!$F$3:$F$467,A374)</f>
        <v>#REF!</v>
      </c>
    </row>
    <row r="375" spans="1:5" x14ac:dyDescent="0.25">
      <c r="A375" t="s">
        <v>115</v>
      </c>
      <c r="B375" t="s">
        <v>24</v>
      </c>
      <c r="C375" t="s">
        <v>137</v>
      </c>
      <c r="D375">
        <f t="shared" si="31"/>
        <v>2030</v>
      </c>
      <c r="E375" t="e">
        <f>SUMIFS(IF(D375=År1,IF(B375="Vestdanmark",'Resultater - Vestdanmark'!$H$3:$H$474,'Resultater - Østdanmark'!$H$3:$H$474),IF(D375=År2,IF(B375="Vestdanmark",'Resultater - Vestdanmark'!$I$3:$I$474,'Resultater - Østdanmark'!$I$3:$I$474),IF(B375="Vestdanmark",'Resultater - Vestdanmark'!$J$3:$J$474,'Resultater - Østdanmark'!$J$3:$J$474))),'Resultater - Vestdanmark'!$D$3:$D$474,C375,'Resultater - Vestdanmark'!$F$3:$F$474,A375)/SUMIFS(IF(D375=År1,'[1]Processer - data'!$H$3:$H$467,IF(D375=År2,'[1]Processer - data'!$I$3:$I$467,'[1]Processer - data'!$J$3:$J$467)),'[1]Processer - data'!$D$3:$D$467,C375,'[1]Processer - data'!$F$3:$F$467,A375)</f>
        <v>#REF!</v>
      </c>
    </row>
    <row r="376" spans="1:5" x14ac:dyDescent="0.25">
      <c r="A376" t="s">
        <v>115</v>
      </c>
      <c r="B376" t="s">
        <v>24</v>
      </c>
      <c r="C376" t="s">
        <v>138</v>
      </c>
      <c r="D376">
        <f t="shared" si="31"/>
        <v>2030</v>
      </c>
      <c r="E376" t="e">
        <f>SUMIFS(IF(D376=År1,IF(B376="Vestdanmark",'Resultater - Vestdanmark'!$H$3:$H$474,'Resultater - Østdanmark'!$H$3:$H$474),IF(D376=År2,IF(B376="Vestdanmark",'Resultater - Vestdanmark'!$I$3:$I$474,'Resultater - Østdanmark'!$I$3:$I$474),IF(B376="Vestdanmark",'Resultater - Vestdanmark'!$J$3:$J$474,'Resultater - Østdanmark'!$J$3:$J$474))),'Resultater - Vestdanmark'!$D$3:$D$474,C376,'Resultater - Vestdanmark'!$F$3:$F$474,A376)/SUMIFS(IF(D376=År1,'[1]Processer - data'!$H$3:$H$467,IF(D376=År2,'[1]Processer - data'!$I$3:$I$467,'[1]Processer - data'!$J$3:$J$467)),'[1]Processer - data'!$D$3:$D$467,C376,'[1]Processer - data'!$F$3:$F$467,A376)</f>
        <v>#REF!</v>
      </c>
    </row>
    <row r="377" spans="1:5" x14ac:dyDescent="0.25">
      <c r="A377" t="s">
        <v>115</v>
      </c>
      <c r="B377" t="s">
        <v>24</v>
      </c>
      <c r="C377" t="s">
        <v>102</v>
      </c>
      <c r="D377">
        <f t="shared" si="31"/>
        <v>2030</v>
      </c>
      <c r="E377" t="e">
        <f>SUMIFS(IF(D377=År1,IF(B377="Vestdanmark",'Resultater - Vestdanmark'!$H$3:$H$474,'Resultater - Østdanmark'!$H$3:$H$474),IF(D377=År2,IF(B377="Vestdanmark",'Resultater - Vestdanmark'!$I$3:$I$474,'Resultater - Østdanmark'!$I$3:$I$474),IF(B377="Vestdanmark",'Resultater - Vestdanmark'!$J$3:$J$474,'Resultater - Østdanmark'!$J$3:$J$474))),'Resultater - Vestdanmark'!$D$3:$D$474,C377,'Resultater - Vestdanmark'!$F$3:$F$474,A377)/SUMIFS(IF(D377=År1,'[1]Processer - data'!$H$3:$H$467,IF(D377=År2,'[1]Processer - data'!$I$3:$I$467,'[1]Processer - data'!$J$3:$J$467)),'[1]Processer - data'!$D$3:$D$467,C377,'[1]Processer - data'!$F$3:$F$467,A377)</f>
        <v>#REF!</v>
      </c>
    </row>
    <row r="378" spans="1:5" x14ac:dyDescent="0.25">
      <c r="A378" t="s">
        <v>115</v>
      </c>
      <c r="B378" t="s">
        <v>24</v>
      </c>
      <c r="C378" t="s">
        <v>111</v>
      </c>
      <c r="D378">
        <f t="shared" si="31"/>
        <v>2030</v>
      </c>
      <c r="E378" t="e">
        <f>SUMIFS(IF(D378=År1,IF(B378="Vestdanmark",'Resultater - Vestdanmark'!$H$3:$H$474,'Resultater - Østdanmark'!$H$3:$H$474),IF(D378=År2,IF(B378="Vestdanmark",'Resultater - Vestdanmark'!$I$3:$I$474,'Resultater - Østdanmark'!$I$3:$I$474),IF(B378="Vestdanmark",'Resultater - Vestdanmark'!$J$3:$J$474,'Resultater - Østdanmark'!$J$3:$J$474))),'Resultater - Vestdanmark'!$D$3:$D$474,C378,'Resultater - Vestdanmark'!$F$3:$F$474,A378)/SUMIFS(IF(D378=År1,'[1]Processer - data'!$H$3:$H$467,IF(D378=År2,'[1]Processer - data'!$I$3:$I$467,'[1]Processer - data'!$J$3:$J$467)),'[1]Processer - data'!$D$3:$D$467,C378,'[1]Processer - data'!$F$3:$F$467,A378)</f>
        <v>#REF!</v>
      </c>
    </row>
    <row r="379" spans="1:5" x14ac:dyDescent="0.25">
      <c r="A379" t="s">
        <v>115</v>
      </c>
      <c r="B379" t="s">
        <v>24</v>
      </c>
      <c r="C379" t="s">
        <v>116</v>
      </c>
      <c r="D379">
        <f t="shared" si="31"/>
        <v>2030</v>
      </c>
      <c r="E379" t="e">
        <f>SUMIFS(IF(D379=År1,IF(B379="Vestdanmark",'Resultater - Vestdanmark'!$H$3:$H$474,'Resultater - Østdanmark'!$H$3:$H$474),IF(D379=År2,IF(B379="Vestdanmark",'Resultater - Vestdanmark'!$I$3:$I$474,'Resultater - Østdanmark'!$I$3:$I$474),IF(B379="Vestdanmark",'Resultater - Vestdanmark'!$J$3:$J$474,'Resultater - Østdanmark'!$J$3:$J$474))),'Resultater - Vestdanmark'!$D$3:$D$474,C379,'Resultater - Vestdanmark'!$F$3:$F$474,A379)/SUMIFS(IF(D379=År1,'[1]Processer - data'!$H$3:$H$467,IF(D379=År2,'[1]Processer - data'!$I$3:$I$467,'[1]Processer - data'!$J$3:$J$467)),'[1]Processer - data'!$D$3:$D$467,C379,'[1]Processer - data'!$F$3:$F$467,A379)</f>
        <v>#REF!</v>
      </c>
    </row>
    <row r="380" spans="1:5" x14ac:dyDescent="0.25">
      <c r="A380" t="s">
        <v>115</v>
      </c>
      <c r="B380" t="s">
        <v>24</v>
      </c>
      <c r="C380" t="s">
        <v>136</v>
      </c>
      <c r="D380">
        <f t="shared" ref="D380:D385" si="32">År3</f>
        <v>2050</v>
      </c>
      <c r="E380" t="e">
        <f>SUMIFS(IF(D380=År1,IF(B380="Vestdanmark",'Resultater - Vestdanmark'!$H$3:$H$474,'Resultater - Østdanmark'!$H$3:$H$474),IF(D380=År2,IF(B380="Vestdanmark",'Resultater - Vestdanmark'!$I$3:$I$474,'Resultater - Østdanmark'!$I$3:$I$474),IF(B380="Vestdanmark",'Resultater - Vestdanmark'!$J$3:$J$474,'Resultater - Østdanmark'!$J$3:$J$474))),'Resultater - Vestdanmark'!$D$3:$D$474,C380,'Resultater - Vestdanmark'!$F$3:$F$474,A380)/SUMIFS(IF(D380=År1,'[1]Processer - data'!$H$3:$H$467,IF(D380=År2,'[1]Processer - data'!$I$3:$I$467,'[1]Processer - data'!$J$3:$J$467)),'[1]Processer - data'!$D$3:$D$467,C380,'[1]Processer - data'!$F$3:$F$467,A380)</f>
        <v>#REF!</v>
      </c>
    </row>
    <row r="381" spans="1:5" x14ac:dyDescent="0.25">
      <c r="A381" t="s">
        <v>115</v>
      </c>
      <c r="B381" t="s">
        <v>24</v>
      </c>
      <c r="C381" t="s">
        <v>137</v>
      </c>
      <c r="D381">
        <f t="shared" si="32"/>
        <v>2050</v>
      </c>
      <c r="E381" t="e">
        <f>SUMIFS(IF(D381=År1,IF(B381="Vestdanmark",'Resultater - Vestdanmark'!$H$3:$H$474,'Resultater - Østdanmark'!$H$3:$H$474),IF(D381=År2,IF(B381="Vestdanmark",'Resultater - Vestdanmark'!$I$3:$I$474,'Resultater - Østdanmark'!$I$3:$I$474),IF(B381="Vestdanmark",'Resultater - Vestdanmark'!$J$3:$J$474,'Resultater - Østdanmark'!$J$3:$J$474))),'Resultater - Vestdanmark'!$D$3:$D$474,C381,'Resultater - Vestdanmark'!$F$3:$F$474,A381)/SUMIFS(IF(D381=År1,'[1]Processer - data'!$H$3:$H$467,IF(D381=År2,'[1]Processer - data'!$I$3:$I$467,'[1]Processer - data'!$J$3:$J$467)),'[1]Processer - data'!$D$3:$D$467,C381,'[1]Processer - data'!$F$3:$F$467,A381)</f>
        <v>#REF!</v>
      </c>
    </row>
    <row r="382" spans="1:5" x14ac:dyDescent="0.25">
      <c r="A382" t="s">
        <v>115</v>
      </c>
      <c r="B382" t="s">
        <v>24</v>
      </c>
      <c r="C382" t="s">
        <v>138</v>
      </c>
      <c r="D382">
        <f t="shared" si="32"/>
        <v>2050</v>
      </c>
      <c r="E382" t="e">
        <f>SUMIFS(IF(D382=År1,IF(B382="Vestdanmark",'Resultater - Vestdanmark'!$H$3:$H$474,'Resultater - Østdanmark'!$H$3:$H$474),IF(D382=År2,IF(B382="Vestdanmark",'Resultater - Vestdanmark'!$I$3:$I$474,'Resultater - Østdanmark'!$I$3:$I$474),IF(B382="Vestdanmark",'Resultater - Vestdanmark'!$J$3:$J$474,'Resultater - Østdanmark'!$J$3:$J$474))),'Resultater - Vestdanmark'!$D$3:$D$474,C382,'Resultater - Vestdanmark'!$F$3:$F$474,A382)/SUMIFS(IF(D382=År1,'[1]Processer - data'!$H$3:$H$467,IF(D382=År2,'[1]Processer - data'!$I$3:$I$467,'[1]Processer - data'!$J$3:$J$467)),'[1]Processer - data'!$D$3:$D$467,C382,'[1]Processer - data'!$F$3:$F$467,A382)</f>
        <v>#REF!</v>
      </c>
    </row>
    <row r="383" spans="1:5" x14ac:dyDescent="0.25">
      <c r="A383" t="s">
        <v>115</v>
      </c>
      <c r="B383" t="s">
        <v>24</v>
      </c>
      <c r="C383" t="s">
        <v>102</v>
      </c>
      <c r="D383">
        <f t="shared" si="32"/>
        <v>2050</v>
      </c>
      <c r="E383" t="e">
        <f>SUMIFS(IF(D383=År1,IF(B383="Vestdanmark",'Resultater - Vestdanmark'!$H$3:$H$474,'Resultater - Østdanmark'!$H$3:$H$474),IF(D383=År2,IF(B383="Vestdanmark",'Resultater - Vestdanmark'!$I$3:$I$474,'Resultater - Østdanmark'!$I$3:$I$474),IF(B383="Vestdanmark",'Resultater - Vestdanmark'!$J$3:$J$474,'Resultater - Østdanmark'!$J$3:$J$474))),'Resultater - Vestdanmark'!$D$3:$D$474,C383,'Resultater - Vestdanmark'!$F$3:$F$474,A383)/SUMIFS(IF(D383=År1,'[1]Processer - data'!$H$3:$H$467,IF(D383=År2,'[1]Processer - data'!$I$3:$I$467,'[1]Processer - data'!$J$3:$J$467)),'[1]Processer - data'!$D$3:$D$467,C383,'[1]Processer - data'!$F$3:$F$467,A383)</f>
        <v>#REF!</v>
      </c>
    </row>
    <row r="384" spans="1:5" x14ac:dyDescent="0.25">
      <c r="A384" t="s">
        <v>115</v>
      </c>
      <c r="B384" t="s">
        <v>24</v>
      </c>
      <c r="C384" t="s">
        <v>111</v>
      </c>
      <c r="D384">
        <f t="shared" si="32"/>
        <v>2050</v>
      </c>
      <c r="E384" t="e">
        <f>SUMIFS(IF(D384=År1,IF(B384="Vestdanmark",'Resultater - Vestdanmark'!$H$3:$H$474,'Resultater - Østdanmark'!$H$3:$H$474),IF(D384=År2,IF(B384="Vestdanmark",'Resultater - Vestdanmark'!$I$3:$I$474,'Resultater - Østdanmark'!$I$3:$I$474),IF(B384="Vestdanmark",'Resultater - Vestdanmark'!$J$3:$J$474,'Resultater - Østdanmark'!$J$3:$J$474))),'Resultater - Vestdanmark'!$D$3:$D$474,C384,'Resultater - Vestdanmark'!$F$3:$F$474,A384)/SUMIFS(IF(D384=År1,'[1]Processer - data'!$H$3:$H$467,IF(D384=År2,'[1]Processer - data'!$I$3:$I$467,'[1]Processer - data'!$J$3:$J$467)),'[1]Processer - data'!$D$3:$D$467,C384,'[1]Processer - data'!$F$3:$F$467,A384)</f>
        <v>#REF!</v>
      </c>
    </row>
    <row r="385" spans="1:7" x14ac:dyDescent="0.25">
      <c r="A385" t="s">
        <v>115</v>
      </c>
      <c r="B385" t="s">
        <v>24</v>
      </c>
      <c r="C385" t="s">
        <v>116</v>
      </c>
      <c r="D385">
        <f t="shared" si="32"/>
        <v>2050</v>
      </c>
      <c r="E385" t="e">
        <f>SUMIFS(IF(D385=År1,IF(B385="Vestdanmark",'Resultater - Vestdanmark'!$H$3:$H$474,'Resultater - Østdanmark'!$H$3:$H$474),IF(D385=År2,IF(B385="Vestdanmark",'Resultater - Vestdanmark'!$I$3:$I$474,'Resultater - Østdanmark'!$I$3:$I$474),IF(B385="Vestdanmark",'Resultater - Vestdanmark'!$J$3:$J$474,'Resultater - Østdanmark'!$J$3:$J$474))),'Resultater - Vestdanmark'!$D$3:$D$474,C385,'Resultater - Vestdanmark'!$F$3:$F$474,A385)/SUMIFS(IF(D385=År1,'[1]Processer - data'!$H$3:$H$467,IF(D385=År2,'[1]Processer - data'!$I$3:$I$467,'[1]Processer - data'!$J$3:$J$467)),'[1]Processer - data'!$D$3:$D$467,C385,'[1]Processer - data'!$F$3:$F$467,A385)</f>
        <v>#REF!</v>
      </c>
    </row>
    <row r="386" spans="1:7" x14ac:dyDescent="0.25">
      <c r="A386" t="s">
        <v>211</v>
      </c>
      <c r="B386" t="s">
        <v>23</v>
      </c>
      <c r="C386" t="s">
        <v>51</v>
      </c>
      <c r="D386">
        <f>År1</f>
        <v>2019</v>
      </c>
      <c r="E386" t="e">
        <f>SUMIFS($E$2:$E$385,$A$2:$A$385,"Foder",$B$2:$B$385,B386,$C$2:$C$385,"Græsprotein",$D$2:$D$385,D386)/VLOOKUP(A386,'[1]Processer - data'!$A$3:$J$470,MATCH(D386,'[1]Processer - data'!$A$2:$J$2,0),FALSE)</f>
        <v>#REF!</v>
      </c>
      <c r="G386" s="171">
        <v>1</v>
      </c>
    </row>
    <row r="387" spans="1:7" x14ac:dyDescent="0.25">
      <c r="A387" t="s">
        <v>211</v>
      </c>
      <c r="B387" t="s">
        <v>23</v>
      </c>
      <c r="C387" t="s">
        <v>51</v>
      </c>
      <c r="D387">
        <f>År2</f>
        <v>2030</v>
      </c>
      <c r="E387" t="e">
        <f>SUMIFS($E$2:$E$385,$A$2:$A$385,"Foder",$B$2:$B$385,B387,$C$2:$C$385,"Græsprotein",$D$2:$D$385,D387)/VLOOKUP(A387,'[1]Processer - data'!$A$3:$J$470,MATCH(D387,'[1]Processer - data'!$A$2:$J$2,0),FALSE)</f>
        <v>#REF!</v>
      </c>
      <c r="G387" s="171">
        <v>1</v>
      </c>
    </row>
    <row r="388" spans="1:7" x14ac:dyDescent="0.25">
      <c r="A388" t="s">
        <v>211</v>
      </c>
      <c r="B388" t="s">
        <v>23</v>
      </c>
      <c r="C388" t="s">
        <v>51</v>
      </c>
      <c r="D388">
        <f>År3</f>
        <v>2050</v>
      </c>
      <c r="E388" t="e">
        <f>SUMIFS($E$2:$E$385,$A$2:$A$385,"Foder",$B$2:$B$385,B388,$C$2:$C$385,"Græsprotein",$D$2:$D$385,D388)/VLOOKUP(A388,'[1]Processer - data'!$A$3:$J$470,MATCH(D388,'[1]Processer - data'!$A$2:$J$2,0),FALSE)</f>
        <v>#REF!</v>
      </c>
      <c r="G388" s="171">
        <v>1</v>
      </c>
    </row>
    <row r="389" spans="1:7" x14ac:dyDescent="0.25">
      <c r="A389" t="s">
        <v>211</v>
      </c>
      <c r="B389" t="s">
        <v>24</v>
      </c>
      <c r="C389" t="s">
        <v>51</v>
      </c>
      <c r="D389">
        <f>År1</f>
        <v>2019</v>
      </c>
      <c r="E389" t="e">
        <f>SUMIFS($E$2:$E$385,$A$2:$A$385,"Foder",$B$2:$B$385,B389,$C$2:$C$385,"Græsprotein",$D$2:$D$385,D389)/VLOOKUP(A389,'[1]Processer - data'!$A$3:$J$470,MATCH(D389,'[1]Processer - data'!$A$2:$J$2,0),FALSE)</f>
        <v>#REF!</v>
      </c>
      <c r="G389" s="171">
        <v>1</v>
      </c>
    </row>
    <row r="390" spans="1:7" x14ac:dyDescent="0.25">
      <c r="A390" t="s">
        <v>211</v>
      </c>
      <c r="B390" t="s">
        <v>24</v>
      </c>
      <c r="C390" t="s">
        <v>51</v>
      </c>
      <c r="D390">
        <f>År2</f>
        <v>2030</v>
      </c>
      <c r="E390" t="e">
        <f>SUMIFS($E$2:$E$385,$A$2:$A$385,"Foder",$B$2:$B$385,B390,$C$2:$C$385,"Græsprotein",$D$2:$D$385,D390)/VLOOKUP(A390,'[1]Processer - data'!$A$3:$J$470,MATCH(D390,'[1]Processer - data'!$A$2:$J$2,0),FALSE)</f>
        <v>#REF!</v>
      </c>
      <c r="G390" s="171">
        <v>1</v>
      </c>
    </row>
    <row r="391" spans="1:7" x14ac:dyDescent="0.25">
      <c r="A391" t="s">
        <v>211</v>
      </c>
      <c r="B391" t="s">
        <v>24</v>
      </c>
      <c r="C391" t="s">
        <v>51</v>
      </c>
      <c r="D391">
        <f>År3</f>
        <v>2050</v>
      </c>
      <c r="E391" t="e">
        <f>SUMIFS($E$2:$E$385,$A$2:$A$385,"Foder",$B$2:$B$385,B391,$C$2:$C$385,"Græsprotein",$D$2:$D$385,D391)/VLOOKUP(A391,'[1]Processer - data'!$A$3:$J$470,MATCH(D391,'[1]Processer - data'!$A$2:$J$2,0),FALSE)</f>
        <v>#REF!</v>
      </c>
      <c r="G391" s="171">
        <v>1</v>
      </c>
    </row>
    <row r="392" spans="1:7" x14ac:dyDescent="0.25">
      <c r="A392" t="s">
        <v>239</v>
      </c>
      <c r="B392" t="s">
        <v>23</v>
      </c>
      <c r="C392" t="s">
        <v>50</v>
      </c>
      <c r="D392">
        <f>År1</f>
        <v>2019</v>
      </c>
      <c r="E392" t="e">
        <f>IF(B392="Vestdanmark",SUMIFS(IF(D392=År1,'Resultater - Vestdanmark'!$H$3:$H$472,IF(D392=År2,'Resultater - Vestdanmark'!$I$3:$I$472,'Resultater - Vestdanmark'!$J$3:$J$472)),'Resultater - Vestdanmark'!$F$3:$F$472,C392),SUMIFS(IF(D392=År1,'Resultater - Østdanmark'!$H$3:$H$472,IF(D392=År2,'Resultater - Østdanmark'!$I$3:$I$472,'Resultater - Østdanmark'!$J$3:$J$472)),'Resultater - Østdanmark'!$F$3:$F$472,C392))</f>
        <v>#REF!</v>
      </c>
      <c r="G392" s="171">
        <v>1</v>
      </c>
    </row>
    <row r="393" spans="1:7" x14ac:dyDescent="0.25">
      <c r="A393" t="s">
        <v>239</v>
      </c>
      <c r="B393" t="s">
        <v>23</v>
      </c>
      <c r="C393" t="s">
        <v>50</v>
      </c>
      <c r="D393">
        <f>År2</f>
        <v>2030</v>
      </c>
      <c r="E393" t="e">
        <f>IF(B393="Vestdanmark",SUMIFS(IF(D393=År1,'Resultater - Vestdanmark'!$H$3:$H$472,IF(D393=År2,'Resultater - Vestdanmark'!$I$3:$I$472,'Resultater - Vestdanmark'!$J$3:$J$472)),'Resultater - Vestdanmark'!$F$3:$F$472,C393),SUMIFS(IF(D393=År1,'Resultater - Østdanmark'!$H$3:$H$472,IF(D393=År2,'Resultater - Østdanmark'!$I$3:$I$472,'Resultater - Østdanmark'!$J$3:$J$472)),'Resultater - Østdanmark'!$F$3:$F$472,C393))</f>
        <v>#REF!</v>
      </c>
      <c r="G393" s="171">
        <v>1</v>
      </c>
    </row>
    <row r="394" spans="1:7" x14ac:dyDescent="0.25">
      <c r="A394" t="s">
        <v>239</v>
      </c>
      <c r="B394" t="s">
        <v>23</v>
      </c>
      <c r="C394" t="s">
        <v>50</v>
      </c>
      <c r="D394">
        <f>År3</f>
        <v>2050</v>
      </c>
      <c r="E394" t="e">
        <f>IF(B394="Vestdanmark",SUMIFS(IF(D394=År1,'Resultater - Vestdanmark'!$H$3:$H$472,IF(D394=År2,'Resultater - Vestdanmark'!$I$3:$I$472,'Resultater - Vestdanmark'!$J$3:$J$472)),'Resultater - Vestdanmark'!$F$3:$F$472,C394),SUMIFS(IF(D394=År1,'Resultater - Østdanmark'!$H$3:$H$472,IF(D394=År2,'Resultater - Østdanmark'!$I$3:$I$472,'Resultater - Østdanmark'!$J$3:$J$472)),'Resultater - Østdanmark'!$F$3:$F$472,C394))</f>
        <v>#REF!</v>
      </c>
      <c r="G394" s="171">
        <v>1</v>
      </c>
    </row>
    <row r="395" spans="1:7" x14ac:dyDescent="0.25">
      <c r="A395" t="s">
        <v>239</v>
      </c>
      <c r="B395" t="s">
        <v>24</v>
      </c>
      <c r="C395" t="s">
        <v>50</v>
      </c>
      <c r="D395">
        <f>År1</f>
        <v>2019</v>
      </c>
      <c r="E395" t="e">
        <f>IF(B395="Vestdanmark",SUMIFS(IF(D395=År1,'Resultater - Vestdanmark'!$H$3:$H$472,IF(D395=År2,'Resultater - Vestdanmark'!$I$3:$I$472,'Resultater - Vestdanmark'!$J$3:$J$472)),'Resultater - Vestdanmark'!$F$3:$F$472,C395),SUMIFS(IF(D395=År1,'Resultater - Østdanmark'!$H$3:$H$472,IF(D395=År2,'Resultater - Østdanmark'!$I$3:$I$472,'Resultater - Østdanmark'!$J$3:$J$472)),'Resultater - Østdanmark'!$F$3:$F$472,C395))</f>
        <v>#REF!</v>
      </c>
      <c r="G395" s="171">
        <v>1</v>
      </c>
    </row>
    <row r="396" spans="1:7" x14ac:dyDescent="0.25">
      <c r="A396" t="s">
        <v>239</v>
      </c>
      <c r="B396" t="s">
        <v>24</v>
      </c>
      <c r="C396" t="s">
        <v>50</v>
      </c>
      <c r="D396">
        <f>År2</f>
        <v>2030</v>
      </c>
      <c r="E396" t="e">
        <f>IF(B396="Vestdanmark",SUMIFS(IF(D396=År1,'Resultater - Vestdanmark'!$H$3:$H$472,IF(D396=År2,'Resultater - Vestdanmark'!$I$3:$I$472,'Resultater - Vestdanmark'!$J$3:$J$472)),'Resultater - Vestdanmark'!$F$3:$F$472,C396),SUMIFS(IF(D396=År1,'Resultater - Østdanmark'!$H$3:$H$472,IF(D396=År2,'Resultater - Østdanmark'!$I$3:$I$472,'Resultater - Østdanmark'!$J$3:$J$472)),'Resultater - Østdanmark'!$F$3:$F$472,C396))</f>
        <v>#REF!</v>
      </c>
      <c r="G396" s="171">
        <v>1</v>
      </c>
    </row>
    <row r="397" spans="1:7" x14ac:dyDescent="0.25">
      <c r="A397" t="s">
        <v>239</v>
      </c>
      <c r="B397" t="s">
        <v>24</v>
      </c>
      <c r="C397" t="s">
        <v>50</v>
      </c>
      <c r="D397">
        <f>År3</f>
        <v>2050</v>
      </c>
      <c r="E397" t="e">
        <f>IF(B397="Vestdanmark",SUMIFS(IF(D397=År1,'Resultater - Vestdanmark'!$H$3:$H$472,IF(D397=År2,'Resultater - Vestdanmark'!$I$3:$I$472,'Resultater - Vestdanmark'!$J$3:$J$472)),'Resultater - Vestdanmark'!$F$3:$F$472,C397),SUMIFS(IF(D397=År1,'Resultater - Østdanmark'!$H$3:$H$472,IF(D397=År2,'Resultater - Østdanmark'!$I$3:$I$472,'Resultater - Østdanmark'!$J$3:$J$472)),'Resultater - Østdanmark'!$F$3:$F$472,C397))</f>
        <v>#REF!</v>
      </c>
      <c r="G397" s="171">
        <v>1</v>
      </c>
    </row>
    <row r="398" spans="1:7" x14ac:dyDescent="0.25">
      <c r="A398" t="s">
        <v>320</v>
      </c>
      <c r="B398" s="171" t="s">
        <v>23</v>
      </c>
      <c r="C398" t="s">
        <v>68</v>
      </c>
      <c r="D398" s="171">
        <f>År1</f>
        <v>2019</v>
      </c>
      <c r="E398" t="e">
        <f>HLOOKUP(D398,'Forbrug til andet'!$B$3:$D$4,2,FALSE)*IF(B398="Vestdanmark",SUMIFS(IF(D398=År1,'Resultater - Vestdanmark'!$H$3:$H$480,IF(D398=År2,'Resultater - Vestdanmark'!$I$3:$I$480,'Resultater - Vestdanmark'!$J$3:$J$480)),'Resultater - Vestdanmark'!$F$3:$F$480,'Forbrug af biomasse'!C398),SUMIFS(IF(D398=År1,'Resultater - Østdanmark'!$H$3:$H$480,IF(D398=År2,'Resultater - Østdanmark'!$I$3:$I$480,'Resultater - Østdanmark'!$J$3:$J$480)),'Resultater - Østdanmark'!$F$3:$F$480,'Forbrug af biomasse'!C398))/SUMIFS(IF(D398=År1,'Resultater - Danmark'!$H$3:$H$480,IF(D398=År2,'Resultater - Danmark'!$I$3:$I$480,'Resultater - Danmark'!$J$3:$J$480)),'Resultater - Danmark'!$F$3:$F$480,'Forbrug af biomasse'!C398)</f>
        <v>#REF!</v>
      </c>
      <c r="G398" s="171">
        <v>1</v>
      </c>
    </row>
    <row r="399" spans="1:7" x14ac:dyDescent="0.25">
      <c r="A399" s="171" t="s">
        <v>320</v>
      </c>
      <c r="B399" s="171" t="s">
        <v>23</v>
      </c>
      <c r="C399" s="171" t="s">
        <v>68</v>
      </c>
      <c r="D399" s="171">
        <f>År2</f>
        <v>2030</v>
      </c>
      <c r="E399" s="171" t="e">
        <f>HLOOKUP(D399,'Forbrug til andet'!$B$3:$D$4,2,FALSE)*IF(B399="Vestdanmark",SUMIFS(IF(D399=År1,'Resultater - Vestdanmark'!$H$3:$H$480,IF(D399=År2,'Resultater - Vestdanmark'!$I$3:$I$480,'Resultater - Vestdanmark'!$J$3:$J$480)),'Resultater - Vestdanmark'!$F$3:$F$480,'Forbrug af biomasse'!C399),SUMIFS(IF(D399=År1,'Resultater - Østdanmark'!$H$3:$H$480,IF(D399=År2,'Resultater - Østdanmark'!$I$3:$I$480,'Resultater - Østdanmark'!$J$3:$J$480)),'Resultater - Østdanmark'!$F$3:$F$480,'Forbrug af biomasse'!C399))/SUMIFS(IF(D399=År1,'Resultater - Danmark'!$H$3:$H$480,IF(D399=År2,'Resultater - Danmark'!$I$3:$I$480,'Resultater - Danmark'!$J$3:$J$480)),'Resultater - Danmark'!$F$3:$F$480,'Forbrug af biomasse'!C399)</f>
        <v>#REF!</v>
      </c>
      <c r="G399" s="171">
        <v>1</v>
      </c>
    </row>
    <row r="400" spans="1:7" x14ac:dyDescent="0.25">
      <c r="A400" s="171" t="s">
        <v>320</v>
      </c>
      <c r="B400" s="171" t="s">
        <v>23</v>
      </c>
      <c r="C400" s="171" t="s">
        <v>68</v>
      </c>
      <c r="D400" s="171">
        <f>År3</f>
        <v>2050</v>
      </c>
      <c r="E400" s="171" t="e">
        <f>HLOOKUP(D400,'Forbrug til andet'!$B$3:$D$4,2,FALSE)*IF(B400="Vestdanmark",SUMIFS(IF(D400=År1,'Resultater - Vestdanmark'!$H$3:$H$480,IF(D400=År2,'Resultater - Vestdanmark'!$I$3:$I$480,'Resultater - Vestdanmark'!$J$3:$J$480)),'Resultater - Vestdanmark'!$F$3:$F$480,'Forbrug af biomasse'!C400),SUMIFS(IF(D400=År1,'Resultater - Østdanmark'!$H$3:$H$480,IF(D400=År2,'Resultater - Østdanmark'!$I$3:$I$480,'Resultater - Østdanmark'!$J$3:$J$480)),'Resultater - Østdanmark'!$F$3:$F$480,'Forbrug af biomasse'!C400))/SUMIFS(IF(D400=År1,'Resultater - Danmark'!$H$3:$H$480,IF(D400=År2,'Resultater - Danmark'!$I$3:$I$480,'Resultater - Danmark'!$J$3:$J$480)),'Resultater - Danmark'!$F$3:$F$480,'Forbrug af biomasse'!C400)</f>
        <v>#REF!</v>
      </c>
      <c r="G400" s="171">
        <v>1</v>
      </c>
    </row>
    <row r="401" spans="1:7" x14ac:dyDescent="0.25">
      <c r="A401" s="171" t="s">
        <v>320</v>
      </c>
      <c r="B401" s="171" t="s">
        <v>24</v>
      </c>
      <c r="C401" s="171" t="s">
        <v>68</v>
      </c>
      <c r="D401" s="171">
        <f>År1</f>
        <v>2019</v>
      </c>
      <c r="E401" s="171" t="e">
        <f>HLOOKUP(D401,'Forbrug til andet'!$B$3:$D$4,2,FALSE)*IF(B401="Vestdanmark",SUMIFS(IF(D401=År1,'Resultater - Vestdanmark'!$H$3:$H$480,IF(D401=År2,'Resultater - Vestdanmark'!$I$3:$I$480,'Resultater - Vestdanmark'!$J$3:$J$480)),'Resultater - Vestdanmark'!$F$3:$F$480,'Forbrug af biomasse'!C401),SUMIFS(IF(D401=År1,'Resultater - Østdanmark'!$H$3:$H$480,IF(D401=År2,'Resultater - Østdanmark'!$I$3:$I$480,'Resultater - Østdanmark'!$J$3:$J$480)),'Resultater - Østdanmark'!$F$3:$F$480,'Forbrug af biomasse'!C401))/SUMIFS(IF(D401=År1,'Resultater - Danmark'!$H$3:$H$480,IF(D401=År2,'Resultater - Danmark'!$I$3:$I$480,'Resultater - Danmark'!$J$3:$J$480)),'Resultater - Danmark'!$F$3:$F$480,'Forbrug af biomasse'!C401)</f>
        <v>#REF!</v>
      </c>
      <c r="G401" s="171">
        <v>1</v>
      </c>
    </row>
    <row r="402" spans="1:7" x14ac:dyDescent="0.25">
      <c r="A402" s="171" t="s">
        <v>320</v>
      </c>
      <c r="B402" s="171" t="s">
        <v>24</v>
      </c>
      <c r="C402" s="171" t="s">
        <v>68</v>
      </c>
      <c r="D402" s="171">
        <f>År2</f>
        <v>2030</v>
      </c>
      <c r="E402" s="171" t="e">
        <f>HLOOKUP(D402,'Forbrug til andet'!$B$3:$D$4,2,FALSE)*IF(B402="Vestdanmark",SUMIFS(IF(D402=År1,'Resultater - Vestdanmark'!$H$3:$H$480,IF(D402=År2,'Resultater - Vestdanmark'!$I$3:$I$480,'Resultater - Vestdanmark'!$J$3:$J$480)),'Resultater - Vestdanmark'!$F$3:$F$480,'Forbrug af biomasse'!C402),SUMIFS(IF(D402=År1,'Resultater - Østdanmark'!$H$3:$H$480,IF(D402=År2,'Resultater - Østdanmark'!$I$3:$I$480,'Resultater - Østdanmark'!$J$3:$J$480)),'Resultater - Østdanmark'!$F$3:$F$480,'Forbrug af biomasse'!C402))/SUMIFS(IF(D402=År1,'Resultater - Danmark'!$H$3:$H$480,IF(D402=År2,'Resultater - Danmark'!$I$3:$I$480,'Resultater - Danmark'!$J$3:$J$480)),'Resultater - Danmark'!$F$3:$F$480,'Forbrug af biomasse'!C402)</f>
        <v>#REF!</v>
      </c>
      <c r="G402" s="171">
        <v>1</v>
      </c>
    </row>
    <row r="403" spans="1:7" x14ac:dyDescent="0.25">
      <c r="A403" s="171" t="s">
        <v>320</v>
      </c>
      <c r="B403" s="171" t="s">
        <v>24</v>
      </c>
      <c r="C403" s="171" t="s">
        <v>68</v>
      </c>
      <c r="D403" s="171">
        <f>År3</f>
        <v>2050</v>
      </c>
      <c r="E403" s="171" t="e">
        <f>HLOOKUP(D403,'Forbrug til andet'!$B$3:$D$4,2,FALSE)*IF(B403="Vestdanmark",SUMIFS(IF(D403=År1,'Resultater - Vestdanmark'!$H$3:$H$480,IF(D403=År2,'Resultater - Vestdanmark'!$I$3:$I$480,'Resultater - Vestdanmark'!$J$3:$J$480)),'Resultater - Vestdanmark'!$F$3:$F$480,'Forbrug af biomasse'!C403),SUMIFS(IF(D403=År1,'Resultater - Østdanmark'!$H$3:$H$480,IF(D403=År2,'Resultater - Østdanmark'!$I$3:$I$480,'Resultater - Østdanmark'!$J$3:$J$480)),'Resultater - Østdanmark'!$F$3:$F$480,'Forbrug af biomasse'!C403))/SUMIFS(IF(D403=År1,'Resultater - Danmark'!$H$3:$H$480,IF(D403=År2,'Resultater - Danmark'!$I$3:$I$480,'Resultater - Danmark'!$J$3:$J$480)),'Resultater - Danmark'!$F$3:$F$480,'Forbrug af biomasse'!C403)</f>
        <v>#REF!</v>
      </c>
      <c r="G403" s="171">
        <v>1</v>
      </c>
    </row>
    <row r="404" spans="1:7" x14ac:dyDescent="0.25">
      <c r="A404" s="171" t="s">
        <v>121</v>
      </c>
      <c r="B404" s="171" t="s">
        <v>23</v>
      </c>
      <c r="C404" s="171" t="s">
        <v>316</v>
      </c>
      <c r="D404" s="171">
        <f t="shared" ref="D404:D411" si="33">År1</f>
        <v>2019</v>
      </c>
      <c r="E404" s="171" t="e">
        <f>IF(B404="Vestdanmark",SUMIFS(IF(D404=År1,'Resultater - Vestdanmark'!$H$3:$H$480,IF(D404=År2,'Resultater - Vestdanmark'!$I$3:$I$480,'Resultater - Vestdanmark'!$J$3:$J$480)),'Resultater - Vestdanmark'!$F$3:$F$480,'Forbrug af biomasse'!C404),SUMIFS(IF(D404=År1,'Resultater - Østdanmark'!$H$3:$H$480,IF(D404=År2,'Resultater - Østdanmark'!$I$3:$I$480,'Resultater - Østdanmark'!$J$3:$J$480)),'Resultater - Østdanmark'!$F$3:$F$480,'Forbrug af biomasse'!C404))</f>
        <v>#REF!</v>
      </c>
      <c r="F404" s="171">
        <v>1</v>
      </c>
    </row>
    <row r="405" spans="1:7" x14ac:dyDescent="0.25">
      <c r="A405" s="171" t="s">
        <v>121</v>
      </c>
      <c r="B405" s="171" t="s">
        <v>23</v>
      </c>
      <c r="C405" s="171" t="s">
        <v>317</v>
      </c>
      <c r="D405" s="171">
        <f t="shared" si="33"/>
        <v>2019</v>
      </c>
      <c r="E405" s="171" t="e">
        <f>IF(B405="Vestdanmark",SUMIFS(IF(D405=År1,'Resultater - Vestdanmark'!$H$3:$H$480,IF(D405=År2,'Resultater - Vestdanmark'!$I$3:$I$480,'Resultater - Vestdanmark'!$J$3:$J$480)),'Resultater - Vestdanmark'!$F$3:$F$480,'Forbrug af biomasse'!C405),SUMIFS(IF(D405=År1,'Resultater - Østdanmark'!$H$3:$H$480,IF(D405=År2,'Resultater - Østdanmark'!$I$3:$I$480,'Resultater - Østdanmark'!$J$3:$J$480)),'Resultater - Østdanmark'!$F$3:$F$480,'Forbrug af biomasse'!C405))</f>
        <v>#REF!</v>
      </c>
      <c r="F405" s="171">
        <v>1</v>
      </c>
    </row>
    <row r="406" spans="1:7" x14ac:dyDescent="0.25">
      <c r="A406" s="171" t="s">
        <v>121</v>
      </c>
      <c r="B406" s="171" t="s">
        <v>23</v>
      </c>
      <c r="C406" s="171" t="s">
        <v>316</v>
      </c>
      <c r="D406" s="171">
        <f>År2</f>
        <v>2030</v>
      </c>
      <c r="E406" s="171" t="e">
        <f>IF(B406="Vestdanmark",SUMIFS(IF(D406=År1,'Resultater - Vestdanmark'!$H$3:$H$480,IF(D406=År2,'Resultater - Vestdanmark'!$I$3:$I$480,'Resultater - Vestdanmark'!$J$3:$J$480)),'Resultater - Vestdanmark'!$F$3:$F$480,'Forbrug af biomasse'!C406),SUMIFS(IF(D406=År1,'Resultater - Østdanmark'!$H$3:$H$480,IF(D406=År2,'Resultater - Østdanmark'!$I$3:$I$480,'Resultater - Østdanmark'!$J$3:$J$480)),'Resultater - Østdanmark'!$F$3:$F$480,'Forbrug af biomasse'!C406))</f>
        <v>#REF!</v>
      </c>
      <c r="F406" s="171">
        <v>1</v>
      </c>
    </row>
    <row r="407" spans="1:7" x14ac:dyDescent="0.25">
      <c r="A407" s="171" t="s">
        <v>121</v>
      </c>
      <c r="B407" s="171" t="s">
        <v>23</v>
      </c>
      <c r="C407" s="171" t="s">
        <v>317</v>
      </c>
      <c r="D407" s="171">
        <f>År2</f>
        <v>2030</v>
      </c>
      <c r="E407" s="171" t="e">
        <f>IF(B407="Vestdanmark",SUMIFS(IF(D407=År1,'Resultater - Vestdanmark'!$H$3:$H$480,IF(D407=År2,'Resultater - Vestdanmark'!$I$3:$I$480,'Resultater - Vestdanmark'!$J$3:$J$480)),'Resultater - Vestdanmark'!$F$3:$F$480,'Forbrug af biomasse'!C407),SUMIFS(IF(D407=År1,'Resultater - Østdanmark'!$H$3:$H$480,IF(D407=År2,'Resultater - Østdanmark'!$I$3:$I$480,'Resultater - Østdanmark'!$J$3:$J$480)),'Resultater - Østdanmark'!$F$3:$F$480,'Forbrug af biomasse'!C407))</f>
        <v>#REF!</v>
      </c>
      <c r="F407" s="171">
        <v>1</v>
      </c>
    </row>
    <row r="408" spans="1:7" x14ac:dyDescent="0.25">
      <c r="A408" s="171" t="s">
        <v>121</v>
      </c>
      <c r="B408" s="171" t="s">
        <v>23</v>
      </c>
      <c r="C408" s="171" t="s">
        <v>316</v>
      </c>
      <c r="D408" s="171">
        <f>År3</f>
        <v>2050</v>
      </c>
      <c r="E408" s="171" t="e">
        <f>IF(B408="Vestdanmark",SUMIFS(IF(D408=År1,'Resultater - Vestdanmark'!$H$3:$H$480,IF(D408=År2,'Resultater - Vestdanmark'!$I$3:$I$480,'Resultater - Vestdanmark'!$J$3:$J$480)),'Resultater - Vestdanmark'!$F$3:$F$480,'Forbrug af biomasse'!C408),SUMIFS(IF(D408=År1,'Resultater - Østdanmark'!$H$3:$H$480,IF(D408=År2,'Resultater - Østdanmark'!$I$3:$I$480,'Resultater - Østdanmark'!$J$3:$J$480)),'Resultater - Østdanmark'!$F$3:$F$480,'Forbrug af biomasse'!C408))</f>
        <v>#REF!</v>
      </c>
      <c r="F408" s="171">
        <v>1</v>
      </c>
    </row>
    <row r="409" spans="1:7" x14ac:dyDescent="0.25">
      <c r="A409" s="171" t="s">
        <v>121</v>
      </c>
      <c r="B409" s="171" t="s">
        <v>23</v>
      </c>
      <c r="C409" s="171" t="s">
        <v>317</v>
      </c>
      <c r="D409" s="171">
        <f>År3</f>
        <v>2050</v>
      </c>
      <c r="E409" s="171" t="e">
        <f>IF(B409="Vestdanmark",SUMIFS(IF(D409=År1,'Resultater - Vestdanmark'!$H$3:$H$480,IF(D409=År2,'Resultater - Vestdanmark'!$I$3:$I$480,'Resultater - Vestdanmark'!$J$3:$J$480)),'Resultater - Vestdanmark'!$F$3:$F$480,'Forbrug af biomasse'!C409),SUMIFS(IF(D409=År1,'Resultater - Østdanmark'!$H$3:$H$480,IF(D409=År2,'Resultater - Østdanmark'!$I$3:$I$480,'Resultater - Østdanmark'!$J$3:$J$480)),'Resultater - Østdanmark'!$F$3:$F$480,'Forbrug af biomasse'!C409))</f>
        <v>#REF!</v>
      </c>
      <c r="F409" s="171">
        <v>1</v>
      </c>
    </row>
    <row r="410" spans="1:7" x14ac:dyDescent="0.25">
      <c r="A410" s="171" t="s">
        <v>121</v>
      </c>
      <c r="B410" s="171" t="s">
        <v>24</v>
      </c>
      <c r="C410" s="171" t="s">
        <v>316</v>
      </c>
      <c r="D410" s="171">
        <f t="shared" si="33"/>
        <v>2019</v>
      </c>
      <c r="E410" s="171" t="e">
        <f>IF(B410="Vestdanmark",SUMIFS(IF(D410=År1,'Resultater - Vestdanmark'!$H$3:$H$480,IF(D410=År2,'Resultater - Vestdanmark'!$I$3:$I$480,'Resultater - Vestdanmark'!$J$3:$J$480)),'Resultater - Vestdanmark'!$F$3:$F$480,'Forbrug af biomasse'!C410),SUMIFS(IF(D410=År1,'Resultater - Østdanmark'!$H$3:$H$480,IF(D410=År2,'Resultater - Østdanmark'!$I$3:$I$480,'Resultater - Østdanmark'!$J$3:$J$480)),'Resultater - Østdanmark'!$F$3:$F$480,'Forbrug af biomasse'!C410))</f>
        <v>#REF!</v>
      </c>
      <c r="F410" s="171">
        <v>1</v>
      </c>
    </row>
    <row r="411" spans="1:7" x14ac:dyDescent="0.25">
      <c r="A411" s="171" t="s">
        <v>121</v>
      </c>
      <c r="B411" s="171" t="s">
        <v>24</v>
      </c>
      <c r="C411" s="171" t="s">
        <v>317</v>
      </c>
      <c r="D411" s="171">
        <f t="shared" si="33"/>
        <v>2019</v>
      </c>
      <c r="E411" s="171" t="e">
        <f>IF(B411="Vestdanmark",SUMIFS(IF(D411=År1,'Resultater - Vestdanmark'!$H$3:$H$480,IF(D411=År2,'Resultater - Vestdanmark'!$I$3:$I$480,'Resultater - Vestdanmark'!$J$3:$J$480)),'Resultater - Vestdanmark'!$F$3:$F$480,'Forbrug af biomasse'!C411),SUMIFS(IF(D411=År1,'Resultater - Østdanmark'!$H$3:$H$480,IF(D411=År2,'Resultater - Østdanmark'!$I$3:$I$480,'Resultater - Østdanmark'!$J$3:$J$480)),'Resultater - Østdanmark'!$F$3:$F$480,'Forbrug af biomasse'!C411))</f>
        <v>#REF!</v>
      </c>
      <c r="F411" s="171">
        <v>1</v>
      </c>
    </row>
    <row r="412" spans="1:7" x14ac:dyDescent="0.25">
      <c r="A412" s="171" t="s">
        <v>121</v>
      </c>
      <c r="B412" s="171" t="s">
        <v>24</v>
      </c>
      <c r="C412" s="171" t="s">
        <v>316</v>
      </c>
      <c r="D412" s="171">
        <f>År2</f>
        <v>2030</v>
      </c>
      <c r="E412" s="171" t="e">
        <f>IF(B412="Vestdanmark",SUMIFS(IF(D412=År1,'Resultater - Vestdanmark'!$H$3:$H$480,IF(D412=År2,'Resultater - Vestdanmark'!$I$3:$I$480,'Resultater - Vestdanmark'!$J$3:$J$480)),'Resultater - Vestdanmark'!$F$3:$F$480,'Forbrug af biomasse'!C412),SUMIFS(IF(D412=År1,'Resultater - Østdanmark'!$H$3:$H$480,IF(D412=År2,'Resultater - Østdanmark'!$I$3:$I$480,'Resultater - Østdanmark'!$J$3:$J$480)),'Resultater - Østdanmark'!$F$3:$F$480,'Forbrug af biomasse'!C412))</f>
        <v>#REF!</v>
      </c>
      <c r="F412" s="171">
        <v>1</v>
      </c>
    </row>
    <row r="413" spans="1:7" x14ac:dyDescent="0.25">
      <c r="A413" s="171" t="s">
        <v>121</v>
      </c>
      <c r="B413" s="171" t="s">
        <v>24</v>
      </c>
      <c r="C413" s="171" t="s">
        <v>317</v>
      </c>
      <c r="D413" s="171">
        <f>År2</f>
        <v>2030</v>
      </c>
      <c r="E413" s="171" t="e">
        <f>IF(B413="Vestdanmark",SUMIFS(IF(D413=År1,'Resultater - Vestdanmark'!$H$3:$H$480,IF(D413=År2,'Resultater - Vestdanmark'!$I$3:$I$480,'Resultater - Vestdanmark'!$J$3:$J$480)),'Resultater - Vestdanmark'!$F$3:$F$480,'Forbrug af biomasse'!C413),SUMIFS(IF(D413=År1,'Resultater - Østdanmark'!$H$3:$H$480,IF(D413=År2,'Resultater - Østdanmark'!$I$3:$I$480,'Resultater - Østdanmark'!$J$3:$J$480)),'Resultater - Østdanmark'!$F$3:$F$480,'Forbrug af biomasse'!C413))</f>
        <v>#REF!</v>
      </c>
      <c r="F413" s="171">
        <v>1</v>
      </c>
    </row>
    <row r="414" spans="1:7" x14ac:dyDescent="0.25">
      <c r="A414" s="171" t="s">
        <v>121</v>
      </c>
      <c r="B414" s="171" t="s">
        <v>24</v>
      </c>
      <c r="C414" s="171" t="s">
        <v>316</v>
      </c>
      <c r="D414" s="171">
        <f>År3</f>
        <v>2050</v>
      </c>
      <c r="E414" s="171" t="e">
        <f>IF(B414="Vestdanmark",SUMIFS(IF(D414=År1,'Resultater - Vestdanmark'!$H$3:$H$480,IF(D414=År2,'Resultater - Vestdanmark'!$I$3:$I$480,'Resultater - Vestdanmark'!$J$3:$J$480)),'Resultater - Vestdanmark'!$F$3:$F$480,'Forbrug af biomasse'!C414),SUMIFS(IF(D414=År1,'Resultater - Østdanmark'!$H$3:$H$480,IF(D414=År2,'Resultater - Østdanmark'!$I$3:$I$480,'Resultater - Østdanmark'!$J$3:$J$480)),'Resultater - Østdanmark'!$F$3:$F$480,'Forbrug af biomasse'!C414))</f>
        <v>#REF!</v>
      </c>
      <c r="F414" s="171">
        <v>1</v>
      </c>
    </row>
    <row r="415" spans="1:7" x14ac:dyDescent="0.25">
      <c r="A415" s="171" t="s">
        <v>121</v>
      </c>
      <c r="B415" s="171" t="s">
        <v>24</v>
      </c>
      <c r="C415" s="171" t="s">
        <v>317</v>
      </c>
      <c r="D415" s="171">
        <f>År3</f>
        <v>2050</v>
      </c>
      <c r="E415" s="171" t="e">
        <f>IF(B415="Vestdanmark",SUMIFS(IF(D415=År1,'Resultater - Vestdanmark'!$H$3:$H$480,IF(D415=År2,'Resultater - Vestdanmark'!$I$3:$I$480,'Resultater - Vestdanmark'!$J$3:$J$480)),'Resultater - Vestdanmark'!$F$3:$F$480,'Forbrug af biomasse'!C415),SUMIFS(IF(D415=År1,'Resultater - Østdanmark'!$H$3:$H$480,IF(D415=År2,'Resultater - Østdanmark'!$I$3:$I$480,'Resultater - Østdanmark'!$J$3:$J$480)),'Resultater - Østdanmark'!$F$3:$F$480,'Forbrug af biomasse'!C415))</f>
        <v>#REF!</v>
      </c>
      <c r="F415" s="171">
        <v>1</v>
      </c>
    </row>
  </sheetData>
  <autoFilter ref="A1:G415" xr:uid="{9891F61F-9FCA-417C-BBAD-AB47A8A15D61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workbookViewId="0">
      <selection activeCell="D14" sqref="D14"/>
    </sheetView>
  </sheetViews>
  <sheetFormatPr defaultRowHeight="15" x14ac:dyDescent="0.25"/>
  <sheetData>
    <row r="1" spans="1:8" x14ac:dyDescent="0.25">
      <c r="D1" t="s">
        <v>77</v>
      </c>
      <c r="E1" t="s">
        <v>166</v>
      </c>
      <c r="F1" t="s">
        <v>193</v>
      </c>
      <c r="G1" t="s">
        <v>167</v>
      </c>
      <c r="H1" t="s">
        <v>230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 t="e">
        <f>SUMIFS('Forbrug af biomasse'!E:E,'Forbrug af biomasse'!F:F,"",'Forbrug af biomasse'!B:B,Restprodukter!$B2,'Forbrug af biomasse'!C:C,Restprodukter!$A2,'Forbrug af biomasse'!D:D,Restprodukter!$C2)</f>
        <v>#REF!</v>
      </c>
      <c r="E2" t="e">
        <f>IF(B2="Vestdanmark",SUMIFS(IF($C2=År1,'Resultater - Vestdanmark'!$H$3:$H$480,IF($C2=År2,'Resultater - Vestdanmark'!$I$3:$I$480,'Resultater - Vestdanmark'!$J$3:$J$480)),'Resultater - Vestdanmark'!$F$3:$F$480,Restprodukter!$A2),SUMIFS(IF($C2=År1,'Resultater - Østdanmark'!$H$3:$H$480,IF($C2=År2,'Resultater - Østdanmark'!$I$3:$I$480,'Resultater - Østdanmark'!$J$3:$J$480)),'Resultater - Østdanmark'!$F$3:$F$480,Restprodukter!$A2))</f>
        <v>#REF!</v>
      </c>
      <c r="F2" t="e">
        <f>E2-D2</f>
        <v>#REF!</v>
      </c>
      <c r="G2" t="e">
        <f>IF(F2&gt;=0,IF(H2&gt;=0,F2,F2+H2),IF(F2+H2&gt;0,0,F2+H2))</f>
        <v>#REF!</v>
      </c>
      <c r="H2" t="e">
        <f t="shared" ref="H2:H37" si="1">SUMIFS($F$2:$F$37,$C$2:$C$37,C2,$A$2:$A$37,A2,$B$2:$B$37,"&lt;&gt;"&amp;B2)</f>
        <v>#REF!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71">
        <f>SUMIFS('Forbrug af biomasse'!E:E,'Forbrug af biomasse'!F:F,"",'Forbrug af biomasse'!B:B,Restprodukter!$B3,'Forbrug af biomasse'!C:C,Restprodukter!$A3,'Forbrug af biomasse'!D:D,Restprodukter!$C3)</f>
        <v>0</v>
      </c>
      <c r="E3" t="e">
        <f>IF(B3="Vestdanmark",SUMIFS(IF($C3=År1,'Resultater - Vestdanmark'!$H$3:$H$480,IF($C3=År2,'Resultater - Vestdanmark'!$I$3:$I$480,'Resultater - Vestdanmark'!$J$3:$J$480)),'Resultater - Vestdanmark'!$F$3:$F$480,Restprodukter!$A3),SUMIFS(IF($C3=År1,'Resultater - Østdanmark'!$H$3:$H$480,IF($C3=År2,'Resultater - Østdanmark'!$I$3:$I$480,'Resultater - Østdanmark'!$J$3:$J$480)),'Resultater - Østdanmark'!$F$3:$F$480,Restprodukter!$A3))</f>
        <v>#REF!</v>
      </c>
      <c r="F3" t="e">
        <f t="shared" ref="F3:F37" si="2">E3-D3</f>
        <v>#REF!</v>
      </c>
      <c r="G3" t="e">
        <f t="shared" ref="G3:G37" si="3">IF(F3&gt;=0,IF(H3&gt;=0,F3,F3+H3),IF(F3+H3&gt;0,0,F3+H3))</f>
        <v>#REF!</v>
      </c>
      <c r="H3" t="e">
        <f t="shared" si="1"/>
        <v>#REF!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71">
        <f>SUMIFS('Forbrug af biomasse'!E:E,'Forbrug af biomasse'!F:F,"",'Forbrug af biomasse'!B:B,Restprodukter!$B4,'Forbrug af biomasse'!C:C,Restprodukter!$A4,'Forbrug af biomasse'!D:D,Restprodukter!$C4)</f>
        <v>0</v>
      </c>
      <c r="E4" t="e">
        <f>IF(B4="Vestdanmark",SUMIFS(IF($C4=År1,'Resultater - Vestdanmark'!$H$3:$H$480,IF($C4=År2,'Resultater - Vestdanmark'!$I$3:$I$480,'Resultater - Vestdanmark'!$J$3:$J$480)),'Resultater - Vestdanmark'!$F$3:$F$480,Restprodukter!$A4),SUMIFS(IF($C4=År1,'Resultater - Østdanmark'!$H$3:$H$480,IF($C4=År2,'Resultater - Østdanmark'!$I$3:$I$480,'Resultater - Østdanmark'!$J$3:$J$480)),'Resultater - Østdanmark'!$F$3:$F$480,Restprodukter!$A4))</f>
        <v>#REF!</v>
      </c>
      <c r="F4" t="e">
        <f t="shared" si="2"/>
        <v>#REF!</v>
      </c>
      <c r="G4" t="e">
        <f t="shared" si="3"/>
        <v>#REF!</v>
      </c>
      <c r="H4" t="e">
        <f t="shared" si="1"/>
        <v>#REF!</v>
      </c>
    </row>
    <row r="5" spans="1:8" x14ac:dyDescent="0.25">
      <c r="A5" t="str">
        <f>'Forbrug til andet'!A12</f>
        <v>Træ til energi</v>
      </c>
      <c r="B5" t="s">
        <v>23</v>
      </c>
      <c r="C5">
        <f t="shared" si="0"/>
        <v>2019</v>
      </c>
      <c r="D5" s="171">
        <f>SUMIFS('Forbrug af biomasse'!E:E,'Forbrug af biomasse'!F:F,"",'Forbrug af biomasse'!B:B,Restprodukter!$B5,'Forbrug af biomasse'!C:C,Restprodukter!$A5,'Forbrug af biomasse'!D:D,Restprodukter!$C5)</f>
        <v>0</v>
      </c>
      <c r="E5" t="e">
        <f>IF(B5="Vestdanmark",SUMIFS(IF($C5=År1,'Resultater - Vestdanmark'!$H$3:$H$480,IF($C5=År2,'Resultater - Vestdanmark'!$I$3:$I$480,'Resultater - Vestdanmark'!$J$3:$J$480)),'Resultater - Vestdanmark'!$F$3:$F$480,Restprodukter!$A5),SUMIFS(IF($C5=År1,'Resultater - Østdanmark'!$H$3:$H$480,IF($C5=År2,'Resultater - Østdanmark'!$I$3:$I$480,'Resultater - Østdanmark'!$J$3:$J$480)),'Resultater - Østdanmark'!$F$3:$F$480,Restprodukter!$A5))</f>
        <v>#REF!</v>
      </c>
      <c r="F5" t="e">
        <f t="shared" si="2"/>
        <v>#REF!</v>
      </c>
      <c r="G5" t="e">
        <f t="shared" si="3"/>
        <v>#REF!</v>
      </c>
      <c r="H5" t="e">
        <f t="shared" si="1"/>
        <v>#REF!</v>
      </c>
    </row>
    <row r="6" spans="1:8" x14ac:dyDescent="0.25">
      <c r="A6" t="str">
        <f>'Forbrug til andet'!A13</f>
        <v>Have/parkaffald</v>
      </c>
      <c r="B6" t="s">
        <v>23</v>
      </c>
      <c r="C6">
        <f t="shared" si="0"/>
        <v>2019</v>
      </c>
      <c r="D6" s="171" t="e">
        <f>SUMIFS('Forbrug af biomasse'!E:E,'Forbrug af biomasse'!F:F,"",'Forbrug af biomasse'!B:B,Restprodukter!$B6,'Forbrug af biomasse'!C:C,Restprodukter!$A6,'Forbrug af biomasse'!D:D,Restprodukter!$C6)</f>
        <v>#REF!</v>
      </c>
      <c r="E6" t="e">
        <f>IF(B6="Vestdanmark",SUMIFS(IF($C6=År1,'Resultater - Vestdanmark'!$H$3:$H$480,IF($C6=År2,'Resultater - Vestdanmark'!$I$3:$I$480,'Resultater - Vestdanmark'!$J$3:$J$480)),'Resultater - Vestdanmark'!$F$3:$F$480,Restprodukter!$A6),SUMIFS(IF($C6=År1,'Resultater - Østdanmark'!$H$3:$H$480,IF($C6=År2,'Resultater - Østdanmark'!$I$3:$I$480,'Resultater - Østdanmark'!$J$3:$J$480)),'Resultater - Østdanmark'!$F$3:$F$480,Restprodukter!$A6))</f>
        <v>#REF!</v>
      </c>
      <c r="F6" t="e">
        <f t="shared" si="2"/>
        <v>#REF!</v>
      </c>
      <c r="G6" t="e">
        <f t="shared" si="3"/>
        <v>#REF!</v>
      </c>
      <c r="H6" t="e">
        <f t="shared" si="1"/>
        <v>#REF!</v>
      </c>
    </row>
    <row r="7" spans="1:8" x14ac:dyDescent="0.25">
      <c r="A7" t="str">
        <f>'Forbrug til andet'!A14</f>
        <v>Bioaffald</v>
      </c>
      <c r="B7" t="s">
        <v>23</v>
      </c>
      <c r="C7">
        <f t="shared" si="0"/>
        <v>2019</v>
      </c>
      <c r="D7" s="171" t="e">
        <f>SUMIFS('Forbrug af biomasse'!E:E,'Forbrug af biomasse'!F:F,"",'Forbrug af biomasse'!B:B,Restprodukter!$B7,'Forbrug af biomasse'!C:C,Restprodukter!$A7,'Forbrug af biomasse'!D:D,Restprodukter!$C7)</f>
        <v>#REF!</v>
      </c>
      <c r="E7" t="e">
        <f>IF(B7="Vestdanmark",SUMIFS(IF($C7=År1,'Resultater - Vestdanmark'!$H$3:$H$480,IF($C7=År2,'Resultater - Vestdanmark'!$I$3:$I$480,'Resultater - Vestdanmark'!$J$3:$J$480)),'Resultater - Vestdanmark'!$F$3:$F$480,Restprodukter!$A7),SUMIFS(IF($C7=År1,'Resultater - Østdanmark'!$H$3:$H$480,IF($C7=År2,'Resultater - Østdanmark'!$I$3:$I$480,'Resultater - Østdanmark'!$J$3:$J$480)),'Resultater - Østdanmark'!$F$3:$F$480,Restprodukter!$A7))</f>
        <v>#REF!</v>
      </c>
      <c r="F7" t="e">
        <f t="shared" si="2"/>
        <v>#REF!</v>
      </c>
      <c r="G7" t="e">
        <f t="shared" si="3"/>
        <v>#REF!</v>
      </c>
      <c r="H7" t="e">
        <f t="shared" si="1"/>
        <v>#REF!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71" t="e">
        <f>SUMIFS('Forbrug af biomasse'!E:E,'Forbrug af biomasse'!F:F,"",'Forbrug af biomasse'!B:B,Restprodukter!$B8,'Forbrug af biomasse'!C:C,Restprodukter!$A8,'Forbrug af biomasse'!D:D,Restprodukter!$C8)</f>
        <v>#REF!</v>
      </c>
      <c r="E8" t="e">
        <f>IF(B8="Vestdanmark",SUMIFS(IF($C8=År1,'Resultater - Vestdanmark'!$H$3:$H$480,IF($C8=År2,'Resultater - Vestdanmark'!$I$3:$I$480,'Resultater - Vestdanmark'!$J$3:$J$480)),'Resultater - Vestdanmark'!$F$3:$F$480,Restprodukter!$A8),SUMIFS(IF($C8=År1,'Resultater - Østdanmark'!$H$3:$H$480,IF($C8=År2,'Resultater - Østdanmark'!$I$3:$I$480,'Resultater - Østdanmark'!$J$3:$J$480)),'Resultater - Østdanmark'!$F$3:$F$480,Restprodukter!$A8))</f>
        <v>#REF!</v>
      </c>
      <c r="F8" t="e">
        <f t="shared" si="2"/>
        <v>#REF!</v>
      </c>
      <c r="G8" t="e">
        <f t="shared" si="3"/>
        <v>#REF!</v>
      </c>
      <c r="H8" t="e">
        <f t="shared" si="1"/>
        <v>#REF!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71">
        <f>SUMIFS('Forbrug af biomasse'!E:E,'Forbrug af biomasse'!F:F,"",'Forbrug af biomasse'!B:B,Restprodukter!$B9,'Forbrug af biomasse'!C:C,Restprodukter!$A9,'Forbrug af biomasse'!D:D,Restprodukter!$C9)</f>
        <v>0</v>
      </c>
      <c r="E9" t="e">
        <f>IF(B9="Vestdanmark",SUMIFS(IF($C9=År1,'Resultater - Vestdanmark'!$H$3:$H$480,IF($C9=År2,'Resultater - Vestdanmark'!$I$3:$I$480,'Resultater - Vestdanmark'!$J$3:$J$480)),'Resultater - Vestdanmark'!$F$3:$F$480,Restprodukter!$A9),SUMIFS(IF($C9=År1,'Resultater - Østdanmark'!$H$3:$H$480,IF($C9=År2,'Resultater - Østdanmark'!$I$3:$I$480,'Resultater - Østdanmark'!$J$3:$J$480)),'Resultater - Østdanmark'!$F$3:$F$480,Restprodukter!$A9))</f>
        <v>#REF!</v>
      </c>
      <c r="F9" t="e">
        <f t="shared" si="2"/>
        <v>#REF!</v>
      </c>
      <c r="G9" t="e">
        <f t="shared" si="3"/>
        <v>#REF!</v>
      </c>
      <c r="H9" t="e">
        <f t="shared" si="1"/>
        <v>#REF!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71">
        <f>SUMIFS('Forbrug af biomasse'!E:E,'Forbrug af biomasse'!F:F,"",'Forbrug af biomasse'!B:B,Restprodukter!$B10,'Forbrug af biomasse'!C:C,Restprodukter!$A10,'Forbrug af biomasse'!D:D,Restprodukter!$C10)</f>
        <v>0</v>
      </c>
      <c r="E10" t="e">
        <f>IF(B10="Vestdanmark",SUMIFS(IF($C10=År1,'Resultater - Vestdanmark'!$H$3:$H$480,IF($C10=År2,'Resultater - Vestdanmark'!$I$3:$I$480,'Resultater - Vestdanmark'!$J$3:$J$480)),'Resultater - Vestdanmark'!$F$3:$F$480,Restprodukter!$A10),SUMIFS(IF($C10=År1,'Resultater - Østdanmark'!$H$3:$H$480,IF($C10=År2,'Resultater - Østdanmark'!$I$3:$I$480,'Resultater - Østdanmark'!$J$3:$J$480)),'Resultater - Østdanmark'!$F$3:$F$480,Restprodukter!$A10))</f>
        <v>#REF!</v>
      </c>
      <c r="F10" t="e">
        <f t="shared" si="2"/>
        <v>#REF!</v>
      </c>
      <c r="G10" t="e">
        <f t="shared" si="3"/>
        <v>#REF!</v>
      </c>
      <c r="H10" t="e">
        <f t="shared" si="1"/>
        <v>#REF!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71">
        <f>SUMIFS('Forbrug af biomasse'!E:E,'Forbrug af biomasse'!F:F,"",'Forbrug af biomasse'!B:B,Restprodukter!$B11,'Forbrug af biomasse'!C:C,Restprodukter!$A11,'Forbrug af biomasse'!D:D,Restprodukter!$C11)</f>
        <v>0</v>
      </c>
      <c r="E11" t="e">
        <f>IF(B11="Vestdanmark",SUMIFS(IF($C11=År1,'Resultater - Vestdanmark'!$H$3:$H$480,IF($C11=År2,'Resultater - Vestdanmark'!$I$3:$I$480,'Resultater - Vestdanmark'!$J$3:$J$480)),'Resultater - Vestdanmark'!$F$3:$F$480,Restprodukter!$A11),SUMIFS(IF($C11=År1,'Resultater - Østdanmark'!$H$3:$H$480,IF($C11=År2,'Resultater - Østdanmark'!$I$3:$I$480,'Resultater - Østdanmark'!$J$3:$J$480)),'Resultater - Østdanmark'!$F$3:$F$480,Restprodukter!$A11))</f>
        <v>#REF!</v>
      </c>
      <c r="F11" t="e">
        <f t="shared" si="2"/>
        <v>#REF!</v>
      </c>
      <c r="G11" t="e">
        <f t="shared" si="3"/>
        <v>#REF!</v>
      </c>
      <c r="H11" t="e">
        <f t="shared" si="1"/>
        <v>#REF!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71" t="e">
        <f>SUMIFS('Forbrug af biomasse'!E:E,'Forbrug af biomasse'!F:F,"",'Forbrug af biomasse'!B:B,Restprodukter!$B12,'Forbrug af biomasse'!C:C,Restprodukter!$A12,'Forbrug af biomasse'!D:D,Restprodukter!$C12)</f>
        <v>#REF!</v>
      </c>
      <c r="E12" t="e">
        <f>IF(B12="Vestdanmark",SUMIFS(IF($C12=År1,'Resultater - Vestdanmark'!$H$3:$H$480,IF($C12=År2,'Resultater - Vestdanmark'!$I$3:$I$480,'Resultater - Vestdanmark'!$J$3:$J$480)),'Resultater - Vestdanmark'!$F$3:$F$480,Restprodukter!$A12),SUMIFS(IF($C12=År1,'Resultater - Østdanmark'!$H$3:$H$480,IF($C12=År2,'Resultater - Østdanmark'!$I$3:$I$480,'Resultater - Østdanmark'!$J$3:$J$480)),'Resultater - Østdanmark'!$F$3:$F$480,Restprodukter!$A12))</f>
        <v>#REF!</v>
      </c>
      <c r="F12" t="e">
        <f t="shared" si="2"/>
        <v>#REF!</v>
      </c>
      <c r="G12" t="e">
        <f t="shared" si="3"/>
        <v>#REF!</v>
      </c>
      <c r="H12" t="e">
        <f t="shared" si="1"/>
        <v>#REF!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71" t="e">
        <f>SUMIFS('Forbrug af biomasse'!E:E,'Forbrug af biomasse'!F:F,"",'Forbrug af biomasse'!B:B,Restprodukter!$B13,'Forbrug af biomasse'!C:C,Restprodukter!$A13,'Forbrug af biomasse'!D:D,Restprodukter!$C13)</f>
        <v>#REF!</v>
      </c>
      <c r="E13" t="e">
        <f>IF(B13="Vestdanmark",SUMIFS(IF($C13=År1,'Resultater - Vestdanmark'!$H$3:$H$480,IF($C13=År2,'Resultater - Vestdanmark'!$I$3:$I$480,'Resultater - Vestdanmark'!$J$3:$J$480)),'Resultater - Vestdanmark'!$F$3:$F$480,Restprodukter!$A13),SUMIFS(IF($C13=År1,'Resultater - Østdanmark'!$H$3:$H$480,IF($C13=År2,'Resultater - Østdanmark'!$I$3:$I$480,'Resultater - Østdanmark'!$J$3:$J$480)),'Resultater - Østdanmark'!$F$3:$F$480,Restprodukter!$A13))</f>
        <v>#REF!</v>
      </c>
      <c r="F13" t="e">
        <f>E13-D13</f>
        <v>#REF!</v>
      </c>
      <c r="G13" t="e">
        <f t="shared" si="3"/>
        <v>#REF!</v>
      </c>
      <c r="H13" t="e">
        <f t="shared" si="1"/>
        <v>#REF!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71" t="e">
        <f>SUMIFS('Forbrug af biomasse'!E:E,'Forbrug af biomasse'!F:F,"",'Forbrug af biomasse'!B:B,Restprodukter!$B14,'Forbrug af biomasse'!C:C,Restprodukter!$A14,'Forbrug af biomasse'!D:D,Restprodukter!$C14)</f>
        <v>#REF!</v>
      </c>
      <c r="E14" t="e">
        <f>IF(B14="Vestdanmark",SUMIFS(IF($C14=År1,'Resultater - Vestdanmark'!$H$3:$H$480,IF($C14=År2,'Resultater - Vestdanmark'!$I$3:$I$480,'Resultater - Vestdanmark'!$J$3:$J$480)),'Resultater - Vestdanmark'!$F$3:$F$480,Restprodukter!$A14),SUMIFS(IF($C14=År1,'Resultater - Østdanmark'!$H$3:$H$480,IF($C14=År2,'Resultater - Østdanmark'!$I$3:$I$480,'Resultater - Østdanmark'!$J$3:$J$480)),'Resultater - Østdanmark'!$F$3:$F$480,Restprodukter!$A14))</f>
        <v>#REF!</v>
      </c>
      <c r="F14" t="e">
        <f>E14-D14</f>
        <v>#REF!</v>
      </c>
      <c r="G14" t="e">
        <f t="shared" si="3"/>
        <v>#REF!</v>
      </c>
      <c r="H14" t="e">
        <f t="shared" si="1"/>
        <v>#REF!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71">
        <f>SUMIFS('Forbrug af biomasse'!E:E,'Forbrug af biomasse'!F:F,"",'Forbrug af biomasse'!B:B,Restprodukter!$B15,'Forbrug af biomasse'!C:C,Restprodukter!$A15,'Forbrug af biomasse'!D:D,Restprodukter!$C15)</f>
        <v>0</v>
      </c>
      <c r="E15" t="e">
        <f>IF(B15="Vestdanmark",SUMIFS(IF($C15=År1,'Resultater - Vestdanmark'!$H$3:$H$480,IF($C15=År2,'Resultater - Vestdanmark'!$I$3:$I$480,'Resultater - Vestdanmark'!$J$3:$J$480)),'Resultater - Vestdanmark'!$F$3:$F$480,Restprodukter!$A15),SUMIFS(IF($C15=År1,'Resultater - Østdanmark'!$H$3:$H$480,IF($C15=År2,'Resultater - Østdanmark'!$I$3:$I$480,'Resultater - Østdanmark'!$J$3:$J$480)),'Resultater - Østdanmark'!$F$3:$F$480,Restprodukter!$A15))</f>
        <v>#REF!</v>
      </c>
      <c r="F15" t="e">
        <f t="shared" si="2"/>
        <v>#REF!</v>
      </c>
      <c r="G15" t="e">
        <f t="shared" si="3"/>
        <v>#REF!</v>
      </c>
      <c r="H15" t="e">
        <f t="shared" si="1"/>
        <v>#REF!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71">
        <f>SUMIFS('Forbrug af biomasse'!E:E,'Forbrug af biomasse'!F:F,"",'Forbrug af biomasse'!B:B,Restprodukter!$B16,'Forbrug af biomasse'!C:C,Restprodukter!$A16,'Forbrug af biomasse'!D:D,Restprodukter!$C16)</f>
        <v>0</v>
      </c>
      <c r="E16" t="e">
        <f>IF(B16="Vestdanmark",SUMIFS(IF($C16=År1,'Resultater - Vestdanmark'!$H$3:$H$480,IF($C16=År2,'Resultater - Vestdanmark'!$I$3:$I$480,'Resultater - Vestdanmark'!$J$3:$J$480)),'Resultater - Vestdanmark'!$F$3:$F$480,Restprodukter!$A16),SUMIFS(IF($C16=År1,'Resultater - Østdanmark'!$H$3:$H$480,IF($C16=År2,'Resultater - Østdanmark'!$I$3:$I$480,'Resultater - Østdanmark'!$J$3:$J$480)),'Resultater - Østdanmark'!$F$3:$F$480,Restprodukter!$A16))</f>
        <v>#REF!</v>
      </c>
      <c r="F16" t="e">
        <f t="shared" si="2"/>
        <v>#REF!</v>
      </c>
      <c r="G16" t="e">
        <f t="shared" si="3"/>
        <v>#REF!</v>
      </c>
      <c r="H16" t="e">
        <f t="shared" si="1"/>
        <v>#REF!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71">
        <f>SUMIFS('Forbrug af biomasse'!E:E,'Forbrug af biomasse'!F:F,"",'Forbrug af biomasse'!B:B,Restprodukter!$B17,'Forbrug af biomasse'!C:C,Restprodukter!$A17,'Forbrug af biomasse'!D:D,Restprodukter!$C17)</f>
        <v>0</v>
      </c>
      <c r="E17" t="e">
        <f>IF(B17="Vestdanmark",SUMIFS(IF($C17=År1,'Resultater - Vestdanmark'!$H$3:$H$480,IF($C17=År2,'Resultater - Vestdanmark'!$I$3:$I$480,'Resultater - Vestdanmark'!$J$3:$J$480)),'Resultater - Vestdanmark'!$F$3:$F$480,Restprodukter!$A17),SUMIFS(IF($C17=År1,'Resultater - Østdanmark'!$H$3:$H$480,IF($C17=År2,'Resultater - Østdanmark'!$I$3:$I$480,'Resultater - Østdanmark'!$J$3:$J$480)),'Resultater - Østdanmark'!$F$3:$F$480,Restprodukter!$A17))</f>
        <v>#REF!</v>
      </c>
      <c r="F17" t="e">
        <f t="shared" si="2"/>
        <v>#REF!</v>
      </c>
      <c r="G17" t="e">
        <f t="shared" si="3"/>
        <v>#REF!</v>
      </c>
      <c r="H17" t="e">
        <f t="shared" si="1"/>
        <v>#REF!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71" t="e">
        <f>SUMIFS('Forbrug af biomasse'!E:E,'Forbrug af biomasse'!F:F,"",'Forbrug af biomasse'!B:B,Restprodukter!$B18,'Forbrug af biomasse'!C:C,Restprodukter!$A18,'Forbrug af biomasse'!D:D,Restprodukter!$C18)</f>
        <v>#REF!</v>
      </c>
      <c r="E18" t="e">
        <f>IF(B18="Vestdanmark",SUMIFS(IF($C18=År1,'Resultater - Vestdanmark'!$H$3:$H$480,IF($C18=År2,'Resultater - Vestdanmark'!$I$3:$I$480,'Resultater - Vestdanmark'!$J$3:$J$480)),'Resultater - Vestdanmark'!$F$3:$F$480,Restprodukter!$A18),SUMIFS(IF($C18=År1,'Resultater - Østdanmark'!$H$3:$H$480,IF($C18=År2,'Resultater - Østdanmark'!$I$3:$I$480,'Resultater - Østdanmark'!$J$3:$J$480)),'Resultater - Østdanmark'!$F$3:$F$480,Restprodukter!$A18))</f>
        <v>#REF!</v>
      </c>
      <c r="F18" t="e">
        <f t="shared" si="2"/>
        <v>#REF!</v>
      </c>
      <c r="G18" t="e">
        <f t="shared" si="3"/>
        <v>#REF!</v>
      </c>
      <c r="H18" t="e">
        <f t="shared" si="1"/>
        <v>#REF!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71" t="e">
        <f>SUMIFS('Forbrug af biomasse'!E:E,'Forbrug af biomasse'!F:F,"",'Forbrug af biomasse'!B:B,Restprodukter!$B19,'Forbrug af biomasse'!C:C,Restprodukter!$A19,'Forbrug af biomasse'!D:D,Restprodukter!$C19)</f>
        <v>#REF!</v>
      </c>
      <c r="E19" t="e">
        <f>IF(B19="Vestdanmark",SUMIFS(IF($C19=År1,'Resultater - Vestdanmark'!$H$3:$H$480,IF($C19=År2,'Resultater - Vestdanmark'!$I$3:$I$480,'Resultater - Vestdanmark'!$J$3:$J$480)),'Resultater - Vestdanmark'!$F$3:$F$480,Restprodukter!$A19),SUMIFS(IF($C19=År1,'Resultater - Østdanmark'!$H$3:$H$480,IF($C19=År2,'Resultater - Østdanmark'!$I$3:$I$480,'Resultater - Østdanmark'!$J$3:$J$480)),'Resultater - Østdanmark'!$F$3:$F$480,Restprodukter!$A19))</f>
        <v>#REF!</v>
      </c>
      <c r="F19" t="e">
        <f t="shared" si="2"/>
        <v>#REF!</v>
      </c>
      <c r="G19" t="e">
        <f t="shared" si="3"/>
        <v>#REF!</v>
      </c>
      <c r="H19" t="e">
        <f t="shared" si="1"/>
        <v>#REF!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71" t="e">
        <f>SUMIFS('Forbrug af biomasse'!E:E,'Forbrug af biomasse'!F:F,"",'Forbrug af biomasse'!B:B,Restprodukter!$B20,'Forbrug af biomasse'!C:C,Restprodukter!$A20,'Forbrug af biomasse'!D:D,Restprodukter!$C20)</f>
        <v>#REF!</v>
      </c>
      <c r="E20" t="e">
        <f>IF(B20="Vestdanmark",SUMIFS(IF($C20=År1,'Resultater - Vestdanmark'!$H$3:$H$480,IF($C20=År2,'Resultater - Vestdanmark'!$I$3:$I$480,'Resultater - Vestdanmark'!$J$3:$J$480)),'Resultater - Vestdanmark'!$F$3:$F$480,Restprodukter!$A20),SUMIFS(IF($C20=År1,'Resultater - Østdanmark'!$H$3:$H$480,IF($C20=År2,'Resultater - Østdanmark'!$I$3:$I$480,'Resultater - Østdanmark'!$J$3:$J$480)),'Resultater - Østdanmark'!$F$3:$F$480,Restprodukter!$A20))</f>
        <v>#REF!</v>
      </c>
      <c r="F20" t="e">
        <f t="shared" si="2"/>
        <v>#REF!</v>
      </c>
      <c r="G20" t="e">
        <f t="shared" si="3"/>
        <v>#REF!</v>
      </c>
      <c r="H20" t="e">
        <f t="shared" si="1"/>
        <v>#REF!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71">
        <f>SUMIFS('Forbrug af biomasse'!E:E,'Forbrug af biomasse'!F:F,"",'Forbrug af biomasse'!B:B,Restprodukter!$B21,'Forbrug af biomasse'!C:C,Restprodukter!$A21,'Forbrug af biomasse'!D:D,Restprodukter!$C21)</f>
        <v>0</v>
      </c>
      <c r="E21" t="e">
        <f>IF(B21="Vestdanmark",SUMIFS(IF($C21=År1,'Resultater - Vestdanmark'!$H$3:$H$480,IF($C21=År2,'Resultater - Vestdanmark'!$I$3:$I$480,'Resultater - Vestdanmark'!$J$3:$J$480)),'Resultater - Vestdanmark'!$F$3:$F$480,Restprodukter!$A21),SUMIFS(IF($C21=År1,'Resultater - Østdanmark'!$H$3:$H$480,IF($C21=År2,'Resultater - Østdanmark'!$I$3:$I$480,'Resultater - Østdanmark'!$J$3:$J$480)),'Resultater - Østdanmark'!$F$3:$F$480,Restprodukter!$A21))</f>
        <v>#REF!</v>
      </c>
      <c r="F21" t="e">
        <f t="shared" si="2"/>
        <v>#REF!</v>
      </c>
      <c r="G21" t="e">
        <f t="shared" si="3"/>
        <v>#REF!</v>
      </c>
      <c r="H21" t="e">
        <f t="shared" si="1"/>
        <v>#REF!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71">
        <f>SUMIFS('Forbrug af biomasse'!E:E,'Forbrug af biomasse'!F:F,"",'Forbrug af biomasse'!B:B,Restprodukter!$B22,'Forbrug af biomasse'!C:C,Restprodukter!$A22,'Forbrug af biomasse'!D:D,Restprodukter!$C22)</f>
        <v>0</v>
      </c>
      <c r="E22" t="e">
        <f>IF(B22="Vestdanmark",SUMIFS(IF($C22=År1,'Resultater - Vestdanmark'!$H$3:$H$480,IF($C22=År2,'Resultater - Vestdanmark'!$I$3:$I$480,'Resultater - Vestdanmark'!$J$3:$J$480)),'Resultater - Vestdanmark'!$F$3:$F$480,Restprodukter!$A22),SUMIFS(IF($C22=År1,'Resultater - Østdanmark'!$H$3:$H$480,IF($C22=År2,'Resultater - Østdanmark'!$I$3:$I$480,'Resultater - Østdanmark'!$J$3:$J$480)),'Resultater - Østdanmark'!$F$3:$F$480,Restprodukter!$A22))</f>
        <v>#REF!</v>
      </c>
      <c r="F22" t="e">
        <f t="shared" si="2"/>
        <v>#REF!</v>
      </c>
      <c r="G22" t="e">
        <f t="shared" si="3"/>
        <v>#REF!</v>
      </c>
      <c r="H22" t="e">
        <f t="shared" si="1"/>
        <v>#REF!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71">
        <f>SUMIFS('Forbrug af biomasse'!E:E,'Forbrug af biomasse'!F:F,"",'Forbrug af biomasse'!B:B,Restprodukter!$B23,'Forbrug af biomasse'!C:C,Restprodukter!$A23,'Forbrug af biomasse'!D:D,Restprodukter!$C23)</f>
        <v>0</v>
      </c>
      <c r="E23" t="e">
        <f>IF(B23="Vestdanmark",SUMIFS(IF($C23=År1,'Resultater - Vestdanmark'!$H$3:$H$480,IF($C23=År2,'Resultater - Vestdanmark'!$I$3:$I$480,'Resultater - Vestdanmark'!$J$3:$J$480)),'Resultater - Vestdanmark'!$F$3:$F$480,Restprodukter!$A23),SUMIFS(IF($C23=År1,'Resultater - Østdanmark'!$H$3:$H$480,IF($C23=År2,'Resultater - Østdanmark'!$I$3:$I$480,'Resultater - Østdanmark'!$J$3:$J$480)),'Resultater - Østdanmark'!$F$3:$F$480,Restprodukter!$A23))</f>
        <v>#REF!</v>
      </c>
      <c r="F23" t="e">
        <f t="shared" si="2"/>
        <v>#REF!</v>
      </c>
      <c r="G23" t="e">
        <f t="shared" si="3"/>
        <v>#REF!</v>
      </c>
      <c r="H23" t="e">
        <f t="shared" si="1"/>
        <v>#REF!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71" t="e">
        <f>SUMIFS('Forbrug af biomasse'!E:E,'Forbrug af biomasse'!F:F,"",'Forbrug af biomasse'!B:B,Restprodukter!$B24,'Forbrug af biomasse'!C:C,Restprodukter!$A24,'Forbrug af biomasse'!D:D,Restprodukter!$C24)</f>
        <v>#REF!</v>
      </c>
      <c r="E24" t="e">
        <f>IF(B24="Vestdanmark",SUMIFS(IF($C24=År1,'Resultater - Vestdanmark'!$H$3:$H$480,IF($C24=År2,'Resultater - Vestdanmark'!$I$3:$I$480,'Resultater - Vestdanmark'!$J$3:$J$480)),'Resultater - Vestdanmark'!$F$3:$F$480,Restprodukter!$A24),SUMIFS(IF($C24=År1,'Resultater - Østdanmark'!$H$3:$H$480,IF($C24=År2,'Resultater - Østdanmark'!$I$3:$I$480,'Resultater - Østdanmark'!$J$3:$J$480)),'Resultater - Østdanmark'!$F$3:$F$480,Restprodukter!$A24))</f>
        <v>#REF!</v>
      </c>
      <c r="F24" t="e">
        <f t="shared" si="2"/>
        <v>#REF!</v>
      </c>
      <c r="G24" t="e">
        <f t="shared" si="3"/>
        <v>#REF!</v>
      </c>
      <c r="H24" t="e">
        <f t="shared" si="1"/>
        <v>#REF!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71" t="e">
        <f>SUMIFS('Forbrug af biomasse'!E:E,'Forbrug af biomasse'!F:F,"",'Forbrug af biomasse'!B:B,Restprodukter!$B25,'Forbrug af biomasse'!C:C,Restprodukter!$A25,'Forbrug af biomasse'!D:D,Restprodukter!$C25)</f>
        <v>#REF!</v>
      </c>
      <c r="E25" t="e">
        <f>IF(B25="Vestdanmark",SUMIFS(IF($C25=År1,'Resultater - Vestdanmark'!$H$3:$H$480,IF($C25=År2,'Resultater - Vestdanmark'!$I$3:$I$480,'Resultater - Vestdanmark'!$J$3:$J$480)),'Resultater - Vestdanmark'!$F$3:$F$480,Restprodukter!$A25),SUMIFS(IF($C25=År1,'Resultater - Østdanmark'!$H$3:$H$480,IF($C25=År2,'Resultater - Østdanmark'!$I$3:$I$480,'Resultater - Østdanmark'!$J$3:$J$480)),'Resultater - Østdanmark'!$F$3:$F$480,Restprodukter!$A25))</f>
        <v>#REF!</v>
      </c>
      <c r="F25" t="e">
        <f t="shared" si="2"/>
        <v>#REF!</v>
      </c>
      <c r="G25" t="e">
        <f t="shared" si="3"/>
        <v>#REF!</v>
      </c>
      <c r="H25" t="e">
        <f t="shared" si="1"/>
        <v>#REF!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71" t="e">
        <f>SUMIFS('Forbrug af biomasse'!E:E,'Forbrug af biomasse'!F:F,"",'Forbrug af biomasse'!B:B,Restprodukter!$B26,'Forbrug af biomasse'!C:C,Restprodukter!$A26,'Forbrug af biomasse'!D:D,Restprodukter!$C26)</f>
        <v>#REF!</v>
      </c>
      <c r="E26" t="e">
        <f>IF(B26="Vestdanmark",SUMIFS(IF($C26=År1,'Resultater - Vestdanmark'!$H$3:$H$480,IF($C26=År2,'Resultater - Vestdanmark'!$I$3:$I$480,'Resultater - Vestdanmark'!$J$3:$J$480)),'Resultater - Vestdanmark'!$F$3:$F$480,Restprodukter!$A26),SUMIFS(IF($C26=År1,'Resultater - Østdanmark'!$H$3:$H$480,IF($C26=År2,'Resultater - Østdanmark'!$I$3:$I$480,'Resultater - Østdanmark'!$J$3:$J$480)),'Resultater - Østdanmark'!$F$3:$F$480,Restprodukter!$A26))</f>
        <v>#REF!</v>
      </c>
      <c r="F26" t="e">
        <f t="shared" si="2"/>
        <v>#REF!</v>
      </c>
      <c r="G26" t="e">
        <f t="shared" si="3"/>
        <v>#REF!</v>
      </c>
      <c r="H26" t="e">
        <f t="shared" si="1"/>
        <v>#REF!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71">
        <f>SUMIFS('Forbrug af biomasse'!E:E,'Forbrug af biomasse'!F:F,"",'Forbrug af biomasse'!B:B,Restprodukter!$B27,'Forbrug af biomasse'!C:C,Restprodukter!$A27,'Forbrug af biomasse'!D:D,Restprodukter!$C27)</f>
        <v>0</v>
      </c>
      <c r="E27" t="e">
        <f>IF(B27="Vestdanmark",SUMIFS(IF($C27=År1,'Resultater - Vestdanmark'!$H$3:$H$480,IF($C27=År2,'Resultater - Vestdanmark'!$I$3:$I$480,'Resultater - Vestdanmark'!$J$3:$J$480)),'Resultater - Vestdanmark'!$F$3:$F$480,Restprodukter!$A27),SUMIFS(IF($C27=År1,'Resultater - Østdanmark'!$H$3:$H$480,IF($C27=År2,'Resultater - Østdanmark'!$I$3:$I$480,'Resultater - Østdanmark'!$J$3:$J$480)),'Resultater - Østdanmark'!$F$3:$F$480,Restprodukter!$A27))</f>
        <v>#REF!</v>
      </c>
      <c r="F27" t="e">
        <f t="shared" si="2"/>
        <v>#REF!</v>
      </c>
      <c r="G27" t="e">
        <f t="shared" si="3"/>
        <v>#REF!</v>
      </c>
      <c r="H27" t="e">
        <f t="shared" si="1"/>
        <v>#REF!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71">
        <f>SUMIFS('Forbrug af biomasse'!E:E,'Forbrug af biomasse'!F:F,"",'Forbrug af biomasse'!B:B,Restprodukter!$B28,'Forbrug af biomasse'!C:C,Restprodukter!$A28,'Forbrug af biomasse'!D:D,Restprodukter!$C28)</f>
        <v>0</v>
      </c>
      <c r="E28" t="e">
        <f>IF(B28="Vestdanmark",SUMIFS(IF($C28=År1,'Resultater - Vestdanmark'!$H$3:$H$480,IF($C28=År2,'Resultater - Vestdanmark'!$I$3:$I$480,'Resultater - Vestdanmark'!$J$3:$J$480)),'Resultater - Vestdanmark'!$F$3:$F$480,Restprodukter!$A28),SUMIFS(IF($C28=År1,'Resultater - Østdanmark'!$H$3:$H$480,IF($C28=År2,'Resultater - Østdanmark'!$I$3:$I$480,'Resultater - Østdanmark'!$J$3:$J$480)),'Resultater - Østdanmark'!$F$3:$F$480,Restprodukter!$A28))</f>
        <v>#REF!</v>
      </c>
      <c r="F28" t="e">
        <f t="shared" si="2"/>
        <v>#REF!</v>
      </c>
      <c r="G28" t="e">
        <f t="shared" si="3"/>
        <v>#REF!</v>
      </c>
      <c r="H28" t="e">
        <f t="shared" si="1"/>
        <v>#REF!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71">
        <f>SUMIFS('Forbrug af biomasse'!E:E,'Forbrug af biomasse'!F:F,"",'Forbrug af biomasse'!B:B,Restprodukter!$B29,'Forbrug af biomasse'!C:C,Restprodukter!$A29,'Forbrug af biomasse'!D:D,Restprodukter!$C29)</f>
        <v>0</v>
      </c>
      <c r="E29" t="e">
        <f>IF(B29="Vestdanmark",SUMIFS(IF($C29=År1,'Resultater - Vestdanmark'!$H$3:$H$480,IF($C29=År2,'Resultater - Vestdanmark'!$I$3:$I$480,'Resultater - Vestdanmark'!$J$3:$J$480)),'Resultater - Vestdanmark'!$F$3:$F$480,Restprodukter!$A29),SUMIFS(IF($C29=År1,'Resultater - Østdanmark'!$H$3:$H$480,IF($C29=År2,'Resultater - Østdanmark'!$I$3:$I$480,'Resultater - Østdanmark'!$J$3:$J$480)),'Resultater - Østdanmark'!$F$3:$F$480,Restprodukter!$A29))</f>
        <v>#REF!</v>
      </c>
      <c r="F29" t="e">
        <f t="shared" si="2"/>
        <v>#REF!</v>
      </c>
      <c r="G29" t="e">
        <f t="shared" si="3"/>
        <v>#REF!</v>
      </c>
      <c r="H29" t="e">
        <f t="shared" si="1"/>
        <v>#REF!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71" t="e">
        <f>SUMIFS('Forbrug af biomasse'!E:E,'Forbrug af biomasse'!F:F,"",'Forbrug af biomasse'!B:B,Restprodukter!$B30,'Forbrug af biomasse'!C:C,Restprodukter!$A30,'Forbrug af biomasse'!D:D,Restprodukter!$C30)</f>
        <v>#REF!</v>
      </c>
      <c r="E30" t="e">
        <f>IF(B30="Vestdanmark",SUMIFS(IF($C30=År1,'Resultater - Vestdanmark'!$H$3:$H$480,IF($C30=År2,'Resultater - Vestdanmark'!$I$3:$I$480,'Resultater - Vestdanmark'!$J$3:$J$480)),'Resultater - Vestdanmark'!$F$3:$F$480,Restprodukter!$A30),SUMIFS(IF($C30=År1,'Resultater - Østdanmark'!$H$3:$H$480,IF($C30=År2,'Resultater - Østdanmark'!$I$3:$I$480,'Resultater - Østdanmark'!$J$3:$J$480)),'Resultater - Østdanmark'!$F$3:$F$480,Restprodukter!$A30))</f>
        <v>#REF!</v>
      </c>
      <c r="F30" t="e">
        <f t="shared" si="2"/>
        <v>#REF!</v>
      </c>
      <c r="G30" t="e">
        <f t="shared" si="3"/>
        <v>#REF!</v>
      </c>
      <c r="H30" t="e">
        <f t="shared" si="1"/>
        <v>#REF!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71" t="e">
        <f>SUMIFS('Forbrug af biomasse'!E:E,'Forbrug af biomasse'!F:F,"",'Forbrug af biomasse'!B:B,Restprodukter!$B31,'Forbrug af biomasse'!C:C,Restprodukter!$A31,'Forbrug af biomasse'!D:D,Restprodukter!$C31)</f>
        <v>#REF!</v>
      </c>
      <c r="E31" t="e">
        <f>IF(B31="Vestdanmark",SUMIFS(IF($C31=År1,'Resultater - Vestdanmark'!$H$3:$H$480,IF($C31=År2,'Resultater - Vestdanmark'!$I$3:$I$480,'Resultater - Vestdanmark'!$J$3:$J$480)),'Resultater - Vestdanmark'!$F$3:$F$480,Restprodukter!$A31),SUMIFS(IF($C31=År1,'Resultater - Østdanmark'!$H$3:$H$480,IF($C31=År2,'Resultater - Østdanmark'!$I$3:$I$480,'Resultater - Østdanmark'!$J$3:$J$480)),'Resultater - Østdanmark'!$F$3:$F$480,Restprodukter!$A31))</f>
        <v>#REF!</v>
      </c>
      <c r="F31" t="e">
        <f t="shared" si="2"/>
        <v>#REF!</v>
      </c>
      <c r="G31" t="e">
        <f t="shared" si="3"/>
        <v>#REF!</v>
      </c>
      <c r="H31" t="e">
        <f t="shared" si="1"/>
        <v>#REF!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71" t="e">
        <f>SUMIFS('Forbrug af biomasse'!E:E,'Forbrug af biomasse'!F:F,"",'Forbrug af biomasse'!B:B,Restprodukter!$B32,'Forbrug af biomasse'!C:C,Restprodukter!$A32,'Forbrug af biomasse'!D:D,Restprodukter!$C32)</f>
        <v>#REF!</v>
      </c>
      <c r="E32" t="e">
        <f>IF(B32="Vestdanmark",SUMIFS(IF($C32=År1,'Resultater - Vestdanmark'!$H$3:$H$480,IF($C32=År2,'Resultater - Vestdanmark'!$I$3:$I$480,'Resultater - Vestdanmark'!$J$3:$J$480)),'Resultater - Vestdanmark'!$F$3:$F$480,Restprodukter!$A32),SUMIFS(IF($C32=År1,'Resultater - Østdanmark'!$H$3:$H$480,IF($C32=År2,'Resultater - Østdanmark'!$I$3:$I$480,'Resultater - Østdanmark'!$J$3:$J$480)),'Resultater - Østdanmark'!$F$3:$F$480,Restprodukter!$A32))</f>
        <v>#REF!</v>
      </c>
      <c r="F32" t="e">
        <f t="shared" si="2"/>
        <v>#REF!</v>
      </c>
      <c r="G32" t="e">
        <f t="shared" si="3"/>
        <v>#REF!</v>
      </c>
      <c r="H32" t="e">
        <f t="shared" si="1"/>
        <v>#REF!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71">
        <f>SUMIFS('Forbrug af biomasse'!E:E,'Forbrug af biomasse'!F:F,"",'Forbrug af biomasse'!B:B,Restprodukter!$B33,'Forbrug af biomasse'!C:C,Restprodukter!$A33,'Forbrug af biomasse'!D:D,Restprodukter!$C33)</f>
        <v>0</v>
      </c>
      <c r="E33" t="e">
        <f>IF(B33="Vestdanmark",SUMIFS(IF($C33=År1,'Resultater - Vestdanmark'!$H$3:$H$480,IF($C33=År2,'Resultater - Vestdanmark'!$I$3:$I$480,'Resultater - Vestdanmark'!$J$3:$J$480)),'Resultater - Vestdanmark'!$F$3:$F$480,Restprodukter!$A33),SUMIFS(IF($C33=År1,'Resultater - Østdanmark'!$H$3:$H$480,IF($C33=År2,'Resultater - Østdanmark'!$I$3:$I$480,'Resultater - Østdanmark'!$J$3:$J$480)),'Resultater - Østdanmark'!$F$3:$F$480,Restprodukter!$A33))</f>
        <v>#REF!</v>
      </c>
      <c r="F33" t="e">
        <f t="shared" si="2"/>
        <v>#REF!</v>
      </c>
      <c r="G33" t="e">
        <f t="shared" si="3"/>
        <v>#REF!</v>
      </c>
      <c r="H33" t="e">
        <f t="shared" si="1"/>
        <v>#REF!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71">
        <f>SUMIFS('Forbrug af biomasse'!E:E,'Forbrug af biomasse'!F:F,"",'Forbrug af biomasse'!B:B,Restprodukter!$B34,'Forbrug af biomasse'!C:C,Restprodukter!$A34,'Forbrug af biomasse'!D:D,Restprodukter!$C34)</f>
        <v>0</v>
      </c>
      <c r="E34" t="e">
        <f>IF(B34="Vestdanmark",SUMIFS(IF($C34=År1,'Resultater - Vestdanmark'!$H$3:$H$480,IF($C34=År2,'Resultater - Vestdanmark'!$I$3:$I$480,'Resultater - Vestdanmark'!$J$3:$J$480)),'Resultater - Vestdanmark'!$F$3:$F$480,Restprodukter!$A34),SUMIFS(IF($C34=År1,'Resultater - Østdanmark'!$H$3:$H$480,IF($C34=År2,'Resultater - Østdanmark'!$I$3:$I$480,'Resultater - Østdanmark'!$J$3:$J$480)),'Resultater - Østdanmark'!$F$3:$F$480,Restprodukter!$A34))</f>
        <v>#REF!</v>
      </c>
      <c r="F34" t="e">
        <f t="shared" si="2"/>
        <v>#REF!</v>
      </c>
      <c r="G34" t="e">
        <f t="shared" si="3"/>
        <v>#REF!</v>
      </c>
      <c r="H34" t="e">
        <f t="shared" si="1"/>
        <v>#REF!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71">
        <f>SUMIFS('Forbrug af biomasse'!E:E,'Forbrug af biomasse'!F:F,"",'Forbrug af biomasse'!B:B,Restprodukter!$B35,'Forbrug af biomasse'!C:C,Restprodukter!$A35,'Forbrug af biomasse'!D:D,Restprodukter!$C35)</f>
        <v>0</v>
      </c>
      <c r="E35" t="e">
        <f>IF(B35="Vestdanmark",SUMIFS(IF($C35=År1,'Resultater - Vestdanmark'!$H$3:$H$480,IF($C35=År2,'Resultater - Vestdanmark'!$I$3:$I$480,'Resultater - Vestdanmark'!$J$3:$J$480)),'Resultater - Vestdanmark'!$F$3:$F$480,Restprodukter!$A35),SUMIFS(IF($C35=År1,'Resultater - Østdanmark'!$H$3:$H$480,IF($C35=År2,'Resultater - Østdanmark'!$I$3:$I$480,'Resultater - Østdanmark'!$J$3:$J$480)),'Resultater - Østdanmark'!$F$3:$F$480,Restprodukter!$A35))</f>
        <v>#REF!</v>
      </c>
      <c r="F35" t="e">
        <f t="shared" si="2"/>
        <v>#REF!</v>
      </c>
      <c r="G35" t="e">
        <f t="shared" si="3"/>
        <v>#REF!</v>
      </c>
      <c r="H35" t="e">
        <f t="shared" si="1"/>
        <v>#REF!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71" t="e">
        <f>SUMIFS('Forbrug af biomasse'!E:E,'Forbrug af biomasse'!F:F,"",'Forbrug af biomasse'!B:B,Restprodukter!$B36,'Forbrug af biomasse'!C:C,Restprodukter!$A36,'Forbrug af biomasse'!D:D,Restprodukter!$C36)</f>
        <v>#REF!</v>
      </c>
      <c r="E36" t="e">
        <f>IF(B36="Vestdanmark",SUMIFS(IF($C36=År1,'Resultater - Vestdanmark'!$H$3:$H$480,IF($C36=År2,'Resultater - Vestdanmark'!$I$3:$I$480,'Resultater - Vestdanmark'!$J$3:$J$480)),'Resultater - Vestdanmark'!$F$3:$F$480,Restprodukter!$A36),SUMIFS(IF($C36=År1,'Resultater - Østdanmark'!$H$3:$H$480,IF($C36=År2,'Resultater - Østdanmark'!$I$3:$I$480,'Resultater - Østdanmark'!$J$3:$J$480)),'Resultater - Østdanmark'!$F$3:$F$480,Restprodukter!$A36))</f>
        <v>#REF!</v>
      </c>
      <c r="F36" t="e">
        <f t="shared" si="2"/>
        <v>#REF!</v>
      </c>
      <c r="G36" t="e">
        <f t="shared" si="3"/>
        <v>#REF!</v>
      </c>
      <c r="H36" t="e">
        <f t="shared" si="1"/>
        <v>#REF!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71" t="e">
        <f>SUMIFS('Forbrug af biomasse'!E:E,'Forbrug af biomasse'!F:F,"",'Forbrug af biomasse'!B:B,Restprodukter!$B37,'Forbrug af biomasse'!C:C,Restprodukter!$A37,'Forbrug af biomasse'!D:D,Restprodukter!$C37)</f>
        <v>#REF!</v>
      </c>
      <c r="E37" t="e">
        <f>IF(B37="Vestdanmark",SUMIFS(IF($C37=År1,'Resultater - Vestdanmark'!$H$3:$H$480,IF($C37=År2,'Resultater - Vestdanmark'!$I$3:$I$480,'Resultater - Vestdanmark'!$J$3:$J$480)),'Resultater - Vestdanmark'!$F$3:$F$480,Restprodukter!$A37),SUMIFS(IF($C37=År1,'Resultater - Østdanmark'!$H$3:$H$480,IF($C37=År2,'Resultater - Østdanmark'!$I$3:$I$480,'Resultater - Østdanmark'!$J$3:$J$480)),'Resultater - Østdanmark'!$F$3:$F$480,Restprodukter!$A37))</f>
        <v>#REF!</v>
      </c>
      <c r="F37" t="e">
        <f t="shared" si="2"/>
        <v>#REF!</v>
      </c>
      <c r="G37" t="e">
        <f t="shared" si="3"/>
        <v>#REF!</v>
      </c>
      <c r="H37" t="e">
        <f t="shared" si="1"/>
        <v>#REF!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480"/>
  <sheetViews>
    <sheetView topLeftCell="A410" zoomScale="80" zoomScaleNormal="80" workbookViewId="0">
      <selection activeCell="M418" sqref="M418:O432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5" t="e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#REF!</v>
      </c>
      <c r="I3" s="306" t="e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#REF!</v>
      </c>
      <c r="J3" s="307" t="e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#REF!</v>
      </c>
      <c r="M3" t="e">
        <f>SUMIF($F$3:$F$472,"Roer",H3:H472)</f>
        <v>#REF!</v>
      </c>
      <c r="N3" s="171" t="e">
        <f>SUMIF($F$3:$F$472,"Roer",I3:I472)</f>
        <v>#REF!</v>
      </c>
      <c r="O3" s="171" t="e">
        <f>SUMIF($F$3:$F$472,"Roer",J3:J472)</f>
        <v>#REF!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2" t="e">
        <f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#REF!</v>
      </c>
      <c r="I4" s="303" t="e">
        <f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#REF!</v>
      </c>
      <c r="J4" s="304" t="e">
        <f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#REF!</v>
      </c>
      <c r="N4" s="171"/>
      <c r="O4" s="171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2" t="e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#REF!</v>
      </c>
      <c r="I5" s="303" t="e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#REF!</v>
      </c>
      <c r="J5" s="304" t="e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#REF!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2" t="e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#REF!</v>
      </c>
      <c r="I6" s="303" t="e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#REF!</v>
      </c>
      <c r="J6" s="304" t="e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#REF!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2" t="e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#REF!</v>
      </c>
      <c r="I7" s="303" t="e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#REF!</v>
      </c>
      <c r="J7" s="304" t="e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#REF!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2" t="e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#REF!</v>
      </c>
      <c r="I8" s="303" t="e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#REF!</v>
      </c>
      <c r="J8" s="304" t="e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#REF!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2" t="e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#REF!</v>
      </c>
      <c r="I9" s="303" t="e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#REF!</v>
      </c>
      <c r="J9" s="304" t="e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#REF!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2" t="e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#REF!</v>
      </c>
      <c r="I10" s="303" t="e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#REF!</v>
      </c>
      <c r="J10" s="304" t="e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#REF!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2" t="e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#REF!</v>
      </c>
      <c r="I11" s="303" t="e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#REF!</v>
      </c>
      <c r="J11" s="304" t="e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#REF!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2" t="e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#REF!</v>
      </c>
      <c r="I12" s="303" t="e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#REF!</v>
      </c>
      <c r="J12" s="304" t="e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#REF!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2" t="e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#REF!</v>
      </c>
      <c r="I13" s="303" t="e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#REF!</v>
      </c>
      <c r="J13" s="304" t="e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#REF!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2" t="e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#REF!</v>
      </c>
      <c r="I14" s="303" t="e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#REF!</v>
      </c>
      <c r="J14" s="304" t="e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#REF!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2" t="e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#REF!</v>
      </c>
      <c r="I15" s="303" t="e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#REF!</v>
      </c>
      <c r="J15" s="304" t="e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#REF!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2" t="e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#REF!</v>
      </c>
      <c r="I16" s="303" t="e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#REF!</v>
      </c>
      <c r="J16" s="304" t="e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#REF!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2" t="e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#REF!</v>
      </c>
      <c r="I17" s="303" t="e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#REF!</v>
      </c>
      <c r="J17" s="304" t="e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#REF!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2" t="e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#REF!</v>
      </c>
      <c r="I18" s="303" t="e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#REF!</v>
      </c>
      <c r="J18" s="304" t="e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#REF!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2" t="e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#REF!</v>
      </c>
      <c r="I19" s="303" t="e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#REF!</v>
      </c>
      <c r="J19" s="304" t="e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#REF!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2" t="e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#REF!</v>
      </c>
      <c r="I20" s="303" t="e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#REF!</v>
      </c>
      <c r="J20" s="304" t="e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#REF!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2" t="e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#REF!</v>
      </c>
      <c r="I21" s="303" t="e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#REF!</v>
      </c>
      <c r="J21" s="304" t="e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#REF!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2" t="e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#REF!</v>
      </c>
      <c r="I22" s="303" t="e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#REF!</v>
      </c>
      <c r="J22" s="304" t="e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#REF!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2" t="e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#REF!</v>
      </c>
      <c r="I23" s="303" t="e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#REF!</v>
      </c>
      <c r="J23" s="304" t="e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#REF!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2" t="e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#REF!</v>
      </c>
      <c r="I24" s="303" t="e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#REF!</v>
      </c>
      <c r="J24" s="304" t="e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#REF!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2" t="e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#REF!</v>
      </c>
      <c r="I25" s="303" t="e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#REF!</v>
      </c>
      <c r="J25" s="304" t="e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#REF!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2" t="e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#REF!</v>
      </c>
      <c r="I26" s="303" t="e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#REF!</v>
      </c>
      <c r="J26" s="304" t="e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#REF!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2" t="e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#REF!</v>
      </c>
      <c r="I27" s="303" t="e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#REF!</v>
      </c>
      <c r="J27" s="304" t="e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#REF!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2" t="e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#REF!</v>
      </c>
      <c r="I28" s="303" t="e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#REF!</v>
      </c>
      <c r="J28" s="304" t="e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#REF!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2" t="e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#REF!</v>
      </c>
      <c r="I29" s="303" t="e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#REF!</v>
      </c>
      <c r="J29" s="304" t="e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#REF!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2" t="e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#REF!</v>
      </c>
      <c r="I30" s="303" t="e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#REF!</v>
      </c>
      <c r="J30" s="304" t="e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#REF!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2" t="e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#REF!</v>
      </c>
      <c r="I31" s="303" t="e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#REF!</v>
      </c>
      <c r="J31" s="304" t="e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#REF!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2" t="e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#REF!</v>
      </c>
      <c r="I32" s="303" t="e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#REF!</v>
      </c>
      <c r="J32" s="304" t="e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#REF!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2" t="e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#REF!</v>
      </c>
      <c r="I33" s="303" t="e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#REF!</v>
      </c>
      <c r="J33" s="304" t="e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#REF!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2" t="e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#REF!</v>
      </c>
      <c r="I34" s="303" t="e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#REF!</v>
      </c>
      <c r="J34" s="304" t="e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#REF!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2" t="e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#REF!</v>
      </c>
      <c r="I35" s="303" t="e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#REF!</v>
      </c>
      <c r="J35" s="304" t="e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#REF!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2" t="e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#REF!</v>
      </c>
      <c r="I36" s="303" t="e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#REF!</v>
      </c>
      <c r="J36" s="304" t="e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#REF!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2" t="e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#REF!</v>
      </c>
      <c r="I37" s="303" t="e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#REF!</v>
      </c>
      <c r="J37" s="304" t="e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#REF!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2" t="e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#REF!</v>
      </c>
      <c r="I38" s="303" t="e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#REF!</v>
      </c>
      <c r="J38" s="304" t="e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#REF!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2" t="e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#REF!</v>
      </c>
      <c r="I39" s="303" t="e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#REF!</v>
      </c>
      <c r="J39" s="304" t="e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#REF!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2" t="e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#REF!</v>
      </c>
      <c r="I40" s="303" t="e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#REF!</v>
      </c>
      <c r="J40" s="304" t="e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#REF!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2" t="e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#REF!</v>
      </c>
      <c r="I41" s="303" t="e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#REF!</v>
      </c>
      <c r="J41" s="304" t="e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#REF!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2" t="e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#REF!</v>
      </c>
      <c r="I42" s="303" t="e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#REF!</v>
      </c>
      <c r="J42" s="304" t="e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#REF!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2" t="e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#REF!</v>
      </c>
      <c r="I43" s="303" t="e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#REF!</v>
      </c>
      <c r="J43" s="304" t="e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#REF!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2" t="e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#REF!</v>
      </c>
      <c r="I44" s="303" t="e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#REF!</v>
      </c>
      <c r="J44" s="304" t="e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#REF!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2" t="e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#REF!</v>
      </c>
      <c r="I45" s="303" t="e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#REF!</v>
      </c>
      <c r="J45" s="304" t="e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#REF!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2" t="e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#REF!</v>
      </c>
      <c r="I46" s="303" t="e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#REF!</v>
      </c>
      <c r="J46" s="304" t="e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#REF!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2" t="e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#REF!</v>
      </c>
      <c r="I47" s="303" t="e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#REF!</v>
      </c>
      <c r="J47" s="304" t="e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#REF!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2" t="e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#REF!</v>
      </c>
      <c r="I48" s="303" t="e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#REF!</v>
      </c>
      <c r="J48" s="304" t="e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#REF!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2" t="e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#REF!</v>
      </c>
      <c r="I49" s="303" t="e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#REF!</v>
      </c>
      <c r="J49" s="304" t="e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#REF!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2" t="e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#REF!</v>
      </c>
      <c r="I50" s="303" t="e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#REF!</v>
      </c>
      <c r="J50" s="304" t="e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#REF!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2" t="e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#REF!</v>
      </c>
      <c r="I51" s="303" t="e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#REF!</v>
      </c>
      <c r="J51" s="304" t="e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#REF!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2" t="e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#REF!</v>
      </c>
      <c r="I52" s="303" t="e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#REF!</v>
      </c>
      <c r="J52" s="304" t="e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#REF!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2" t="e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#REF!</v>
      </c>
      <c r="I53" s="303" t="e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#REF!</v>
      </c>
      <c r="J53" s="304" t="e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#REF!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2" t="e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#REF!</v>
      </c>
      <c r="I54" s="303" t="e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#REF!</v>
      </c>
      <c r="J54" s="304" t="e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#REF!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2" t="e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#REF!</v>
      </c>
      <c r="I55" s="303" t="e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#REF!</v>
      </c>
      <c r="J55" s="304" t="e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#REF!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2" t="e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#REF!</v>
      </c>
      <c r="I56" s="303" t="e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#REF!</v>
      </c>
      <c r="J56" s="304" t="e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#REF!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2" t="e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#REF!</v>
      </c>
      <c r="I57" s="303" t="e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#REF!</v>
      </c>
      <c r="J57" s="304" t="e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#REF!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2" t="e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#REF!</v>
      </c>
      <c r="I58" s="303" t="e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#REF!</v>
      </c>
      <c r="J58" s="304" t="e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#REF!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2" t="e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#REF!</v>
      </c>
      <c r="I59" s="303" t="e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#REF!</v>
      </c>
      <c r="J59" s="304" t="e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#REF!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2" t="e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#REF!</v>
      </c>
      <c r="I60" s="303" t="e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#REF!</v>
      </c>
      <c r="J60" s="304" t="e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#REF!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2" t="e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#REF!</v>
      </c>
      <c r="I61" s="303" t="e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#REF!</v>
      </c>
      <c r="J61" s="304" t="e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#REF!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2" t="e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#REF!</v>
      </c>
      <c r="I62" s="303" t="e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#REF!</v>
      </c>
      <c r="J62" s="304" t="e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#REF!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2" t="e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#REF!</v>
      </c>
      <c r="I63" s="303" t="e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#REF!</v>
      </c>
      <c r="J63" s="304" t="e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#REF!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2" t="e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#REF!</v>
      </c>
      <c r="I64" s="303" t="e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#REF!</v>
      </c>
      <c r="J64" s="304" t="e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#REF!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2" t="e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#REF!</v>
      </c>
      <c r="I65" s="303" t="e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#REF!</v>
      </c>
      <c r="J65" s="304" t="e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#REF!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2" t="e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#REF!</v>
      </c>
      <c r="I66" s="303" t="e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#REF!</v>
      </c>
      <c r="J66" s="304" t="e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#REF!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2" t="e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#REF!</v>
      </c>
      <c r="I67" s="303" t="e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#REF!</v>
      </c>
      <c r="J67" s="304" t="e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#REF!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2" t="e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#REF!</v>
      </c>
      <c r="I68" s="303" t="e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#REF!</v>
      </c>
      <c r="J68" s="304" t="e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#REF!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2" t="e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#REF!</v>
      </c>
      <c r="I69" s="303" t="e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#REF!</v>
      </c>
      <c r="J69" s="304" t="e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#REF!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2" t="e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#REF!</v>
      </c>
      <c r="I70" s="303" t="e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#REF!</v>
      </c>
      <c r="J70" s="304" t="e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#REF!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2" t="e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#REF!</v>
      </c>
      <c r="I71" s="303" t="e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#REF!</v>
      </c>
      <c r="J71" s="304" t="e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#REF!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2" t="e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#REF!</v>
      </c>
      <c r="I72" s="303" t="e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#REF!</v>
      </c>
      <c r="J72" s="304" t="e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#REF!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2" t="e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#REF!</v>
      </c>
      <c r="I73" s="303" t="e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#REF!</v>
      </c>
      <c r="J73" s="304" t="e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#REF!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2" t="e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#REF!</v>
      </c>
      <c r="I74" s="303" t="e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#REF!</v>
      </c>
      <c r="J74" s="304" t="e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#REF!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2" t="e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#REF!</v>
      </c>
      <c r="I75" s="303" t="e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#REF!</v>
      </c>
      <c r="J75" s="304" t="e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#REF!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2" t="e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#REF!</v>
      </c>
      <c r="I76" s="303" t="e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#REF!</v>
      </c>
      <c r="J76" s="304" t="e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#REF!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2" t="e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#REF!</v>
      </c>
      <c r="I77" s="303" t="e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#REF!</v>
      </c>
      <c r="J77" s="304" t="e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#REF!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2" t="e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#REF!</v>
      </c>
      <c r="I78" s="303" t="e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#REF!</v>
      </c>
      <c r="J78" s="304" t="e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#REF!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2" t="e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#REF!</v>
      </c>
      <c r="I79" s="303" t="e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#REF!</v>
      </c>
      <c r="J79" s="304" t="e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#REF!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2" t="e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#REF!</v>
      </c>
      <c r="I80" s="303" t="e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#REF!</v>
      </c>
      <c r="J80" s="304" t="e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#REF!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2" t="e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#REF!</v>
      </c>
      <c r="I81" s="303" t="e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#REF!</v>
      </c>
      <c r="J81" s="304" t="e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#REF!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2" t="e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#REF!</v>
      </c>
      <c r="I82" s="303" t="e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#REF!</v>
      </c>
      <c r="J82" s="304" t="e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#REF!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2" t="e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#REF!</v>
      </c>
      <c r="I83" s="303" t="e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#REF!</v>
      </c>
      <c r="J83" s="304" t="e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#REF!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2" t="e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#REF!</v>
      </c>
      <c r="I84" s="303" t="e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#REF!</v>
      </c>
      <c r="J84" s="304" t="e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#REF!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2" t="e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#REF!</v>
      </c>
      <c r="I85" s="303" t="e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#REF!</v>
      </c>
      <c r="J85" s="304" t="e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#REF!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2" t="e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#REF!</v>
      </c>
      <c r="I86" s="303" t="e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#REF!</v>
      </c>
      <c r="J86" s="304" t="e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#REF!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2" t="e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#REF!</v>
      </c>
      <c r="I87" s="303" t="e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#REF!</v>
      </c>
      <c r="J87" s="304" t="e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#REF!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2" t="e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#REF!</v>
      </c>
      <c r="I88" s="303" t="e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#REF!</v>
      </c>
      <c r="J88" s="304" t="e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#REF!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2" t="e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#REF!</v>
      </c>
      <c r="I89" s="303" t="e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#REF!</v>
      </c>
      <c r="J89" s="304" t="e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#REF!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2" t="e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#REF!</v>
      </c>
      <c r="I90" s="303" t="e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#REF!</v>
      </c>
      <c r="J90" s="304" t="e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#REF!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2" t="e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#REF!</v>
      </c>
      <c r="I91" s="303" t="e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#REF!</v>
      </c>
      <c r="J91" s="304" t="e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#REF!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2" t="e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#REF!</v>
      </c>
      <c r="I92" s="303" t="e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#REF!</v>
      </c>
      <c r="J92" s="304" t="e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#REF!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2" t="e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#REF!</v>
      </c>
      <c r="I93" s="303" t="e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#REF!</v>
      </c>
      <c r="J93" s="304" t="e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#REF!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2" t="e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#REF!</v>
      </c>
      <c r="I94" s="303" t="e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#REF!</v>
      </c>
      <c r="J94" s="304" t="e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#REF!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2" t="e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#REF!</v>
      </c>
      <c r="I95" s="303" t="e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#REF!</v>
      </c>
      <c r="J95" s="304" t="e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#REF!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2" t="e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#REF!</v>
      </c>
      <c r="I96" s="303" t="e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#REF!</v>
      </c>
      <c r="J96" s="304" t="e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#REF!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2" t="e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#REF!</v>
      </c>
      <c r="I97" s="303" t="e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#REF!</v>
      </c>
      <c r="J97" s="304" t="e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#REF!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2" t="e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#REF!</v>
      </c>
      <c r="I98" s="303" t="e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#REF!</v>
      </c>
      <c r="J98" s="304" t="e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#REF!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2" t="e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#REF!</v>
      </c>
      <c r="I99" s="303" t="e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#REF!</v>
      </c>
      <c r="J99" s="304" t="e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#REF!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2" t="e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#REF!</v>
      </c>
      <c r="I100" s="303" t="e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#REF!</v>
      </c>
      <c r="J100" s="304" t="e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#REF!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2" t="e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#REF!</v>
      </c>
      <c r="I101" s="303" t="e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#REF!</v>
      </c>
      <c r="J101" s="304" t="e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#REF!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2" t="e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#REF!</v>
      </c>
      <c r="I102" s="303" t="e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#REF!</v>
      </c>
      <c r="J102" s="304" t="e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#REF!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2" t="e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#REF!</v>
      </c>
      <c r="I103" s="303" t="e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#REF!</v>
      </c>
      <c r="J103" s="304" t="e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#REF!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2" t="e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#REF!</v>
      </c>
      <c r="I104" s="303" t="e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#REF!</v>
      </c>
      <c r="J104" s="304" t="e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#REF!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2" t="e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#REF!</v>
      </c>
      <c r="I105" s="303" t="e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#REF!</v>
      </c>
      <c r="J105" s="304" t="e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#REF!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2" t="e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#REF!</v>
      </c>
      <c r="I106" s="303" t="e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#REF!</v>
      </c>
      <c r="J106" s="304" t="e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#REF!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2" t="e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#REF!</v>
      </c>
      <c r="I107" s="303" t="e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#REF!</v>
      </c>
      <c r="J107" s="304" t="e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#REF!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2" t="e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#REF!</v>
      </c>
      <c r="I108" s="303" t="e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#REF!</v>
      </c>
      <c r="J108" s="304" t="e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#REF!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2" t="e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#REF!</v>
      </c>
      <c r="I109" s="303" t="e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#REF!</v>
      </c>
      <c r="J109" s="304" t="e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#REF!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2" t="e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#REF!</v>
      </c>
      <c r="I110" s="303" t="e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#REF!</v>
      </c>
      <c r="J110" s="304" t="e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#REF!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2" t="e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#REF!</v>
      </c>
      <c r="I111" s="303" t="e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#REF!</v>
      </c>
      <c r="J111" s="304" t="e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#REF!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2" t="e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#REF!</v>
      </c>
      <c r="I112" s="303" t="e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#REF!</v>
      </c>
      <c r="J112" s="304" t="e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#REF!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2" t="e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#REF!</v>
      </c>
      <c r="I113" s="303" t="e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#REF!</v>
      </c>
      <c r="J113" s="304" t="e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#REF!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2" t="e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#REF!</v>
      </c>
      <c r="I114" s="303" t="e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#REF!</v>
      </c>
      <c r="J114" s="304" t="e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#REF!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2" t="e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#REF!</v>
      </c>
      <c r="I115" s="303" t="e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#REF!</v>
      </c>
      <c r="J115" s="304" t="e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#REF!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2" t="e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#REF!</v>
      </c>
      <c r="I116" s="303" t="e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#REF!</v>
      </c>
      <c r="J116" s="304" t="e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#REF!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2" t="e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#REF!</v>
      </c>
      <c r="I117" s="303" t="e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#REF!</v>
      </c>
      <c r="J117" s="304" t="e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#REF!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2" t="e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#REF!</v>
      </c>
      <c r="I118" s="303" t="e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#REF!</v>
      </c>
      <c r="J118" s="304" t="e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#REF!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2" t="e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#REF!</v>
      </c>
      <c r="I119" s="303" t="e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#REF!</v>
      </c>
      <c r="J119" s="304" t="e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#REF!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2" t="e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#REF!</v>
      </c>
      <c r="I120" s="303" t="e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#REF!</v>
      </c>
      <c r="J120" s="304" t="e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#REF!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2" t="e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#REF!</v>
      </c>
      <c r="I121" s="303" t="e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#REF!</v>
      </c>
      <c r="J121" s="304" t="e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#REF!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2" t="e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#REF!</v>
      </c>
      <c r="I122" s="303" t="e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#REF!</v>
      </c>
      <c r="J122" s="304" t="e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#REF!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2" t="e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#REF!</v>
      </c>
      <c r="I123" s="303" t="e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#REF!</v>
      </c>
      <c r="J123" s="304" t="e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#REF!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2" t="e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#REF!</v>
      </c>
      <c r="I124" s="303" t="e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#REF!</v>
      </c>
      <c r="J124" s="304" t="e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#REF!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2" t="e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#REF!</v>
      </c>
      <c r="I125" s="303" t="e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#REF!</v>
      </c>
      <c r="J125" s="304" t="e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#REF!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2" t="e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#REF!</v>
      </c>
      <c r="I126" s="303" t="e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#REF!</v>
      </c>
      <c r="J126" s="304" t="e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#REF!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2" t="e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#REF!</v>
      </c>
      <c r="I127" s="303" t="e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#REF!</v>
      </c>
      <c r="J127" s="304" t="e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#REF!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2" t="e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#REF!</v>
      </c>
      <c r="I128" s="303" t="e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#REF!</v>
      </c>
      <c r="J128" s="304" t="e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#REF!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2" t="e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#REF!</v>
      </c>
      <c r="I129" s="303" t="e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#REF!</v>
      </c>
      <c r="J129" s="304" t="e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#REF!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2" t="e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#REF!</v>
      </c>
      <c r="I130" s="303" t="e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#REF!</v>
      </c>
      <c r="J130" s="304" t="e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#REF!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2" t="e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#REF!</v>
      </c>
      <c r="I131" s="303" t="e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#REF!</v>
      </c>
      <c r="J131" s="304" t="e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#REF!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2" t="e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#REF!</v>
      </c>
      <c r="I132" s="303" t="e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#REF!</v>
      </c>
      <c r="J132" s="304" t="e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#REF!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2" t="e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#REF!</v>
      </c>
      <c r="I133" s="303" t="e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#REF!</v>
      </c>
      <c r="J133" s="304" t="e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#REF!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2" t="e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#REF!</v>
      </c>
      <c r="I134" s="303" t="e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#REF!</v>
      </c>
      <c r="J134" s="304" t="e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#REF!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2" t="e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#REF!</v>
      </c>
      <c r="I135" s="303" t="e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#REF!</v>
      </c>
      <c r="J135" s="304" t="e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#REF!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2" t="e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#REF!</v>
      </c>
      <c r="I136" s="303" t="e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#REF!</v>
      </c>
      <c r="J136" s="304" t="e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#REF!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2" t="e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#REF!</v>
      </c>
      <c r="I137" s="303" t="e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#REF!</v>
      </c>
      <c r="J137" s="304" t="e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#REF!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2" t="e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#REF!</v>
      </c>
      <c r="I138" s="303" t="e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#REF!</v>
      </c>
      <c r="J138" s="304" t="e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#REF!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2" t="e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#REF!</v>
      </c>
      <c r="I139" s="303" t="e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#REF!</v>
      </c>
      <c r="J139" s="304" t="e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#REF!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2" t="e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#REF!</v>
      </c>
      <c r="I140" s="303" t="e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#REF!</v>
      </c>
      <c r="J140" s="304" t="e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#REF!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2" t="e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#REF!</v>
      </c>
      <c r="I141" s="303" t="e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#REF!</v>
      </c>
      <c r="J141" s="304" t="e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#REF!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2" t="e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#REF!</v>
      </c>
      <c r="I142" s="303" t="e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#REF!</v>
      </c>
      <c r="J142" s="304" t="e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#REF!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2" t="e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#REF!</v>
      </c>
      <c r="I143" s="303" t="e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#REF!</v>
      </c>
      <c r="J143" s="304" t="e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#REF!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2" t="e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#REF!</v>
      </c>
      <c r="I144" s="303" t="e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#REF!</v>
      </c>
      <c r="J144" s="304" t="e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#REF!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2" t="e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#REF!</v>
      </c>
      <c r="I145" s="303" t="e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#REF!</v>
      </c>
      <c r="J145" s="304" t="e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#REF!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2" t="e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#REF!</v>
      </c>
      <c r="I146" s="303" t="e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#REF!</v>
      </c>
      <c r="J146" s="304" t="e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#REF!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2" t="e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#REF!</v>
      </c>
      <c r="I147" s="303" t="e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#REF!</v>
      </c>
      <c r="J147" s="304" t="e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#REF!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2" t="e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#REF!</v>
      </c>
      <c r="I148" s="303" t="e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#REF!</v>
      </c>
      <c r="J148" s="304" t="e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#REF!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2" t="e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#REF!</v>
      </c>
      <c r="I149" s="303" t="e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#REF!</v>
      </c>
      <c r="J149" s="304" t="e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#REF!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2" t="e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#REF!</v>
      </c>
      <c r="I150" s="303" t="e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#REF!</v>
      </c>
      <c r="J150" s="304" t="e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#REF!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2" t="e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#REF!</v>
      </c>
      <c r="I151" s="303" t="e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#REF!</v>
      </c>
      <c r="J151" s="304" t="e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#REF!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2" t="e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#REF!</v>
      </c>
      <c r="I152" s="303" t="e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#REF!</v>
      </c>
      <c r="J152" s="304" t="e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#REF!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2" t="e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#REF!</v>
      </c>
      <c r="I153" s="303" t="e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#REF!</v>
      </c>
      <c r="J153" s="304" t="e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#REF!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2" t="e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#REF!</v>
      </c>
      <c r="I154" s="303" t="e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#REF!</v>
      </c>
      <c r="J154" s="304" t="e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#REF!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2" t="e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#REF!</v>
      </c>
      <c r="I155" s="303" t="e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#REF!</v>
      </c>
      <c r="J155" s="304" t="e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#REF!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2" t="e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#REF!</v>
      </c>
      <c r="I156" s="303" t="e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#REF!</v>
      </c>
      <c r="J156" s="304" t="e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#REF!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2" t="e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#REF!</v>
      </c>
      <c r="I157" s="303" t="e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#REF!</v>
      </c>
      <c r="J157" s="304" t="e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#REF!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2" t="e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#REF!</v>
      </c>
      <c r="I158" s="303" t="e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#REF!</v>
      </c>
      <c r="J158" s="304" t="e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#REF!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2" t="e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#REF!</v>
      </c>
      <c r="I159" s="303" t="e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#REF!</v>
      </c>
      <c r="J159" s="304" t="e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#REF!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2" t="e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#REF!</v>
      </c>
      <c r="I160" s="303" t="e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#REF!</v>
      </c>
      <c r="J160" s="304" t="e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#REF!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2" t="e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#REF!</v>
      </c>
      <c r="I161" s="303" t="e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#REF!</v>
      </c>
      <c r="J161" s="304" t="e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#REF!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2" t="e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#REF!</v>
      </c>
      <c r="I162" s="303" t="e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#REF!</v>
      </c>
      <c r="J162" s="304" t="e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#REF!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2" t="e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#REF!</v>
      </c>
      <c r="I163" s="303" t="e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#REF!</v>
      </c>
      <c r="J163" s="304" t="e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#REF!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2" t="e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#REF!</v>
      </c>
      <c r="I164" s="303" t="e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#REF!</v>
      </c>
      <c r="J164" s="304" t="e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#REF!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2" t="e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#REF!</v>
      </c>
      <c r="I165" s="303" t="e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#REF!</v>
      </c>
      <c r="J165" s="304" t="e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#REF!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2" t="e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#REF!</v>
      </c>
      <c r="I166" s="303" t="e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#REF!</v>
      </c>
      <c r="J166" s="304" t="e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#REF!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2" t="e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#REF!</v>
      </c>
      <c r="I167" s="303" t="e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#REF!</v>
      </c>
      <c r="J167" s="304" t="e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#REF!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2" t="e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#REF!</v>
      </c>
      <c r="I168" s="303" t="e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#REF!</v>
      </c>
      <c r="J168" s="304" t="e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#REF!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2" t="e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#REF!</v>
      </c>
      <c r="I169" s="303" t="e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#REF!</v>
      </c>
      <c r="J169" s="304" t="e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#REF!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2" t="e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#REF!</v>
      </c>
      <c r="I170" s="303" t="e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#REF!</v>
      </c>
      <c r="J170" s="304" t="e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#REF!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2" t="e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#REF!</v>
      </c>
      <c r="I171" s="303" t="e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#REF!</v>
      </c>
      <c r="J171" s="304" t="e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#REF!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2" t="e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#REF!</v>
      </c>
      <c r="I172" s="303" t="e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#REF!</v>
      </c>
      <c r="J172" s="304" t="e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#REF!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2" t="e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#REF!</v>
      </c>
      <c r="I173" s="303" t="e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#REF!</v>
      </c>
      <c r="J173" s="304" t="e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#REF!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2" t="e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#REF!</v>
      </c>
      <c r="I174" s="303" t="e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#REF!</v>
      </c>
      <c r="J174" s="304" t="e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#REF!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2" t="e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#REF!</v>
      </c>
      <c r="I175" s="303" t="e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#REF!</v>
      </c>
      <c r="J175" s="304" t="e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#REF!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2" t="e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#REF!</v>
      </c>
      <c r="I176" s="303" t="e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#REF!</v>
      </c>
      <c r="J176" s="304" t="e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#REF!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2" t="e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#REF!</v>
      </c>
      <c r="I177" s="303" t="e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#REF!</v>
      </c>
      <c r="J177" s="304" t="e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#REF!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2" t="e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#REF!</v>
      </c>
      <c r="I178" s="303" t="e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#REF!</v>
      </c>
      <c r="J178" s="304" t="e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#REF!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2" t="e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#REF!</v>
      </c>
      <c r="I179" s="303" t="e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#REF!</v>
      </c>
      <c r="J179" s="304" t="e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#REF!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2" t="e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#REF!</v>
      </c>
      <c r="I180" s="303" t="e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#REF!</v>
      </c>
      <c r="J180" s="304" t="e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#REF!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2" t="e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#REF!</v>
      </c>
      <c r="I181" s="303" t="e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#REF!</v>
      </c>
      <c r="J181" s="304" t="e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#REF!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2" t="e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#REF!</v>
      </c>
      <c r="I182" s="303" t="e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#REF!</v>
      </c>
      <c r="J182" s="304" t="e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#REF!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2" t="e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#REF!</v>
      </c>
      <c r="I183" s="303" t="e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#REF!</v>
      </c>
      <c r="J183" s="304" t="e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#REF!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2" t="e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#REF!</v>
      </c>
      <c r="I184" s="303" t="e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#REF!</v>
      </c>
      <c r="J184" s="304" t="e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#REF!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2" t="e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#REF!</v>
      </c>
      <c r="I185" s="303" t="e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#REF!</v>
      </c>
      <c r="J185" s="304" t="e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#REF!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2" t="e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#REF!</v>
      </c>
      <c r="I186" s="303" t="e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#REF!</v>
      </c>
      <c r="J186" s="304" t="e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#REF!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2" t="e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#REF!</v>
      </c>
      <c r="I187" s="303" t="e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#REF!</v>
      </c>
      <c r="J187" s="304" t="e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#REF!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2" t="e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#REF!</v>
      </c>
      <c r="I188" s="303" t="e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#REF!</v>
      </c>
      <c r="J188" s="304" t="e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#REF!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2" t="e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#REF!</v>
      </c>
      <c r="I189" s="303" t="e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#REF!</v>
      </c>
      <c r="J189" s="304" t="e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#REF!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2" t="e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#REF!</v>
      </c>
      <c r="I190" s="303" t="e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#REF!</v>
      </c>
      <c r="J190" s="304" t="e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#REF!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2" t="e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#REF!</v>
      </c>
      <c r="I191" s="303" t="e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#REF!</v>
      </c>
      <c r="J191" s="304" t="e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#REF!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2" t="e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#REF!</v>
      </c>
      <c r="I192" s="303" t="e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#REF!</v>
      </c>
      <c r="J192" s="304" t="e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#REF!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2" t="e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#REF!</v>
      </c>
      <c r="I193" s="303" t="e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#REF!</v>
      </c>
      <c r="J193" s="304" t="e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#REF!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2" t="e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#REF!</v>
      </c>
      <c r="I194" s="303" t="e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#REF!</v>
      </c>
      <c r="J194" s="304" t="e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#REF!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2" t="e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#REF!</v>
      </c>
      <c r="I195" s="303" t="e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#REF!</v>
      </c>
      <c r="J195" s="304" t="e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#REF!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2" t="e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#REF!</v>
      </c>
      <c r="I196" s="303" t="e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#REF!</v>
      </c>
      <c r="J196" s="304" t="e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#REF!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2" t="e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#REF!</v>
      </c>
      <c r="I197" s="303" t="e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#REF!</v>
      </c>
      <c r="J197" s="304" t="e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#REF!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2" t="e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#REF!</v>
      </c>
      <c r="I198" s="303" t="e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#REF!</v>
      </c>
      <c r="J198" s="304" t="e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#REF!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2" t="e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#REF!</v>
      </c>
      <c r="I199" s="303" t="e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#REF!</v>
      </c>
      <c r="J199" s="304" t="e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#REF!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2" t="e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#REF!</v>
      </c>
      <c r="I200" s="303" t="e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#REF!</v>
      </c>
      <c r="J200" s="304" t="e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#REF!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2" t="e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#REF!</v>
      </c>
      <c r="I201" s="303" t="e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#REF!</v>
      </c>
      <c r="J201" s="304" t="e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#REF!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2" t="e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#REF!</v>
      </c>
      <c r="I202" s="303" t="e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#REF!</v>
      </c>
      <c r="J202" s="304" t="e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#REF!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2" t="e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#REF!</v>
      </c>
      <c r="I203" s="303" t="e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#REF!</v>
      </c>
      <c r="J203" s="304" t="e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#REF!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2" t="e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#REF!</v>
      </c>
      <c r="I204" s="303" t="e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#REF!</v>
      </c>
      <c r="J204" s="304" t="e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#REF!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2" t="e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#REF!</v>
      </c>
      <c r="I205" s="303" t="e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#REF!</v>
      </c>
      <c r="J205" s="304" t="e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#REF!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2" t="e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#REF!</v>
      </c>
      <c r="I206" s="303" t="e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#REF!</v>
      </c>
      <c r="J206" s="304" t="e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#REF!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2" t="e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#REF!</v>
      </c>
      <c r="I207" s="303" t="e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#REF!</v>
      </c>
      <c r="J207" s="304" t="e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#REF!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2" t="e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#REF!</v>
      </c>
      <c r="I208" s="303" t="e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#REF!</v>
      </c>
      <c r="J208" s="304" t="e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#REF!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2" t="e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#REF!</v>
      </c>
      <c r="I209" s="303" t="e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#REF!</v>
      </c>
      <c r="J209" s="304" t="e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#REF!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2" t="e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#REF!</v>
      </c>
      <c r="I210" s="303" t="e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#REF!</v>
      </c>
      <c r="J210" s="304" t="e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#REF!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2" t="e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#REF!</v>
      </c>
      <c r="I211" s="303" t="e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#REF!</v>
      </c>
      <c r="J211" s="304" t="e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#REF!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2" t="e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#REF!</v>
      </c>
      <c r="I212" s="303" t="e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#REF!</v>
      </c>
      <c r="J212" s="304" t="e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#REF!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2" t="e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#REF!</v>
      </c>
      <c r="I213" s="303" t="e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#REF!</v>
      </c>
      <c r="J213" s="304" t="e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#REF!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2" t="e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#REF!</v>
      </c>
      <c r="I214" s="303" t="e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#REF!</v>
      </c>
      <c r="J214" s="304" t="e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#REF!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2" t="e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#REF!</v>
      </c>
      <c r="I215" s="303" t="e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#REF!</v>
      </c>
      <c r="J215" s="304" t="e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#REF!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2" t="e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#REF!</v>
      </c>
      <c r="I216" s="303" t="e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#REF!</v>
      </c>
      <c r="J216" s="304" t="e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#REF!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2" t="e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#REF!</v>
      </c>
      <c r="I217" s="303" t="e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#REF!</v>
      </c>
      <c r="J217" s="304" t="e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#REF!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2" t="e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#REF!</v>
      </c>
      <c r="I218" s="303" t="e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#REF!</v>
      </c>
      <c r="J218" s="304" t="e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#REF!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2" t="e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#REF!</v>
      </c>
      <c r="I219" s="303" t="e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#REF!</v>
      </c>
      <c r="J219" s="304" t="e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#REF!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2" t="e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#REF!</v>
      </c>
      <c r="I220" s="303" t="e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#REF!</v>
      </c>
      <c r="J220" s="304" t="e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#REF!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2" t="e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#REF!</v>
      </c>
      <c r="I221" s="303" t="e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#REF!</v>
      </c>
      <c r="J221" s="304" t="e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#REF!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2" t="e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#REF!</v>
      </c>
      <c r="I222" s="303" t="e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#REF!</v>
      </c>
      <c r="J222" s="304" t="e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#REF!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2" t="e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#REF!</v>
      </c>
      <c r="I223" s="303" t="e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#REF!</v>
      </c>
      <c r="J223" s="304" t="e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#REF!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2" t="e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#REF!</v>
      </c>
      <c r="I224" s="303" t="e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#REF!</v>
      </c>
      <c r="J224" s="304" t="e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#REF!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2" t="e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#REF!</v>
      </c>
      <c r="I225" s="303" t="e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#REF!</v>
      </c>
      <c r="J225" s="304" t="e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#REF!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2" t="e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#REF!</v>
      </c>
      <c r="I226" s="303" t="e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#REF!</v>
      </c>
      <c r="J226" s="304" t="e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#REF!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2" t="e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#REF!</v>
      </c>
      <c r="I227" s="303" t="e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#REF!</v>
      </c>
      <c r="J227" s="304" t="e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#REF!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2" t="e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#REF!</v>
      </c>
      <c r="I228" s="303" t="e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#REF!</v>
      </c>
      <c r="J228" s="304" t="e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#REF!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2" t="e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#REF!</v>
      </c>
      <c r="I229" s="303" t="e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#REF!</v>
      </c>
      <c r="J229" s="304" t="e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#REF!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2" t="e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#REF!</v>
      </c>
      <c r="I230" s="303" t="e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#REF!</v>
      </c>
      <c r="J230" s="304" t="e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#REF!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2" t="e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#REF!</v>
      </c>
      <c r="I231" s="303" t="e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#REF!</v>
      </c>
      <c r="J231" s="304" t="e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#REF!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2" t="e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#REF!</v>
      </c>
      <c r="I232" s="303" t="e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#REF!</v>
      </c>
      <c r="J232" s="304" t="e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#REF!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2" t="e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#REF!</v>
      </c>
      <c r="I233" s="303" t="e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#REF!</v>
      </c>
      <c r="J233" s="304" t="e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#REF!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2" t="e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#REF!</v>
      </c>
      <c r="I234" s="303" t="e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#REF!</v>
      </c>
      <c r="J234" s="304" t="e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#REF!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2" t="e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#REF!</v>
      </c>
      <c r="I235" s="303" t="e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#REF!</v>
      </c>
      <c r="J235" s="304" t="e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#REF!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2" t="e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#REF!</v>
      </c>
      <c r="I236" s="303" t="e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#REF!</v>
      </c>
      <c r="J236" s="304" t="e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#REF!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2" t="e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#REF!</v>
      </c>
      <c r="I237" s="303" t="e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#REF!</v>
      </c>
      <c r="J237" s="304" t="e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#REF!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2" t="e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#REF!</v>
      </c>
      <c r="I238" s="303" t="e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#REF!</v>
      </c>
      <c r="J238" s="304" t="e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#REF!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2" t="e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#REF!</v>
      </c>
      <c r="I239" s="303" t="e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#REF!</v>
      </c>
      <c r="J239" s="304" t="e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#REF!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2" t="e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#REF!</v>
      </c>
      <c r="I240" s="303" t="e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#REF!</v>
      </c>
      <c r="J240" s="304" t="e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#REF!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2" t="e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#REF!</v>
      </c>
      <c r="I241" s="303" t="e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#REF!</v>
      </c>
      <c r="J241" s="304" t="e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#REF!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2" t="e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#REF!</v>
      </c>
      <c r="I242" s="303" t="e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#REF!</v>
      </c>
      <c r="J242" s="304" t="e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#REF!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2" t="e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#REF!</v>
      </c>
      <c r="I243" s="303" t="e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#REF!</v>
      </c>
      <c r="J243" s="304" t="e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#REF!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2" t="e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#REF!</v>
      </c>
      <c r="I244" s="303" t="e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#REF!</v>
      </c>
      <c r="J244" s="304" t="e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#REF!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2" t="e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#REF!</v>
      </c>
      <c r="I245" s="303" t="e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#REF!</v>
      </c>
      <c r="J245" s="304" t="e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#REF!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2" t="e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#REF!</v>
      </c>
      <c r="I246" s="303" t="e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#REF!</v>
      </c>
      <c r="J246" s="304" t="e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#REF!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2" t="e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#REF!</v>
      </c>
      <c r="I247" s="303" t="e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#REF!</v>
      </c>
      <c r="J247" s="304" t="e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#REF!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2" t="e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#REF!</v>
      </c>
      <c r="I248" s="303" t="e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#REF!</v>
      </c>
      <c r="J248" s="304" t="e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#REF!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2" t="e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#REF!</v>
      </c>
      <c r="I249" s="303" t="e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#REF!</v>
      </c>
      <c r="J249" s="304" t="e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#REF!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2" t="e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#REF!</v>
      </c>
      <c r="I250" s="303" t="e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#REF!</v>
      </c>
      <c r="J250" s="304" t="e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#REF!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2" t="e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#REF!</v>
      </c>
      <c r="I251" s="303" t="e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#REF!</v>
      </c>
      <c r="J251" s="304" t="e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#REF!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2" t="e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#REF!</v>
      </c>
      <c r="I252" s="303" t="e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#REF!</v>
      </c>
      <c r="J252" s="304" t="e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#REF!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2" t="e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#REF!</v>
      </c>
      <c r="I253" s="303" t="e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#REF!</v>
      </c>
      <c r="J253" s="304" t="e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#REF!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2" t="e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#REF!</v>
      </c>
      <c r="I254" s="303" t="e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#REF!</v>
      </c>
      <c r="J254" s="304" t="e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#REF!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2" t="e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#REF!</v>
      </c>
      <c r="I255" s="303" t="e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#REF!</v>
      </c>
      <c r="J255" s="304" t="e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#REF!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2" t="e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#REF!</v>
      </c>
      <c r="I256" s="303" t="e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#REF!</v>
      </c>
      <c r="J256" s="304" t="e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#REF!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2" t="e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#REF!</v>
      </c>
      <c r="I257" s="303" t="e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#REF!</v>
      </c>
      <c r="J257" s="304" t="e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#REF!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2" t="e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#REF!</v>
      </c>
      <c r="I258" s="303" t="e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#REF!</v>
      </c>
      <c r="J258" s="304" t="e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#REF!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2" t="e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#REF!</v>
      </c>
      <c r="I259" s="303" t="e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#REF!</v>
      </c>
      <c r="J259" s="304" t="e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#REF!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2" t="e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#REF!</v>
      </c>
      <c r="I260" s="303" t="e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#REF!</v>
      </c>
      <c r="J260" s="304" t="e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#REF!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2" t="e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#REF!</v>
      </c>
      <c r="I261" s="303" t="e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#REF!</v>
      </c>
      <c r="J261" s="304" t="e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#REF!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2" t="e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#REF!</v>
      </c>
      <c r="I262" s="303" t="e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#REF!</v>
      </c>
      <c r="J262" s="304" t="e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#REF!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2" t="e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#REF!</v>
      </c>
      <c r="I263" s="303" t="e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#REF!</v>
      </c>
      <c r="J263" s="304" t="e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#REF!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2" t="e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#REF!</v>
      </c>
      <c r="I264" s="303" t="e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#REF!</v>
      </c>
      <c r="J264" s="304" t="e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#REF!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2" t="e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#REF!</v>
      </c>
      <c r="I265" s="303" t="e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#REF!</v>
      </c>
      <c r="J265" s="304" t="e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#REF!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2" t="e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#REF!</v>
      </c>
      <c r="I266" s="303" t="e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#REF!</v>
      </c>
      <c r="J266" s="304" t="e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#REF!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2" t="e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#REF!</v>
      </c>
      <c r="I267" s="303" t="e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#REF!</v>
      </c>
      <c r="J267" s="304" t="e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#REF!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2" t="e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#REF!</v>
      </c>
      <c r="I268" s="303" t="e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#REF!</v>
      </c>
      <c r="J268" s="304" t="e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#REF!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2" t="e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#REF!</v>
      </c>
      <c r="I269" s="303" t="e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#REF!</v>
      </c>
      <c r="J269" s="304" t="e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#REF!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2" t="e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#REF!</v>
      </c>
      <c r="I270" s="303" t="e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#REF!</v>
      </c>
      <c r="J270" s="304" t="e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#REF!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2" t="e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#REF!</v>
      </c>
      <c r="I271" s="303" t="e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#REF!</v>
      </c>
      <c r="J271" s="304" t="e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#REF!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2" t="e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#REF!</v>
      </c>
      <c r="I272" s="303" t="e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#REF!</v>
      </c>
      <c r="J272" s="304" t="e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#REF!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2" t="e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#REF!</v>
      </c>
      <c r="I273" s="303" t="e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#REF!</v>
      </c>
      <c r="J273" s="304" t="e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#REF!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2" t="e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#REF!</v>
      </c>
      <c r="I274" s="303" t="e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#REF!</v>
      </c>
      <c r="J274" s="304" t="e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#REF!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2" t="e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#REF!</v>
      </c>
      <c r="I275" s="303" t="e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#REF!</v>
      </c>
      <c r="J275" s="304" t="e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#REF!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2" t="e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#REF!</v>
      </c>
      <c r="I276" s="303" t="e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#REF!</v>
      </c>
      <c r="J276" s="304" t="e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#REF!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2" t="e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#REF!</v>
      </c>
      <c r="I277" s="303" t="e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#REF!</v>
      </c>
      <c r="J277" s="304" t="e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#REF!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2" t="e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#REF!</v>
      </c>
      <c r="I278" s="303" t="e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#REF!</v>
      </c>
      <c r="J278" s="304" t="e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#REF!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2" t="e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#REF!</v>
      </c>
      <c r="I279" s="303" t="e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#REF!</v>
      </c>
      <c r="J279" s="304" t="e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#REF!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2" t="e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#REF!</v>
      </c>
      <c r="I280" s="303" t="e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#REF!</v>
      </c>
      <c r="J280" s="304" t="e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#REF!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2" t="e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#REF!</v>
      </c>
      <c r="I281" s="303" t="e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#REF!</v>
      </c>
      <c r="J281" s="304" t="e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#REF!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2" t="e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#REF!</v>
      </c>
      <c r="I282" s="303" t="e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#REF!</v>
      </c>
      <c r="J282" s="304" t="e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#REF!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2" t="e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#REF!</v>
      </c>
      <c r="I283" s="303" t="e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#REF!</v>
      </c>
      <c r="J283" s="304" t="e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#REF!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2" t="e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#REF!</v>
      </c>
      <c r="I284" s="303" t="e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#REF!</v>
      </c>
      <c r="J284" s="304" t="e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#REF!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2" t="e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#REF!</v>
      </c>
      <c r="I285" s="303" t="e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#REF!</v>
      </c>
      <c r="J285" s="304" t="e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#REF!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2" t="e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#REF!</v>
      </c>
      <c r="I286" s="303" t="e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#REF!</v>
      </c>
      <c r="J286" s="304" t="e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#REF!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2" t="e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#REF!</v>
      </c>
      <c r="I287" s="303" t="e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#REF!</v>
      </c>
      <c r="J287" s="304" t="e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#REF!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2" t="e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#REF!</v>
      </c>
      <c r="I288" s="303" t="e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#REF!</v>
      </c>
      <c r="J288" s="304" t="e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#REF!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2" t="e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#REF!</v>
      </c>
      <c r="I289" s="303" t="e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#REF!</v>
      </c>
      <c r="J289" s="304" t="e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#REF!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2" t="e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#REF!</v>
      </c>
      <c r="I290" s="303" t="e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#REF!</v>
      </c>
      <c r="J290" s="304" t="e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#REF!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2" t="e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#REF!</v>
      </c>
      <c r="I291" s="303" t="e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#REF!</v>
      </c>
      <c r="J291" s="304" t="e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#REF!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2" t="e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#REF!</v>
      </c>
      <c r="I292" s="303" t="e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#REF!</v>
      </c>
      <c r="J292" s="304" t="e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#REF!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2" t="e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#REF!</v>
      </c>
      <c r="I293" s="303" t="e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#REF!</v>
      </c>
      <c r="J293" s="304" t="e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#REF!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2" t="e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#REF!</v>
      </c>
      <c r="I294" s="303" t="e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#REF!</v>
      </c>
      <c r="J294" s="304" t="e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#REF!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2" t="e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#REF!</v>
      </c>
      <c r="I295" s="303" t="e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#REF!</v>
      </c>
      <c r="J295" s="304" t="e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#REF!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2" t="e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#REF!</v>
      </c>
      <c r="I296" s="303" t="e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#REF!</v>
      </c>
      <c r="J296" s="304" t="e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#REF!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2" t="e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#REF!</v>
      </c>
      <c r="I297" s="303" t="e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#REF!</v>
      </c>
      <c r="J297" s="304" t="e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#REF!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2" t="e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#REF!</v>
      </c>
      <c r="I298" s="303" t="e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#REF!</v>
      </c>
      <c r="J298" s="304" t="e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#REF!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2" t="e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#REF!</v>
      </c>
      <c r="I299" s="303" t="e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#REF!</v>
      </c>
      <c r="J299" s="304" t="e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#REF!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2" t="e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#REF!</v>
      </c>
      <c r="I300" s="303" t="e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#REF!</v>
      </c>
      <c r="J300" s="304" t="e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#REF!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2" t="e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#REF!</v>
      </c>
      <c r="I301" s="303" t="e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#REF!</v>
      </c>
      <c r="J301" s="304" t="e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#REF!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2" t="e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#REF!</v>
      </c>
      <c r="I302" s="303" t="e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#REF!</v>
      </c>
      <c r="J302" s="304" t="e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#REF!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2" t="e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#REF!</v>
      </c>
      <c r="I303" s="303" t="e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#REF!</v>
      </c>
      <c r="J303" s="304" t="e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#REF!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2" t="e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#REF!</v>
      </c>
      <c r="I304" s="303" t="e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#REF!</v>
      </c>
      <c r="J304" s="304" t="e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#REF!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2" t="e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#REF!</v>
      </c>
      <c r="I305" s="303" t="e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#REF!</v>
      </c>
      <c r="J305" s="304" t="e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#REF!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2" t="e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#REF!</v>
      </c>
      <c r="I306" s="303" t="e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#REF!</v>
      </c>
      <c r="J306" s="304" t="e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#REF!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2" t="e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#REF!</v>
      </c>
      <c r="I307" s="303" t="e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#REF!</v>
      </c>
      <c r="J307" s="304" t="e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#REF!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2" t="e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#REF!</v>
      </c>
      <c r="I308" s="303" t="e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#REF!</v>
      </c>
      <c r="J308" s="304" t="e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#REF!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2" t="e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#REF!</v>
      </c>
      <c r="I309" s="303" t="e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#REF!</v>
      </c>
      <c r="J309" s="304" t="e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#REF!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2" t="e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#REF!</v>
      </c>
      <c r="I310" s="303" t="e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#REF!</v>
      </c>
      <c r="J310" s="304" t="e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#REF!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2" t="e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#REF!</v>
      </c>
      <c r="I311" s="303" t="e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#REF!</v>
      </c>
      <c r="J311" s="304" t="e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#REF!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2" t="e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#REF!</v>
      </c>
      <c r="I312" s="303" t="e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#REF!</v>
      </c>
      <c r="J312" s="304" t="e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#REF!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2" t="e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#REF!</v>
      </c>
      <c r="I313" s="303" t="e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#REF!</v>
      </c>
      <c r="J313" s="304" t="e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#REF!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2" t="e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#REF!</v>
      </c>
      <c r="I314" s="303" t="e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#REF!</v>
      </c>
      <c r="J314" s="304" t="e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#REF!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2" t="e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#REF!</v>
      </c>
      <c r="I315" s="303" t="e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#REF!</v>
      </c>
      <c r="J315" s="304" t="e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#REF!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2" t="e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#REF!</v>
      </c>
      <c r="I316" s="303" t="e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#REF!</v>
      </c>
      <c r="J316" s="304" t="e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#REF!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2" t="e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#REF!</v>
      </c>
      <c r="I317" s="303" t="e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#REF!</v>
      </c>
      <c r="J317" s="304" t="e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#REF!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2" t="e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#REF!</v>
      </c>
      <c r="I318" s="303" t="e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#REF!</v>
      </c>
      <c r="J318" s="304" t="e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#REF!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2" t="e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#REF!</v>
      </c>
      <c r="I319" s="303" t="e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#REF!</v>
      </c>
      <c r="J319" s="304" t="e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#REF!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2" t="e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#REF!</v>
      </c>
      <c r="I320" s="303" t="e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#REF!</v>
      </c>
      <c r="J320" s="304" t="e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#REF!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2" t="e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#REF!</v>
      </c>
      <c r="I321" s="303" t="e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#REF!</v>
      </c>
      <c r="J321" s="304" t="e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#REF!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2" t="e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#REF!</v>
      </c>
      <c r="I322" s="303" t="e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#REF!</v>
      </c>
      <c r="J322" s="304" t="e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#REF!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2" t="e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#REF!</v>
      </c>
      <c r="I323" s="303" t="e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#REF!</v>
      </c>
      <c r="J323" s="304" t="e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#REF!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2" t="e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#REF!</v>
      </c>
      <c r="I324" s="303" t="e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#REF!</v>
      </c>
      <c r="J324" s="304" t="e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#REF!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2" t="e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#REF!</v>
      </c>
      <c r="I325" s="303" t="e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#REF!</v>
      </c>
      <c r="J325" s="304" t="e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#REF!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2" t="e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#REF!</v>
      </c>
      <c r="I326" s="303" t="e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#REF!</v>
      </c>
      <c r="J326" s="304" t="e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#REF!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2" t="e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#REF!</v>
      </c>
      <c r="I327" s="303" t="e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#REF!</v>
      </c>
      <c r="J327" s="304" t="e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#REF!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2" t="e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#REF!</v>
      </c>
      <c r="I328" s="303" t="e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#REF!</v>
      </c>
      <c r="J328" s="304" t="e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#REF!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2" t="e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#REF!</v>
      </c>
      <c r="I329" s="303" t="e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#REF!</v>
      </c>
      <c r="J329" s="304" t="e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#REF!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2" t="e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#REF!</v>
      </c>
      <c r="I330" s="303" t="e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#REF!</v>
      </c>
      <c r="J330" s="304" t="e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#REF!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2" t="e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#REF!</v>
      </c>
      <c r="I331" s="303" t="e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#REF!</v>
      </c>
      <c r="J331" s="304" t="e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#REF!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2" t="e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#REF!</v>
      </c>
      <c r="I332" s="303" t="e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#REF!</v>
      </c>
      <c r="J332" s="304" t="e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#REF!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2" t="e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#REF!</v>
      </c>
      <c r="I333" s="303" t="e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#REF!</v>
      </c>
      <c r="J333" s="304" t="e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#REF!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2" t="e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#REF!</v>
      </c>
      <c r="I334" s="303" t="e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#REF!</v>
      </c>
      <c r="J334" s="304" t="e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#REF!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2" t="e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#REF!</v>
      </c>
      <c r="I335" s="303" t="e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#REF!</v>
      </c>
      <c r="J335" s="304" t="e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#REF!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2" t="e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#REF!</v>
      </c>
      <c r="I336" s="303" t="e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#REF!</v>
      </c>
      <c r="J336" s="304" t="e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#REF!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2" t="e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#REF!</v>
      </c>
      <c r="I337" s="303" t="e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#REF!</v>
      </c>
      <c r="J337" s="304" t="e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#REF!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2" t="e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#REF!</v>
      </c>
      <c r="I338" s="303" t="e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#REF!</v>
      </c>
      <c r="J338" s="304" t="e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#REF!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2" t="e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#REF!</v>
      </c>
      <c r="I339" s="303" t="e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#REF!</v>
      </c>
      <c r="J339" s="304" t="e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#REF!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2" t="e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#REF!</v>
      </c>
      <c r="I340" s="303" t="e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#REF!</v>
      </c>
      <c r="J340" s="304" t="e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#REF!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2" t="e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#REF!</v>
      </c>
      <c r="I341" s="303" t="e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#REF!</v>
      </c>
      <c r="J341" s="304" t="e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#REF!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2" t="e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#REF!</v>
      </c>
      <c r="I342" s="303" t="e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#REF!</v>
      </c>
      <c r="J342" s="304" t="e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#REF!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2" t="e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#REF!</v>
      </c>
      <c r="I343" s="303" t="e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#REF!</v>
      </c>
      <c r="J343" s="304" t="e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#REF!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2" t="e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#REF!</v>
      </c>
      <c r="I344" s="303" t="e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#REF!</v>
      </c>
      <c r="J344" s="304" t="e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#REF!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2" t="e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#REF!</v>
      </c>
      <c r="I345" s="303" t="e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#REF!</v>
      </c>
      <c r="J345" s="304" t="e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#REF!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2" t="e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#REF!</v>
      </c>
      <c r="I346" s="303" t="e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#REF!</v>
      </c>
      <c r="J346" s="304" t="e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#REF!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2" t="e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#REF!</v>
      </c>
      <c r="I347" s="303" t="e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#REF!</v>
      </c>
      <c r="J347" s="304" t="e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#REF!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2" t="e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#REF!</v>
      </c>
      <c r="I348" s="303" t="e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#REF!</v>
      </c>
      <c r="J348" s="304" t="e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#REF!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2" t="e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#REF!</v>
      </c>
      <c r="I349" s="303" t="e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#REF!</v>
      </c>
      <c r="J349" s="304" t="e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#REF!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2" t="e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#REF!</v>
      </c>
      <c r="I350" s="303" t="e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#REF!</v>
      </c>
      <c r="J350" s="304" t="e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#REF!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2" t="e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#REF!</v>
      </c>
      <c r="I351" s="303" t="e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#REF!</v>
      </c>
      <c r="J351" s="304" t="e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#REF!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2" t="e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#REF!</v>
      </c>
      <c r="I352" s="303" t="e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#REF!</v>
      </c>
      <c r="J352" s="304" t="e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#REF!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2" t="e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#REF!</v>
      </c>
      <c r="I353" s="303" t="e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#REF!</v>
      </c>
      <c r="J353" s="304" t="e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#REF!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2" t="e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#REF!</v>
      </c>
      <c r="I354" s="303" t="e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#REF!</v>
      </c>
      <c r="J354" s="304" t="e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#REF!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2" t="e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#REF!</v>
      </c>
      <c r="I355" s="303" t="e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#REF!</v>
      </c>
      <c r="J355" s="304" t="e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#REF!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2" t="e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#REF!</v>
      </c>
      <c r="I356" s="303" t="e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#REF!</v>
      </c>
      <c r="J356" s="304" t="e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#REF!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2" t="e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#REF!</v>
      </c>
      <c r="I357" s="303" t="e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#REF!</v>
      </c>
      <c r="J357" s="304" t="e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#REF!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2" t="e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#REF!</v>
      </c>
      <c r="I358" s="303" t="e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#REF!</v>
      </c>
      <c r="J358" s="304" t="e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#REF!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2" t="e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#REF!</v>
      </c>
      <c r="I359" s="303" t="e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#REF!</v>
      </c>
      <c r="J359" s="304" t="e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#REF!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2" t="e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#REF!</v>
      </c>
      <c r="I360" s="303" t="e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#REF!</v>
      </c>
      <c r="J360" s="304" t="e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#REF!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2" t="e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#REF!</v>
      </c>
      <c r="I361" s="303" t="e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#REF!</v>
      </c>
      <c r="J361" s="304" t="e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#REF!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2" t="e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#REF!</v>
      </c>
      <c r="I362" s="303" t="e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#REF!</v>
      </c>
      <c r="J362" s="304" t="e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#REF!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2" t="e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#REF!</v>
      </c>
      <c r="I363" s="303" t="e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#REF!</v>
      </c>
      <c r="J363" s="304" t="e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#REF!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2" t="e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#REF!</v>
      </c>
      <c r="I364" s="303" t="e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#REF!</v>
      </c>
      <c r="J364" s="304" t="e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#REF!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2" t="e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#REF!</v>
      </c>
      <c r="I365" s="303" t="e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#REF!</v>
      </c>
      <c r="J365" s="304" t="e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#REF!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2" t="e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#REF!</v>
      </c>
      <c r="I366" s="303" t="e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#REF!</v>
      </c>
      <c r="J366" s="304" t="e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#REF!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2" t="e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#REF!</v>
      </c>
      <c r="I367" s="303" t="e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#REF!</v>
      </c>
      <c r="J367" s="304" t="e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#REF!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2" t="e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#REF!</v>
      </c>
      <c r="I368" s="303" t="e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#REF!</v>
      </c>
      <c r="J368" s="304" t="e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#REF!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2" t="e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#REF!</v>
      </c>
      <c r="I369" s="303" t="e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#REF!</v>
      </c>
      <c r="J369" s="304" t="e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#REF!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2" t="e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#REF!</v>
      </c>
      <c r="I370" s="303" t="e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#REF!</v>
      </c>
      <c r="J370" s="304" t="e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#REF!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2" t="e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#REF!</v>
      </c>
      <c r="I371" s="303" t="e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#REF!</v>
      </c>
      <c r="J371" s="304" t="e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#REF!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2" t="e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#REF!</v>
      </c>
      <c r="I372" s="303" t="e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#REF!</v>
      </c>
      <c r="J372" s="304" t="e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#REF!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2" t="e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#REF!</v>
      </c>
      <c r="I373" s="303" t="e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#REF!</v>
      </c>
      <c r="J373" s="304" t="e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#REF!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2" t="e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#REF!</v>
      </c>
      <c r="I374" s="303" t="e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#REF!</v>
      </c>
      <c r="J374" s="304" t="e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#REF!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2" t="e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#REF!</v>
      </c>
      <c r="I375" s="303" t="e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#REF!</v>
      </c>
      <c r="J375" s="304" t="e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#REF!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2" t="e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#REF!</v>
      </c>
      <c r="I376" s="303" t="e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#REF!</v>
      </c>
      <c r="J376" s="304" t="e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#REF!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2" t="e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#REF!</v>
      </c>
      <c r="I377" s="303" t="e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#REF!</v>
      </c>
      <c r="J377" s="304" t="e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#REF!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2" t="e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#REF!</v>
      </c>
      <c r="I378" s="303" t="e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#REF!</v>
      </c>
      <c r="J378" s="304" t="e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#REF!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2" t="e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#REF!</v>
      </c>
      <c r="I379" s="303" t="e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#REF!</v>
      </c>
      <c r="J379" s="304" t="e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#REF!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2" t="e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#REF!</v>
      </c>
      <c r="I380" s="303" t="e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#REF!</v>
      </c>
      <c r="J380" s="304" t="e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#REF!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2" t="e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#REF!</v>
      </c>
      <c r="I381" s="303" t="e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#REF!</v>
      </c>
      <c r="J381" s="304" t="e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#REF!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2" t="e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#REF!</v>
      </c>
      <c r="I382" s="303" t="e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#REF!</v>
      </c>
      <c r="J382" s="304" t="e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#REF!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2" t="e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#REF!</v>
      </c>
      <c r="I383" s="303" t="e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#REF!</v>
      </c>
      <c r="J383" s="304" t="e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#REF!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2" t="e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#REF!</v>
      </c>
      <c r="I384" s="303" t="e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#REF!</v>
      </c>
      <c r="J384" s="304" t="e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#REF!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2" t="e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#REF!</v>
      </c>
      <c r="I385" s="303" t="e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#REF!</v>
      </c>
      <c r="J385" s="304" t="e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#REF!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2" t="e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#REF!</v>
      </c>
      <c r="I386" s="303" t="e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#REF!</v>
      </c>
      <c r="J386" s="304" t="e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#REF!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2" t="e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#REF!</v>
      </c>
      <c r="I387" s="303" t="e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#REF!</v>
      </c>
      <c r="J387" s="304" t="e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#REF!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2" t="e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#REF!</v>
      </c>
      <c r="I388" s="303" t="e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#REF!</v>
      </c>
      <c r="J388" s="304" t="e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#REF!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2" t="e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#REF!</v>
      </c>
      <c r="I389" s="303" t="e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#REF!</v>
      </c>
      <c r="J389" s="304" t="e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#REF!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2" t="e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#REF!</v>
      </c>
      <c r="I390" s="303" t="e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#REF!</v>
      </c>
      <c r="J390" s="304" t="e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#REF!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2" t="e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#REF!</v>
      </c>
      <c r="I391" s="303" t="e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#REF!</v>
      </c>
      <c r="J391" s="304" t="e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#REF!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2" t="e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#REF!</v>
      </c>
      <c r="I392" s="303" t="e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#REF!</v>
      </c>
      <c r="J392" s="304" t="e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#REF!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2" t="e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#REF!</v>
      </c>
      <c r="I393" s="303" t="e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#REF!</v>
      </c>
      <c r="J393" s="304" t="e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#REF!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2" t="e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#REF!</v>
      </c>
      <c r="I394" s="303" t="e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#REF!</v>
      </c>
      <c r="J394" s="304" t="e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#REF!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2" t="e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#REF!</v>
      </c>
      <c r="I395" s="303" t="e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#REF!</v>
      </c>
      <c r="J395" s="304" t="e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#REF!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2" t="e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#REF!</v>
      </c>
      <c r="I396" s="303" t="e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#REF!</v>
      </c>
      <c r="J396" s="304" t="e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#REF!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2" t="e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#REF!</v>
      </c>
      <c r="I397" s="303" t="e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#REF!</v>
      </c>
      <c r="J397" s="304" t="e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#REF!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2" t="e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#REF!</v>
      </c>
      <c r="I398" s="303" t="e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#REF!</v>
      </c>
      <c r="J398" s="304" t="e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#REF!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2" t="e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#REF!</v>
      </c>
      <c r="I399" s="303" t="e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#REF!</v>
      </c>
      <c r="J399" s="304" t="e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#REF!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2" t="e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#REF!</v>
      </c>
      <c r="I400" s="303" t="e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#REF!</v>
      </c>
      <c r="J400" s="304" t="e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#REF!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2" t="e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#REF!</v>
      </c>
      <c r="I401" s="303" t="e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#REF!</v>
      </c>
      <c r="J401" s="304" t="e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#REF!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2" t="e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#REF!</v>
      </c>
      <c r="I402" s="303" t="e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#REF!</v>
      </c>
      <c r="J402" s="304" t="e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#REF!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2" t="e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#REF!</v>
      </c>
      <c r="I403" s="303" t="e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#REF!</v>
      </c>
      <c r="J403" s="304" t="e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#REF!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2" t="e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#REF!</v>
      </c>
      <c r="I404" s="303" t="e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#REF!</v>
      </c>
      <c r="J404" s="304" t="e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#REF!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2" t="e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#REF!</v>
      </c>
      <c r="I405" s="303" t="e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#REF!</v>
      </c>
      <c r="J405" s="304" t="e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#REF!</v>
      </c>
    </row>
    <row r="406" spans="1:10" s="171" customFormat="1" x14ac:dyDescent="0.2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2" t="e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#REF!</v>
      </c>
      <c r="I406" s="303" t="e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#REF!</v>
      </c>
      <c r="J406" s="304" t="e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#REF!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2" t="e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#REF!</v>
      </c>
      <c r="I407" s="303" t="e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#REF!</v>
      </c>
      <c r="J407" s="304" t="e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#REF!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2" t="e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#REF!</v>
      </c>
      <c r="I408" s="303" t="e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#REF!</v>
      </c>
      <c r="J408" s="304" t="e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#REF!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2" t="e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#REF!</v>
      </c>
      <c r="I409" s="303" t="e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#REF!</v>
      </c>
      <c r="J409" s="304" t="e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#REF!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2" t="e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#REF!</v>
      </c>
      <c r="I410" s="303" t="e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#REF!</v>
      </c>
      <c r="J410" s="304" t="e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#REF!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2" t="e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#REF!</v>
      </c>
      <c r="I411" s="303" t="e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#REF!</v>
      </c>
      <c r="J411" s="304" t="e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#REF!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2" t="e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#REF!</v>
      </c>
      <c r="I412" s="303" t="e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#REF!</v>
      </c>
      <c r="J412" s="304" t="e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#REF!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2" t="e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#REF!</v>
      </c>
      <c r="I413" s="303" t="e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#REF!</v>
      </c>
      <c r="J413" s="304" t="e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#REF!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2" t="e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#REF!</v>
      </c>
      <c r="I414" s="303" t="e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#REF!</v>
      </c>
      <c r="J414" s="304" t="e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#REF!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2" t="e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#REF!</v>
      </c>
      <c r="I415" s="303" t="e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#REF!</v>
      </c>
      <c r="J415" s="304" t="e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#REF!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2" t="e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#REF!</v>
      </c>
      <c r="I416" s="303" t="e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#REF!</v>
      </c>
      <c r="J416" s="304" t="e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#REF!</v>
      </c>
    </row>
    <row r="417" spans="1:15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8" t="e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#REF!</v>
      </c>
      <c r="I417" s="309" t="e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#REF!</v>
      </c>
      <c r="J417" s="310" t="e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#REF!</v>
      </c>
    </row>
    <row r="418" spans="1:15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7" t="e">
        <f>SUMIFS('Forbrug af biomasse'!$E$1:$E$425,'Forbrug af biomasse'!$A$1:$A$425,$F418,'Forbrug af biomasse'!$C$1:$C$425,$D418,'Forbrug af biomasse'!$B$1:$B$425,$A$1,'Forbrug af biomasse'!$D$1:$D$425,H$2)*'[1]Processer - data'!H418</f>
        <v>#REF!</v>
      </c>
      <c r="I418" s="278" t="e">
        <f>SUMIFS('Forbrug af biomasse'!$E$1:$E$425,'Forbrug af biomasse'!$A$1:$A$425,$F418,'Forbrug af biomasse'!$C$1:$C$425,$D418,'Forbrug af biomasse'!$B$1:$B$425,$A$1,'Forbrug af biomasse'!$D$1:$D$425,I$2)*'[1]Processer - data'!I418</f>
        <v>#REF!</v>
      </c>
      <c r="J418" s="279" t="e">
        <f>SUMIFS('Forbrug af biomasse'!$E$1:$E$425,'Forbrug af biomasse'!$A$1:$A$425,$F418,'Forbrug af biomasse'!$C$1:$C$425,$D418,'Forbrug af biomasse'!$B$1:$B$425,$A$1,'Forbrug af biomasse'!$D$1:$D$425,J$2)*'[1]Processer - data'!J418</f>
        <v>#REF!</v>
      </c>
      <c r="N418" s="171"/>
      <c r="O418" s="171"/>
    </row>
    <row r="419" spans="1:15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80" t="e">
        <f>SUMIFS('Forbrug af biomasse'!$E$1:$E$425,'Forbrug af biomasse'!$A$1:$A$425,$F419,'Forbrug af biomasse'!$C$1:$C$425,$D419,'Forbrug af biomasse'!$B$1:$B$425,$A$1,'Forbrug af biomasse'!$D$1:$D$425,H$2)*'[1]Processer - data'!H419</f>
        <v>#REF!</v>
      </c>
      <c r="I419" s="281" t="e">
        <f>SUMIFS('Forbrug af biomasse'!$E$1:$E$425,'Forbrug af biomasse'!$A$1:$A$425,$F419,'Forbrug af biomasse'!$C$1:$C$425,$D419,'Forbrug af biomasse'!$B$1:$B$425,$A$1,'Forbrug af biomasse'!$D$1:$D$425,I$2)*'[1]Processer - data'!I419</f>
        <v>#REF!</v>
      </c>
      <c r="J419" s="282" t="e">
        <f>SUMIFS('Forbrug af biomasse'!$E$1:$E$425,'Forbrug af biomasse'!$A$1:$A$425,$F419,'Forbrug af biomasse'!$C$1:$C$425,$D419,'Forbrug af biomasse'!$B$1:$B$425,$A$1,'Forbrug af biomasse'!$D$1:$D$425,J$2)*'[1]Processer - data'!J419</f>
        <v>#REF!</v>
      </c>
      <c r="M419" s="171"/>
      <c r="N419" s="171"/>
      <c r="O419" s="171"/>
    </row>
    <row r="420" spans="1:15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80" t="e">
        <f>SUMIFS('Forbrug af biomasse'!$E$1:$E$425,'Forbrug af biomasse'!$A$1:$A$425,$F420,'Forbrug af biomasse'!$C$1:$C$425,$D420,'Forbrug af biomasse'!$B$1:$B$425,$A$1,'Forbrug af biomasse'!$D$1:$D$425,H$2)*'[1]Processer - data'!H420</f>
        <v>#REF!</v>
      </c>
      <c r="I420" s="281" t="e">
        <f>SUMIFS('Forbrug af biomasse'!$E$1:$E$425,'Forbrug af biomasse'!$A$1:$A$425,$F420,'Forbrug af biomasse'!$C$1:$C$425,$D420,'Forbrug af biomasse'!$B$1:$B$425,$A$1,'Forbrug af biomasse'!$D$1:$D$425,I$2)*'[1]Processer - data'!I420</f>
        <v>#REF!</v>
      </c>
      <c r="J420" s="282" t="e">
        <f>SUMIFS('Forbrug af biomasse'!$E$1:$E$425,'Forbrug af biomasse'!$A$1:$A$425,$F420,'Forbrug af biomasse'!$C$1:$C$425,$D420,'Forbrug af biomasse'!$B$1:$B$425,$A$1,'Forbrug af biomasse'!$D$1:$D$425,J$2)*'[1]Processer - data'!J420</f>
        <v>#REF!</v>
      </c>
      <c r="M420" s="171"/>
      <c r="N420" s="171"/>
      <c r="O420" s="171"/>
    </row>
    <row r="421" spans="1:15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80" t="e">
        <f>SUMIFS('Forbrug af biomasse'!$E$1:$E$425,'Forbrug af biomasse'!$A$1:$A$425,$F421,'Forbrug af biomasse'!$C$1:$C$425,$D421,'Forbrug af biomasse'!$B$1:$B$425,$A$1,'Forbrug af biomasse'!$D$1:$D$425,H$2)*'[1]Processer - data'!H421</f>
        <v>#REF!</v>
      </c>
      <c r="I421" s="281" t="e">
        <f>SUMIFS('Forbrug af biomasse'!$E$1:$E$425,'Forbrug af biomasse'!$A$1:$A$425,$F421,'Forbrug af biomasse'!$C$1:$C$425,$D421,'Forbrug af biomasse'!$B$1:$B$425,$A$1,'Forbrug af biomasse'!$D$1:$D$425,I$2)*'[1]Processer - data'!I421</f>
        <v>#REF!</v>
      </c>
      <c r="J421" s="282" t="e">
        <f>SUMIFS('Forbrug af biomasse'!$E$1:$E$425,'Forbrug af biomasse'!$A$1:$A$425,$F421,'Forbrug af biomasse'!$C$1:$C$425,$D421,'Forbrug af biomasse'!$B$1:$B$425,$A$1,'Forbrug af biomasse'!$D$1:$D$425,J$2)*'[1]Processer - data'!J421</f>
        <v>#REF!</v>
      </c>
      <c r="M421" s="171"/>
      <c r="N421" s="171"/>
      <c r="O421" s="171"/>
    </row>
    <row r="422" spans="1:15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80" t="e">
        <f>SUMIFS('Forbrug af biomasse'!$E$1:$E$425,'Forbrug af biomasse'!$A$1:$A$425,$F422,'Forbrug af biomasse'!$C$1:$C$425,$D422,'Forbrug af biomasse'!$B$1:$B$425,$A$1,'Forbrug af biomasse'!$D$1:$D$425,H$2)*'[1]Processer - data'!H422</f>
        <v>#REF!</v>
      </c>
      <c r="I422" s="281" t="e">
        <f>SUMIFS('Forbrug af biomasse'!$E$1:$E$425,'Forbrug af biomasse'!$A$1:$A$425,$F422,'Forbrug af biomasse'!$C$1:$C$425,$D422,'Forbrug af biomasse'!$B$1:$B$425,$A$1,'Forbrug af biomasse'!$D$1:$D$425,I$2)*'[1]Processer - data'!I422</f>
        <v>#REF!</v>
      </c>
      <c r="J422" s="282" t="e">
        <f>SUMIFS('Forbrug af biomasse'!$E$1:$E$425,'Forbrug af biomasse'!$A$1:$A$425,$F422,'Forbrug af biomasse'!$C$1:$C$425,$D422,'Forbrug af biomasse'!$B$1:$B$425,$A$1,'Forbrug af biomasse'!$D$1:$D$425,J$2)*'[1]Processer - data'!J422</f>
        <v>#REF!</v>
      </c>
      <c r="M422" s="171"/>
      <c r="N422" s="171"/>
      <c r="O422" s="171"/>
    </row>
    <row r="423" spans="1:15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80" t="e">
        <f>SUMIFS('Forbrug af biomasse'!$E$1:$E$425,'Forbrug af biomasse'!$A$1:$A$425,$F423,'Forbrug af biomasse'!$C$1:$C$425,$D423,'Forbrug af biomasse'!$B$1:$B$425,$A$1,'Forbrug af biomasse'!$D$1:$D$425,H$2)*'[1]Processer - data'!H423</f>
        <v>#REF!</v>
      </c>
      <c r="I423" s="281" t="e">
        <f>SUMIFS('Forbrug af biomasse'!$E$1:$E$425,'Forbrug af biomasse'!$A$1:$A$425,$F423,'Forbrug af biomasse'!$C$1:$C$425,$D423,'Forbrug af biomasse'!$B$1:$B$425,$A$1,'Forbrug af biomasse'!$D$1:$D$425,I$2)*'[1]Processer - data'!I423</f>
        <v>#REF!</v>
      </c>
      <c r="J423" s="282" t="e">
        <f>SUMIFS('Forbrug af biomasse'!$E$1:$E$425,'Forbrug af biomasse'!$A$1:$A$425,$F423,'Forbrug af biomasse'!$C$1:$C$425,$D423,'Forbrug af biomasse'!$B$1:$B$425,$A$1,'Forbrug af biomasse'!$D$1:$D$425,J$2)*'[1]Processer - data'!J423</f>
        <v>#REF!</v>
      </c>
      <c r="M423" s="171"/>
      <c r="N423" s="171"/>
      <c r="O423" s="171"/>
    </row>
    <row r="424" spans="1:15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80" t="e">
        <f>SUMIFS('Forbrug af biomasse'!$E$1:$E$425,'Forbrug af biomasse'!$A$1:$A$425,$F424,'Forbrug af biomasse'!$C$1:$C$425,$D424,'Forbrug af biomasse'!$B$1:$B$425,$A$1,'Forbrug af biomasse'!$D$1:$D$425,H$2)*'[1]Processer - data'!H424</f>
        <v>#REF!</v>
      </c>
      <c r="I424" s="281" t="e">
        <f>SUMIFS('Forbrug af biomasse'!$E$1:$E$425,'Forbrug af biomasse'!$A$1:$A$425,$F424,'Forbrug af biomasse'!$C$1:$C$425,$D424,'Forbrug af biomasse'!$B$1:$B$425,$A$1,'Forbrug af biomasse'!$D$1:$D$425,I$2)*'[1]Processer - data'!I424</f>
        <v>#REF!</v>
      </c>
      <c r="J424" s="282" t="e">
        <f>SUMIFS('Forbrug af biomasse'!$E$1:$E$425,'Forbrug af biomasse'!$A$1:$A$425,$F424,'Forbrug af biomasse'!$C$1:$C$425,$D424,'Forbrug af biomasse'!$B$1:$B$425,$A$1,'Forbrug af biomasse'!$D$1:$D$425,J$2)*'[1]Processer - data'!J424</f>
        <v>#REF!</v>
      </c>
      <c r="M424" s="171"/>
      <c r="N424" s="171"/>
      <c r="O424" s="171"/>
    </row>
    <row r="425" spans="1:15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80" t="e">
        <f>SUMIFS('Forbrug af biomasse'!$E$1:$E$425,'Forbrug af biomasse'!$A$1:$A$425,$F425,'Forbrug af biomasse'!$C$1:$C$425,$D425,'Forbrug af biomasse'!$B$1:$B$425,$A$1,'Forbrug af biomasse'!$D$1:$D$425,H$2)*'[1]Processer - data'!H425</f>
        <v>#REF!</v>
      </c>
      <c r="I425" s="281" t="e">
        <f>SUMIFS('Forbrug af biomasse'!$E$1:$E$425,'Forbrug af biomasse'!$A$1:$A$425,$F425,'Forbrug af biomasse'!$C$1:$C$425,$D425,'Forbrug af biomasse'!$B$1:$B$425,$A$1,'Forbrug af biomasse'!$D$1:$D$425,I$2)*'[1]Processer - data'!I425</f>
        <v>#REF!</v>
      </c>
      <c r="J425" s="282" t="e">
        <f>SUMIFS('Forbrug af biomasse'!$E$1:$E$425,'Forbrug af biomasse'!$A$1:$A$425,$F425,'Forbrug af biomasse'!$C$1:$C$425,$D425,'Forbrug af biomasse'!$B$1:$B$425,$A$1,'Forbrug af biomasse'!$D$1:$D$425,J$2)*'[1]Processer - data'!J425</f>
        <v>#REF!</v>
      </c>
      <c r="M425" s="171"/>
      <c r="N425" s="171"/>
      <c r="O425" s="171"/>
    </row>
    <row r="426" spans="1:15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80" t="e">
        <f>SUMIFS('Forbrug af biomasse'!$E$1:$E$425,'Forbrug af biomasse'!$A$1:$A$425,$F426,'Forbrug af biomasse'!$C$1:$C$425,$D426,'Forbrug af biomasse'!$B$1:$B$425,$A$1,'Forbrug af biomasse'!$D$1:$D$425,H$2)*'[1]Processer - data'!H426</f>
        <v>#REF!</v>
      </c>
      <c r="I426" s="281" t="e">
        <f>SUMIFS('Forbrug af biomasse'!$E$1:$E$425,'Forbrug af biomasse'!$A$1:$A$425,$F426,'Forbrug af biomasse'!$C$1:$C$425,$D426,'Forbrug af biomasse'!$B$1:$B$425,$A$1,'Forbrug af biomasse'!$D$1:$D$425,I$2)*'[1]Processer - data'!I426</f>
        <v>#REF!</v>
      </c>
      <c r="J426" s="282" t="e">
        <f>SUMIFS('Forbrug af biomasse'!$E$1:$E$425,'Forbrug af biomasse'!$A$1:$A$425,$F426,'Forbrug af biomasse'!$C$1:$C$425,$D426,'Forbrug af biomasse'!$B$1:$B$425,$A$1,'Forbrug af biomasse'!$D$1:$D$425,J$2)*'[1]Processer - data'!J426</f>
        <v>#REF!</v>
      </c>
      <c r="M426" s="171"/>
      <c r="N426" s="171"/>
      <c r="O426" s="171"/>
    </row>
    <row r="427" spans="1:15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80" t="e">
        <f>SUMIFS('Forbrug af biomasse'!$E$1:$E$425,'Forbrug af biomasse'!$A$1:$A$425,$F427,'Forbrug af biomasse'!$C$1:$C$425,$D427,'Forbrug af biomasse'!$B$1:$B$425,$A$1,'Forbrug af biomasse'!$D$1:$D$425,H$2)*'[1]Processer - data'!H427</f>
        <v>#REF!</v>
      </c>
      <c r="I427" s="281" t="e">
        <f>SUMIFS('Forbrug af biomasse'!$E$1:$E$425,'Forbrug af biomasse'!$A$1:$A$425,$F427,'Forbrug af biomasse'!$C$1:$C$425,$D427,'Forbrug af biomasse'!$B$1:$B$425,$A$1,'Forbrug af biomasse'!$D$1:$D$425,I$2)*'[1]Processer - data'!I427</f>
        <v>#REF!</v>
      </c>
      <c r="J427" s="282" t="e">
        <f>SUMIFS('Forbrug af biomasse'!$E$1:$E$425,'Forbrug af biomasse'!$A$1:$A$425,$F427,'Forbrug af biomasse'!$C$1:$C$425,$D427,'Forbrug af biomasse'!$B$1:$B$425,$A$1,'Forbrug af biomasse'!$D$1:$D$425,J$2)*'[1]Processer - data'!J427</f>
        <v>#REF!</v>
      </c>
      <c r="M427" s="171"/>
      <c r="N427" s="171"/>
      <c r="O427" s="171"/>
    </row>
    <row r="428" spans="1:15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80" t="e">
        <f>SUMIFS('Forbrug af biomasse'!$E$1:$E$425,'Forbrug af biomasse'!$A$1:$A$425,$F428,'Forbrug af biomasse'!$C$1:$C$425,$D428,'Forbrug af biomasse'!$B$1:$B$425,$A$1,'Forbrug af biomasse'!$D$1:$D$425,H$2)*'[1]Processer - data'!H428</f>
        <v>#REF!</v>
      </c>
      <c r="I428" s="281" t="e">
        <f>SUMIFS('Forbrug af biomasse'!$E$1:$E$425,'Forbrug af biomasse'!$A$1:$A$425,$F428,'Forbrug af biomasse'!$C$1:$C$425,$D428,'Forbrug af biomasse'!$B$1:$B$425,$A$1,'Forbrug af biomasse'!$D$1:$D$425,I$2)*'[1]Processer - data'!I428</f>
        <v>#REF!</v>
      </c>
      <c r="J428" s="282" t="e">
        <f>SUMIFS('Forbrug af biomasse'!$E$1:$E$425,'Forbrug af biomasse'!$A$1:$A$425,$F428,'Forbrug af biomasse'!$C$1:$C$425,$D428,'Forbrug af biomasse'!$B$1:$B$425,$A$1,'Forbrug af biomasse'!$D$1:$D$425,J$2)*'[1]Processer - data'!J428</f>
        <v>#REF!</v>
      </c>
      <c r="M428" s="171"/>
      <c r="N428" s="171"/>
      <c r="O428" s="171"/>
    </row>
    <row r="429" spans="1:15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80" t="e">
        <f>SUMIFS('Forbrug af biomasse'!$E$1:$E$425,'Forbrug af biomasse'!$A$1:$A$425,$F429,'Forbrug af biomasse'!$C$1:$C$425,$D429,'Forbrug af biomasse'!$B$1:$B$425,$A$1,'Forbrug af biomasse'!$D$1:$D$425,H$2)*'[1]Processer - data'!H429</f>
        <v>#REF!</v>
      </c>
      <c r="I429" s="281" t="e">
        <f>SUMIFS('Forbrug af biomasse'!$E$1:$E$425,'Forbrug af biomasse'!$A$1:$A$425,$F429,'Forbrug af biomasse'!$C$1:$C$425,$D429,'Forbrug af biomasse'!$B$1:$B$425,$A$1,'Forbrug af biomasse'!$D$1:$D$425,I$2)*'[1]Processer - data'!I429</f>
        <v>#REF!</v>
      </c>
      <c r="J429" s="282" t="e">
        <f>SUMIFS('Forbrug af biomasse'!$E$1:$E$425,'Forbrug af biomasse'!$A$1:$A$425,$F429,'Forbrug af biomasse'!$C$1:$C$425,$D429,'Forbrug af biomasse'!$B$1:$B$425,$A$1,'Forbrug af biomasse'!$D$1:$D$425,J$2)*'[1]Processer - data'!J429</f>
        <v>#REF!</v>
      </c>
      <c r="M429" s="171"/>
      <c r="N429" s="171"/>
      <c r="O429" s="171"/>
    </row>
    <row r="430" spans="1:15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80" t="e">
        <f>SUMIFS('Forbrug af biomasse'!$E$1:$E$425,'Forbrug af biomasse'!$A$1:$A$425,$F430,'Forbrug af biomasse'!$C$1:$C$425,$D430,'Forbrug af biomasse'!$B$1:$B$425,$A$1,'Forbrug af biomasse'!$D$1:$D$425,H$2)*'[1]Processer - data'!H430</f>
        <v>#REF!</v>
      </c>
      <c r="I430" s="281" t="e">
        <f>SUMIFS('Forbrug af biomasse'!$E$1:$E$425,'Forbrug af biomasse'!$A$1:$A$425,$F430,'Forbrug af biomasse'!$C$1:$C$425,$D430,'Forbrug af biomasse'!$B$1:$B$425,$A$1,'Forbrug af biomasse'!$D$1:$D$425,I$2)*'[1]Processer - data'!I430</f>
        <v>#REF!</v>
      </c>
      <c r="J430" s="282" t="e">
        <f>SUMIFS('Forbrug af biomasse'!$E$1:$E$425,'Forbrug af biomasse'!$A$1:$A$425,$F430,'Forbrug af biomasse'!$C$1:$C$425,$D430,'Forbrug af biomasse'!$B$1:$B$425,$A$1,'Forbrug af biomasse'!$D$1:$D$425,J$2)*'[1]Processer - data'!J430</f>
        <v>#REF!</v>
      </c>
      <c r="M430" s="171"/>
      <c r="N430" s="171"/>
      <c r="O430" s="171"/>
    </row>
    <row r="431" spans="1:15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80" t="e">
        <f>SUMIFS('Forbrug af biomasse'!$E$1:$E$425,'Forbrug af biomasse'!$A$1:$A$425,$F431,'Forbrug af biomasse'!$C$1:$C$425,$D431,'Forbrug af biomasse'!$B$1:$B$425,$A$1,'Forbrug af biomasse'!$D$1:$D$425,H$2)*'[1]Processer - data'!H431</f>
        <v>#REF!</v>
      </c>
      <c r="I431" s="281" t="e">
        <f>SUMIFS('Forbrug af biomasse'!$E$1:$E$425,'Forbrug af biomasse'!$A$1:$A$425,$F431,'Forbrug af biomasse'!$C$1:$C$425,$D431,'Forbrug af biomasse'!$B$1:$B$425,$A$1,'Forbrug af biomasse'!$D$1:$D$425,I$2)*'[1]Processer - data'!I431</f>
        <v>#REF!</v>
      </c>
      <c r="J431" s="282" t="e">
        <f>SUMIFS('Forbrug af biomasse'!$E$1:$E$425,'Forbrug af biomasse'!$A$1:$A$425,$F431,'Forbrug af biomasse'!$C$1:$C$425,$D431,'Forbrug af biomasse'!$B$1:$B$425,$A$1,'Forbrug af biomasse'!$D$1:$D$425,J$2)*'[1]Processer - data'!J431</f>
        <v>#REF!</v>
      </c>
      <c r="M431" s="171"/>
      <c r="N431" s="171"/>
      <c r="O431" s="171"/>
    </row>
    <row r="432" spans="1:15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80" t="e">
        <f>SUMIFS('Forbrug af biomasse'!$E$1:$E$425,'Forbrug af biomasse'!$A$1:$A$425,$F432,'Forbrug af biomasse'!$C$1:$C$425,$D432,'Forbrug af biomasse'!$B$1:$B$425,$A$1,'Forbrug af biomasse'!$D$1:$D$425,H$2)*'[1]Processer - data'!H432</f>
        <v>#REF!</v>
      </c>
      <c r="I432" s="281" t="e">
        <f>SUMIFS('Forbrug af biomasse'!$E$1:$E$425,'Forbrug af biomasse'!$A$1:$A$425,$F432,'Forbrug af biomasse'!$C$1:$C$425,$D432,'Forbrug af biomasse'!$B$1:$B$425,$A$1,'Forbrug af biomasse'!$D$1:$D$425,I$2)*'[1]Processer - data'!I432</f>
        <v>#REF!</v>
      </c>
      <c r="J432" s="282" t="e">
        <f>SUMIFS('Forbrug af biomasse'!$E$1:$E$425,'Forbrug af biomasse'!$A$1:$A$425,$F432,'Forbrug af biomasse'!$C$1:$C$425,$D432,'Forbrug af biomasse'!$B$1:$B$425,$A$1,'Forbrug af biomasse'!$D$1:$D$425,J$2)*'[1]Processer - data'!J432</f>
        <v>#REF!</v>
      </c>
      <c r="M432" s="171"/>
      <c r="N432" s="171"/>
      <c r="O432" s="171"/>
    </row>
    <row r="433" spans="1:13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80" t="e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#REF!</v>
      </c>
      <c r="I433" s="281" t="e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#REF!</v>
      </c>
      <c r="J433" s="282" t="e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#REF!</v>
      </c>
      <c r="L433" s="132"/>
      <c r="M433" s="125"/>
    </row>
    <row r="434" spans="1:13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80" t="e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#REF!</v>
      </c>
      <c r="I434" s="281" t="e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#REF!</v>
      </c>
      <c r="J434" s="282" t="e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#REF!</v>
      </c>
      <c r="L434" s="127"/>
      <c r="M434" s="125"/>
    </row>
    <row r="435" spans="1:13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80" t="e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#REF!</v>
      </c>
      <c r="I435" s="281" t="e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#REF!</v>
      </c>
      <c r="J435" s="282" t="e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#REF!</v>
      </c>
      <c r="L435" s="127"/>
      <c r="M435" s="125"/>
    </row>
    <row r="436" spans="1:13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80" t="e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#REF!</v>
      </c>
      <c r="I436" s="281" t="e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#REF!</v>
      </c>
      <c r="J436" s="282" t="e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#REF!</v>
      </c>
      <c r="L436" s="127"/>
      <c r="M436" s="125"/>
    </row>
    <row r="437" spans="1:13" s="171" customFormat="1" x14ac:dyDescent="0.2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6" t="e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#REF!</v>
      </c>
      <c r="I437" s="287" t="e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#REF!</v>
      </c>
      <c r="J437" s="288" t="e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#REF!</v>
      </c>
      <c r="L437" s="127"/>
      <c r="M437" s="125"/>
    </row>
    <row r="438" spans="1:13" x14ac:dyDescent="0.2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80" t="e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#REF!</v>
      </c>
      <c r="I438" s="281" t="e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#REF!</v>
      </c>
      <c r="J438" s="282" t="e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#REF!</v>
      </c>
      <c r="L438" s="127"/>
      <c r="M438" s="125"/>
    </row>
    <row r="439" spans="1:13" s="171" customFormat="1" x14ac:dyDescent="0.2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6" t="e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#REF!</v>
      </c>
      <c r="I439" s="287" t="e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#REF!</v>
      </c>
      <c r="J439" s="288" t="e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#REF!</v>
      </c>
      <c r="L439" s="127"/>
      <c r="M439" s="125"/>
    </row>
    <row r="440" spans="1:13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80" t="e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#REF!</v>
      </c>
      <c r="I440" s="281" t="e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#REF!</v>
      </c>
      <c r="J440" s="282" t="e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#REF!</v>
      </c>
      <c r="L440" s="127"/>
      <c r="M440" s="125"/>
    </row>
    <row r="441" spans="1:13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80" t="e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#REF!</v>
      </c>
      <c r="I441" s="281" t="e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#REF!</v>
      </c>
      <c r="J441" s="282" t="e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#REF!</v>
      </c>
      <c r="L441" s="127"/>
      <c r="M441" s="125"/>
    </row>
    <row r="442" spans="1:13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80" t="e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#REF!</v>
      </c>
      <c r="I442" s="281" t="e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#REF!</v>
      </c>
      <c r="J442" s="282" t="e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#REF!</v>
      </c>
      <c r="L442" s="128"/>
      <c r="M442" s="125"/>
    </row>
    <row r="443" spans="1:13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80" t="e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#REF!</v>
      </c>
      <c r="I443" s="281" t="e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#REF!</v>
      </c>
      <c r="J443" s="282" t="e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#REF!</v>
      </c>
      <c r="L443" s="127"/>
      <c r="M443" s="125"/>
    </row>
    <row r="444" spans="1:13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80" t="e">
        <f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#REF!</v>
      </c>
      <c r="I444" s="281" t="e">
        <f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#REF!</v>
      </c>
      <c r="J444" s="282" t="e">
        <f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#REF!</v>
      </c>
      <c r="L444" s="127"/>
      <c r="M444" s="125"/>
    </row>
    <row r="445" spans="1:13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80" t="e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#REF!</v>
      </c>
      <c r="I445" s="281" t="e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#REF!</v>
      </c>
      <c r="J445" s="282" t="e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#REF!</v>
      </c>
      <c r="L445" s="127"/>
      <c r="M445" s="125"/>
    </row>
    <row r="446" spans="1:13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80" t="e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#REF!</v>
      </c>
      <c r="I446" s="281" t="e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#REF!</v>
      </c>
      <c r="J446" s="282" t="e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#REF!</v>
      </c>
      <c r="L446" s="127"/>
      <c r="M446" s="125"/>
    </row>
    <row r="447" spans="1:13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80" t="e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#REF!</v>
      </c>
      <c r="I447" s="281" t="e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#REF!</v>
      </c>
      <c r="J447" s="282" t="e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#REF!</v>
      </c>
      <c r="L447" s="127"/>
      <c r="M447" s="125"/>
    </row>
    <row r="448" spans="1:13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80" t="e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#REF!</v>
      </c>
      <c r="I448" s="281" t="e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#REF!</v>
      </c>
      <c r="J448" s="282" t="e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#REF!</v>
      </c>
      <c r="L448" s="127"/>
      <c r="M448" s="125"/>
    </row>
    <row r="449" spans="1:13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80" t="e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#REF!</v>
      </c>
      <c r="I449" s="281" t="e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#REF!</v>
      </c>
      <c r="J449" s="282" t="e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#REF!</v>
      </c>
      <c r="L449" s="128"/>
      <c r="M449" s="125"/>
    </row>
    <row r="450" spans="1:13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80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48345002.496000007</v>
      </c>
      <c r="I450" s="281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48345002.496000007</v>
      </c>
      <c r="J450" s="282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48345002.496000007</v>
      </c>
      <c r="L450" s="127"/>
      <c r="M450" s="125"/>
    </row>
    <row r="451" spans="1:13" ht="15.75" thickBot="1" x14ac:dyDescent="0.3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80" t="e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#REF!</v>
      </c>
      <c r="I451" s="281" t="e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#REF!</v>
      </c>
      <c r="J451" s="282" t="e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#REF!</v>
      </c>
      <c r="L451" s="142"/>
      <c r="M451" s="125"/>
    </row>
    <row r="452" spans="1:13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6" t="e">
        <f>SUMIFS('Forbrug af biomasse'!$E$1:$E$425,'Forbrug af biomasse'!$A$1:$A$425,"Biogas",'Forbrug af biomasse'!$B$1:$B$425,$A$1,'Forbrug af biomasse'!$D$1:$D$425,H$2)*'[1]Processer - data'!H452</f>
        <v>#REF!</v>
      </c>
      <c r="I452" s="287" t="e">
        <f>SUMIFS('Forbrug af biomasse'!$E$1:$E$425,'Forbrug af biomasse'!$A$1:$A$425,"Biogas",'Forbrug af biomasse'!$B$1:$B$425,$A$1,'Forbrug af biomasse'!$D$1:$D$425,I$2)*'[1]Processer - data'!I452</f>
        <v>#REF!</v>
      </c>
      <c r="J452" s="288" t="e">
        <f>SUMIFS('Forbrug af biomasse'!$E$1:$E$425,'Forbrug af biomasse'!$A$1:$A$425,"Biogas",'Forbrug af biomasse'!$B$1:$B$425,$A$1,'Forbrug af biomasse'!$D$1:$D$425,J$2)*'[1]Processer - data'!J452</f>
        <v>#REF!</v>
      </c>
    </row>
    <row r="453" spans="1:13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6" t="e">
        <f>(1-IF(VLOOKUP($D453,Biogasanlæg!$A$3:$D$7,MATCH(H$2,Biogasanlæg!$A$2:$D$2,0),FALSE)&gt;1,1,VLOOKUP($D453,Biogasanlæg!$A$3:$D$7,MATCH(H$2,Biogasanlæg!$A$2:$D$2,0),FALSE)))*SUMIFS('Resultater - Vestdanmark'!H$3:H$482,'Resultater - Vestdanmark'!$F$3:$F$482,$D453)*'[1]Processer - data'!H$453</f>
        <v>#REF!</v>
      </c>
      <c r="I453" s="287" t="e">
        <f>(1-IF(VLOOKUP($D453,Biogasanlæg!$A$3:$D$7,MATCH(I$2,Biogasanlæg!$A$2:$D$2,0),FALSE)&gt;1,1,VLOOKUP($D453,Biogasanlæg!$A$3:$D$7,MATCH(I$2,Biogasanlæg!$A$2:$D$2,0),FALSE)))*SUMIFS('Resultater - Vestdanmark'!I$3:I$482,'Resultater - Vestdanmark'!$F$3:$F$482,$D453)*'[1]Processer - data'!I$453</f>
        <v>#REF!</v>
      </c>
      <c r="J453" s="288" t="e">
        <f>(1-IF(VLOOKUP($D453,Biogasanlæg!$A$3:$D$7,MATCH(J$2,Biogasanlæg!$A$2:$D$2,0),FALSE)&gt;1,1,VLOOKUP($D453,Biogasanlæg!$A$3:$D$7,MATCH(J$2,Biogasanlæg!$A$2:$D$2,0),FALSE)))*SUMIFS('Resultater - Vestdanmark'!J$3:J$482,'Resultater - Vestdanmark'!$F$3:$F$482,$D453)*'[1]Processer - data'!J$453</f>
        <v>#REF!</v>
      </c>
    </row>
    <row r="454" spans="1:13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6" t="e">
        <f>(1-IF(VLOOKUP($D454,Biogasanlæg!$A$3:$D$7,MATCH(H$2,Biogasanlæg!$A$2:$D$2,0),FALSE)&gt;1,1,VLOOKUP($D454,Biogasanlæg!$A$3:$D$7,MATCH(H$2,Biogasanlæg!$A$2:$D$2,0),FALSE)))*SUMIFS('Resultater - Vestdanmark'!H$3:H$482,'Resultater - Vestdanmark'!$F$3:$F$482,$D454)*'[1]Processer - data'!H$453</f>
        <v>#REF!</v>
      </c>
      <c r="I454" s="287" t="e">
        <f>(1-IF(VLOOKUP($D454,Biogasanlæg!$A$3:$D$7,MATCH(I$2,Biogasanlæg!$A$2:$D$2,0),FALSE)&gt;1,1,VLOOKUP($D454,Biogasanlæg!$A$3:$D$7,MATCH(I$2,Biogasanlæg!$A$2:$D$2,0),FALSE)))*SUMIFS('Resultater - Vestdanmark'!I$3:I$482,'Resultater - Vestdanmark'!$F$3:$F$482,$D454)*'[1]Processer - data'!I$453</f>
        <v>#REF!</v>
      </c>
      <c r="J454" s="288" t="e">
        <f>(1-IF(VLOOKUP($D454,Biogasanlæg!$A$3:$D$7,MATCH(J$2,Biogasanlæg!$A$2:$D$2,0),FALSE)&gt;1,1,VLOOKUP($D454,Biogasanlæg!$A$3:$D$7,MATCH(J$2,Biogasanlæg!$A$2:$D$2,0),FALSE)))*SUMIFS('Resultater - Vestdanmark'!J$3:J$482,'Resultater - Vestdanmark'!$F$3:$F$482,$D454)*'[1]Processer - data'!J$453</f>
        <v>#REF!</v>
      </c>
    </row>
    <row r="455" spans="1:13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6" t="e">
        <f>(1-IF(VLOOKUP($D455,Biogasanlæg!$A$3:$D$7,MATCH(H$2,Biogasanlæg!$A$2:$D$2,0),FALSE)&gt;1,1,VLOOKUP($D455,Biogasanlæg!$A$3:$D$7,MATCH(H$2,Biogasanlæg!$A$2:$D$2,0),FALSE)))*SUMIFS('Resultater - Vestdanmark'!H$3:H$482,'Resultater - Vestdanmark'!$F$3:$F$482,$D455)*'[1]Processer - data'!H$453</f>
        <v>#REF!</v>
      </c>
      <c r="I455" s="287" t="e">
        <f>(1-IF(VLOOKUP($D455,Biogasanlæg!$A$3:$D$7,MATCH(I$2,Biogasanlæg!$A$2:$D$2,0),FALSE)&gt;1,1,VLOOKUP($D455,Biogasanlæg!$A$3:$D$7,MATCH(I$2,Biogasanlæg!$A$2:$D$2,0),FALSE)))*SUMIFS('Resultater - Vestdanmark'!I$3:I$482,'Resultater - Vestdanmark'!$F$3:$F$482,$D455)*'[1]Processer - data'!I$453</f>
        <v>#REF!</v>
      </c>
      <c r="J455" s="288" t="e">
        <f>(1-IF(VLOOKUP($D455,Biogasanlæg!$A$3:$D$7,MATCH(J$2,Biogasanlæg!$A$2:$D$2,0),FALSE)&gt;1,1,VLOOKUP($D455,Biogasanlæg!$A$3:$D$7,MATCH(J$2,Biogasanlæg!$A$2:$D$2,0),FALSE)))*SUMIFS('Resultater - Vestdanmark'!J$3:J$482,'Resultater - Vestdanmark'!$F$3:$F$482,$D455)*'[1]Processer - data'!J$453</f>
        <v>#REF!</v>
      </c>
    </row>
    <row r="456" spans="1:13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6" t="e">
        <f>(1-IF(VLOOKUP($D456,Biogasanlæg!$A$3:$D$7,MATCH(H$2,Biogasanlæg!$A$2:$D$2,0),FALSE)&gt;1,1,VLOOKUP($D456,Biogasanlæg!$A$3:$D$7,MATCH(H$2,Biogasanlæg!$A$2:$D$2,0),FALSE)))*SUMIFS('Resultater - Vestdanmark'!H$3:H$482,'Resultater - Vestdanmark'!$F$3:$F$482,$D456)*'[1]Processer - data'!H$453</f>
        <v>#REF!</v>
      </c>
      <c r="I456" s="287" t="e">
        <f>(1-IF(VLOOKUP($D456,Biogasanlæg!$A$3:$D$7,MATCH(I$2,Biogasanlæg!$A$2:$D$2,0),FALSE)&gt;1,1,VLOOKUP($D456,Biogasanlæg!$A$3:$D$7,MATCH(I$2,Biogasanlæg!$A$2:$D$2,0),FALSE)))*SUMIFS('Resultater - Vestdanmark'!I$3:I$482,'Resultater - Vestdanmark'!$F$3:$F$482,$D456)*'[1]Processer - data'!I$453</f>
        <v>#REF!</v>
      </c>
      <c r="J456" s="288" t="e">
        <f>(1-IF(VLOOKUP($D456,Biogasanlæg!$A$3:$D$7,MATCH(J$2,Biogasanlæg!$A$2:$D$2,0),FALSE)&gt;1,1,VLOOKUP($D456,Biogasanlæg!$A$3:$D$7,MATCH(J$2,Biogasanlæg!$A$2:$D$2,0),FALSE)))*SUMIFS('Resultater - Vestdanmark'!J$3:J$482,'Resultater - Vestdanmark'!$F$3:$F$482,$D456)*'[1]Processer - data'!J$453</f>
        <v>#REF!</v>
      </c>
    </row>
    <row r="457" spans="1:13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6" t="e">
        <f>H452*'[1]Processer - data'!H$457*Biogasanlæg!AA$3</f>
        <v>#REF!</v>
      </c>
      <c r="I457" s="287" t="e">
        <f>I452*'[1]Processer - data'!I$457*Biogasanlæg!AB$3</f>
        <v>#REF!</v>
      </c>
      <c r="J457" s="288" t="e">
        <f>J452*'[1]Processer - data'!J$457*Biogasanlæg!AC$3</f>
        <v>#REF!</v>
      </c>
    </row>
    <row r="458" spans="1:13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6" t="e">
        <f>-SUMIFS('Resultater - Vestdanmark'!H$3:H$482,'Resultater - Vestdanmark'!$F$3:$F$482,"Gødning",'Resultater - Vestdanmark'!$A$3:$A$482,"&lt;&gt;Gødning")-SUM(H453:H457)</f>
        <v>#REF!</v>
      </c>
      <c r="I458" s="287" t="e">
        <f>-SUMIFS('Resultater - Vestdanmark'!I$3:I$482,'Resultater - Vestdanmark'!$F$3:$F$482,"Gødning",'Resultater - Vestdanmark'!$A$3:$A$482,"&lt;&gt;Gødning")-SUM(I453:I457)</f>
        <v>#REF!</v>
      </c>
      <c r="J458" s="288" t="e">
        <f>-SUMIFS('Resultater - Vestdanmark'!J$3:J$482,'Resultater - Vestdanmark'!$F$3:$F$482,"Gødning",'Resultater - Vestdanmark'!$A$3:$A$482,"&lt;&gt;Gødning")-SUM(J453:J457)</f>
        <v>#REF!</v>
      </c>
    </row>
    <row r="459" spans="1:13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9" t="e">
        <f>SUMIFS('Forbrug af biomasse'!$E$1:$E$425,'Forbrug af biomasse'!$A$1:$A$425,$F459,'Forbrug af biomasse'!$C$1:$C$425,$D459,'Forbrug af biomasse'!$B$1:$B$425,$A$1,'Forbrug af biomasse'!$D$1:$D$425,H$2)*'[1]Processer - data'!H459</f>
        <v>#REF!</v>
      </c>
      <c r="I459" s="291" t="e">
        <f>SUMIFS('Forbrug af biomasse'!$E$1:$E$425,'Forbrug af biomasse'!$A$1:$A$425,$F459,'Forbrug af biomasse'!$C$1:$C$425,$D459,'Forbrug af biomasse'!$B$1:$B$425,$A$1,'Forbrug af biomasse'!$D$1:$D$425,I$2)*'[1]Processer - data'!I459</f>
        <v>#REF!</v>
      </c>
      <c r="J459" s="292" t="e">
        <f>SUMIFS('Forbrug af biomasse'!$E$1:$E$425,'Forbrug af biomasse'!$A$1:$A$425,$F459,'Forbrug af biomasse'!$C$1:$C$425,$D459,'Forbrug af biomasse'!$B$1:$B$425,$A$1,'Forbrug af biomasse'!$D$1:$D$425,J$2)*'[1]Processer - data'!J459</f>
        <v>#REF!</v>
      </c>
    </row>
    <row r="460" spans="1:13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9" t="e">
        <f>SUMIFS('Forbrug af biomasse'!$E$1:$E$425,'Forbrug af biomasse'!$A$1:$A$425,$F460,'Forbrug af biomasse'!$C$1:$C$425,$D460,'Forbrug af biomasse'!$B$1:$B$425,$A$1,'Forbrug af biomasse'!$D$1:$D$425,H$2)*'[1]Processer - data'!H460</f>
        <v>#REF!</v>
      </c>
      <c r="I460" s="291" t="e">
        <f>SUMIFS('Forbrug af biomasse'!$E$1:$E$425,'Forbrug af biomasse'!$A$1:$A$425,$F460,'Forbrug af biomasse'!$C$1:$C$425,$D460,'Forbrug af biomasse'!$B$1:$B$425,$A$1,'Forbrug af biomasse'!$D$1:$D$425,I$2)*'[1]Processer - data'!I460</f>
        <v>#REF!</v>
      </c>
      <c r="J460" s="292" t="e">
        <f>SUMIFS('Forbrug af biomasse'!$E$1:$E$425,'Forbrug af biomasse'!$A$1:$A$425,$F460,'Forbrug af biomasse'!$C$1:$C$425,$D460,'Forbrug af biomasse'!$B$1:$B$425,$A$1,'Forbrug af biomasse'!$D$1:$D$425,J$2)*'[1]Processer - data'!J460</f>
        <v>#REF!</v>
      </c>
    </row>
    <row r="461" spans="1:13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9" t="e">
        <f>SUMIFS('Forbrug af biomasse'!$E$1:$E$425,'Forbrug af biomasse'!$A$1:$A$425,$F461,'Forbrug af biomasse'!$C$1:$C$425,$D461,'Forbrug af biomasse'!$B$1:$B$425,$A$1,'Forbrug af biomasse'!$D$1:$D$425,H$2)*'[1]Processer - data'!H461</f>
        <v>#REF!</v>
      </c>
      <c r="I461" s="291" t="e">
        <f>SUMIFS('Forbrug af biomasse'!$E$1:$E$425,'Forbrug af biomasse'!$A$1:$A$425,$F461,'Forbrug af biomasse'!$C$1:$C$425,$D461,'Forbrug af biomasse'!$B$1:$B$425,$A$1,'Forbrug af biomasse'!$D$1:$D$425,I$2)*'[1]Processer - data'!I461</f>
        <v>#REF!</v>
      </c>
      <c r="J461" s="292" t="e">
        <f>SUMIFS('Forbrug af biomasse'!$E$1:$E$425,'Forbrug af biomasse'!$A$1:$A$425,$F461,'Forbrug af biomasse'!$C$1:$C$425,$D461,'Forbrug af biomasse'!$B$1:$B$425,$A$1,'Forbrug af biomasse'!$D$1:$D$425,J$2)*'[1]Processer - data'!J461</f>
        <v>#REF!</v>
      </c>
    </row>
    <row r="462" spans="1:13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9" t="e">
        <f>SUMIFS('Forbrug af biomasse'!$E$1:$E$425,'Forbrug af biomasse'!$A$1:$A$425,$F462,'Forbrug af biomasse'!$C$1:$C$425,$D462,'Forbrug af biomasse'!$B$1:$B$425,$A$1,'Forbrug af biomasse'!$D$1:$D$425,H$2)*'[1]Processer - data'!H462</f>
        <v>#REF!</v>
      </c>
      <c r="I462" s="291" t="e">
        <f>SUMIFS('Forbrug af biomasse'!$E$1:$E$425,'Forbrug af biomasse'!$A$1:$A$425,$F462,'Forbrug af biomasse'!$C$1:$C$425,$D462,'Forbrug af biomasse'!$B$1:$B$425,$A$1,'Forbrug af biomasse'!$D$1:$D$425,I$2)*'[1]Processer - data'!I462</f>
        <v>#REF!</v>
      </c>
      <c r="J462" s="292" t="e">
        <f>SUMIFS('Forbrug af biomasse'!$E$1:$E$425,'Forbrug af biomasse'!$A$1:$A$425,$F462,'Forbrug af biomasse'!$C$1:$C$425,$D462,'Forbrug af biomasse'!$B$1:$B$425,$A$1,'Forbrug af biomasse'!$D$1:$D$425,J$2)*'[1]Processer - data'!J462</f>
        <v>#REF!</v>
      </c>
    </row>
    <row r="463" spans="1:13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9" t="e">
        <f>SUMIFS('Forbrug af biomasse'!$E$1:$E$425,'Forbrug af biomasse'!$A$1:$A$425,$F463,'Forbrug af biomasse'!$C$1:$C$425,$D463,'Forbrug af biomasse'!$B$1:$B$425,$A$1,'Forbrug af biomasse'!$D$1:$D$425,H$2)*'[1]Processer - data'!H463</f>
        <v>#REF!</v>
      </c>
      <c r="I463" s="291" t="e">
        <f>SUMIFS('Forbrug af biomasse'!$E$1:$E$425,'Forbrug af biomasse'!$A$1:$A$425,$F463,'Forbrug af biomasse'!$C$1:$C$425,$D463,'Forbrug af biomasse'!$B$1:$B$425,$A$1,'Forbrug af biomasse'!$D$1:$D$425,I$2)*'[1]Processer - data'!I463</f>
        <v>#REF!</v>
      </c>
      <c r="J463" s="292" t="e">
        <f>SUMIFS('Forbrug af biomasse'!$E$1:$E$425,'Forbrug af biomasse'!$A$1:$A$425,$F463,'Forbrug af biomasse'!$C$1:$C$425,$D463,'Forbrug af biomasse'!$B$1:$B$425,$A$1,'Forbrug af biomasse'!$D$1:$D$425,J$2)*'[1]Processer - data'!J463</f>
        <v>#REF!</v>
      </c>
    </row>
    <row r="464" spans="1:13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9" t="e">
        <f>SUMIFS('Forbrug af biomasse'!$E$1:$E$425,'Forbrug af biomasse'!$A$1:$A$425,$F464,'Forbrug af biomasse'!$C$1:$C$425,$D464,'Forbrug af biomasse'!$B$1:$B$425,$A$1,'Forbrug af biomasse'!$D$1:$D$425,H$2)*'[1]Processer - data'!H464</f>
        <v>#REF!</v>
      </c>
      <c r="I464" s="291" t="e">
        <f>SUMIFS('Forbrug af biomasse'!$E$1:$E$425,'Forbrug af biomasse'!$A$1:$A$425,$F464,'Forbrug af biomasse'!$C$1:$C$425,$D464,'Forbrug af biomasse'!$B$1:$B$425,$A$1,'Forbrug af biomasse'!$D$1:$D$425,I$2)*'[1]Processer - data'!I464</f>
        <v>#REF!</v>
      </c>
      <c r="J464" s="292" t="e">
        <f>SUMIFS('Forbrug af biomasse'!$E$1:$E$425,'Forbrug af biomasse'!$A$1:$A$425,$F464,'Forbrug af biomasse'!$C$1:$C$425,$D464,'Forbrug af biomasse'!$B$1:$B$425,$A$1,'Forbrug af biomasse'!$D$1:$D$425,J$2)*'[1]Processer - data'!J464</f>
        <v>#REF!</v>
      </c>
    </row>
    <row r="465" spans="1:10" s="171" customFormat="1" x14ac:dyDescent="0.2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9" t="e">
        <f>SUMIFS('Forbrug af biomasse'!$E$1:$E$425,'Forbrug af biomasse'!$A$1:$A$425,$F465,'Forbrug af biomasse'!$C$1:$C$425,$D465,'Forbrug af biomasse'!$B$1:$B$425,$A$1,'Forbrug af biomasse'!$D$1:$D$425,H$2)*'[1]Processer - data'!H465</f>
        <v>#REF!</v>
      </c>
      <c r="I465" s="291" t="e">
        <f>SUMIFS('Forbrug af biomasse'!$E$1:$E$425,'Forbrug af biomasse'!$A$1:$A$425,$F465,'Forbrug af biomasse'!$C$1:$C$425,$D465,'Forbrug af biomasse'!$B$1:$B$425,$A$1,'Forbrug af biomasse'!$D$1:$D$425,I$2)*'[1]Processer - data'!I465</f>
        <v>#REF!</v>
      </c>
      <c r="J465" s="292" t="e">
        <f>SUMIFS('Forbrug af biomasse'!$E$1:$E$425,'Forbrug af biomasse'!$A$1:$A$425,$F465,'Forbrug af biomasse'!$C$1:$C$425,$D465,'Forbrug af biomasse'!$B$1:$B$425,$A$1,'Forbrug af biomasse'!$D$1:$D$425,J$2)*'[1]Processer - data'!J465</f>
        <v>#REF!</v>
      </c>
    </row>
    <row r="466" spans="1:10" s="171" customFormat="1" x14ac:dyDescent="0.2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9" t="e">
        <f>SUMIFS('Forbrug af biomasse'!$E$1:$E$425,'Forbrug af biomasse'!$A$1:$A$425,$F466,'Forbrug af biomasse'!$C$1:$C$425,$D466,'Forbrug af biomasse'!$B$1:$B$425,$A$1,'Forbrug af biomasse'!$D$1:$D$425,H$2)*'[1]Processer - data'!H466</f>
        <v>#REF!</v>
      </c>
      <c r="I466" s="291" t="e">
        <f>SUMIFS('Forbrug af biomasse'!$E$1:$E$425,'Forbrug af biomasse'!$A$1:$A$425,$F466,'Forbrug af biomasse'!$C$1:$C$425,$D466,'Forbrug af biomasse'!$B$1:$B$425,$A$1,'Forbrug af biomasse'!$D$1:$D$425,I$2)*'[1]Processer - data'!I466</f>
        <v>#REF!</v>
      </c>
      <c r="J466" s="292" t="e">
        <f>SUMIFS('Forbrug af biomasse'!$E$1:$E$425,'Forbrug af biomasse'!$A$1:$A$425,$F466,'Forbrug af biomasse'!$C$1:$C$425,$D466,'Forbrug af biomasse'!$B$1:$B$425,$A$1,'Forbrug af biomasse'!$D$1:$D$425,J$2)*'[1]Processer - data'!J466</f>
        <v>#REF!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6" t="e">
        <f>SUM(H433:H451)*'[1]Processer - data'!$H$467</f>
        <v>#REF!</v>
      </c>
      <c r="I467" s="287" t="e">
        <f>SUM(I433:I451)*'[1]Processer - data'!$H$467</f>
        <v>#REF!</v>
      </c>
      <c r="J467" s="288" t="e">
        <f>SUM(J433:J451)*'[1]Processer - data'!$H$467</f>
        <v>#REF!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80" t="e">
        <f>SUMIFS('Forbrug af biomasse'!$E$1:$E$425,'Forbrug af biomasse'!$A$1:$A$425,$A468,'Forbrug af biomasse'!$C$1:$C$425,$D468,'Forbrug af biomasse'!$B$1:$B$425,$A$1,'Forbrug af biomasse'!$D$1:$D$425,H$2)*'[1]Processer - data'!H468</f>
        <v>#REF!</v>
      </c>
      <c r="I468" s="281" t="e">
        <f>SUMIFS('Forbrug af biomasse'!$E$1:$E$425,'Forbrug af biomasse'!$A$1:$A$425,$A468,'Forbrug af biomasse'!$C$1:$C$425,$D468,'Forbrug af biomasse'!$B$1:$B$425,$A$1,'Forbrug af biomasse'!$D$1:$D$425,I$2)*'[1]Processer - data'!I468</f>
        <v>#REF!</v>
      </c>
      <c r="J468" s="282" t="e">
        <f>SUMIFS('Forbrug af biomasse'!$E$1:$E$425,'Forbrug af biomasse'!$A$1:$A$425,$A468,'Forbrug af biomasse'!$C$1:$C$425,$D468,'Forbrug af biomasse'!$B$1:$B$425,$A$1,'Forbrug af biomasse'!$D$1:$D$425,J$2)*'[1]Processer - data'!J468</f>
        <v>#REF!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80" t="e">
        <f>SUMIFS('Forbrug af biomasse'!$E$1:$E$425,'Forbrug af biomasse'!$A$1:$A$425,$A469,'Forbrug af biomasse'!$C$1:$C$425,$D469,'Forbrug af biomasse'!$B$1:$B$425,$A$1,'Forbrug af biomasse'!$D$1:$D$425,H$2)*'[1]Processer - data'!H469</f>
        <v>#REF!</v>
      </c>
      <c r="I469" s="281" t="e">
        <f>SUMIFS('Forbrug af biomasse'!$E$1:$E$425,'Forbrug af biomasse'!$A$1:$A$425,$A469,'Forbrug af biomasse'!$C$1:$C$425,$D469,'Forbrug af biomasse'!$B$1:$B$425,$A$1,'Forbrug af biomasse'!$D$1:$D$425,I$2)*'[1]Processer - data'!I469</f>
        <v>#REF!</v>
      </c>
      <c r="J469" s="282" t="e">
        <f>SUMIFS('Forbrug af biomasse'!$E$1:$E$425,'Forbrug af biomasse'!$A$1:$A$425,$A469,'Forbrug af biomasse'!$C$1:$C$425,$D469,'Forbrug af biomasse'!$B$1:$B$425,$A$1,'Forbrug af biomasse'!$D$1:$D$425,J$2)*'[1]Processer - data'!J469</f>
        <v>#REF!</v>
      </c>
    </row>
    <row r="470" spans="1:10" x14ac:dyDescent="0.25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80" t="e">
        <f>SUMIFS('Forbrug af biomasse'!$E$1:$E$425,'Forbrug af biomasse'!$A$1:$A$425,$A470,'Forbrug af biomasse'!$C$1:$C$425,$D470,'Forbrug af biomasse'!$B$1:$B$425,$A$1,'Forbrug af biomasse'!$D$1:$D$425,H$2)*'[1]Processer - data'!H470</f>
        <v>#REF!</v>
      </c>
      <c r="I470" s="281" t="e">
        <f>SUMIFS('Forbrug af biomasse'!$E$1:$E$425,'Forbrug af biomasse'!$A$1:$A$425,$A470,'Forbrug af biomasse'!$C$1:$C$425,$D470,'Forbrug af biomasse'!$B$1:$B$425,$A$1,'Forbrug af biomasse'!$D$1:$D$425,I$2)*'[1]Processer - data'!I470</f>
        <v>#REF!</v>
      </c>
      <c r="J470" s="282" t="e">
        <f>SUMIFS('Forbrug af biomasse'!$E$1:$E$425,'Forbrug af biomasse'!$A$1:$A$425,$A470,'Forbrug af biomasse'!$C$1:$C$425,$D470,'Forbrug af biomasse'!$B$1:$B$425,$A$1,'Forbrug af biomasse'!$D$1:$D$425,J$2)*'[1]Processer - data'!J470</f>
        <v>#REF!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2" t="e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#REF!</v>
      </c>
      <c r="I471" s="303" t="e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#REF!</v>
      </c>
      <c r="J471" s="304" t="e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#REF!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2" t="e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#REF!</v>
      </c>
      <c r="I472" s="303" t="e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#REF!</v>
      </c>
      <c r="J472" s="304" t="e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#REF!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7" t="e">
        <f>SUMIFS('Forbrug af biomasse'!$E$1:$E$425,'Forbrug af biomasse'!$A$1:$A$425,$A473,'Forbrug af biomasse'!$C$1:$C$425,$D473,'Forbrug af biomasse'!$B$1:$B$425,$A$1,'Forbrug af biomasse'!$D$1:$D$425,H$2)*'[1]Processer - data'!H473</f>
        <v>#REF!</v>
      </c>
      <c r="I473" s="278" t="e">
        <f>SUMIFS('Forbrug af biomasse'!$E$1:$E$425,'Forbrug af biomasse'!$A$1:$A$425,$A473,'Forbrug af biomasse'!$C$1:$C$425,$D473,'Forbrug af biomasse'!$B$1:$B$425,$A$1,'Forbrug af biomasse'!$D$1:$D$425,I$2)*'[1]Processer - data'!I473</f>
        <v>#REF!</v>
      </c>
      <c r="J473" s="279" t="e">
        <f>SUMIFS('Forbrug af biomasse'!$E$1:$E$425,'Forbrug af biomasse'!$A$1:$A$425,$A473,'Forbrug af biomasse'!$C$1:$C$425,$D473,'Forbrug af biomasse'!$B$1:$B$425,$A$1,'Forbrug af biomasse'!$D$1:$D$425,J$2)*'[1]Processer - data'!J473</f>
        <v>#REF!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80" t="e">
        <f>SUMIFS('Forbrug af biomasse'!$E$1:$E$425,'Forbrug af biomasse'!$A$1:$A$425,$A474,'Forbrug af biomasse'!$C$1:$C$425,$D474,'Forbrug af biomasse'!$B$1:$B$425,$A$1,'Forbrug af biomasse'!$D$1:$D$425,H$2)*'[1]Processer - data'!H474</f>
        <v>#REF!</v>
      </c>
      <c r="I474" s="281" t="e">
        <f>SUMIFS('Forbrug af biomasse'!$E$1:$E$425,'Forbrug af biomasse'!$A$1:$A$425,$A474,'Forbrug af biomasse'!$C$1:$C$425,$D474,'Forbrug af biomasse'!$B$1:$B$425,$A$1,'Forbrug af biomasse'!$D$1:$D$425,I$2)*'[1]Processer - data'!I474</f>
        <v>#REF!</v>
      </c>
      <c r="J474" s="282" t="e">
        <f>SUMIFS('Forbrug af biomasse'!$E$1:$E$425,'Forbrug af biomasse'!$A$1:$A$425,$A474,'Forbrug af biomasse'!$C$1:$C$425,$D474,'Forbrug af biomasse'!$B$1:$B$425,$A$1,'Forbrug af biomasse'!$D$1:$D$425,J$2)*'[1]Processer - data'!J474</f>
        <v>#REF!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3" t="e">
        <f>SUMIFS('Forbrug af biomasse'!$E$1:$E$425,'Forbrug af biomasse'!$A$1:$A$425,$A475,'Forbrug af biomasse'!$C$1:$C$425,$D475,'Forbrug af biomasse'!$B$1:$B$425,$A$1,'Forbrug af biomasse'!$D$1:$D$425,H$2)*'[1]Processer - data'!H475</f>
        <v>#REF!</v>
      </c>
      <c r="I475" s="284" t="e">
        <f>SUMIFS('Forbrug af biomasse'!$E$1:$E$425,'Forbrug af biomasse'!$A$1:$A$425,$A475,'Forbrug af biomasse'!$C$1:$C$425,$D475,'Forbrug af biomasse'!$B$1:$B$425,$A$1,'Forbrug af biomasse'!$D$1:$D$425,I$2)*'[1]Processer - data'!I475</f>
        <v>#REF!</v>
      </c>
      <c r="J475" s="285" t="e">
        <f>SUMIFS('Forbrug af biomasse'!$E$1:$E$425,'Forbrug af biomasse'!$A$1:$A$425,$A475,'Forbrug af biomasse'!$C$1:$C$425,$D475,'Forbrug af biomasse'!$B$1:$B$425,$A$1,'Forbrug af biomasse'!$D$1:$D$425,J$2)*'[1]Processer - data'!J475</f>
        <v>#REF!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autoFilter ref="A2:U475" xr:uid="{909A89E6-B9A6-46D5-83F7-24899AA46FB2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480"/>
  <sheetViews>
    <sheetView topLeftCell="A446" zoomScale="80" zoomScaleNormal="80" workbookViewId="0">
      <selection activeCell="H472" sqref="H472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71"/>
      <c r="N2" s="171"/>
      <c r="O2" s="171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5" t="e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#REF!</v>
      </c>
      <c r="I3" s="306" t="e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#REF!</v>
      </c>
      <c r="J3" s="307" t="e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#REF!</v>
      </c>
      <c r="M3" s="171" t="e">
        <f>SUMIF($F$3:$F$472,"Roer",H3:H472)</f>
        <v>#REF!</v>
      </c>
      <c r="N3" s="171" t="e">
        <f>SUMIF($F$3:$F$472,"Roer",I3:I472)</f>
        <v>#REF!</v>
      </c>
      <c r="O3" s="171" t="e">
        <f>SUMIF($F$3:$F$472,"Roer",J3:J472)</f>
        <v>#REF!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2" t="e">
        <f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#REF!</v>
      </c>
      <c r="I4" s="303" t="e">
        <f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#REF!</v>
      </c>
      <c r="J4" s="304" t="e">
        <f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#REF!</v>
      </c>
      <c r="M4" s="171" t="e">
        <f>SUMIF($F$3:$F$472,"Bioaffald",H3:H472)</f>
        <v>#REF!</v>
      </c>
      <c r="N4" s="171" t="e">
        <f>SUMIF($F$3:$F$472,"Bioaffald",I3:I472)</f>
        <v>#REF!</v>
      </c>
      <c r="O4" s="171" t="e">
        <f>SUMIF($F$3:$F$472,"Bioaffald",J3:J472)</f>
        <v>#REF!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2" t="e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#REF!</v>
      </c>
      <c r="I5" s="303" t="e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#REF!</v>
      </c>
      <c r="J5" s="304" t="e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#REF!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2" t="e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#REF!</v>
      </c>
      <c r="I6" s="303" t="e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#REF!</v>
      </c>
      <c r="J6" s="304" t="e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#REF!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2" t="e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#REF!</v>
      </c>
      <c r="I7" s="303" t="e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#REF!</v>
      </c>
      <c r="J7" s="304" t="e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#REF!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2" t="e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#REF!</v>
      </c>
      <c r="I8" s="303" t="e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#REF!</v>
      </c>
      <c r="J8" s="304" t="e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#REF!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2" t="e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#REF!</v>
      </c>
      <c r="I9" s="303" t="e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#REF!</v>
      </c>
      <c r="J9" s="304" t="e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#REF!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2" t="e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#REF!</v>
      </c>
      <c r="I10" s="303" t="e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#REF!</v>
      </c>
      <c r="J10" s="304" t="e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#REF!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2" t="e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#REF!</v>
      </c>
      <c r="I11" s="303" t="e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#REF!</v>
      </c>
      <c r="J11" s="304" t="e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#REF!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2" t="e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#REF!</v>
      </c>
      <c r="I12" s="303" t="e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#REF!</v>
      </c>
      <c r="J12" s="304" t="e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#REF!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2" t="e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#REF!</v>
      </c>
      <c r="I13" s="303" t="e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#REF!</v>
      </c>
      <c r="J13" s="304" t="e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#REF!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2" t="e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#REF!</v>
      </c>
      <c r="I14" s="303" t="e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#REF!</v>
      </c>
      <c r="J14" s="304" t="e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#REF!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2" t="e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#REF!</v>
      </c>
      <c r="I15" s="303" t="e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#REF!</v>
      </c>
      <c r="J15" s="304" t="e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#REF!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2" t="e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#REF!</v>
      </c>
      <c r="I16" s="303" t="e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#REF!</v>
      </c>
      <c r="J16" s="304" t="e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#REF!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2" t="e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#REF!</v>
      </c>
      <c r="I17" s="303" t="e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#REF!</v>
      </c>
      <c r="J17" s="304" t="e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#REF!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2" t="e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#REF!</v>
      </c>
      <c r="I18" s="303" t="e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#REF!</v>
      </c>
      <c r="J18" s="304" t="e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#REF!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2" t="e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#REF!</v>
      </c>
      <c r="I19" s="303" t="e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#REF!</v>
      </c>
      <c r="J19" s="304" t="e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#REF!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2" t="e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#REF!</v>
      </c>
      <c r="I20" s="303" t="e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#REF!</v>
      </c>
      <c r="J20" s="304" t="e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#REF!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2" t="e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#REF!</v>
      </c>
      <c r="I21" s="303" t="e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#REF!</v>
      </c>
      <c r="J21" s="304" t="e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#REF!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2" t="e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#REF!</v>
      </c>
      <c r="I22" s="303" t="e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#REF!</v>
      </c>
      <c r="J22" s="304" t="e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#REF!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2" t="e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#REF!</v>
      </c>
      <c r="I23" s="303" t="e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#REF!</v>
      </c>
      <c r="J23" s="304" t="e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#REF!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2" t="e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#REF!</v>
      </c>
      <c r="I24" s="303" t="e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#REF!</v>
      </c>
      <c r="J24" s="304" t="e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#REF!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2" t="e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#REF!</v>
      </c>
      <c r="I25" s="303" t="e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#REF!</v>
      </c>
      <c r="J25" s="304" t="e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#REF!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2" t="e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#REF!</v>
      </c>
      <c r="I26" s="303" t="e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#REF!</v>
      </c>
      <c r="J26" s="304" t="e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#REF!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2" t="e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#REF!</v>
      </c>
      <c r="I27" s="303" t="e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#REF!</v>
      </c>
      <c r="J27" s="304" t="e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#REF!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2" t="e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#REF!</v>
      </c>
      <c r="I28" s="303" t="e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#REF!</v>
      </c>
      <c r="J28" s="304" t="e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#REF!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2" t="e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#REF!</v>
      </c>
      <c r="I29" s="303" t="e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#REF!</v>
      </c>
      <c r="J29" s="304" t="e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#REF!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2" t="e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#REF!</v>
      </c>
      <c r="I30" s="303" t="e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#REF!</v>
      </c>
      <c r="J30" s="304" t="e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#REF!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2" t="e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#REF!</v>
      </c>
      <c r="I31" s="303" t="e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#REF!</v>
      </c>
      <c r="J31" s="304" t="e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#REF!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2" t="e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#REF!</v>
      </c>
      <c r="I32" s="303" t="e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#REF!</v>
      </c>
      <c r="J32" s="304" t="e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#REF!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2" t="e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#REF!</v>
      </c>
      <c r="I33" s="303" t="e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#REF!</v>
      </c>
      <c r="J33" s="304" t="e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#REF!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2" t="e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#REF!</v>
      </c>
      <c r="I34" s="303" t="e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#REF!</v>
      </c>
      <c r="J34" s="304" t="e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#REF!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2" t="e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#REF!</v>
      </c>
      <c r="I35" s="303" t="e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#REF!</v>
      </c>
      <c r="J35" s="304" t="e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#REF!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2" t="e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#REF!</v>
      </c>
      <c r="I36" s="303" t="e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#REF!</v>
      </c>
      <c r="J36" s="304" t="e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#REF!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2" t="e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#REF!</v>
      </c>
      <c r="I37" s="303" t="e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#REF!</v>
      </c>
      <c r="J37" s="304" t="e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#REF!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2" t="e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#REF!</v>
      </c>
      <c r="I38" s="303" t="e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#REF!</v>
      </c>
      <c r="J38" s="304" t="e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#REF!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2" t="e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#REF!</v>
      </c>
      <c r="I39" s="303" t="e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#REF!</v>
      </c>
      <c r="J39" s="304" t="e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#REF!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2" t="e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#REF!</v>
      </c>
      <c r="I40" s="303" t="e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#REF!</v>
      </c>
      <c r="J40" s="304" t="e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#REF!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2" t="e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#REF!</v>
      </c>
      <c r="I41" s="303" t="e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#REF!</v>
      </c>
      <c r="J41" s="304" t="e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#REF!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2" t="e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#REF!</v>
      </c>
      <c r="I42" s="303" t="e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#REF!</v>
      </c>
      <c r="J42" s="304" t="e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#REF!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2" t="e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#REF!</v>
      </c>
      <c r="I43" s="303" t="e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#REF!</v>
      </c>
      <c r="J43" s="304" t="e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#REF!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2" t="e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#REF!</v>
      </c>
      <c r="I44" s="303" t="e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#REF!</v>
      </c>
      <c r="J44" s="304" t="e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#REF!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2" t="e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#REF!</v>
      </c>
      <c r="I45" s="303" t="e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#REF!</v>
      </c>
      <c r="J45" s="304" t="e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#REF!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2" t="e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#REF!</v>
      </c>
      <c r="I46" s="303" t="e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#REF!</v>
      </c>
      <c r="J46" s="304" t="e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#REF!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2" t="e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#REF!</v>
      </c>
      <c r="I47" s="303" t="e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#REF!</v>
      </c>
      <c r="J47" s="304" t="e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#REF!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2" t="e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#REF!</v>
      </c>
      <c r="I48" s="303" t="e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#REF!</v>
      </c>
      <c r="J48" s="304" t="e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#REF!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2" t="e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#REF!</v>
      </c>
      <c r="I49" s="303" t="e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#REF!</v>
      </c>
      <c r="J49" s="304" t="e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#REF!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2" t="e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#REF!</v>
      </c>
      <c r="I50" s="303" t="e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#REF!</v>
      </c>
      <c r="J50" s="304" t="e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#REF!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2" t="e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#REF!</v>
      </c>
      <c r="I51" s="303" t="e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#REF!</v>
      </c>
      <c r="J51" s="304" t="e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#REF!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2" t="e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#REF!</v>
      </c>
      <c r="I52" s="303" t="e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#REF!</v>
      </c>
      <c r="J52" s="304" t="e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#REF!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2" t="e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#REF!</v>
      </c>
      <c r="I53" s="303" t="e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#REF!</v>
      </c>
      <c r="J53" s="304" t="e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#REF!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2" t="e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#REF!</v>
      </c>
      <c r="I54" s="303" t="e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#REF!</v>
      </c>
      <c r="J54" s="304" t="e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#REF!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2" t="e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#REF!</v>
      </c>
      <c r="I55" s="303" t="e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#REF!</v>
      </c>
      <c r="J55" s="304" t="e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#REF!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2" t="e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#REF!</v>
      </c>
      <c r="I56" s="303" t="e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#REF!</v>
      </c>
      <c r="J56" s="304" t="e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#REF!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2" t="e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#REF!</v>
      </c>
      <c r="I57" s="303" t="e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#REF!</v>
      </c>
      <c r="J57" s="304" t="e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#REF!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2" t="e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#REF!</v>
      </c>
      <c r="I58" s="303" t="e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#REF!</v>
      </c>
      <c r="J58" s="304" t="e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#REF!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2" t="e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#REF!</v>
      </c>
      <c r="I59" s="303" t="e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#REF!</v>
      </c>
      <c r="J59" s="304" t="e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#REF!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2" t="e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#REF!</v>
      </c>
      <c r="I60" s="303" t="e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#REF!</v>
      </c>
      <c r="J60" s="304" t="e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#REF!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2" t="e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#REF!</v>
      </c>
      <c r="I61" s="303" t="e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#REF!</v>
      </c>
      <c r="J61" s="304" t="e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#REF!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2" t="e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#REF!</v>
      </c>
      <c r="I62" s="303" t="e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#REF!</v>
      </c>
      <c r="J62" s="304" t="e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#REF!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2" t="e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#REF!</v>
      </c>
      <c r="I63" s="303" t="e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#REF!</v>
      </c>
      <c r="J63" s="304" t="e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#REF!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2" t="e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#REF!</v>
      </c>
      <c r="I64" s="303" t="e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#REF!</v>
      </c>
      <c r="J64" s="304" t="e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#REF!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2" t="e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#REF!</v>
      </c>
      <c r="I65" s="303" t="e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#REF!</v>
      </c>
      <c r="J65" s="304" t="e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#REF!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2" t="e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#REF!</v>
      </c>
      <c r="I66" s="303" t="e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#REF!</v>
      </c>
      <c r="J66" s="304" t="e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#REF!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2" t="e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#REF!</v>
      </c>
      <c r="I67" s="303" t="e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#REF!</v>
      </c>
      <c r="J67" s="304" t="e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#REF!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2" t="e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#REF!</v>
      </c>
      <c r="I68" s="303" t="e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#REF!</v>
      </c>
      <c r="J68" s="304" t="e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#REF!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2" t="e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#REF!</v>
      </c>
      <c r="I69" s="303" t="e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#REF!</v>
      </c>
      <c r="J69" s="304" t="e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#REF!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2" t="e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#REF!</v>
      </c>
      <c r="I70" s="303" t="e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#REF!</v>
      </c>
      <c r="J70" s="304" t="e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#REF!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2" t="e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#REF!</v>
      </c>
      <c r="I71" s="303" t="e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#REF!</v>
      </c>
      <c r="J71" s="304" t="e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#REF!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2" t="e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#REF!</v>
      </c>
      <c r="I72" s="303" t="e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#REF!</v>
      </c>
      <c r="J72" s="304" t="e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#REF!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2" t="e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#REF!</v>
      </c>
      <c r="I73" s="303" t="e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#REF!</v>
      </c>
      <c r="J73" s="304" t="e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#REF!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2" t="e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#REF!</v>
      </c>
      <c r="I74" s="303" t="e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#REF!</v>
      </c>
      <c r="J74" s="304" t="e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#REF!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2" t="e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#REF!</v>
      </c>
      <c r="I75" s="303" t="e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#REF!</v>
      </c>
      <c r="J75" s="304" t="e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#REF!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2" t="e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#REF!</v>
      </c>
      <c r="I76" s="303" t="e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#REF!</v>
      </c>
      <c r="J76" s="304" t="e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#REF!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2" t="e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#REF!</v>
      </c>
      <c r="I77" s="303" t="e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#REF!</v>
      </c>
      <c r="J77" s="304" t="e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#REF!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2" t="e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#REF!</v>
      </c>
      <c r="I78" s="303" t="e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#REF!</v>
      </c>
      <c r="J78" s="304" t="e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#REF!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2" t="e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#REF!</v>
      </c>
      <c r="I79" s="303" t="e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#REF!</v>
      </c>
      <c r="J79" s="304" t="e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#REF!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2" t="e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#REF!</v>
      </c>
      <c r="I80" s="303" t="e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#REF!</v>
      </c>
      <c r="J80" s="304" t="e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#REF!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2" t="e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#REF!</v>
      </c>
      <c r="I81" s="303" t="e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#REF!</v>
      </c>
      <c r="J81" s="304" t="e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#REF!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2" t="e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#REF!</v>
      </c>
      <c r="I82" s="303" t="e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#REF!</v>
      </c>
      <c r="J82" s="304" t="e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#REF!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2" t="e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#REF!</v>
      </c>
      <c r="I83" s="303" t="e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#REF!</v>
      </c>
      <c r="J83" s="304" t="e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#REF!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2" t="e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#REF!</v>
      </c>
      <c r="I84" s="303" t="e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#REF!</v>
      </c>
      <c r="J84" s="304" t="e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#REF!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2" t="e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#REF!</v>
      </c>
      <c r="I85" s="303" t="e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#REF!</v>
      </c>
      <c r="J85" s="304" t="e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#REF!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2" t="e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#REF!</v>
      </c>
      <c r="I86" s="303" t="e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#REF!</v>
      </c>
      <c r="J86" s="304" t="e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#REF!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2" t="e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#REF!</v>
      </c>
      <c r="I87" s="303" t="e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#REF!</v>
      </c>
      <c r="J87" s="304" t="e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#REF!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2" t="e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#REF!</v>
      </c>
      <c r="I88" s="303" t="e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#REF!</v>
      </c>
      <c r="J88" s="304" t="e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#REF!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2" t="e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#REF!</v>
      </c>
      <c r="I89" s="303" t="e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#REF!</v>
      </c>
      <c r="J89" s="304" t="e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#REF!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2" t="e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#REF!</v>
      </c>
      <c r="I90" s="303" t="e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#REF!</v>
      </c>
      <c r="J90" s="304" t="e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#REF!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2" t="e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#REF!</v>
      </c>
      <c r="I91" s="303" t="e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#REF!</v>
      </c>
      <c r="J91" s="304" t="e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#REF!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2" t="e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#REF!</v>
      </c>
      <c r="I92" s="303" t="e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#REF!</v>
      </c>
      <c r="J92" s="304" t="e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#REF!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2" t="e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#REF!</v>
      </c>
      <c r="I93" s="303" t="e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#REF!</v>
      </c>
      <c r="J93" s="304" t="e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#REF!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2" t="e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#REF!</v>
      </c>
      <c r="I94" s="303" t="e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#REF!</v>
      </c>
      <c r="J94" s="304" t="e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#REF!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2" t="e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#REF!</v>
      </c>
      <c r="I95" s="303" t="e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#REF!</v>
      </c>
      <c r="J95" s="304" t="e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#REF!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2" t="e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#REF!</v>
      </c>
      <c r="I96" s="303" t="e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#REF!</v>
      </c>
      <c r="J96" s="304" t="e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#REF!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2" t="e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#REF!</v>
      </c>
      <c r="I97" s="303" t="e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#REF!</v>
      </c>
      <c r="J97" s="304" t="e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#REF!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2" t="e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#REF!</v>
      </c>
      <c r="I98" s="303" t="e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#REF!</v>
      </c>
      <c r="J98" s="304" t="e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#REF!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2" t="e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#REF!</v>
      </c>
      <c r="I99" s="303" t="e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#REF!</v>
      </c>
      <c r="J99" s="304" t="e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#REF!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2" t="e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#REF!</v>
      </c>
      <c r="I100" s="303" t="e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#REF!</v>
      </c>
      <c r="J100" s="304" t="e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#REF!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2" t="e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#REF!</v>
      </c>
      <c r="I101" s="303" t="e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#REF!</v>
      </c>
      <c r="J101" s="304" t="e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#REF!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2" t="e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#REF!</v>
      </c>
      <c r="I102" s="303" t="e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#REF!</v>
      </c>
      <c r="J102" s="304" t="e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#REF!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2" t="e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#REF!</v>
      </c>
      <c r="I103" s="303" t="e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#REF!</v>
      </c>
      <c r="J103" s="304" t="e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#REF!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2" t="e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#REF!</v>
      </c>
      <c r="I104" s="303" t="e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#REF!</v>
      </c>
      <c r="J104" s="304" t="e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#REF!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2" t="e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#REF!</v>
      </c>
      <c r="I105" s="303" t="e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#REF!</v>
      </c>
      <c r="J105" s="304" t="e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#REF!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2" t="e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#REF!</v>
      </c>
      <c r="I106" s="303" t="e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#REF!</v>
      </c>
      <c r="J106" s="304" t="e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#REF!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2" t="e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#REF!</v>
      </c>
      <c r="I107" s="303" t="e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#REF!</v>
      </c>
      <c r="J107" s="304" t="e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#REF!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2" t="e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#REF!</v>
      </c>
      <c r="I108" s="303" t="e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#REF!</v>
      </c>
      <c r="J108" s="304" t="e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#REF!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2" t="e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#REF!</v>
      </c>
      <c r="I109" s="303" t="e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#REF!</v>
      </c>
      <c r="J109" s="304" t="e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#REF!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2" t="e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#REF!</v>
      </c>
      <c r="I110" s="303" t="e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#REF!</v>
      </c>
      <c r="J110" s="304" t="e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#REF!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2" t="e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#REF!</v>
      </c>
      <c r="I111" s="303" t="e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#REF!</v>
      </c>
      <c r="J111" s="304" t="e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#REF!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2" t="e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#REF!</v>
      </c>
      <c r="I112" s="303" t="e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#REF!</v>
      </c>
      <c r="J112" s="304" t="e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#REF!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2" t="e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#REF!</v>
      </c>
      <c r="I113" s="303" t="e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#REF!</v>
      </c>
      <c r="J113" s="304" t="e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#REF!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2" t="e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#REF!</v>
      </c>
      <c r="I114" s="303" t="e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#REF!</v>
      </c>
      <c r="J114" s="304" t="e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#REF!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2" t="e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#REF!</v>
      </c>
      <c r="I115" s="303" t="e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#REF!</v>
      </c>
      <c r="J115" s="304" t="e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#REF!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2" t="e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#REF!</v>
      </c>
      <c r="I116" s="303" t="e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#REF!</v>
      </c>
      <c r="J116" s="304" t="e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#REF!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2" t="e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#REF!</v>
      </c>
      <c r="I117" s="303" t="e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#REF!</v>
      </c>
      <c r="J117" s="304" t="e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#REF!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2" t="e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#REF!</v>
      </c>
      <c r="I118" s="303" t="e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#REF!</v>
      </c>
      <c r="J118" s="304" t="e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#REF!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2" t="e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#REF!</v>
      </c>
      <c r="I119" s="303" t="e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#REF!</v>
      </c>
      <c r="J119" s="304" t="e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#REF!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2" t="e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#REF!</v>
      </c>
      <c r="I120" s="303" t="e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#REF!</v>
      </c>
      <c r="J120" s="304" t="e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#REF!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2" t="e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#REF!</v>
      </c>
      <c r="I121" s="303" t="e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#REF!</v>
      </c>
      <c r="J121" s="304" t="e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#REF!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2" t="e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#REF!</v>
      </c>
      <c r="I122" s="303" t="e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#REF!</v>
      </c>
      <c r="J122" s="304" t="e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#REF!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2" t="e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#REF!</v>
      </c>
      <c r="I123" s="303" t="e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#REF!</v>
      </c>
      <c r="J123" s="304" t="e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#REF!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2" t="e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#REF!</v>
      </c>
      <c r="I124" s="303" t="e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#REF!</v>
      </c>
      <c r="J124" s="304" t="e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#REF!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2" t="e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#REF!</v>
      </c>
      <c r="I125" s="303" t="e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#REF!</v>
      </c>
      <c r="J125" s="304" t="e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#REF!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2" t="e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#REF!</v>
      </c>
      <c r="I126" s="303" t="e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#REF!</v>
      </c>
      <c r="J126" s="304" t="e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#REF!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2" t="e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#REF!</v>
      </c>
      <c r="I127" s="303" t="e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#REF!</v>
      </c>
      <c r="J127" s="304" t="e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#REF!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2" t="e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#REF!</v>
      </c>
      <c r="I128" s="303" t="e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#REF!</v>
      </c>
      <c r="J128" s="304" t="e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#REF!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2" t="e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#REF!</v>
      </c>
      <c r="I129" s="303" t="e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#REF!</v>
      </c>
      <c r="J129" s="304" t="e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#REF!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2" t="e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#REF!</v>
      </c>
      <c r="I130" s="303" t="e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#REF!</v>
      </c>
      <c r="J130" s="304" t="e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#REF!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2" t="e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#REF!</v>
      </c>
      <c r="I131" s="303" t="e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#REF!</v>
      </c>
      <c r="J131" s="304" t="e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#REF!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2" t="e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#REF!</v>
      </c>
      <c r="I132" s="303" t="e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#REF!</v>
      </c>
      <c r="J132" s="304" t="e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#REF!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2" t="e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#REF!</v>
      </c>
      <c r="I133" s="303" t="e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#REF!</v>
      </c>
      <c r="J133" s="304" t="e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#REF!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2" t="e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#REF!</v>
      </c>
      <c r="I134" s="303" t="e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#REF!</v>
      </c>
      <c r="J134" s="304" t="e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#REF!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2" t="e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#REF!</v>
      </c>
      <c r="I135" s="303" t="e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#REF!</v>
      </c>
      <c r="J135" s="304" t="e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#REF!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2" t="e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#REF!</v>
      </c>
      <c r="I136" s="303" t="e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#REF!</v>
      </c>
      <c r="J136" s="304" t="e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#REF!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2" t="e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#REF!</v>
      </c>
      <c r="I137" s="303" t="e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#REF!</v>
      </c>
      <c r="J137" s="304" t="e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#REF!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2" t="e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#REF!</v>
      </c>
      <c r="I138" s="303" t="e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#REF!</v>
      </c>
      <c r="J138" s="304" t="e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#REF!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2" t="e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#REF!</v>
      </c>
      <c r="I139" s="303" t="e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#REF!</v>
      </c>
      <c r="J139" s="304" t="e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#REF!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2" t="e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#REF!</v>
      </c>
      <c r="I140" s="303" t="e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#REF!</v>
      </c>
      <c r="J140" s="304" t="e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#REF!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2" t="e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#REF!</v>
      </c>
      <c r="I141" s="303" t="e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#REF!</v>
      </c>
      <c r="J141" s="304" t="e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#REF!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2" t="e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#REF!</v>
      </c>
      <c r="I142" s="303" t="e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#REF!</v>
      </c>
      <c r="J142" s="304" t="e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#REF!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2" t="e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#REF!</v>
      </c>
      <c r="I143" s="303" t="e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#REF!</v>
      </c>
      <c r="J143" s="304" t="e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#REF!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2" t="e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#REF!</v>
      </c>
      <c r="I144" s="303" t="e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#REF!</v>
      </c>
      <c r="J144" s="304" t="e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#REF!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2" t="e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#REF!</v>
      </c>
      <c r="I145" s="303" t="e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#REF!</v>
      </c>
      <c r="J145" s="304" t="e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#REF!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2" t="e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#REF!</v>
      </c>
      <c r="I146" s="303" t="e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#REF!</v>
      </c>
      <c r="J146" s="304" t="e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#REF!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2" t="e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#REF!</v>
      </c>
      <c r="I147" s="303" t="e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#REF!</v>
      </c>
      <c r="J147" s="304" t="e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#REF!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2" t="e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#REF!</v>
      </c>
      <c r="I148" s="303" t="e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#REF!</v>
      </c>
      <c r="J148" s="304" t="e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#REF!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2" t="e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#REF!</v>
      </c>
      <c r="I149" s="303" t="e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#REF!</v>
      </c>
      <c r="J149" s="304" t="e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#REF!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2" t="e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#REF!</v>
      </c>
      <c r="I150" s="303" t="e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#REF!</v>
      </c>
      <c r="J150" s="304" t="e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#REF!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2" t="e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#REF!</v>
      </c>
      <c r="I151" s="303" t="e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#REF!</v>
      </c>
      <c r="J151" s="304" t="e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#REF!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2" t="e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#REF!</v>
      </c>
      <c r="I152" s="303" t="e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#REF!</v>
      </c>
      <c r="J152" s="304" t="e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#REF!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2" t="e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#REF!</v>
      </c>
      <c r="I153" s="303" t="e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#REF!</v>
      </c>
      <c r="J153" s="304" t="e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#REF!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2" t="e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#REF!</v>
      </c>
      <c r="I154" s="303" t="e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#REF!</v>
      </c>
      <c r="J154" s="304" t="e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#REF!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2" t="e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#REF!</v>
      </c>
      <c r="I155" s="303" t="e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#REF!</v>
      </c>
      <c r="J155" s="304" t="e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#REF!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2" t="e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#REF!</v>
      </c>
      <c r="I156" s="303" t="e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#REF!</v>
      </c>
      <c r="J156" s="304" t="e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#REF!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2" t="e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#REF!</v>
      </c>
      <c r="I157" s="303" t="e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#REF!</v>
      </c>
      <c r="J157" s="304" t="e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#REF!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2" t="e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#REF!</v>
      </c>
      <c r="I158" s="303" t="e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#REF!</v>
      </c>
      <c r="J158" s="304" t="e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#REF!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2" t="e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#REF!</v>
      </c>
      <c r="I159" s="303" t="e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#REF!</v>
      </c>
      <c r="J159" s="304" t="e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#REF!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2" t="e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#REF!</v>
      </c>
      <c r="I160" s="303" t="e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#REF!</v>
      </c>
      <c r="J160" s="304" t="e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#REF!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2" t="e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#REF!</v>
      </c>
      <c r="I161" s="303" t="e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#REF!</v>
      </c>
      <c r="J161" s="304" t="e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#REF!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2" t="e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#REF!</v>
      </c>
      <c r="I162" s="303" t="e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#REF!</v>
      </c>
      <c r="J162" s="304" t="e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#REF!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2" t="e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#REF!</v>
      </c>
      <c r="I163" s="303" t="e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#REF!</v>
      </c>
      <c r="J163" s="304" t="e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#REF!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2" t="e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#REF!</v>
      </c>
      <c r="I164" s="303" t="e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#REF!</v>
      </c>
      <c r="J164" s="304" t="e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#REF!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2" t="e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#REF!</v>
      </c>
      <c r="I165" s="303" t="e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#REF!</v>
      </c>
      <c r="J165" s="304" t="e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#REF!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2" t="e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#REF!</v>
      </c>
      <c r="I166" s="303" t="e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#REF!</v>
      </c>
      <c r="J166" s="304" t="e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#REF!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2" t="e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#REF!</v>
      </c>
      <c r="I167" s="303" t="e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#REF!</v>
      </c>
      <c r="J167" s="304" t="e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#REF!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2" t="e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#REF!</v>
      </c>
      <c r="I168" s="303" t="e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#REF!</v>
      </c>
      <c r="J168" s="304" t="e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#REF!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2" t="e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#REF!</v>
      </c>
      <c r="I169" s="303" t="e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#REF!</v>
      </c>
      <c r="J169" s="304" t="e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#REF!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2" t="e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#REF!</v>
      </c>
      <c r="I170" s="303" t="e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#REF!</v>
      </c>
      <c r="J170" s="304" t="e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#REF!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2" t="e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#REF!</v>
      </c>
      <c r="I171" s="303" t="e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#REF!</v>
      </c>
      <c r="J171" s="304" t="e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#REF!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2" t="e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#REF!</v>
      </c>
      <c r="I172" s="303" t="e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#REF!</v>
      </c>
      <c r="J172" s="304" t="e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#REF!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2" t="e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#REF!</v>
      </c>
      <c r="I173" s="303" t="e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#REF!</v>
      </c>
      <c r="J173" s="304" t="e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#REF!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2" t="e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#REF!</v>
      </c>
      <c r="I174" s="303" t="e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#REF!</v>
      </c>
      <c r="J174" s="304" t="e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#REF!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2" t="e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#REF!</v>
      </c>
      <c r="I175" s="303" t="e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#REF!</v>
      </c>
      <c r="J175" s="304" t="e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#REF!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2" t="e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#REF!</v>
      </c>
      <c r="I176" s="303" t="e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#REF!</v>
      </c>
      <c r="J176" s="304" t="e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#REF!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2" t="e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#REF!</v>
      </c>
      <c r="I177" s="303" t="e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#REF!</v>
      </c>
      <c r="J177" s="304" t="e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#REF!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2" t="e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#REF!</v>
      </c>
      <c r="I178" s="303" t="e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#REF!</v>
      </c>
      <c r="J178" s="304" t="e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#REF!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2" t="e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#REF!</v>
      </c>
      <c r="I179" s="303" t="e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#REF!</v>
      </c>
      <c r="J179" s="304" t="e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#REF!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2" t="e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#REF!</v>
      </c>
      <c r="I180" s="303" t="e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#REF!</v>
      </c>
      <c r="J180" s="304" t="e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#REF!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2" t="e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#REF!</v>
      </c>
      <c r="I181" s="303" t="e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#REF!</v>
      </c>
      <c r="J181" s="304" t="e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#REF!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2" t="e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#REF!</v>
      </c>
      <c r="I182" s="303" t="e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#REF!</v>
      </c>
      <c r="J182" s="304" t="e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#REF!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2" t="e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#REF!</v>
      </c>
      <c r="I183" s="303" t="e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#REF!</v>
      </c>
      <c r="J183" s="304" t="e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#REF!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2" t="e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#REF!</v>
      </c>
      <c r="I184" s="303" t="e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#REF!</v>
      </c>
      <c r="J184" s="304" t="e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#REF!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2" t="e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#REF!</v>
      </c>
      <c r="I185" s="303" t="e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#REF!</v>
      </c>
      <c r="J185" s="304" t="e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#REF!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2" t="e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#REF!</v>
      </c>
      <c r="I186" s="303" t="e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#REF!</v>
      </c>
      <c r="J186" s="304" t="e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#REF!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2" t="e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#REF!</v>
      </c>
      <c r="I187" s="303" t="e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#REF!</v>
      </c>
      <c r="J187" s="304" t="e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#REF!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2" t="e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#REF!</v>
      </c>
      <c r="I188" s="303" t="e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#REF!</v>
      </c>
      <c r="J188" s="304" t="e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#REF!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2" t="e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#REF!</v>
      </c>
      <c r="I189" s="303" t="e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#REF!</v>
      </c>
      <c r="J189" s="304" t="e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#REF!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2" t="e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#REF!</v>
      </c>
      <c r="I190" s="303" t="e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#REF!</v>
      </c>
      <c r="J190" s="304" t="e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#REF!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2" t="e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#REF!</v>
      </c>
      <c r="I191" s="303" t="e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#REF!</v>
      </c>
      <c r="J191" s="304" t="e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#REF!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2" t="e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#REF!</v>
      </c>
      <c r="I192" s="303" t="e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#REF!</v>
      </c>
      <c r="J192" s="304" t="e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#REF!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2" t="e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#REF!</v>
      </c>
      <c r="I193" s="303" t="e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#REF!</v>
      </c>
      <c r="J193" s="304" t="e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#REF!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2" t="e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#REF!</v>
      </c>
      <c r="I194" s="303" t="e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#REF!</v>
      </c>
      <c r="J194" s="304" t="e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#REF!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2" t="e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#REF!</v>
      </c>
      <c r="I195" s="303" t="e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#REF!</v>
      </c>
      <c r="J195" s="304" t="e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#REF!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2" t="e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#REF!</v>
      </c>
      <c r="I196" s="303" t="e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#REF!</v>
      </c>
      <c r="J196" s="304" t="e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#REF!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2" t="e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#REF!</v>
      </c>
      <c r="I197" s="303" t="e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#REF!</v>
      </c>
      <c r="J197" s="304" t="e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#REF!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2" t="e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#REF!</v>
      </c>
      <c r="I198" s="303" t="e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#REF!</v>
      </c>
      <c r="J198" s="304" t="e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#REF!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2" t="e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#REF!</v>
      </c>
      <c r="I199" s="303" t="e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#REF!</v>
      </c>
      <c r="J199" s="304" t="e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#REF!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2" t="e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#REF!</v>
      </c>
      <c r="I200" s="303" t="e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#REF!</v>
      </c>
      <c r="J200" s="304" t="e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#REF!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2" t="e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#REF!</v>
      </c>
      <c r="I201" s="303" t="e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#REF!</v>
      </c>
      <c r="J201" s="304" t="e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#REF!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2" t="e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#REF!</v>
      </c>
      <c r="I202" s="303" t="e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#REF!</v>
      </c>
      <c r="J202" s="304" t="e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#REF!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2" t="e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#REF!</v>
      </c>
      <c r="I203" s="303" t="e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#REF!</v>
      </c>
      <c r="J203" s="304" t="e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#REF!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2" t="e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#REF!</v>
      </c>
      <c r="I204" s="303" t="e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#REF!</v>
      </c>
      <c r="J204" s="304" t="e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#REF!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2" t="e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#REF!</v>
      </c>
      <c r="I205" s="303" t="e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#REF!</v>
      </c>
      <c r="J205" s="304" t="e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#REF!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2" t="e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#REF!</v>
      </c>
      <c r="I206" s="303" t="e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#REF!</v>
      </c>
      <c r="J206" s="304" t="e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#REF!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2" t="e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#REF!</v>
      </c>
      <c r="I207" s="303" t="e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#REF!</v>
      </c>
      <c r="J207" s="304" t="e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#REF!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2" t="e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#REF!</v>
      </c>
      <c r="I208" s="303" t="e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#REF!</v>
      </c>
      <c r="J208" s="304" t="e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#REF!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2" t="e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#REF!</v>
      </c>
      <c r="I209" s="303" t="e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#REF!</v>
      </c>
      <c r="J209" s="304" t="e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#REF!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2" t="e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#REF!</v>
      </c>
      <c r="I210" s="303" t="e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#REF!</v>
      </c>
      <c r="J210" s="304" t="e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#REF!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2" t="e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#REF!</v>
      </c>
      <c r="I211" s="303" t="e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#REF!</v>
      </c>
      <c r="J211" s="304" t="e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#REF!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2" t="e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#REF!</v>
      </c>
      <c r="I212" s="303" t="e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#REF!</v>
      </c>
      <c r="J212" s="304" t="e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#REF!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2" t="e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#REF!</v>
      </c>
      <c r="I213" s="303" t="e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#REF!</v>
      </c>
      <c r="J213" s="304" t="e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#REF!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2" t="e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#REF!</v>
      </c>
      <c r="I214" s="303" t="e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#REF!</v>
      </c>
      <c r="J214" s="304" t="e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#REF!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2" t="e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#REF!</v>
      </c>
      <c r="I215" s="303" t="e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#REF!</v>
      </c>
      <c r="J215" s="304" t="e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#REF!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2" t="e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#REF!</v>
      </c>
      <c r="I216" s="303" t="e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#REF!</v>
      </c>
      <c r="J216" s="304" t="e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#REF!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2" t="e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#REF!</v>
      </c>
      <c r="I217" s="303" t="e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#REF!</v>
      </c>
      <c r="J217" s="304" t="e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#REF!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2" t="e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#REF!</v>
      </c>
      <c r="I218" s="303" t="e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#REF!</v>
      </c>
      <c r="J218" s="304" t="e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#REF!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2" t="e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#REF!</v>
      </c>
      <c r="I219" s="303" t="e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#REF!</v>
      </c>
      <c r="J219" s="304" t="e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#REF!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2" t="e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#REF!</v>
      </c>
      <c r="I220" s="303" t="e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#REF!</v>
      </c>
      <c r="J220" s="304" t="e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#REF!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2" t="e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#REF!</v>
      </c>
      <c r="I221" s="303" t="e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#REF!</v>
      </c>
      <c r="J221" s="304" t="e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#REF!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2" t="e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#REF!</v>
      </c>
      <c r="I222" s="303" t="e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#REF!</v>
      </c>
      <c r="J222" s="304" t="e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#REF!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2" t="e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#REF!</v>
      </c>
      <c r="I223" s="303" t="e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#REF!</v>
      </c>
      <c r="J223" s="304" t="e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#REF!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2" t="e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#REF!</v>
      </c>
      <c r="I224" s="303" t="e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#REF!</v>
      </c>
      <c r="J224" s="304" t="e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#REF!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2" t="e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#REF!</v>
      </c>
      <c r="I225" s="303" t="e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#REF!</v>
      </c>
      <c r="J225" s="304" t="e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#REF!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2" t="e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#REF!</v>
      </c>
      <c r="I226" s="303" t="e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#REF!</v>
      </c>
      <c r="J226" s="304" t="e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#REF!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2" t="e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#REF!</v>
      </c>
      <c r="I227" s="303" t="e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#REF!</v>
      </c>
      <c r="J227" s="304" t="e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#REF!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2" t="e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#REF!</v>
      </c>
      <c r="I228" s="303" t="e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#REF!</v>
      </c>
      <c r="J228" s="304" t="e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#REF!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2" t="e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#REF!</v>
      </c>
      <c r="I229" s="303" t="e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#REF!</v>
      </c>
      <c r="J229" s="304" t="e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#REF!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2" t="e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#REF!</v>
      </c>
      <c r="I230" s="303" t="e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#REF!</v>
      </c>
      <c r="J230" s="304" t="e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#REF!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2" t="e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#REF!</v>
      </c>
      <c r="I231" s="303" t="e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#REF!</v>
      </c>
      <c r="J231" s="304" t="e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#REF!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2" t="e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#REF!</v>
      </c>
      <c r="I232" s="303" t="e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#REF!</v>
      </c>
      <c r="J232" s="304" t="e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#REF!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2" t="e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#REF!</v>
      </c>
      <c r="I233" s="303" t="e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#REF!</v>
      </c>
      <c r="J233" s="304" t="e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#REF!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2" t="e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#REF!</v>
      </c>
      <c r="I234" s="303" t="e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#REF!</v>
      </c>
      <c r="J234" s="304" t="e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#REF!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2" t="e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#REF!</v>
      </c>
      <c r="I235" s="303" t="e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#REF!</v>
      </c>
      <c r="J235" s="304" t="e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#REF!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2" t="e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#REF!</v>
      </c>
      <c r="I236" s="303" t="e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#REF!</v>
      </c>
      <c r="J236" s="304" t="e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#REF!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2" t="e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#REF!</v>
      </c>
      <c r="I237" s="303" t="e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#REF!</v>
      </c>
      <c r="J237" s="304" t="e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#REF!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2" t="e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#REF!</v>
      </c>
      <c r="I238" s="303" t="e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#REF!</v>
      </c>
      <c r="J238" s="304" t="e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#REF!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2" t="e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#REF!</v>
      </c>
      <c r="I239" s="303" t="e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#REF!</v>
      </c>
      <c r="J239" s="304" t="e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#REF!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2" t="e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#REF!</v>
      </c>
      <c r="I240" s="303" t="e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#REF!</v>
      </c>
      <c r="J240" s="304" t="e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#REF!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2" t="e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#REF!</v>
      </c>
      <c r="I241" s="303" t="e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#REF!</v>
      </c>
      <c r="J241" s="304" t="e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#REF!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2" t="e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#REF!</v>
      </c>
      <c r="I242" s="303" t="e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#REF!</v>
      </c>
      <c r="J242" s="304" t="e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#REF!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2" t="e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#REF!</v>
      </c>
      <c r="I243" s="303" t="e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#REF!</v>
      </c>
      <c r="J243" s="304" t="e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#REF!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2" t="e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#REF!</v>
      </c>
      <c r="I244" s="303" t="e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#REF!</v>
      </c>
      <c r="J244" s="304" t="e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#REF!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2" t="e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#REF!</v>
      </c>
      <c r="I245" s="303" t="e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#REF!</v>
      </c>
      <c r="J245" s="304" t="e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#REF!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2" t="e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#REF!</v>
      </c>
      <c r="I246" s="303" t="e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#REF!</v>
      </c>
      <c r="J246" s="304" t="e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#REF!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2" t="e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#REF!</v>
      </c>
      <c r="I247" s="303" t="e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#REF!</v>
      </c>
      <c r="J247" s="304" t="e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#REF!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2" t="e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#REF!</v>
      </c>
      <c r="I248" s="303" t="e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#REF!</v>
      </c>
      <c r="J248" s="304" t="e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#REF!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2" t="e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#REF!</v>
      </c>
      <c r="I249" s="303" t="e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#REF!</v>
      </c>
      <c r="J249" s="304" t="e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#REF!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2" t="e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#REF!</v>
      </c>
      <c r="I250" s="303" t="e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#REF!</v>
      </c>
      <c r="J250" s="304" t="e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#REF!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2" t="e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#REF!</v>
      </c>
      <c r="I251" s="303" t="e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#REF!</v>
      </c>
      <c r="J251" s="304" t="e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#REF!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2" t="e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#REF!</v>
      </c>
      <c r="I252" s="303" t="e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#REF!</v>
      </c>
      <c r="J252" s="304" t="e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#REF!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2" t="e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#REF!</v>
      </c>
      <c r="I253" s="303" t="e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#REF!</v>
      </c>
      <c r="J253" s="304" t="e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#REF!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2" t="e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#REF!</v>
      </c>
      <c r="I254" s="303" t="e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#REF!</v>
      </c>
      <c r="J254" s="304" t="e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#REF!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2" t="e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#REF!</v>
      </c>
      <c r="I255" s="303" t="e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#REF!</v>
      </c>
      <c r="J255" s="304" t="e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#REF!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2" t="e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#REF!</v>
      </c>
      <c r="I256" s="303" t="e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#REF!</v>
      </c>
      <c r="J256" s="304" t="e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#REF!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2" t="e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#REF!</v>
      </c>
      <c r="I257" s="303" t="e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#REF!</v>
      </c>
      <c r="J257" s="304" t="e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#REF!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2" t="e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#REF!</v>
      </c>
      <c r="I258" s="303" t="e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#REF!</v>
      </c>
      <c r="J258" s="304" t="e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#REF!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2" t="e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#REF!</v>
      </c>
      <c r="I259" s="303" t="e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#REF!</v>
      </c>
      <c r="J259" s="304" t="e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#REF!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2" t="e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#REF!</v>
      </c>
      <c r="I260" s="303" t="e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#REF!</v>
      </c>
      <c r="J260" s="304" t="e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#REF!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2" t="e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#REF!</v>
      </c>
      <c r="I261" s="303" t="e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#REF!</v>
      </c>
      <c r="J261" s="304" t="e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#REF!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2" t="e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#REF!</v>
      </c>
      <c r="I262" s="303" t="e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#REF!</v>
      </c>
      <c r="J262" s="304" t="e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#REF!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2" t="e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#REF!</v>
      </c>
      <c r="I263" s="303" t="e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#REF!</v>
      </c>
      <c r="J263" s="304" t="e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#REF!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2" t="e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#REF!</v>
      </c>
      <c r="I264" s="303" t="e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#REF!</v>
      </c>
      <c r="J264" s="304" t="e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#REF!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2" t="e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#REF!</v>
      </c>
      <c r="I265" s="303" t="e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#REF!</v>
      </c>
      <c r="J265" s="304" t="e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#REF!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2" t="e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#REF!</v>
      </c>
      <c r="I266" s="303" t="e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#REF!</v>
      </c>
      <c r="J266" s="304" t="e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#REF!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2" t="e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#REF!</v>
      </c>
      <c r="I267" s="303" t="e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#REF!</v>
      </c>
      <c r="J267" s="304" t="e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#REF!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2" t="e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#REF!</v>
      </c>
      <c r="I268" s="303" t="e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#REF!</v>
      </c>
      <c r="J268" s="304" t="e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#REF!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2" t="e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#REF!</v>
      </c>
      <c r="I269" s="303" t="e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#REF!</v>
      </c>
      <c r="J269" s="304" t="e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#REF!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2" t="e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#REF!</v>
      </c>
      <c r="I270" s="303" t="e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#REF!</v>
      </c>
      <c r="J270" s="304" t="e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#REF!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2" t="e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#REF!</v>
      </c>
      <c r="I271" s="303" t="e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#REF!</v>
      </c>
      <c r="J271" s="304" t="e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#REF!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2" t="e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#REF!</v>
      </c>
      <c r="I272" s="303" t="e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#REF!</v>
      </c>
      <c r="J272" s="304" t="e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#REF!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2" t="e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#REF!</v>
      </c>
      <c r="I273" s="303" t="e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#REF!</v>
      </c>
      <c r="J273" s="304" t="e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#REF!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2" t="e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#REF!</v>
      </c>
      <c r="I274" s="303" t="e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#REF!</v>
      </c>
      <c r="J274" s="304" t="e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#REF!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2" t="e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#REF!</v>
      </c>
      <c r="I275" s="303" t="e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#REF!</v>
      </c>
      <c r="J275" s="304" t="e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#REF!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2" t="e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#REF!</v>
      </c>
      <c r="I276" s="303" t="e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#REF!</v>
      </c>
      <c r="J276" s="304" t="e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#REF!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2" t="e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#REF!</v>
      </c>
      <c r="I277" s="303" t="e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#REF!</v>
      </c>
      <c r="J277" s="304" t="e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#REF!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2" t="e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#REF!</v>
      </c>
      <c r="I278" s="303" t="e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#REF!</v>
      </c>
      <c r="J278" s="304" t="e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#REF!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2" t="e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#REF!</v>
      </c>
      <c r="I279" s="303" t="e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#REF!</v>
      </c>
      <c r="J279" s="304" t="e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#REF!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2" t="e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#REF!</v>
      </c>
      <c r="I280" s="303" t="e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#REF!</v>
      </c>
      <c r="J280" s="304" t="e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#REF!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2" t="e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#REF!</v>
      </c>
      <c r="I281" s="303" t="e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#REF!</v>
      </c>
      <c r="J281" s="304" t="e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#REF!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2" t="e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#REF!</v>
      </c>
      <c r="I282" s="303" t="e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#REF!</v>
      </c>
      <c r="J282" s="304" t="e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#REF!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2" t="e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#REF!</v>
      </c>
      <c r="I283" s="303" t="e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#REF!</v>
      </c>
      <c r="J283" s="304" t="e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#REF!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2" t="e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#REF!</v>
      </c>
      <c r="I284" s="303" t="e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#REF!</v>
      </c>
      <c r="J284" s="304" t="e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#REF!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2" t="e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#REF!</v>
      </c>
      <c r="I285" s="303" t="e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#REF!</v>
      </c>
      <c r="J285" s="304" t="e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#REF!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2" t="e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#REF!</v>
      </c>
      <c r="I286" s="303" t="e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#REF!</v>
      </c>
      <c r="J286" s="304" t="e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#REF!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2" t="e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#REF!</v>
      </c>
      <c r="I287" s="303" t="e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#REF!</v>
      </c>
      <c r="J287" s="304" t="e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#REF!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2" t="e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#REF!</v>
      </c>
      <c r="I288" s="303" t="e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#REF!</v>
      </c>
      <c r="J288" s="304" t="e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#REF!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2" t="e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#REF!</v>
      </c>
      <c r="I289" s="303" t="e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#REF!</v>
      </c>
      <c r="J289" s="304" t="e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#REF!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2" t="e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#REF!</v>
      </c>
      <c r="I290" s="303" t="e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#REF!</v>
      </c>
      <c r="J290" s="304" t="e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#REF!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2" t="e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#REF!</v>
      </c>
      <c r="I291" s="303" t="e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#REF!</v>
      </c>
      <c r="J291" s="304" t="e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#REF!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2" t="e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#REF!</v>
      </c>
      <c r="I292" s="303" t="e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#REF!</v>
      </c>
      <c r="J292" s="304" t="e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#REF!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2" t="e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#REF!</v>
      </c>
      <c r="I293" s="303" t="e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#REF!</v>
      </c>
      <c r="J293" s="304" t="e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#REF!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2" t="e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#REF!</v>
      </c>
      <c r="I294" s="303" t="e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#REF!</v>
      </c>
      <c r="J294" s="304" t="e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#REF!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2" t="e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#REF!</v>
      </c>
      <c r="I295" s="303" t="e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#REF!</v>
      </c>
      <c r="J295" s="304" t="e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#REF!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2" t="e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#REF!</v>
      </c>
      <c r="I296" s="303" t="e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#REF!</v>
      </c>
      <c r="J296" s="304" t="e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#REF!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2" t="e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#REF!</v>
      </c>
      <c r="I297" s="303" t="e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#REF!</v>
      </c>
      <c r="J297" s="304" t="e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#REF!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2" t="e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#REF!</v>
      </c>
      <c r="I298" s="303" t="e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#REF!</v>
      </c>
      <c r="J298" s="304" t="e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#REF!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2" t="e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#REF!</v>
      </c>
      <c r="I299" s="303" t="e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#REF!</v>
      </c>
      <c r="J299" s="304" t="e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#REF!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2" t="e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#REF!</v>
      </c>
      <c r="I300" s="303" t="e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#REF!</v>
      </c>
      <c r="J300" s="304" t="e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#REF!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2" t="e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#REF!</v>
      </c>
      <c r="I301" s="303" t="e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#REF!</v>
      </c>
      <c r="J301" s="304" t="e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#REF!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2" t="e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#REF!</v>
      </c>
      <c r="I302" s="303" t="e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#REF!</v>
      </c>
      <c r="J302" s="304" t="e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#REF!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2" t="e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#REF!</v>
      </c>
      <c r="I303" s="303" t="e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#REF!</v>
      </c>
      <c r="J303" s="304" t="e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#REF!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2" t="e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#REF!</v>
      </c>
      <c r="I304" s="303" t="e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#REF!</v>
      </c>
      <c r="J304" s="304" t="e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#REF!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2" t="e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#REF!</v>
      </c>
      <c r="I305" s="303" t="e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#REF!</v>
      </c>
      <c r="J305" s="304" t="e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#REF!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2" t="e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#REF!</v>
      </c>
      <c r="I306" s="303" t="e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#REF!</v>
      </c>
      <c r="J306" s="304" t="e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#REF!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2" t="e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#REF!</v>
      </c>
      <c r="I307" s="303" t="e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#REF!</v>
      </c>
      <c r="J307" s="304" t="e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#REF!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2" t="e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#REF!</v>
      </c>
      <c r="I308" s="303" t="e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#REF!</v>
      </c>
      <c r="J308" s="304" t="e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#REF!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2" t="e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#REF!</v>
      </c>
      <c r="I309" s="303" t="e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#REF!</v>
      </c>
      <c r="J309" s="304" t="e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#REF!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2" t="e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#REF!</v>
      </c>
      <c r="I310" s="303" t="e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#REF!</v>
      </c>
      <c r="J310" s="304" t="e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#REF!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2" t="e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#REF!</v>
      </c>
      <c r="I311" s="303" t="e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#REF!</v>
      </c>
      <c r="J311" s="304" t="e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#REF!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2" t="e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#REF!</v>
      </c>
      <c r="I312" s="303" t="e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#REF!</v>
      </c>
      <c r="J312" s="304" t="e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#REF!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2" t="e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#REF!</v>
      </c>
      <c r="I313" s="303" t="e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#REF!</v>
      </c>
      <c r="J313" s="304" t="e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#REF!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2" t="e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#REF!</v>
      </c>
      <c r="I314" s="303" t="e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#REF!</v>
      </c>
      <c r="J314" s="304" t="e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#REF!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2" t="e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#REF!</v>
      </c>
      <c r="I315" s="303" t="e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#REF!</v>
      </c>
      <c r="J315" s="304" t="e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#REF!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2" t="e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#REF!</v>
      </c>
      <c r="I316" s="303" t="e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#REF!</v>
      </c>
      <c r="J316" s="304" t="e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#REF!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2" t="e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#REF!</v>
      </c>
      <c r="I317" s="303" t="e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#REF!</v>
      </c>
      <c r="J317" s="304" t="e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#REF!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2" t="e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#REF!</v>
      </c>
      <c r="I318" s="303" t="e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#REF!</v>
      </c>
      <c r="J318" s="304" t="e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#REF!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2" t="e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#REF!</v>
      </c>
      <c r="I319" s="303" t="e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#REF!</v>
      </c>
      <c r="J319" s="304" t="e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#REF!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2" t="e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#REF!</v>
      </c>
      <c r="I320" s="303" t="e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#REF!</v>
      </c>
      <c r="J320" s="304" t="e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#REF!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2" t="e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#REF!</v>
      </c>
      <c r="I321" s="303" t="e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#REF!</v>
      </c>
      <c r="J321" s="304" t="e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#REF!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2" t="e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#REF!</v>
      </c>
      <c r="I322" s="303" t="e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#REF!</v>
      </c>
      <c r="J322" s="304" t="e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#REF!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2" t="e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#REF!</v>
      </c>
      <c r="I323" s="303" t="e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#REF!</v>
      </c>
      <c r="J323" s="304" t="e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#REF!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2" t="e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#REF!</v>
      </c>
      <c r="I324" s="303" t="e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#REF!</v>
      </c>
      <c r="J324" s="304" t="e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#REF!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2" t="e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#REF!</v>
      </c>
      <c r="I325" s="303" t="e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#REF!</v>
      </c>
      <c r="J325" s="304" t="e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#REF!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2" t="e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#REF!</v>
      </c>
      <c r="I326" s="303" t="e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#REF!</v>
      </c>
      <c r="J326" s="304" t="e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#REF!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2" t="e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#REF!</v>
      </c>
      <c r="I327" s="303" t="e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#REF!</v>
      </c>
      <c r="J327" s="304" t="e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#REF!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2" t="e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#REF!</v>
      </c>
      <c r="I328" s="303" t="e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#REF!</v>
      </c>
      <c r="J328" s="304" t="e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#REF!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2" t="e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#REF!</v>
      </c>
      <c r="I329" s="303" t="e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#REF!</v>
      </c>
      <c r="J329" s="304" t="e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#REF!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2" t="e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#REF!</v>
      </c>
      <c r="I330" s="303" t="e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#REF!</v>
      </c>
      <c r="J330" s="304" t="e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#REF!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2" t="e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#REF!</v>
      </c>
      <c r="I331" s="303" t="e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#REF!</v>
      </c>
      <c r="J331" s="304" t="e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#REF!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2" t="e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#REF!</v>
      </c>
      <c r="I332" s="303" t="e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#REF!</v>
      </c>
      <c r="J332" s="304" t="e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#REF!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2" t="e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#REF!</v>
      </c>
      <c r="I333" s="303" t="e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#REF!</v>
      </c>
      <c r="J333" s="304" t="e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#REF!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2" t="e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#REF!</v>
      </c>
      <c r="I334" s="303" t="e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#REF!</v>
      </c>
      <c r="J334" s="304" t="e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#REF!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2" t="e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#REF!</v>
      </c>
      <c r="I335" s="303" t="e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#REF!</v>
      </c>
      <c r="J335" s="304" t="e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#REF!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2" t="e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#REF!</v>
      </c>
      <c r="I336" s="303" t="e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#REF!</v>
      </c>
      <c r="J336" s="304" t="e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#REF!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2" t="e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#REF!</v>
      </c>
      <c r="I337" s="303" t="e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#REF!</v>
      </c>
      <c r="J337" s="304" t="e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#REF!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2" t="e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#REF!</v>
      </c>
      <c r="I338" s="303" t="e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#REF!</v>
      </c>
      <c r="J338" s="304" t="e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#REF!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2" t="e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#REF!</v>
      </c>
      <c r="I339" s="303" t="e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#REF!</v>
      </c>
      <c r="J339" s="304" t="e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#REF!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2" t="e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#REF!</v>
      </c>
      <c r="I340" s="303" t="e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#REF!</v>
      </c>
      <c r="J340" s="304" t="e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#REF!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2" t="e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#REF!</v>
      </c>
      <c r="I341" s="303" t="e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#REF!</v>
      </c>
      <c r="J341" s="304" t="e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#REF!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2" t="e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#REF!</v>
      </c>
      <c r="I342" s="303" t="e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#REF!</v>
      </c>
      <c r="J342" s="304" t="e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#REF!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2" t="e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#REF!</v>
      </c>
      <c r="I343" s="303" t="e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#REF!</v>
      </c>
      <c r="J343" s="304" t="e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#REF!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2" t="e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#REF!</v>
      </c>
      <c r="I344" s="303" t="e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#REF!</v>
      </c>
      <c r="J344" s="304" t="e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#REF!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2" t="e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#REF!</v>
      </c>
      <c r="I345" s="303" t="e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#REF!</v>
      </c>
      <c r="J345" s="304" t="e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#REF!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2" t="e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#REF!</v>
      </c>
      <c r="I346" s="303" t="e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#REF!</v>
      </c>
      <c r="J346" s="304" t="e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#REF!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2" t="e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#REF!</v>
      </c>
      <c r="I347" s="303" t="e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#REF!</v>
      </c>
      <c r="J347" s="304" t="e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#REF!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2" t="e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#REF!</v>
      </c>
      <c r="I348" s="303" t="e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#REF!</v>
      </c>
      <c r="J348" s="304" t="e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#REF!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2" t="e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#REF!</v>
      </c>
      <c r="I349" s="303" t="e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#REF!</v>
      </c>
      <c r="J349" s="304" t="e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#REF!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2" t="e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#REF!</v>
      </c>
      <c r="I350" s="303" t="e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#REF!</v>
      </c>
      <c r="J350" s="304" t="e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#REF!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2" t="e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#REF!</v>
      </c>
      <c r="I351" s="303" t="e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#REF!</v>
      </c>
      <c r="J351" s="304" t="e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#REF!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2" t="e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#REF!</v>
      </c>
      <c r="I352" s="303" t="e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#REF!</v>
      </c>
      <c r="J352" s="304" t="e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#REF!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2" t="e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#REF!</v>
      </c>
      <c r="I353" s="303" t="e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#REF!</v>
      </c>
      <c r="J353" s="304" t="e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#REF!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2" t="e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#REF!</v>
      </c>
      <c r="I354" s="303" t="e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#REF!</v>
      </c>
      <c r="J354" s="304" t="e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#REF!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2" t="e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#REF!</v>
      </c>
      <c r="I355" s="303" t="e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#REF!</v>
      </c>
      <c r="J355" s="304" t="e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#REF!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2" t="e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#REF!</v>
      </c>
      <c r="I356" s="303" t="e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#REF!</v>
      </c>
      <c r="J356" s="304" t="e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#REF!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2" t="e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#REF!</v>
      </c>
      <c r="I357" s="303" t="e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#REF!</v>
      </c>
      <c r="J357" s="304" t="e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#REF!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2" t="e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#REF!</v>
      </c>
      <c r="I358" s="303" t="e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#REF!</v>
      </c>
      <c r="J358" s="304" t="e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#REF!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2" t="e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#REF!</v>
      </c>
      <c r="I359" s="303" t="e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#REF!</v>
      </c>
      <c r="J359" s="304" t="e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#REF!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2" t="e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#REF!</v>
      </c>
      <c r="I360" s="303" t="e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#REF!</v>
      </c>
      <c r="J360" s="304" t="e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#REF!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2" t="e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#REF!</v>
      </c>
      <c r="I361" s="303" t="e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#REF!</v>
      </c>
      <c r="J361" s="304" t="e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#REF!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2" t="e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#REF!</v>
      </c>
      <c r="I362" s="303" t="e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#REF!</v>
      </c>
      <c r="J362" s="304" t="e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#REF!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2" t="e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#REF!</v>
      </c>
      <c r="I363" s="303" t="e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#REF!</v>
      </c>
      <c r="J363" s="304" t="e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#REF!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2" t="e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#REF!</v>
      </c>
      <c r="I364" s="303" t="e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#REF!</v>
      </c>
      <c r="J364" s="304" t="e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#REF!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2" t="e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#REF!</v>
      </c>
      <c r="I365" s="303" t="e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#REF!</v>
      </c>
      <c r="J365" s="304" t="e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#REF!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2" t="e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#REF!</v>
      </c>
      <c r="I366" s="303" t="e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#REF!</v>
      </c>
      <c r="J366" s="304" t="e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#REF!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2" t="e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#REF!</v>
      </c>
      <c r="I367" s="303" t="e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#REF!</v>
      </c>
      <c r="J367" s="304" t="e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#REF!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2" t="e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#REF!</v>
      </c>
      <c r="I368" s="303" t="e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#REF!</v>
      </c>
      <c r="J368" s="304" t="e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#REF!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2" t="e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#REF!</v>
      </c>
      <c r="I369" s="303" t="e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#REF!</v>
      </c>
      <c r="J369" s="304" t="e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#REF!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2" t="e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#REF!</v>
      </c>
      <c r="I370" s="303" t="e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#REF!</v>
      </c>
      <c r="J370" s="304" t="e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#REF!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2" t="e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#REF!</v>
      </c>
      <c r="I371" s="303" t="e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#REF!</v>
      </c>
      <c r="J371" s="304" t="e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#REF!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2" t="e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#REF!</v>
      </c>
      <c r="I372" s="303" t="e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#REF!</v>
      </c>
      <c r="J372" s="304" t="e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#REF!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2" t="e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#REF!</v>
      </c>
      <c r="I373" s="303" t="e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#REF!</v>
      </c>
      <c r="J373" s="304" t="e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#REF!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2" t="e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#REF!</v>
      </c>
      <c r="I374" s="303" t="e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#REF!</v>
      </c>
      <c r="J374" s="304" t="e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#REF!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2" t="e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#REF!</v>
      </c>
      <c r="I375" s="303" t="e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#REF!</v>
      </c>
      <c r="J375" s="304" t="e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#REF!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2" t="e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#REF!</v>
      </c>
      <c r="I376" s="303" t="e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#REF!</v>
      </c>
      <c r="J376" s="304" t="e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#REF!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2" t="e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#REF!</v>
      </c>
      <c r="I377" s="303" t="e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#REF!</v>
      </c>
      <c r="J377" s="304" t="e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#REF!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2" t="e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#REF!</v>
      </c>
      <c r="I378" s="303" t="e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#REF!</v>
      </c>
      <c r="J378" s="304" t="e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#REF!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2" t="e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#REF!</v>
      </c>
      <c r="I379" s="303" t="e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#REF!</v>
      </c>
      <c r="J379" s="304" t="e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#REF!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2" t="e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#REF!</v>
      </c>
      <c r="I380" s="303" t="e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#REF!</v>
      </c>
      <c r="J380" s="304" t="e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#REF!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2" t="e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#REF!</v>
      </c>
      <c r="I381" s="303" t="e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#REF!</v>
      </c>
      <c r="J381" s="304" t="e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#REF!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2" t="e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#REF!</v>
      </c>
      <c r="I382" s="303" t="e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#REF!</v>
      </c>
      <c r="J382" s="304" t="e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#REF!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2" t="e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#REF!</v>
      </c>
      <c r="I383" s="303" t="e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#REF!</v>
      </c>
      <c r="J383" s="304" t="e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#REF!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2" t="e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#REF!</v>
      </c>
      <c r="I384" s="303" t="e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#REF!</v>
      </c>
      <c r="J384" s="304" t="e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#REF!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2" t="e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#REF!</v>
      </c>
      <c r="I385" s="303" t="e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#REF!</v>
      </c>
      <c r="J385" s="304" t="e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#REF!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2" t="e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#REF!</v>
      </c>
      <c r="I386" s="303" t="e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#REF!</v>
      </c>
      <c r="J386" s="304" t="e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#REF!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2" t="e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#REF!</v>
      </c>
      <c r="I387" s="303" t="e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#REF!</v>
      </c>
      <c r="J387" s="304" t="e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#REF!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2" t="e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#REF!</v>
      </c>
      <c r="I388" s="303" t="e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#REF!</v>
      </c>
      <c r="J388" s="304" t="e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#REF!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2" t="e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#REF!</v>
      </c>
      <c r="I389" s="303" t="e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#REF!</v>
      </c>
      <c r="J389" s="304" t="e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#REF!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2" t="e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#REF!</v>
      </c>
      <c r="I390" s="303" t="e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#REF!</v>
      </c>
      <c r="J390" s="304" t="e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#REF!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2" t="e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#REF!</v>
      </c>
      <c r="I391" s="303" t="e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#REF!</v>
      </c>
      <c r="J391" s="304" t="e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#REF!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2" t="e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#REF!</v>
      </c>
      <c r="I392" s="303" t="e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#REF!</v>
      </c>
      <c r="J392" s="304" t="e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#REF!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2" t="e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#REF!</v>
      </c>
      <c r="I393" s="303" t="e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#REF!</v>
      </c>
      <c r="J393" s="304" t="e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#REF!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2" t="e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#REF!</v>
      </c>
      <c r="I394" s="303" t="e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#REF!</v>
      </c>
      <c r="J394" s="304" t="e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#REF!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2" t="e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#REF!</v>
      </c>
      <c r="I395" s="303" t="e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#REF!</v>
      </c>
      <c r="J395" s="304" t="e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#REF!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2" t="e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#REF!</v>
      </c>
      <c r="I396" s="303" t="e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#REF!</v>
      </c>
      <c r="J396" s="304" t="e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#REF!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2" t="e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#REF!</v>
      </c>
      <c r="I397" s="303" t="e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#REF!</v>
      </c>
      <c r="J397" s="304" t="e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#REF!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2" t="e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#REF!</v>
      </c>
      <c r="I398" s="303" t="e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#REF!</v>
      </c>
      <c r="J398" s="304" t="e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#REF!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2" t="e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#REF!</v>
      </c>
      <c r="I399" s="303" t="e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#REF!</v>
      </c>
      <c r="J399" s="304" t="e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#REF!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2" t="e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#REF!</v>
      </c>
      <c r="I400" s="303" t="e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#REF!</v>
      </c>
      <c r="J400" s="304" t="e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#REF!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2" t="e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#REF!</v>
      </c>
      <c r="I401" s="303" t="e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#REF!</v>
      </c>
      <c r="J401" s="304" t="e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#REF!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2" t="e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#REF!</v>
      </c>
      <c r="I402" s="303" t="e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#REF!</v>
      </c>
      <c r="J402" s="304" t="e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#REF!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2" t="e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#REF!</v>
      </c>
      <c r="I403" s="303" t="e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#REF!</v>
      </c>
      <c r="J403" s="304" t="e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#REF!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2" t="e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#REF!</v>
      </c>
      <c r="I404" s="303" t="e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#REF!</v>
      </c>
      <c r="J404" s="304" t="e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#REF!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2" t="e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#REF!</v>
      </c>
      <c r="I405" s="303" t="e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#REF!</v>
      </c>
      <c r="J405" s="304" t="e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#REF!</v>
      </c>
    </row>
    <row r="406" spans="1:10" s="171" customFormat="1" x14ac:dyDescent="0.2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2" t="e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#REF!</v>
      </c>
      <c r="I406" s="303" t="e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#REF!</v>
      </c>
      <c r="J406" s="304" t="e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#REF!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2" t="e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#REF!</v>
      </c>
      <c r="I407" s="303" t="e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#REF!</v>
      </c>
      <c r="J407" s="304" t="e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#REF!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2" t="e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#REF!</v>
      </c>
      <c r="I408" s="303" t="e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#REF!</v>
      </c>
      <c r="J408" s="304" t="e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#REF!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2" t="e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#REF!</v>
      </c>
      <c r="I409" s="303" t="e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#REF!</v>
      </c>
      <c r="J409" s="304" t="e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#REF!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2" t="e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#REF!</v>
      </c>
      <c r="I410" s="303" t="e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#REF!</v>
      </c>
      <c r="J410" s="304" t="e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#REF!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2" t="e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#REF!</v>
      </c>
      <c r="I411" s="303" t="e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#REF!</v>
      </c>
      <c r="J411" s="304" t="e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#REF!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2" t="e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#REF!</v>
      </c>
      <c r="I412" s="303" t="e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#REF!</v>
      </c>
      <c r="J412" s="304" t="e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#REF!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2" t="e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#REF!</v>
      </c>
      <c r="I413" s="303" t="e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#REF!</v>
      </c>
      <c r="J413" s="304" t="e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#REF!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2" t="e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#REF!</v>
      </c>
      <c r="I414" s="303" t="e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#REF!</v>
      </c>
      <c r="J414" s="304" t="e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#REF!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2" t="e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#REF!</v>
      </c>
      <c r="I415" s="303" t="e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#REF!</v>
      </c>
      <c r="J415" s="304" t="e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#REF!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2" t="e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#REF!</v>
      </c>
      <c r="I416" s="303" t="e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#REF!</v>
      </c>
      <c r="J416" s="304" t="e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#REF!</v>
      </c>
    </row>
    <row r="417" spans="1:10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8" t="e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#REF!</v>
      </c>
      <c r="I417" s="309" t="e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#REF!</v>
      </c>
      <c r="J417" s="310" t="e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#REF!</v>
      </c>
    </row>
    <row r="418" spans="1:10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7" t="e">
        <f>SUMIFS('Forbrug af biomasse'!$E$1:$E$425,'Forbrug af biomasse'!$A$1:$A$425,$F418,'Forbrug af biomasse'!$C$1:$C$425,$D418,'Forbrug af biomasse'!$B$1:$B$425,$A$1,'Forbrug af biomasse'!$D$1:$D$425,H$2)*'[1]Processer - data'!H418</f>
        <v>#REF!</v>
      </c>
      <c r="I418" s="278" t="e">
        <f>SUMIFS('Forbrug af biomasse'!$E$1:$E$425,'Forbrug af biomasse'!$A$1:$A$425,$F418,'Forbrug af biomasse'!$C$1:$C$425,$D418,'Forbrug af biomasse'!$B$1:$B$425,$A$1,'Forbrug af biomasse'!$D$1:$D$425,I$2)*'[1]Processer - data'!I418</f>
        <v>#REF!</v>
      </c>
      <c r="J418" s="279" t="e">
        <f>SUMIFS('Forbrug af biomasse'!$E$1:$E$425,'Forbrug af biomasse'!$A$1:$A$425,$F418,'Forbrug af biomasse'!$C$1:$C$425,$D418,'Forbrug af biomasse'!$B$1:$B$425,$A$1,'Forbrug af biomasse'!$D$1:$D$425,J$2)*'[1]Processer - data'!J418</f>
        <v>#REF!</v>
      </c>
    </row>
    <row r="419" spans="1:10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80" t="e">
        <f>SUMIFS('Forbrug af biomasse'!$E$1:$E$425,'Forbrug af biomasse'!$A$1:$A$425,$F419,'Forbrug af biomasse'!$C$1:$C$425,$D419,'Forbrug af biomasse'!$B$1:$B$425,$A$1,'Forbrug af biomasse'!$D$1:$D$425,H$2)*'[1]Processer - data'!H419</f>
        <v>#REF!</v>
      </c>
      <c r="I419" s="281" t="e">
        <f>SUMIFS('Forbrug af biomasse'!$E$1:$E$425,'Forbrug af biomasse'!$A$1:$A$425,$F419,'Forbrug af biomasse'!$C$1:$C$425,$D419,'Forbrug af biomasse'!$B$1:$B$425,$A$1,'Forbrug af biomasse'!$D$1:$D$425,I$2)*'[1]Processer - data'!I419</f>
        <v>#REF!</v>
      </c>
      <c r="J419" s="282" t="e">
        <f>SUMIFS('Forbrug af biomasse'!$E$1:$E$425,'Forbrug af biomasse'!$A$1:$A$425,$F419,'Forbrug af biomasse'!$C$1:$C$425,$D419,'Forbrug af biomasse'!$B$1:$B$425,$A$1,'Forbrug af biomasse'!$D$1:$D$425,J$2)*'[1]Processer - data'!J419</f>
        <v>#REF!</v>
      </c>
    </row>
    <row r="420" spans="1:10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80" t="e">
        <f>SUMIFS('Forbrug af biomasse'!$E$1:$E$425,'Forbrug af biomasse'!$A$1:$A$425,$F420,'Forbrug af biomasse'!$C$1:$C$425,$D420,'Forbrug af biomasse'!$B$1:$B$425,$A$1,'Forbrug af biomasse'!$D$1:$D$425,H$2)*'[1]Processer - data'!H420</f>
        <v>#REF!</v>
      </c>
      <c r="I420" s="281" t="e">
        <f>SUMIFS('Forbrug af biomasse'!$E$1:$E$425,'Forbrug af biomasse'!$A$1:$A$425,$F420,'Forbrug af biomasse'!$C$1:$C$425,$D420,'Forbrug af biomasse'!$B$1:$B$425,$A$1,'Forbrug af biomasse'!$D$1:$D$425,I$2)*'[1]Processer - data'!I420</f>
        <v>#REF!</v>
      </c>
      <c r="J420" s="282" t="e">
        <f>SUMIFS('Forbrug af biomasse'!$E$1:$E$425,'Forbrug af biomasse'!$A$1:$A$425,$F420,'Forbrug af biomasse'!$C$1:$C$425,$D420,'Forbrug af biomasse'!$B$1:$B$425,$A$1,'Forbrug af biomasse'!$D$1:$D$425,J$2)*'[1]Processer - data'!J420</f>
        <v>#REF!</v>
      </c>
    </row>
    <row r="421" spans="1:10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80" t="e">
        <f>SUMIFS('Forbrug af biomasse'!$E$1:$E$425,'Forbrug af biomasse'!$A$1:$A$425,$F421,'Forbrug af biomasse'!$C$1:$C$425,$D421,'Forbrug af biomasse'!$B$1:$B$425,$A$1,'Forbrug af biomasse'!$D$1:$D$425,H$2)*'[1]Processer - data'!H421</f>
        <v>#REF!</v>
      </c>
      <c r="I421" s="281" t="e">
        <f>SUMIFS('Forbrug af biomasse'!$E$1:$E$425,'Forbrug af biomasse'!$A$1:$A$425,$F421,'Forbrug af biomasse'!$C$1:$C$425,$D421,'Forbrug af biomasse'!$B$1:$B$425,$A$1,'Forbrug af biomasse'!$D$1:$D$425,I$2)*'[1]Processer - data'!I421</f>
        <v>#REF!</v>
      </c>
      <c r="J421" s="282" t="e">
        <f>SUMIFS('Forbrug af biomasse'!$E$1:$E$425,'Forbrug af biomasse'!$A$1:$A$425,$F421,'Forbrug af biomasse'!$C$1:$C$425,$D421,'Forbrug af biomasse'!$B$1:$B$425,$A$1,'Forbrug af biomasse'!$D$1:$D$425,J$2)*'[1]Processer - data'!J421</f>
        <v>#REF!</v>
      </c>
    </row>
    <row r="422" spans="1:10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80" t="e">
        <f>SUMIFS('Forbrug af biomasse'!$E$1:$E$425,'Forbrug af biomasse'!$A$1:$A$425,$F422,'Forbrug af biomasse'!$C$1:$C$425,$D422,'Forbrug af biomasse'!$B$1:$B$425,$A$1,'Forbrug af biomasse'!$D$1:$D$425,H$2)*'[1]Processer - data'!H422</f>
        <v>#REF!</v>
      </c>
      <c r="I422" s="281" t="e">
        <f>SUMIFS('Forbrug af biomasse'!$E$1:$E$425,'Forbrug af biomasse'!$A$1:$A$425,$F422,'Forbrug af biomasse'!$C$1:$C$425,$D422,'Forbrug af biomasse'!$B$1:$B$425,$A$1,'Forbrug af biomasse'!$D$1:$D$425,I$2)*'[1]Processer - data'!I422</f>
        <v>#REF!</v>
      </c>
      <c r="J422" s="282" t="e">
        <f>SUMIFS('Forbrug af biomasse'!$E$1:$E$425,'Forbrug af biomasse'!$A$1:$A$425,$F422,'Forbrug af biomasse'!$C$1:$C$425,$D422,'Forbrug af biomasse'!$B$1:$B$425,$A$1,'Forbrug af biomasse'!$D$1:$D$425,J$2)*'[1]Processer - data'!J422</f>
        <v>#REF!</v>
      </c>
    </row>
    <row r="423" spans="1:10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80" t="e">
        <f>SUMIFS('Forbrug af biomasse'!$E$1:$E$425,'Forbrug af biomasse'!$A$1:$A$425,$F423,'Forbrug af biomasse'!$C$1:$C$425,$D423,'Forbrug af biomasse'!$B$1:$B$425,$A$1,'Forbrug af biomasse'!$D$1:$D$425,H$2)*'[1]Processer - data'!H423</f>
        <v>#REF!</v>
      </c>
      <c r="I423" s="281" t="e">
        <f>SUMIFS('Forbrug af biomasse'!$E$1:$E$425,'Forbrug af biomasse'!$A$1:$A$425,$F423,'Forbrug af biomasse'!$C$1:$C$425,$D423,'Forbrug af biomasse'!$B$1:$B$425,$A$1,'Forbrug af biomasse'!$D$1:$D$425,I$2)*'[1]Processer - data'!I423</f>
        <v>#REF!</v>
      </c>
      <c r="J423" s="282" t="e">
        <f>SUMIFS('Forbrug af biomasse'!$E$1:$E$425,'Forbrug af biomasse'!$A$1:$A$425,$F423,'Forbrug af biomasse'!$C$1:$C$425,$D423,'Forbrug af biomasse'!$B$1:$B$425,$A$1,'Forbrug af biomasse'!$D$1:$D$425,J$2)*'[1]Processer - data'!J423</f>
        <v>#REF!</v>
      </c>
    </row>
    <row r="424" spans="1:10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80" t="e">
        <f>SUMIFS('Forbrug af biomasse'!$E$1:$E$425,'Forbrug af biomasse'!$A$1:$A$425,$F424,'Forbrug af biomasse'!$C$1:$C$425,$D424,'Forbrug af biomasse'!$B$1:$B$425,$A$1,'Forbrug af biomasse'!$D$1:$D$425,H$2)*'[1]Processer - data'!H424</f>
        <v>#REF!</v>
      </c>
      <c r="I424" s="281" t="e">
        <f>SUMIFS('Forbrug af biomasse'!$E$1:$E$425,'Forbrug af biomasse'!$A$1:$A$425,$F424,'Forbrug af biomasse'!$C$1:$C$425,$D424,'Forbrug af biomasse'!$B$1:$B$425,$A$1,'Forbrug af biomasse'!$D$1:$D$425,I$2)*'[1]Processer - data'!I424</f>
        <v>#REF!</v>
      </c>
      <c r="J424" s="282" t="e">
        <f>SUMIFS('Forbrug af biomasse'!$E$1:$E$425,'Forbrug af biomasse'!$A$1:$A$425,$F424,'Forbrug af biomasse'!$C$1:$C$425,$D424,'Forbrug af biomasse'!$B$1:$B$425,$A$1,'Forbrug af biomasse'!$D$1:$D$425,J$2)*'[1]Processer - data'!J424</f>
        <v>#REF!</v>
      </c>
    </row>
    <row r="425" spans="1:10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80" t="e">
        <f>SUMIFS('Forbrug af biomasse'!$E$1:$E$425,'Forbrug af biomasse'!$A$1:$A$425,$F425,'Forbrug af biomasse'!$C$1:$C$425,$D425,'Forbrug af biomasse'!$B$1:$B$425,$A$1,'Forbrug af biomasse'!$D$1:$D$425,H$2)*'[1]Processer - data'!H425</f>
        <v>#REF!</v>
      </c>
      <c r="I425" s="281" t="e">
        <f>SUMIFS('Forbrug af biomasse'!$E$1:$E$425,'Forbrug af biomasse'!$A$1:$A$425,$F425,'Forbrug af biomasse'!$C$1:$C$425,$D425,'Forbrug af biomasse'!$B$1:$B$425,$A$1,'Forbrug af biomasse'!$D$1:$D$425,I$2)*'[1]Processer - data'!I425</f>
        <v>#REF!</v>
      </c>
      <c r="J425" s="282" t="e">
        <f>SUMIFS('Forbrug af biomasse'!$E$1:$E$425,'Forbrug af biomasse'!$A$1:$A$425,$F425,'Forbrug af biomasse'!$C$1:$C$425,$D425,'Forbrug af biomasse'!$B$1:$B$425,$A$1,'Forbrug af biomasse'!$D$1:$D$425,J$2)*'[1]Processer - data'!J425</f>
        <v>#REF!</v>
      </c>
    </row>
    <row r="426" spans="1:10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80" t="e">
        <f>SUMIFS('Forbrug af biomasse'!$E$1:$E$425,'Forbrug af biomasse'!$A$1:$A$425,$F426,'Forbrug af biomasse'!$C$1:$C$425,$D426,'Forbrug af biomasse'!$B$1:$B$425,$A$1,'Forbrug af biomasse'!$D$1:$D$425,H$2)*'[1]Processer - data'!H426</f>
        <v>#REF!</v>
      </c>
      <c r="I426" s="281" t="e">
        <f>SUMIFS('Forbrug af biomasse'!$E$1:$E$425,'Forbrug af biomasse'!$A$1:$A$425,$F426,'Forbrug af biomasse'!$C$1:$C$425,$D426,'Forbrug af biomasse'!$B$1:$B$425,$A$1,'Forbrug af biomasse'!$D$1:$D$425,I$2)*'[1]Processer - data'!I426</f>
        <v>#REF!</v>
      </c>
      <c r="J426" s="282" t="e">
        <f>SUMIFS('Forbrug af biomasse'!$E$1:$E$425,'Forbrug af biomasse'!$A$1:$A$425,$F426,'Forbrug af biomasse'!$C$1:$C$425,$D426,'Forbrug af biomasse'!$B$1:$B$425,$A$1,'Forbrug af biomasse'!$D$1:$D$425,J$2)*'[1]Processer - data'!J426</f>
        <v>#REF!</v>
      </c>
    </row>
    <row r="427" spans="1:10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80" t="e">
        <f>SUMIFS('Forbrug af biomasse'!$E$1:$E$425,'Forbrug af biomasse'!$A$1:$A$425,$F427,'Forbrug af biomasse'!$C$1:$C$425,$D427,'Forbrug af biomasse'!$B$1:$B$425,$A$1,'Forbrug af biomasse'!$D$1:$D$425,H$2)*'[1]Processer - data'!H427</f>
        <v>#REF!</v>
      </c>
      <c r="I427" s="281" t="e">
        <f>SUMIFS('Forbrug af biomasse'!$E$1:$E$425,'Forbrug af biomasse'!$A$1:$A$425,$F427,'Forbrug af biomasse'!$C$1:$C$425,$D427,'Forbrug af biomasse'!$B$1:$B$425,$A$1,'Forbrug af biomasse'!$D$1:$D$425,I$2)*'[1]Processer - data'!I427</f>
        <v>#REF!</v>
      </c>
      <c r="J427" s="282" t="e">
        <f>SUMIFS('Forbrug af biomasse'!$E$1:$E$425,'Forbrug af biomasse'!$A$1:$A$425,$F427,'Forbrug af biomasse'!$C$1:$C$425,$D427,'Forbrug af biomasse'!$B$1:$B$425,$A$1,'Forbrug af biomasse'!$D$1:$D$425,J$2)*'[1]Processer - data'!J427</f>
        <v>#REF!</v>
      </c>
    </row>
    <row r="428" spans="1:10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80" t="e">
        <f>SUMIFS('Forbrug af biomasse'!$E$1:$E$425,'Forbrug af biomasse'!$A$1:$A$425,$F428,'Forbrug af biomasse'!$C$1:$C$425,$D428,'Forbrug af biomasse'!$B$1:$B$425,$A$1,'Forbrug af biomasse'!$D$1:$D$425,H$2)*'[1]Processer - data'!H428</f>
        <v>#REF!</v>
      </c>
      <c r="I428" s="281" t="e">
        <f>SUMIFS('Forbrug af biomasse'!$E$1:$E$425,'Forbrug af biomasse'!$A$1:$A$425,$F428,'Forbrug af biomasse'!$C$1:$C$425,$D428,'Forbrug af biomasse'!$B$1:$B$425,$A$1,'Forbrug af biomasse'!$D$1:$D$425,I$2)*'[1]Processer - data'!I428</f>
        <v>#REF!</v>
      </c>
      <c r="J428" s="282" t="e">
        <f>SUMIFS('Forbrug af biomasse'!$E$1:$E$425,'Forbrug af biomasse'!$A$1:$A$425,$F428,'Forbrug af biomasse'!$C$1:$C$425,$D428,'Forbrug af biomasse'!$B$1:$B$425,$A$1,'Forbrug af biomasse'!$D$1:$D$425,J$2)*'[1]Processer - data'!J428</f>
        <v>#REF!</v>
      </c>
    </row>
    <row r="429" spans="1:10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80" t="e">
        <f>SUMIFS('Forbrug af biomasse'!$E$1:$E$425,'Forbrug af biomasse'!$A$1:$A$425,$F429,'Forbrug af biomasse'!$C$1:$C$425,$D429,'Forbrug af biomasse'!$B$1:$B$425,$A$1,'Forbrug af biomasse'!$D$1:$D$425,H$2)*'[1]Processer - data'!H429</f>
        <v>#REF!</v>
      </c>
      <c r="I429" s="281" t="e">
        <f>SUMIFS('Forbrug af biomasse'!$E$1:$E$425,'Forbrug af biomasse'!$A$1:$A$425,$F429,'Forbrug af biomasse'!$C$1:$C$425,$D429,'Forbrug af biomasse'!$B$1:$B$425,$A$1,'Forbrug af biomasse'!$D$1:$D$425,I$2)*'[1]Processer - data'!I429</f>
        <v>#REF!</v>
      </c>
      <c r="J429" s="282" t="e">
        <f>SUMIFS('Forbrug af biomasse'!$E$1:$E$425,'Forbrug af biomasse'!$A$1:$A$425,$F429,'Forbrug af biomasse'!$C$1:$C$425,$D429,'Forbrug af biomasse'!$B$1:$B$425,$A$1,'Forbrug af biomasse'!$D$1:$D$425,J$2)*'[1]Processer - data'!J429</f>
        <v>#REF!</v>
      </c>
    </row>
    <row r="430" spans="1:10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80" t="e">
        <f>SUMIFS('Forbrug af biomasse'!$E$1:$E$425,'Forbrug af biomasse'!$A$1:$A$425,$F430,'Forbrug af biomasse'!$C$1:$C$425,$D430,'Forbrug af biomasse'!$B$1:$B$425,$A$1,'Forbrug af biomasse'!$D$1:$D$425,H$2)*'[1]Processer - data'!H430</f>
        <v>#REF!</v>
      </c>
      <c r="I430" s="281" t="e">
        <f>SUMIFS('Forbrug af biomasse'!$E$1:$E$425,'Forbrug af biomasse'!$A$1:$A$425,$F430,'Forbrug af biomasse'!$C$1:$C$425,$D430,'Forbrug af biomasse'!$B$1:$B$425,$A$1,'Forbrug af biomasse'!$D$1:$D$425,I$2)*'[1]Processer - data'!I430</f>
        <v>#REF!</v>
      </c>
      <c r="J430" s="282" t="e">
        <f>SUMIFS('Forbrug af biomasse'!$E$1:$E$425,'Forbrug af biomasse'!$A$1:$A$425,$F430,'Forbrug af biomasse'!$C$1:$C$425,$D430,'Forbrug af biomasse'!$B$1:$B$425,$A$1,'Forbrug af biomasse'!$D$1:$D$425,J$2)*'[1]Processer - data'!J430</f>
        <v>#REF!</v>
      </c>
    </row>
    <row r="431" spans="1:10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80" t="e">
        <f>SUMIFS('Forbrug af biomasse'!$E$1:$E$425,'Forbrug af biomasse'!$A$1:$A$425,$F431,'Forbrug af biomasse'!$C$1:$C$425,$D431,'Forbrug af biomasse'!$B$1:$B$425,$A$1,'Forbrug af biomasse'!$D$1:$D$425,H$2)*'[1]Processer - data'!H431</f>
        <v>#REF!</v>
      </c>
      <c r="I431" s="281" t="e">
        <f>SUMIFS('Forbrug af biomasse'!$E$1:$E$425,'Forbrug af biomasse'!$A$1:$A$425,$F431,'Forbrug af biomasse'!$C$1:$C$425,$D431,'Forbrug af biomasse'!$B$1:$B$425,$A$1,'Forbrug af biomasse'!$D$1:$D$425,I$2)*'[1]Processer - data'!I431</f>
        <v>#REF!</v>
      </c>
      <c r="J431" s="282" t="e">
        <f>SUMIFS('Forbrug af biomasse'!$E$1:$E$425,'Forbrug af biomasse'!$A$1:$A$425,$F431,'Forbrug af biomasse'!$C$1:$C$425,$D431,'Forbrug af biomasse'!$B$1:$B$425,$A$1,'Forbrug af biomasse'!$D$1:$D$425,J$2)*'[1]Processer - data'!J431</f>
        <v>#REF!</v>
      </c>
    </row>
    <row r="432" spans="1:10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80" t="e">
        <f>SUMIFS('Forbrug af biomasse'!$E$1:$E$425,'Forbrug af biomasse'!$A$1:$A$425,$F432,'Forbrug af biomasse'!$C$1:$C$425,$D432,'Forbrug af biomasse'!$B$1:$B$425,$A$1,'Forbrug af biomasse'!$D$1:$D$425,H$2)*'[1]Processer - data'!H432</f>
        <v>#REF!</v>
      </c>
      <c r="I432" s="281" t="e">
        <f>SUMIFS('Forbrug af biomasse'!$E$1:$E$425,'Forbrug af biomasse'!$A$1:$A$425,$F432,'Forbrug af biomasse'!$C$1:$C$425,$D432,'Forbrug af biomasse'!$B$1:$B$425,$A$1,'Forbrug af biomasse'!$D$1:$D$425,I$2)*'[1]Processer - data'!I432</f>
        <v>#REF!</v>
      </c>
      <c r="J432" s="282" t="e">
        <f>SUMIFS('Forbrug af biomasse'!$E$1:$E$425,'Forbrug af biomasse'!$A$1:$A$425,$F432,'Forbrug af biomasse'!$C$1:$C$425,$D432,'Forbrug af biomasse'!$B$1:$B$425,$A$1,'Forbrug af biomasse'!$D$1:$D$425,J$2)*'[1]Processer - data'!J432</f>
        <v>#REF!</v>
      </c>
    </row>
    <row r="433" spans="1:10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80" t="e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#REF!</v>
      </c>
      <c r="I433" s="281" t="e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#REF!</v>
      </c>
      <c r="J433" s="282" t="e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#REF!</v>
      </c>
    </row>
    <row r="434" spans="1:10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80" t="e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#REF!</v>
      </c>
      <c r="I434" s="281" t="e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#REF!</v>
      </c>
      <c r="J434" s="282" t="e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#REF!</v>
      </c>
    </row>
    <row r="435" spans="1:10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80" t="e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#REF!</v>
      </c>
      <c r="I435" s="281" t="e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#REF!</v>
      </c>
      <c r="J435" s="282" t="e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#REF!</v>
      </c>
    </row>
    <row r="436" spans="1:10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80" t="e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#REF!</v>
      </c>
      <c r="I436" s="281" t="e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#REF!</v>
      </c>
      <c r="J436" s="282" t="e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#REF!</v>
      </c>
    </row>
    <row r="437" spans="1:10" s="171" customFormat="1" x14ac:dyDescent="0.2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6" t="e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#REF!</v>
      </c>
      <c r="I437" s="287" t="e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#REF!</v>
      </c>
      <c r="J437" s="288" t="e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#REF!</v>
      </c>
    </row>
    <row r="438" spans="1:10" x14ac:dyDescent="0.2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80" t="e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#REF!</v>
      </c>
      <c r="I438" s="281" t="e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#REF!</v>
      </c>
      <c r="J438" s="282" t="e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#REF!</v>
      </c>
    </row>
    <row r="439" spans="1:10" s="171" customFormat="1" x14ac:dyDescent="0.2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6" t="e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#REF!</v>
      </c>
      <c r="I439" s="287" t="e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#REF!</v>
      </c>
      <c r="J439" s="288" t="e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#REF!</v>
      </c>
    </row>
    <row r="440" spans="1:10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80" t="e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#REF!</v>
      </c>
      <c r="I440" s="281" t="e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#REF!</v>
      </c>
      <c r="J440" s="282" t="e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#REF!</v>
      </c>
    </row>
    <row r="441" spans="1:10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80" t="e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#REF!</v>
      </c>
      <c r="I441" s="281" t="e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#REF!</v>
      </c>
      <c r="J441" s="282" t="e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#REF!</v>
      </c>
    </row>
    <row r="442" spans="1:10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80" t="e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#REF!</v>
      </c>
      <c r="I442" s="281" t="e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#REF!</v>
      </c>
      <c r="J442" s="282" t="e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#REF!</v>
      </c>
    </row>
    <row r="443" spans="1:10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80" t="e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#REF!</v>
      </c>
      <c r="I443" s="281" t="e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#REF!</v>
      </c>
      <c r="J443" s="282" t="e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#REF!</v>
      </c>
    </row>
    <row r="444" spans="1:10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80" t="e">
        <f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#REF!</v>
      </c>
      <c r="I444" s="281" t="e">
        <f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#REF!</v>
      </c>
      <c r="J444" s="282" t="e">
        <f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#REF!</v>
      </c>
    </row>
    <row r="445" spans="1:10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80" t="e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#REF!</v>
      </c>
      <c r="I445" s="281" t="e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#REF!</v>
      </c>
      <c r="J445" s="282" t="e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#REF!</v>
      </c>
    </row>
    <row r="446" spans="1:10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80" t="e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#REF!</v>
      </c>
      <c r="I446" s="281" t="e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#REF!</v>
      </c>
      <c r="J446" s="282" t="e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#REF!</v>
      </c>
    </row>
    <row r="447" spans="1:10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80" t="e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#REF!</v>
      </c>
      <c r="I447" s="281" t="e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#REF!</v>
      </c>
      <c r="J447" s="282" t="e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#REF!</v>
      </c>
    </row>
    <row r="448" spans="1:10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80" t="e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#REF!</v>
      </c>
      <c r="I448" s="281" t="e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#REF!</v>
      </c>
      <c r="J448" s="282" t="e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#REF!</v>
      </c>
    </row>
    <row r="449" spans="1:10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80" t="e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#REF!</v>
      </c>
      <c r="I449" s="281" t="e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#REF!</v>
      </c>
      <c r="J449" s="282" t="e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#REF!</v>
      </c>
    </row>
    <row r="450" spans="1:10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80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12086250.624000002</v>
      </c>
      <c r="I450" s="281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12086250.624000002</v>
      </c>
      <c r="J450" s="282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12086250.624000002</v>
      </c>
    </row>
    <row r="451" spans="1:10" x14ac:dyDescent="0.25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80" t="e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#REF!</v>
      </c>
      <c r="I451" s="281" t="e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#REF!</v>
      </c>
      <c r="J451" s="282" t="e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#REF!</v>
      </c>
    </row>
    <row r="452" spans="1:10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6" t="e">
        <f>SUMIFS('Forbrug af biomasse'!$E$1:$E$425,'Forbrug af biomasse'!$A$1:$A$425,"Biogas",'Forbrug af biomasse'!$B$1:$B$425,$A$1,'Forbrug af biomasse'!$D$1:$D$425,H$2)*'[1]Processer - data'!H452</f>
        <v>#REF!</v>
      </c>
      <c r="I452" s="287" t="e">
        <f>SUMIFS('Forbrug af biomasse'!$E$1:$E$425,'Forbrug af biomasse'!$A$1:$A$425,"Biogas",'Forbrug af biomasse'!$B$1:$B$425,$A$1,'Forbrug af biomasse'!$D$1:$D$425,I$2)*'[1]Processer - data'!I452</f>
        <v>#REF!</v>
      </c>
      <c r="J452" s="288" t="e">
        <f>SUMIFS('Forbrug af biomasse'!$E$1:$E$425,'Forbrug af biomasse'!$A$1:$A$425,"Biogas",'Forbrug af biomasse'!$B$1:$B$425,$A$1,'Forbrug af biomasse'!$D$1:$D$425,J$2)*'[1]Processer - data'!J452</f>
        <v>#REF!</v>
      </c>
    </row>
    <row r="453" spans="1:10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6" t="e">
        <f>(1-IF(VLOOKUP($D453,Biogasanlæg!$A$3:$D$7,MATCH(H$2,Biogasanlæg!$A$2:$D$2,0),FALSE)&gt;1,1,VLOOKUP($D453,Biogasanlæg!$A$3:$D$7,MATCH(H$2,Biogasanlæg!$A$2:$D$2,0),FALSE)))*SUMIFS('Resultater - Østdanmark'!H$3:H$482,'Resultater - Østdanmark'!$F$3:$F$482,'Resultater - Østdanmark'!$D453)*'[1]Processer - data'!H$453</f>
        <v>#REF!</v>
      </c>
      <c r="I453" s="287" t="e">
        <f>(1-IF(VLOOKUP($D453,Biogasanlæg!$A$3:$D$7,MATCH(I$2,Biogasanlæg!$A$2:$D$2,0),FALSE)&gt;1,1,VLOOKUP($D453,Biogasanlæg!$A$3:$D$7,MATCH(I$2,Biogasanlæg!$A$2:$D$2,0),FALSE)))*SUMIFS('Resultater - Østdanmark'!I$3:I$482,'Resultater - Østdanmark'!$F$3:$F$482,'Resultater - Østdanmark'!$D453)*'[1]Processer - data'!I$453</f>
        <v>#REF!</v>
      </c>
      <c r="J453" s="288" t="e">
        <f>(1-IF(VLOOKUP($D453,Biogasanlæg!$A$3:$D$7,MATCH(J$2,Biogasanlæg!$A$2:$D$2,0),FALSE)&gt;1,1,VLOOKUP($D453,Biogasanlæg!$A$3:$D$7,MATCH(J$2,Biogasanlæg!$A$2:$D$2,0),FALSE)))*SUMIFS('Resultater - Østdanmark'!J$3:J$482,'Resultater - Østdanmark'!$F$3:$F$482,'Resultater - Østdanmark'!$D453)*'[1]Processer - data'!J$453</f>
        <v>#REF!</v>
      </c>
    </row>
    <row r="454" spans="1:10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6" t="e">
        <f>(1-IF(VLOOKUP($D454,Biogasanlæg!$A$3:$D$7,MATCH(H$2,Biogasanlæg!$A$2:$D$2,0),FALSE)&gt;1,1,VLOOKUP($D454,Biogasanlæg!$A$3:$D$7,MATCH(H$2,Biogasanlæg!$A$2:$D$2,0),FALSE)))*SUMIFS('Resultater - Østdanmark'!H$3:H$482,'Resultater - Østdanmark'!$F$3:$F$482,'Resultater - Østdanmark'!$D454)*'[1]Processer - data'!H$453</f>
        <v>#REF!</v>
      </c>
      <c r="I454" s="287" t="e">
        <f>(1-IF(VLOOKUP($D454,Biogasanlæg!$A$3:$D$7,MATCH(I$2,Biogasanlæg!$A$2:$D$2,0),FALSE)&gt;1,1,VLOOKUP($D454,Biogasanlæg!$A$3:$D$7,MATCH(I$2,Biogasanlæg!$A$2:$D$2,0),FALSE)))*SUMIFS('Resultater - Østdanmark'!I$3:I$482,'Resultater - Østdanmark'!$F$3:$F$482,'Resultater - Østdanmark'!$D454)*'[1]Processer - data'!I$453</f>
        <v>#REF!</v>
      </c>
      <c r="J454" s="288" t="e">
        <f>(1-IF(VLOOKUP($D454,Biogasanlæg!$A$3:$D$7,MATCH(J$2,Biogasanlæg!$A$2:$D$2,0),FALSE)&gt;1,1,VLOOKUP($D454,Biogasanlæg!$A$3:$D$7,MATCH(J$2,Biogasanlæg!$A$2:$D$2,0),FALSE)))*SUMIFS('Resultater - Østdanmark'!J$3:J$482,'Resultater - Østdanmark'!$F$3:$F$482,'Resultater - Østdanmark'!$D454)*'[1]Processer - data'!J$453</f>
        <v>#REF!</v>
      </c>
    </row>
    <row r="455" spans="1:10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6" t="e">
        <f>(1-IF(VLOOKUP($D455,Biogasanlæg!$A$3:$D$7,MATCH(H$2,Biogasanlæg!$A$2:$D$2,0),FALSE)&gt;1,1,VLOOKUP($D455,Biogasanlæg!$A$3:$D$7,MATCH(H$2,Biogasanlæg!$A$2:$D$2,0),FALSE)))*SUMIFS('Resultater - Østdanmark'!H$3:H$482,'Resultater - Østdanmark'!$F$3:$F$482,'Resultater - Østdanmark'!$D455)*'[1]Processer - data'!H$453</f>
        <v>#REF!</v>
      </c>
      <c r="I455" s="287" t="e">
        <f>(1-IF(VLOOKUP($D455,Biogasanlæg!$A$3:$D$7,MATCH(I$2,Biogasanlæg!$A$2:$D$2,0),FALSE)&gt;1,1,VLOOKUP($D455,Biogasanlæg!$A$3:$D$7,MATCH(I$2,Biogasanlæg!$A$2:$D$2,0),FALSE)))*SUMIFS('Resultater - Østdanmark'!I$3:I$482,'Resultater - Østdanmark'!$F$3:$F$482,'Resultater - Østdanmark'!$D455)*'[1]Processer - data'!I$453</f>
        <v>#REF!</v>
      </c>
      <c r="J455" s="288" t="e">
        <f>(1-IF(VLOOKUP($D455,Biogasanlæg!$A$3:$D$7,MATCH(J$2,Biogasanlæg!$A$2:$D$2,0),FALSE)&gt;1,1,VLOOKUP($D455,Biogasanlæg!$A$3:$D$7,MATCH(J$2,Biogasanlæg!$A$2:$D$2,0),FALSE)))*SUMIFS('Resultater - Østdanmark'!J$3:J$482,'Resultater - Østdanmark'!$F$3:$F$482,'Resultater - Østdanmark'!$D455)*'[1]Processer - data'!J$453</f>
        <v>#REF!</v>
      </c>
    </row>
    <row r="456" spans="1:10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6" t="e">
        <f>(1-IF(VLOOKUP($D456,Biogasanlæg!$A$3:$D$7,MATCH(H$2,Biogasanlæg!$A$2:$D$2,0),FALSE)&gt;1,1,VLOOKUP($D456,Biogasanlæg!$A$3:$D$7,MATCH(H$2,Biogasanlæg!$A$2:$D$2,0),FALSE)))*SUMIFS('Resultater - Østdanmark'!H$3:H$482,'Resultater - Østdanmark'!$F$3:$F$482,'Resultater - Østdanmark'!$D456)*'[1]Processer - data'!H$453</f>
        <v>#REF!</v>
      </c>
      <c r="I456" s="287" t="e">
        <f>(1-IF(VLOOKUP($D456,Biogasanlæg!$A$3:$D$7,MATCH(I$2,Biogasanlæg!$A$2:$D$2,0),FALSE)&gt;1,1,VLOOKUP($D456,Biogasanlæg!$A$3:$D$7,MATCH(I$2,Biogasanlæg!$A$2:$D$2,0),FALSE)))*SUMIFS('Resultater - Østdanmark'!I$3:I$482,'Resultater - Østdanmark'!$F$3:$F$482,'Resultater - Østdanmark'!$D456)*'[1]Processer - data'!I$453</f>
        <v>#REF!</v>
      </c>
      <c r="J456" s="288" t="e">
        <f>(1-IF(VLOOKUP($D456,Biogasanlæg!$A$3:$D$7,MATCH(J$2,Biogasanlæg!$A$2:$D$2,0),FALSE)&gt;1,1,VLOOKUP($D456,Biogasanlæg!$A$3:$D$7,MATCH(J$2,Biogasanlæg!$A$2:$D$2,0),FALSE)))*SUMIFS('Resultater - Østdanmark'!J$3:J$482,'Resultater - Østdanmark'!$F$3:$F$482,'Resultater - Østdanmark'!$D456)*'[1]Processer - data'!J$453</f>
        <v>#REF!</v>
      </c>
    </row>
    <row r="457" spans="1:10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6" t="e">
        <f>H452*'[1]Processer - data'!H$457*Biogasanlæg!AA$3</f>
        <v>#REF!</v>
      </c>
      <c r="I457" s="287" t="e">
        <f>I452*'[1]Processer - data'!I$457*Biogasanlæg!AB$3</f>
        <v>#REF!</v>
      </c>
      <c r="J457" s="288" t="e">
        <f>J452*'[1]Processer - data'!J$457*Biogasanlæg!AC$3</f>
        <v>#REF!</v>
      </c>
    </row>
    <row r="458" spans="1:10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6" t="e">
        <f>-SUMIFS('Resultater - Østdanmark'!H$3:H$482,'Resultater - Østdanmark'!$F$3:$F$482,"Gødning",'Resultater - Østdanmark'!$A$3:$A$482,"&lt;&gt;Gødning")-SUM(H453:H457)</f>
        <v>#REF!</v>
      </c>
      <c r="I458" s="287" t="e">
        <f>-SUMIFS('Resultater - Østdanmark'!I$3:I$482,'Resultater - Østdanmark'!$F$3:$F$482,"Gødning",'Resultater - Østdanmark'!$A$3:$A$482,"&lt;&gt;Gødning")-SUM(I453:I457)</f>
        <v>#REF!</v>
      </c>
      <c r="J458" s="288" t="e">
        <f>-SUMIFS('Resultater - Østdanmark'!J$3:J$482,'Resultater - Østdanmark'!$F$3:$F$482,"Gødning",'Resultater - Østdanmark'!$A$3:$A$482,"&lt;&gt;Gødning")-SUM(J453:J457)</f>
        <v>#REF!</v>
      </c>
    </row>
    <row r="459" spans="1:10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9" t="e">
        <f>SUMIFS('Forbrug af biomasse'!$E$1:$E$425,'Forbrug af biomasse'!$A$1:$A$425,$F459,'Forbrug af biomasse'!$C$1:$C$425,$D459,'Forbrug af biomasse'!$B$1:$B$425,$A$1,'Forbrug af biomasse'!$D$1:$D$425,H$2)*'[1]Processer - data'!H459</f>
        <v>#REF!</v>
      </c>
      <c r="I459" s="291" t="e">
        <f>SUMIFS('Forbrug af biomasse'!$E$1:$E$425,'Forbrug af biomasse'!$A$1:$A$425,$F459,'Forbrug af biomasse'!$C$1:$C$425,$D459,'Forbrug af biomasse'!$B$1:$B$425,$A$1,'Forbrug af biomasse'!$D$1:$D$425,I$2)*'[1]Processer - data'!I459</f>
        <v>#REF!</v>
      </c>
      <c r="J459" s="292" t="e">
        <f>SUMIFS('Forbrug af biomasse'!$E$1:$E$425,'Forbrug af biomasse'!$A$1:$A$425,$F459,'Forbrug af biomasse'!$C$1:$C$425,$D459,'Forbrug af biomasse'!$B$1:$B$425,$A$1,'Forbrug af biomasse'!$D$1:$D$425,J$2)*'[1]Processer - data'!J459</f>
        <v>#REF!</v>
      </c>
    </row>
    <row r="460" spans="1:10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9" t="e">
        <f>SUMIFS('Forbrug af biomasse'!$E$1:$E$425,'Forbrug af biomasse'!$A$1:$A$425,$F460,'Forbrug af biomasse'!$C$1:$C$425,$D460,'Forbrug af biomasse'!$B$1:$B$425,$A$1,'Forbrug af biomasse'!$D$1:$D$425,H$2)*'[1]Processer - data'!H460</f>
        <v>#REF!</v>
      </c>
      <c r="I460" s="291" t="e">
        <f>SUMIFS('Forbrug af biomasse'!$E$1:$E$425,'Forbrug af biomasse'!$A$1:$A$425,$F460,'Forbrug af biomasse'!$C$1:$C$425,$D460,'Forbrug af biomasse'!$B$1:$B$425,$A$1,'Forbrug af biomasse'!$D$1:$D$425,I$2)*'[1]Processer - data'!I460</f>
        <v>#REF!</v>
      </c>
      <c r="J460" s="292" t="e">
        <f>SUMIFS('Forbrug af biomasse'!$E$1:$E$425,'Forbrug af biomasse'!$A$1:$A$425,$F460,'Forbrug af biomasse'!$C$1:$C$425,$D460,'Forbrug af biomasse'!$B$1:$B$425,$A$1,'Forbrug af biomasse'!$D$1:$D$425,J$2)*'[1]Processer - data'!J460</f>
        <v>#REF!</v>
      </c>
    </row>
    <row r="461" spans="1:10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9" t="e">
        <f>SUMIFS('Forbrug af biomasse'!$E$1:$E$425,'Forbrug af biomasse'!$A$1:$A$425,$F461,'Forbrug af biomasse'!$C$1:$C$425,$D461,'Forbrug af biomasse'!$B$1:$B$425,$A$1,'Forbrug af biomasse'!$D$1:$D$425,H$2)*'[1]Processer - data'!H461</f>
        <v>#REF!</v>
      </c>
      <c r="I461" s="291" t="e">
        <f>SUMIFS('Forbrug af biomasse'!$E$1:$E$425,'Forbrug af biomasse'!$A$1:$A$425,$F461,'Forbrug af biomasse'!$C$1:$C$425,$D461,'Forbrug af biomasse'!$B$1:$B$425,$A$1,'Forbrug af biomasse'!$D$1:$D$425,I$2)*'[1]Processer - data'!I461</f>
        <v>#REF!</v>
      </c>
      <c r="J461" s="292" t="e">
        <f>SUMIFS('Forbrug af biomasse'!$E$1:$E$425,'Forbrug af biomasse'!$A$1:$A$425,$F461,'Forbrug af biomasse'!$C$1:$C$425,$D461,'Forbrug af biomasse'!$B$1:$B$425,$A$1,'Forbrug af biomasse'!$D$1:$D$425,J$2)*'[1]Processer - data'!J461</f>
        <v>#REF!</v>
      </c>
    </row>
    <row r="462" spans="1:10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9" t="e">
        <f>SUMIFS('Forbrug af biomasse'!$E$1:$E$425,'Forbrug af biomasse'!$A$1:$A$425,$F462,'Forbrug af biomasse'!$C$1:$C$425,$D462,'Forbrug af biomasse'!$B$1:$B$425,$A$1,'Forbrug af biomasse'!$D$1:$D$425,H$2)*'[1]Processer - data'!H462</f>
        <v>#REF!</v>
      </c>
      <c r="I462" s="291" t="e">
        <f>SUMIFS('Forbrug af biomasse'!$E$1:$E$425,'Forbrug af biomasse'!$A$1:$A$425,$F462,'Forbrug af biomasse'!$C$1:$C$425,$D462,'Forbrug af biomasse'!$B$1:$B$425,$A$1,'Forbrug af biomasse'!$D$1:$D$425,I$2)*'[1]Processer - data'!I462</f>
        <v>#REF!</v>
      </c>
      <c r="J462" s="292" t="e">
        <f>SUMIFS('Forbrug af biomasse'!$E$1:$E$425,'Forbrug af biomasse'!$A$1:$A$425,$F462,'Forbrug af biomasse'!$C$1:$C$425,$D462,'Forbrug af biomasse'!$B$1:$B$425,$A$1,'Forbrug af biomasse'!$D$1:$D$425,J$2)*'[1]Processer - data'!J462</f>
        <v>#REF!</v>
      </c>
    </row>
    <row r="463" spans="1:10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9" t="e">
        <f>SUMIFS('Forbrug af biomasse'!$E$1:$E$425,'Forbrug af biomasse'!$A$1:$A$425,$F463,'Forbrug af biomasse'!$C$1:$C$425,$D463,'Forbrug af biomasse'!$B$1:$B$425,$A$1,'Forbrug af biomasse'!$D$1:$D$425,H$2)*'[1]Processer - data'!H463</f>
        <v>#REF!</v>
      </c>
      <c r="I463" s="291" t="e">
        <f>SUMIFS('Forbrug af biomasse'!$E$1:$E$425,'Forbrug af biomasse'!$A$1:$A$425,$F463,'Forbrug af biomasse'!$C$1:$C$425,$D463,'Forbrug af biomasse'!$B$1:$B$425,$A$1,'Forbrug af biomasse'!$D$1:$D$425,I$2)*'[1]Processer - data'!I463</f>
        <v>#REF!</v>
      </c>
      <c r="J463" s="292" t="e">
        <f>SUMIFS('Forbrug af biomasse'!$E$1:$E$425,'Forbrug af biomasse'!$A$1:$A$425,$F463,'Forbrug af biomasse'!$C$1:$C$425,$D463,'Forbrug af biomasse'!$B$1:$B$425,$A$1,'Forbrug af biomasse'!$D$1:$D$425,J$2)*'[1]Processer - data'!J463</f>
        <v>#REF!</v>
      </c>
    </row>
    <row r="464" spans="1:10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9" t="e">
        <f>SUMIFS('Forbrug af biomasse'!$E$1:$E$425,'Forbrug af biomasse'!$A$1:$A$425,$F464,'Forbrug af biomasse'!$C$1:$C$425,$D464,'Forbrug af biomasse'!$B$1:$B$425,$A$1,'Forbrug af biomasse'!$D$1:$D$425,H$2)*'[1]Processer - data'!H464</f>
        <v>#REF!</v>
      </c>
      <c r="I464" s="291" t="e">
        <f>SUMIFS('Forbrug af biomasse'!$E$1:$E$425,'Forbrug af biomasse'!$A$1:$A$425,$F464,'Forbrug af biomasse'!$C$1:$C$425,$D464,'Forbrug af biomasse'!$B$1:$B$425,$A$1,'Forbrug af biomasse'!$D$1:$D$425,I$2)*'[1]Processer - data'!I464</f>
        <v>#REF!</v>
      </c>
      <c r="J464" s="292" t="e">
        <f>SUMIFS('Forbrug af biomasse'!$E$1:$E$425,'Forbrug af biomasse'!$A$1:$A$425,$F464,'Forbrug af biomasse'!$C$1:$C$425,$D464,'Forbrug af biomasse'!$B$1:$B$425,$A$1,'Forbrug af biomasse'!$D$1:$D$425,J$2)*'[1]Processer - data'!J464</f>
        <v>#REF!</v>
      </c>
    </row>
    <row r="465" spans="1:10" s="171" customFormat="1" x14ac:dyDescent="0.2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9" t="e">
        <f>SUMIFS('Forbrug af biomasse'!$E$1:$E$425,'Forbrug af biomasse'!$A$1:$A$425,$F465,'Forbrug af biomasse'!$C$1:$C$425,$D465,'Forbrug af biomasse'!$B$1:$B$425,$A$1,'Forbrug af biomasse'!$D$1:$D$425,H$2)*'[1]Processer - data'!H465</f>
        <v>#REF!</v>
      </c>
      <c r="I465" s="291" t="e">
        <f>SUMIFS('Forbrug af biomasse'!$E$1:$E$425,'Forbrug af biomasse'!$A$1:$A$425,$F465,'Forbrug af biomasse'!$C$1:$C$425,$D465,'Forbrug af biomasse'!$B$1:$B$425,$A$1,'Forbrug af biomasse'!$D$1:$D$425,I$2)*'[1]Processer - data'!I465</f>
        <v>#REF!</v>
      </c>
      <c r="J465" s="292" t="e">
        <f>SUMIFS('Forbrug af biomasse'!$E$1:$E$425,'Forbrug af biomasse'!$A$1:$A$425,$F465,'Forbrug af biomasse'!$C$1:$C$425,$D465,'Forbrug af biomasse'!$B$1:$B$425,$A$1,'Forbrug af biomasse'!$D$1:$D$425,J$2)*'[1]Processer - data'!J465</f>
        <v>#REF!</v>
      </c>
    </row>
    <row r="466" spans="1:10" s="171" customFormat="1" x14ac:dyDescent="0.2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9" t="e">
        <f>SUMIFS('Forbrug af biomasse'!$E$1:$E$425,'Forbrug af biomasse'!$A$1:$A$425,$F466,'Forbrug af biomasse'!$C$1:$C$425,$D466,'Forbrug af biomasse'!$B$1:$B$425,$A$1,'Forbrug af biomasse'!$D$1:$D$425,H$2)*'[1]Processer - data'!H466</f>
        <v>#REF!</v>
      </c>
      <c r="I466" s="291" t="e">
        <f>SUMIFS('Forbrug af biomasse'!$E$1:$E$425,'Forbrug af biomasse'!$A$1:$A$425,$F466,'Forbrug af biomasse'!$C$1:$C$425,$D466,'Forbrug af biomasse'!$B$1:$B$425,$A$1,'Forbrug af biomasse'!$D$1:$D$425,I$2)*'[1]Processer - data'!I466</f>
        <v>#REF!</v>
      </c>
      <c r="J466" s="292" t="e">
        <f>SUMIFS('Forbrug af biomasse'!$E$1:$E$425,'Forbrug af biomasse'!$A$1:$A$425,$F466,'Forbrug af biomasse'!$C$1:$C$425,$D466,'Forbrug af biomasse'!$B$1:$B$425,$A$1,'Forbrug af biomasse'!$D$1:$D$425,J$2)*'[1]Processer - data'!J466</f>
        <v>#REF!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6" t="e">
        <f>SUM(H433:H451)*'[1]Processer - data'!$H$467</f>
        <v>#REF!</v>
      </c>
      <c r="I467" s="287" t="e">
        <f>SUM(I433:I451)*'[1]Processer - data'!$H$467</f>
        <v>#REF!</v>
      </c>
      <c r="J467" s="288" t="e">
        <f>SUM(J433:J451)*'[1]Processer - data'!$H$467</f>
        <v>#REF!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80" t="e">
        <f>SUMIFS('Forbrug af biomasse'!$E$1:$E$425,'Forbrug af biomasse'!$A$1:$A$425,$A468,'Forbrug af biomasse'!$C$1:$C$425,$D468,'Forbrug af biomasse'!$B$1:$B$425,$A$1,'Forbrug af biomasse'!$D$1:$D$425,H$2)*'[1]Processer - data'!H468</f>
        <v>#REF!</v>
      </c>
      <c r="I468" s="281" t="e">
        <f>SUMIFS('Forbrug af biomasse'!$E$1:$E$425,'Forbrug af biomasse'!$A$1:$A$425,$A468,'Forbrug af biomasse'!$C$1:$C$425,$D468,'Forbrug af biomasse'!$B$1:$B$425,$A$1,'Forbrug af biomasse'!$D$1:$D$425,I$2)*'[1]Processer - data'!I468</f>
        <v>#REF!</v>
      </c>
      <c r="J468" s="282" t="e">
        <f>SUMIFS('Forbrug af biomasse'!$E$1:$E$425,'Forbrug af biomasse'!$A$1:$A$425,$A468,'Forbrug af biomasse'!$C$1:$C$425,$D468,'Forbrug af biomasse'!$B$1:$B$425,$A$1,'Forbrug af biomasse'!$D$1:$D$425,J$2)*'[1]Processer - data'!J468</f>
        <v>#REF!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80" t="e">
        <f>SUMIFS('Forbrug af biomasse'!$E$1:$E$425,'Forbrug af biomasse'!$A$1:$A$425,$A469,'Forbrug af biomasse'!$C$1:$C$425,$D469,'Forbrug af biomasse'!$B$1:$B$425,$A$1,'Forbrug af biomasse'!$D$1:$D$425,H$2)*'[1]Processer - data'!H469</f>
        <v>#REF!</v>
      </c>
      <c r="I469" s="281" t="e">
        <f>SUMIFS('Forbrug af biomasse'!$E$1:$E$425,'Forbrug af biomasse'!$A$1:$A$425,$A469,'Forbrug af biomasse'!$C$1:$C$425,$D469,'Forbrug af biomasse'!$B$1:$B$425,$A$1,'Forbrug af biomasse'!$D$1:$D$425,I$2)*'[1]Processer - data'!I469</f>
        <v>#REF!</v>
      </c>
      <c r="J469" s="282" t="e">
        <f>SUMIFS('Forbrug af biomasse'!$E$1:$E$425,'Forbrug af biomasse'!$A$1:$A$425,$A469,'Forbrug af biomasse'!$C$1:$C$425,$D469,'Forbrug af biomasse'!$B$1:$B$425,$A$1,'Forbrug af biomasse'!$D$1:$D$425,J$2)*'[1]Processer - data'!J469</f>
        <v>#REF!</v>
      </c>
    </row>
    <row r="470" spans="1:10" ht="15.75" thickBot="1" x14ac:dyDescent="0.3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80" t="e">
        <f>SUMIFS('Forbrug af biomasse'!$E$1:$E$425,'Forbrug af biomasse'!$A$1:$A$425,$A470,'Forbrug af biomasse'!$C$1:$C$425,$D470,'Forbrug af biomasse'!$B$1:$B$425,$A$1,'Forbrug af biomasse'!$D$1:$D$425,H$2)*'[1]Processer - data'!H470</f>
        <v>#REF!</v>
      </c>
      <c r="I470" s="281" t="e">
        <f>SUMIFS('Forbrug af biomasse'!$E$1:$E$425,'Forbrug af biomasse'!$A$1:$A$425,$A470,'Forbrug af biomasse'!$C$1:$C$425,$D470,'Forbrug af biomasse'!$B$1:$B$425,$A$1,'Forbrug af biomasse'!$D$1:$D$425,I$2)*'[1]Processer - data'!I470</f>
        <v>#REF!</v>
      </c>
      <c r="J470" s="282" t="e">
        <f>SUMIFS('Forbrug af biomasse'!$E$1:$E$425,'Forbrug af biomasse'!$A$1:$A$425,$A470,'Forbrug af biomasse'!$C$1:$C$425,$D470,'Forbrug af biomasse'!$B$1:$B$425,$A$1,'Forbrug af biomasse'!$D$1:$D$425,J$2)*'[1]Processer - data'!J470</f>
        <v>#REF!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5" t="e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#REF!</v>
      </c>
      <c r="I471" s="306" t="e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#REF!</v>
      </c>
      <c r="J471" s="307" t="e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#REF!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2" t="e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#REF!</v>
      </c>
      <c r="I472" s="303" t="e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#REF!</v>
      </c>
      <c r="J472" s="304" t="e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#REF!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7" t="e">
        <f>SUMIFS('Forbrug af biomasse'!$E$1:$E$425,'Forbrug af biomasse'!$A$1:$A$425,$A473,'Forbrug af biomasse'!$C$1:$C$425,$D473,'Forbrug af biomasse'!$B$1:$B$425,$A$1,'Forbrug af biomasse'!$D$1:$D$425,H$2)*'[1]Processer - data'!H473</f>
        <v>#REF!</v>
      </c>
      <c r="I473" s="278" t="e">
        <f>SUMIFS('Forbrug af biomasse'!$E$1:$E$425,'Forbrug af biomasse'!$A$1:$A$425,$A473,'Forbrug af biomasse'!$C$1:$C$425,$D473,'Forbrug af biomasse'!$B$1:$B$425,$A$1,'Forbrug af biomasse'!$D$1:$D$425,I$2)*'[1]Processer - data'!I473</f>
        <v>#REF!</v>
      </c>
      <c r="J473" s="279" t="e">
        <f>SUMIFS('Forbrug af biomasse'!$E$1:$E$425,'Forbrug af biomasse'!$A$1:$A$425,$A473,'Forbrug af biomasse'!$C$1:$C$425,$D473,'Forbrug af biomasse'!$B$1:$B$425,$A$1,'Forbrug af biomasse'!$D$1:$D$425,J$2)*'[1]Processer - data'!J473</f>
        <v>#REF!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80" t="e">
        <f>SUMIFS('Forbrug af biomasse'!$E$1:$E$425,'Forbrug af biomasse'!$A$1:$A$425,$A474,'Forbrug af biomasse'!$C$1:$C$425,$D474,'Forbrug af biomasse'!$B$1:$B$425,$A$1,'Forbrug af biomasse'!$D$1:$D$425,H$2)*'[1]Processer - data'!H474</f>
        <v>#REF!</v>
      </c>
      <c r="I474" s="281" t="e">
        <f>SUMIFS('Forbrug af biomasse'!$E$1:$E$425,'Forbrug af biomasse'!$A$1:$A$425,$A474,'Forbrug af biomasse'!$C$1:$C$425,$D474,'Forbrug af biomasse'!$B$1:$B$425,$A$1,'Forbrug af biomasse'!$D$1:$D$425,I$2)*'[1]Processer - data'!I474</f>
        <v>#REF!</v>
      </c>
      <c r="J474" s="282" t="e">
        <f>SUMIFS('Forbrug af biomasse'!$E$1:$E$425,'Forbrug af biomasse'!$A$1:$A$425,$A474,'Forbrug af biomasse'!$C$1:$C$425,$D474,'Forbrug af biomasse'!$B$1:$B$425,$A$1,'Forbrug af biomasse'!$D$1:$D$425,J$2)*'[1]Processer - data'!J474</f>
        <v>#REF!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3" t="e">
        <f>SUMIFS('Forbrug af biomasse'!$E$1:$E$425,'Forbrug af biomasse'!$A$1:$A$425,$A475,'Forbrug af biomasse'!$C$1:$C$425,$D475,'Forbrug af biomasse'!$B$1:$B$425,$A$1,'Forbrug af biomasse'!$D$1:$D$425,H$2)*'[1]Processer - data'!H475</f>
        <v>#REF!</v>
      </c>
      <c r="I475" s="284" t="e">
        <f>SUMIFS('Forbrug af biomasse'!$E$1:$E$425,'Forbrug af biomasse'!$A$1:$A$425,$A475,'Forbrug af biomasse'!$C$1:$C$425,$D475,'Forbrug af biomasse'!$B$1:$B$425,$A$1,'Forbrug af biomasse'!$D$1:$D$425,I$2)*'[1]Processer - data'!I475</f>
        <v>#REF!</v>
      </c>
      <c r="J475" s="285" t="e">
        <f>SUMIFS('Forbrug af biomasse'!$E$1:$E$425,'Forbrug af biomasse'!$A$1:$A$425,$A475,'Forbrug af biomasse'!$C$1:$C$425,$D475,'Forbrug af biomasse'!$B$1:$B$425,$A$1,'Forbrug af biomasse'!$D$1:$D$425,J$2)*'[1]Processer - data'!J475</f>
        <v>#REF!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489"/>
  <sheetViews>
    <sheetView topLeftCell="A285" zoomScale="80" zoomScaleNormal="80" workbookViewId="0">
      <selection activeCell="H300" sqref="H300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7" t="e">
        <f>'Resultater - Vestdanmark'!H3+'Resultater - Østdanmark'!H3</f>
        <v>#REF!</v>
      </c>
      <c r="I3" s="278" t="e">
        <f>'Resultater - Vestdanmark'!I3+'Resultater - Østdanmark'!I3</f>
        <v>#REF!</v>
      </c>
      <c r="J3" s="279" t="e">
        <f>'Resultater - Vestdanmark'!J3+'Resultater - Østdanmark'!J3</f>
        <v>#REF!</v>
      </c>
      <c r="L3" s="98" t="s">
        <v>112</v>
      </c>
      <c r="M3" s="98" t="e">
        <f>SUMIF($F$3:$F$487,$L$3,H$3:H$487)</f>
        <v>#REF!</v>
      </c>
      <c r="N3" s="98" t="e">
        <f>SUMIF($F$3:$F$487,$L$3,I$3:I$487)</f>
        <v>#REF!</v>
      </c>
      <c r="O3" s="98" t="e">
        <f>SUMIF($F$3:$F$487,$L$3,J$3:J$487)</f>
        <v>#REF!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80" t="e">
        <f>'Resultater - Vestdanmark'!H4+'Resultater - Østdanmark'!H4</f>
        <v>#REF!</v>
      </c>
      <c r="I4" s="281" t="e">
        <f>'Resultater - Vestdanmark'!I4+'Resultater - Østdanmark'!I4</f>
        <v>#REF!</v>
      </c>
      <c r="J4" s="282" t="e">
        <f>'Resultater - Vestdanmark'!J4+'Resultater - Østdanmark'!J4</f>
        <v>#REF!</v>
      </c>
      <c r="L4" s="98" t="s">
        <v>168</v>
      </c>
      <c r="M4" s="98" t="e">
        <f t="shared" ref="M4:O6" si="0">SUMIFS(H$3:H$487,$F$3:$F$487,$L$3,$A$3:$A$487,$L4)</f>
        <v>#REF!</v>
      </c>
      <c r="N4" s="98" t="e">
        <f t="shared" si="0"/>
        <v>#REF!</v>
      </c>
      <c r="O4" s="98" t="e">
        <f t="shared" si="0"/>
        <v>#REF!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80" t="e">
        <f>'Resultater - Vestdanmark'!H5+'Resultater - Østdanmark'!H5</f>
        <v>#REF!</v>
      </c>
      <c r="I5" s="281" t="e">
        <f>'Resultater - Vestdanmark'!I5+'Resultater - Østdanmark'!I5</f>
        <v>#REF!</v>
      </c>
      <c r="J5" s="282" t="e">
        <f>'Resultater - Vestdanmark'!J5+'Resultater - Østdanmark'!J5</f>
        <v>#REF!</v>
      </c>
      <c r="L5" s="98" t="s">
        <v>169</v>
      </c>
      <c r="M5" s="98" t="e">
        <f t="shared" si="0"/>
        <v>#REF!</v>
      </c>
      <c r="N5" s="98" t="e">
        <f t="shared" si="0"/>
        <v>#REF!</v>
      </c>
      <c r="O5" s="98" t="e">
        <f t="shared" si="0"/>
        <v>#REF!</v>
      </c>
    </row>
    <row r="6" spans="1:21" s="171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80" t="e">
        <f>'Resultater - Vestdanmark'!H6+'Resultater - Østdanmark'!H6</f>
        <v>#REF!</v>
      </c>
      <c r="I6" s="281" t="e">
        <f>'Resultater - Vestdanmark'!I6+'Resultater - Østdanmark'!I6</f>
        <v>#REF!</v>
      </c>
      <c r="J6" s="282" t="e">
        <f>'Resultater - Vestdanmark'!J6+'Resultater - Østdanmark'!J6</f>
        <v>#REF!</v>
      </c>
      <c r="L6" s="98" t="s">
        <v>170</v>
      </c>
      <c r="M6" s="98" t="e">
        <f t="shared" si="0"/>
        <v>#REF!</v>
      </c>
      <c r="N6" s="98" t="e">
        <f t="shared" si="0"/>
        <v>#REF!</v>
      </c>
      <c r="O6" s="98" t="e">
        <f t="shared" si="0"/>
        <v>#REF!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80" t="e">
        <f>'Resultater - Vestdanmark'!H7+'Resultater - Østdanmark'!H7</f>
        <v>#REF!</v>
      </c>
      <c r="I7" s="281" t="e">
        <f>'Resultater - Vestdanmark'!I7+'Resultater - Østdanmark'!I7</f>
        <v>#REF!</v>
      </c>
      <c r="J7" s="282" t="e">
        <f>'Resultater - Vestdanmark'!J7+'Resultater - Østdanmark'!J7</f>
        <v>#REF!</v>
      </c>
      <c r="L7" s="98" t="s">
        <v>42</v>
      </c>
      <c r="M7" s="98" t="e">
        <f>SUMIFS(H$3:H$487,$F$3:$F$487,$L$3,$C$3:$C$487,$L7)+SUMIFS(H$3:H$487,$F$3:$F$487,$L$3,$C$3:$C$487,"",$A$3:$A$487,"Grøntsager I drivhus")</f>
        <v>#REF!</v>
      </c>
      <c r="N7" s="98" t="e">
        <f>SUMIFS(I$3:I$487,$F$3:$F$487,$L$3,$C$3:$C$487,$L7)+SUMIFS(I$3:I$487,$F$3:$F$487,$L$3,$C$3:$C$487,"",$A$3:$A$487,"Grøntsager I drivhus")</f>
        <v>#REF!</v>
      </c>
      <c r="O7" s="98" t="e">
        <f>SUMIFS(J$3:J$487,$F$3:$F$487,$L$3,$C$3:$C$487,$L7)+SUMIFS(J$3:J$487,$F$3:$F$487,$L$3,$C$3:$C$487,"",$A$3:$A$487,"Grøntsager I drivhus")</f>
        <v>#REF!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80" t="e">
        <f>'Resultater - Vestdanmark'!H8+'Resultater - Østdanmark'!H8</f>
        <v>#REF!</v>
      </c>
      <c r="I8" s="281" t="e">
        <f>'Resultater - Vestdanmark'!I8+'Resultater - Østdanmark'!I8</f>
        <v>#REF!</v>
      </c>
      <c r="J8" s="282" t="e">
        <f>'Resultater - Vestdanmark'!J8+'Resultater - Østdanmark'!J8</f>
        <v>#REF!</v>
      </c>
      <c r="L8" s="98" t="s">
        <v>41</v>
      </c>
      <c r="M8" s="98" t="e">
        <f>SUMIFS(H$3:H$487,$F$3:$F$487,$L$3,$C$3:$C$487,$L8)+SUMIFS(H$3:H$487,$F$3:$F$487,$L$3,$C$3:$C$487,"",$A$3:$A$487,"Grøntsager I drivhus")</f>
        <v>#REF!</v>
      </c>
      <c r="N8" s="98" t="e">
        <f>SUMIFS(I$3:I$487,$F$3:$F$487,$L$3,$C$3:$C$487,$L8)+SUMIFS(I$3:I$487,$F$3:$F$487,$L$3,$C$3:$C$487,"",$A$3:$A$487,"Grøntsager I drivhus")</f>
        <v>#REF!</v>
      </c>
      <c r="O8" s="98" t="e">
        <f>SUMIFS(J$3:J$487,$F$3:$F$487,$L$3,$C$3:$C$487,$L8)</f>
        <v>#REF!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80" t="e">
        <f>'Resultater - Vestdanmark'!H9+'Resultater - Østdanmark'!H9</f>
        <v>#REF!</v>
      </c>
      <c r="I9" s="281" t="e">
        <f>'Resultater - Vestdanmark'!I9+'Resultater - Østdanmark'!I9</f>
        <v>#REF!</v>
      </c>
      <c r="J9" s="282" t="e">
        <f>'Resultater - Vestdanmark'!J9+'Resultater - Østdanmark'!J9</f>
        <v>#REF!</v>
      </c>
      <c r="L9" s="98" t="s">
        <v>40</v>
      </c>
      <c r="M9" s="98" t="e">
        <f>SUMIFS(H$3:H$487,$F$3:$F$487,$L$3,$C$3:$C$487,$L9)+SUMIFS(H$3:H$487,$F$3:$F$487,$L$3,$C$3:$C$487,"",$A$3:$A$487,"Grøntsager I drivhus")</f>
        <v>#REF!</v>
      </c>
      <c r="N9" s="98" t="e">
        <f>SUMIFS(I$3:I$487,$F$3:$F$487,$L$3,$C$3:$C$487,$L9)+SUMIFS(I$3:I$487,$F$3:$F$487,$L$3,$C$3:$C$487,"",$A$3:$A$487,"Grøntsager I drivhus")</f>
        <v>#REF!</v>
      </c>
      <c r="O9" s="98" t="e">
        <f>SUMIFS(J$3:J$487,$F$3:$F$487,$L$3,$C$3:$C$487,$L9)</f>
        <v>#REF!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80" t="e">
        <f>'Resultater - Vestdanmark'!H10+'Resultater - Østdanmark'!H10</f>
        <v>#REF!</v>
      </c>
      <c r="I10" s="281" t="e">
        <f>'Resultater - Vestdanmark'!I10+'Resultater - Østdanmark'!I10</f>
        <v>#REF!</v>
      </c>
      <c r="J10" s="282" t="e">
        <f>'Resultater - Vestdanmark'!J10+'Resultater - Østdanmark'!J10</f>
        <v>#REF!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80" t="e">
        <f>'Resultater - Vestdanmark'!H11+'Resultater - Østdanmark'!H11</f>
        <v>#REF!</v>
      </c>
      <c r="I11" s="281" t="e">
        <f>'Resultater - Vestdanmark'!I11+'Resultater - Østdanmark'!I11</f>
        <v>#REF!</v>
      </c>
      <c r="J11" s="282" t="e">
        <f>'Resultater - Vestdanmark'!J11+'Resultater - Østdanmark'!J11</f>
        <v>#REF!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80" t="e">
        <f>'Resultater - Vestdanmark'!H12+'Resultater - Østdanmark'!H12</f>
        <v>#REF!</v>
      </c>
      <c r="I12" s="281" t="e">
        <f>'Resultater - Vestdanmark'!I12+'Resultater - Østdanmark'!I12</f>
        <v>#REF!</v>
      </c>
      <c r="J12" s="282" t="e">
        <f>'Resultater - Vestdanmark'!J12+'Resultater - Østdanmark'!J12</f>
        <v>#REF!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80" t="e">
        <f>'Resultater - Vestdanmark'!H13+'Resultater - Østdanmark'!H13</f>
        <v>#REF!</v>
      </c>
      <c r="I13" s="281" t="e">
        <f>'Resultater - Vestdanmark'!I13+'Resultater - Østdanmark'!I13</f>
        <v>#REF!</v>
      </c>
      <c r="J13" s="282" t="e">
        <f>'Resultater - Vestdanmark'!J13+'Resultater - Østdanmark'!J13</f>
        <v>#REF!</v>
      </c>
    </row>
    <row r="14" spans="1:2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Skovtype1</v>
      </c>
      <c r="D14" s="98" t="str">
        <f>'Resultater - Vestdanmark'!D14</f>
        <v>Areal-skovtype1-10</v>
      </c>
      <c r="E14" s="98" t="str">
        <f>'Resultater - Vestdanmark'!E14</f>
        <v>Hektar</v>
      </c>
      <c r="F14" s="98" t="str">
        <f>'Resultater - Vestdanmark'!F14</f>
        <v>Træer</v>
      </c>
      <c r="G14" s="98" t="str">
        <f>'Resultater - Vestdanmark'!G14</f>
        <v>m3</v>
      </c>
      <c r="H14" s="280" t="e">
        <f>'Resultater - Vestdanmark'!H14+'Resultater - Østdanmark'!H14</f>
        <v>#REF!</v>
      </c>
      <c r="I14" s="281" t="e">
        <f>'Resultater - Vestdanmark'!I14+'Resultater - Østdanmark'!I14</f>
        <v>#REF!</v>
      </c>
      <c r="J14" s="282" t="e">
        <f>'Resultater - Vestdanmark'!J14+'Resultater - Østdanmark'!J14</f>
        <v>#REF!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 til energi</v>
      </c>
      <c r="G15" s="98" t="str">
        <f>'Resultater - Vestdanmark'!G15</f>
        <v>m3</v>
      </c>
      <c r="H15" s="280" t="e">
        <f>'Resultater - Vestdanmark'!H15+'Resultater - Østdanmark'!H15</f>
        <v>#REF!</v>
      </c>
      <c r="I15" s="281" t="e">
        <f>'Resultater - Vestdanmark'!I15+'Resultater - Østdanmark'!I15</f>
        <v>#REF!</v>
      </c>
      <c r="J15" s="282" t="e">
        <f>'Resultater - Vestdanmark'!J15+'Resultater - Østdanmark'!J15</f>
        <v>#REF!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CO2 - atmosfære</v>
      </c>
      <c r="G16" s="98" t="str">
        <f>'Resultater - Vestdanmark'!G16</f>
        <v>t CO2-ækvivalenter</v>
      </c>
      <c r="H16" s="280" t="e">
        <f>'Resultater - Vestdanmark'!H16+'Resultater - Østdanmark'!H16</f>
        <v>#REF!</v>
      </c>
      <c r="I16" s="281" t="e">
        <f>'Resultater - Vestdanmark'!I16+'Resultater - Østdanmark'!I16</f>
        <v>#REF!</v>
      </c>
      <c r="J16" s="282" t="e">
        <f>'Resultater - Vestdanmark'!J16+'Resultater - Østdanmark'!J16</f>
        <v>#REF!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Areal-skovtype1-20</v>
      </c>
      <c r="E17" s="98" t="str">
        <f>'Resultater - Vestdanmark'!E17</f>
        <v>Hektar</v>
      </c>
      <c r="F17" s="98" t="str">
        <f>'Resultater - Vestdanmark'!F17</f>
        <v>Træer</v>
      </c>
      <c r="G17" s="98" t="str">
        <f>'Resultater - Vestdanmark'!G17</f>
        <v>m3</v>
      </c>
      <c r="H17" s="280" t="e">
        <f>'Resultater - Vestdanmark'!H17+'Resultater - Østdanmark'!H17</f>
        <v>#REF!</v>
      </c>
      <c r="I17" s="281" t="e">
        <f>'Resultater - Vestdanmark'!I17+'Resultater - Østdanmark'!I17</f>
        <v>#REF!</v>
      </c>
      <c r="J17" s="282" t="e">
        <f>'Resultater - Vestdanmark'!J17+'Resultater - Østdanmark'!J17</f>
        <v>#REF!</v>
      </c>
    </row>
    <row r="18" spans="1:10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Areal-skovtype1-20</v>
      </c>
      <c r="E18" s="98" t="str">
        <f>'Resultater - Vestdanmark'!E18</f>
        <v>Hektar</v>
      </c>
      <c r="F18" s="98" t="str">
        <f>'Resultater - Vestdanmark'!F18</f>
        <v>Træ til energi</v>
      </c>
      <c r="G18" s="98" t="str">
        <f>'Resultater - Vestdanmark'!G18</f>
        <v>m3</v>
      </c>
      <c r="H18" s="280" t="e">
        <f>'Resultater - Vestdanmark'!H18+'Resultater - Østdanmark'!H18</f>
        <v>#REF!</v>
      </c>
      <c r="I18" s="281" t="e">
        <f>'Resultater - Vestdanmark'!I18+'Resultater - Østdanmark'!I18</f>
        <v>#REF!</v>
      </c>
      <c r="J18" s="282" t="e">
        <f>'Resultater - Vestdanmark'!J18+'Resultater - Østdanmark'!J18</f>
        <v>#REF!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CO2 - atmosfære</v>
      </c>
      <c r="G19" s="98" t="str">
        <f>'Resultater - Vestdanmark'!G19</f>
        <v>t CO2-ækvivalenter</v>
      </c>
      <c r="H19" s="280" t="e">
        <f>'Resultater - Vestdanmark'!H19+'Resultater - Østdanmark'!H19</f>
        <v>#REF!</v>
      </c>
      <c r="I19" s="281" t="e">
        <f>'Resultater - Vestdanmark'!I19+'Resultater - Østdanmark'!I19</f>
        <v>#REF!</v>
      </c>
      <c r="J19" s="282" t="e">
        <f>'Resultater - Vestdanmark'!J19+'Resultater - Østdanmark'!J19</f>
        <v>#REF!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Areal-skovtype1-30</v>
      </c>
      <c r="E20" s="98" t="str">
        <f>'Resultater - Vestdanmark'!E20</f>
        <v>Hektar</v>
      </c>
      <c r="F20" s="98" t="str">
        <f>'Resultater - Vestdanmark'!F20</f>
        <v>Træer</v>
      </c>
      <c r="G20" s="98" t="str">
        <f>'Resultater - Vestdanmark'!G20</f>
        <v>m3</v>
      </c>
      <c r="H20" s="280" t="e">
        <f>'Resultater - Vestdanmark'!H20+'Resultater - Østdanmark'!H20</f>
        <v>#REF!</v>
      </c>
      <c r="I20" s="281" t="e">
        <f>'Resultater - Vestdanmark'!I20+'Resultater - Østdanmark'!I20</f>
        <v>#REF!</v>
      </c>
      <c r="J20" s="282" t="e">
        <f>'Resultater - Vestdanmark'!J20+'Resultater - Østdanmark'!J20</f>
        <v>#REF!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Areal-skovtype1-30</v>
      </c>
      <c r="E21" s="98" t="str">
        <f>'Resultater - Vestdanmark'!E21</f>
        <v>Hektar</v>
      </c>
      <c r="F21" s="98" t="str">
        <f>'Resultater - Vestdanmark'!F21</f>
        <v>Træ til energi</v>
      </c>
      <c r="G21" s="98" t="str">
        <f>'Resultater - Vestdanmark'!G21</f>
        <v>m3</v>
      </c>
      <c r="H21" s="280" t="e">
        <f>'Resultater - Vestdanmark'!H21+'Resultater - Østdanmark'!H21</f>
        <v>#REF!</v>
      </c>
      <c r="I21" s="281" t="e">
        <f>'Resultater - Vestdanmark'!I21+'Resultater - Østdanmark'!I21</f>
        <v>#REF!</v>
      </c>
      <c r="J21" s="282" t="e">
        <f>'Resultater - Vestdanmark'!J21+'Resultater - Østdanmark'!J21</f>
        <v>#REF!</v>
      </c>
    </row>
    <row r="22" spans="1:10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Areal-skovtype1-30</v>
      </c>
      <c r="E22" s="98" t="str">
        <f>'Resultater - Vestdanmark'!E22</f>
        <v>Hektar</v>
      </c>
      <c r="F22" s="98" t="str">
        <f>'Resultater - Vestdanmark'!F22</f>
        <v>CO2 - atmosfære</v>
      </c>
      <c r="G22" s="98" t="str">
        <f>'Resultater - Vestdanmark'!G22</f>
        <v>t CO2-ækvivalenter</v>
      </c>
      <c r="H22" s="280" t="e">
        <f>'Resultater - Vestdanmark'!H22+'Resultater - Østdanmark'!H22</f>
        <v>#REF!</v>
      </c>
      <c r="I22" s="281" t="e">
        <f>'Resultater - Vestdanmark'!I22+'Resultater - Østdanmark'!I22</f>
        <v>#REF!</v>
      </c>
      <c r="J22" s="282" t="e">
        <f>'Resultater - Vestdanmark'!J22+'Resultater - Østdanmark'!J22</f>
        <v>#REF!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Areal-skovtype1-40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80" t="e">
        <f>'Resultater - Vestdanmark'!H23+'Resultater - Østdanmark'!H23</f>
        <v>#REF!</v>
      </c>
      <c r="I23" s="281" t="e">
        <f>'Resultater - Vestdanmark'!I23+'Resultater - Østdanmark'!I23</f>
        <v>#REF!</v>
      </c>
      <c r="J23" s="282" t="e">
        <f>'Resultater - Vestdanmark'!J23+'Resultater - Østdanmark'!J23</f>
        <v>#REF!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Areal-skovtype1-40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80" t="e">
        <f>'Resultater - Vestdanmark'!H24+'Resultater - Østdanmark'!H24</f>
        <v>#REF!</v>
      </c>
      <c r="I24" s="281" t="e">
        <f>'Resultater - Vestdanmark'!I24+'Resultater - Østdanmark'!I24</f>
        <v>#REF!</v>
      </c>
      <c r="J24" s="282" t="e">
        <f>'Resultater - Vestdanmark'!J24+'Resultater - Østdanmark'!J24</f>
        <v>#REF!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Areal-skovtype1-40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80" t="e">
        <f>'Resultater - Vestdanmark'!H25+'Resultater - Østdanmark'!H25</f>
        <v>#REF!</v>
      </c>
      <c r="I25" s="281" t="e">
        <f>'Resultater - Vestdanmark'!I25+'Resultater - Østdanmark'!I25</f>
        <v>#REF!</v>
      </c>
      <c r="J25" s="282" t="e">
        <f>'Resultater - Vestdanmark'!J25+'Resultater - Østdanmark'!J25</f>
        <v>#REF!</v>
      </c>
    </row>
    <row r="26" spans="1:10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Skovtype2</v>
      </c>
      <c r="D26" s="98" t="str">
        <f>'Resultater - Vestdanmark'!D26</f>
        <v>Areal-skovtype2-10</v>
      </c>
      <c r="E26" s="98" t="str">
        <f>'Resultater - Vestdanmark'!E26</f>
        <v>Hektar</v>
      </c>
      <c r="F26" s="98" t="str">
        <f>'Resultater - Vestdanmark'!F26</f>
        <v>Træer</v>
      </c>
      <c r="G26" s="98" t="str">
        <f>'Resultater - Vestdanmark'!G26</f>
        <v>m3</v>
      </c>
      <c r="H26" s="280" t="e">
        <f>'Resultater - Vestdanmark'!H26+'Resultater - Østdanmark'!H26</f>
        <v>#REF!</v>
      </c>
      <c r="I26" s="281" t="e">
        <f>'Resultater - Vestdanmark'!I26+'Resultater - Østdanmark'!I26</f>
        <v>#REF!</v>
      </c>
      <c r="J26" s="282" t="e">
        <f>'Resultater - Vestdanmark'!J26+'Resultater - Østdanmark'!J26</f>
        <v>#REF!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Skovtype2</v>
      </c>
      <c r="D27" s="98" t="str">
        <f>'Resultater - Vestdanmark'!D27</f>
        <v>Areal-skovtype2-10</v>
      </c>
      <c r="E27" s="98" t="str">
        <f>'Resultater - Vestdanmark'!E27</f>
        <v>Hektar</v>
      </c>
      <c r="F27" s="98" t="str">
        <f>'Resultater - Vestdanmark'!F27</f>
        <v>Træ til energi</v>
      </c>
      <c r="G27" s="98" t="str">
        <f>'Resultater - Vestdanmark'!G27</f>
        <v>m3</v>
      </c>
      <c r="H27" s="280" t="e">
        <f>'Resultater - Vestdanmark'!H27+'Resultater - Østdanmark'!H27</f>
        <v>#REF!</v>
      </c>
      <c r="I27" s="281" t="e">
        <f>'Resultater - Vestdanmark'!I27+'Resultater - Østdanmark'!I27</f>
        <v>#REF!</v>
      </c>
      <c r="J27" s="282" t="e">
        <f>'Resultater - Vestdanmark'!J27+'Resultater - Østdanmark'!J27</f>
        <v>#REF!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Skovtype2</v>
      </c>
      <c r="D28" s="98" t="str">
        <f>'Resultater - Vestdanmark'!D28</f>
        <v>Areal-skovtype2-10</v>
      </c>
      <c r="E28" s="98" t="str">
        <f>'Resultater - Vestdanmark'!E28</f>
        <v>Hektar</v>
      </c>
      <c r="F28" s="98" t="str">
        <f>'Resultater - Vestdanmark'!F28</f>
        <v>CO2 - atmosfære</v>
      </c>
      <c r="G28" s="98" t="str">
        <f>'Resultater - Vestdanmark'!G28</f>
        <v>t CO2-ækvivalenter</v>
      </c>
      <c r="H28" s="280" t="e">
        <f>'Resultater - Vestdanmark'!H28+'Resultater - Østdanmark'!H28</f>
        <v>#REF!</v>
      </c>
      <c r="I28" s="281" t="e">
        <f>'Resultater - Vestdanmark'!I28+'Resultater - Østdanmark'!I28</f>
        <v>#REF!</v>
      </c>
      <c r="J28" s="282" t="e">
        <f>'Resultater - Vestdanmark'!J28+'Resultater - Østdanmark'!J28</f>
        <v>#REF!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Skovtype2</v>
      </c>
      <c r="D29" s="98" t="str">
        <f>'Resultater - Vestdanmark'!D29</f>
        <v>Areal-skovtype2-20</v>
      </c>
      <c r="E29" s="98" t="str">
        <f>'Resultater - Vestdanmark'!E29</f>
        <v>Hektar</v>
      </c>
      <c r="F29" s="98" t="str">
        <f>'Resultater - Vestdanmark'!F29</f>
        <v>Træer</v>
      </c>
      <c r="G29" s="98" t="str">
        <f>'Resultater - Vestdanmark'!G29</f>
        <v>m3</v>
      </c>
      <c r="H29" s="280" t="e">
        <f>'Resultater - Vestdanmark'!H29+'Resultater - Østdanmark'!H29</f>
        <v>#REF!</v>
      </c>
      <c r="I29" s="281" t="e">
        <f>'Resultater - Vestdanmark'!I29+'Resultater - Østdanmark'!I29</f>
        <v>#REF!</v>
      </c>
      <c r="J29" s="282" t="e">
        <f>'Resultater - Vestdanmark'!J29+'Resultater - Østdanmark'!J29</f>
        <v>#REF!</v>
      </c>
    </row>
    <row r="30" spans="1:10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Skovtype2</v>
      </c>
      <c r="D30" s="98" t="str">
        <f>'Resultater - Vestdanmark'!D30</f>
        <v>Areal-skovtype2-20</v>
      </c>
      <c r="E30" s="98" t="str">
        <f>'Resultater - Vestdanmark'!E30</f>
        <v>Hektar</v>
      </c>
      <c r="F30" s="98" t="str">
        <f>'Resultater - Vestdanmark'!F30</f>
        <v>Træ til energi</v>
      </c>
      <c r="G30" s="98" t="str">
        <f>'Resultater - Vestdanmark'!G30</f>
        <v>m3</v>
      </c>
      <c r="H30" s="280" t="e">
        <f>'Resultater - Vestdanmark'!H30+'Resultater - Østdanmark'!H30</f>
        <v>#REF!</v>
      </c>
      <c r="I30" s="281" t="e">
        <f>'Resultater - Vestdanmark'!I30+'Resultater - Østdanmark'!I30</f>
        <v>#REF!</v>
      </c>
      <c r="J30" s="282" t="e">
        <f>'Resultater - Vestdanmark'!J30+'Resultater - Østdanmark'!J30</f>
        <v>#REF!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Areal-skovtype2-20</v>
      </c>
      <c r="E31" s="98" t="str">
        <f>'Resultater - Vestdanmark'!E31</f>
        <v>Hektar</v>
      </c>
      <c r="F31" s="98" t="str">
        <f>'Resultater - Vestdanmark'!F31</f>
        <v>CO2 - atmosfære</v>
      </c>
      <c r="G31" s="98" t="str">
        <f>'Resultater - Vestdanmark'!G31</f>
        <v>t CO2-ækvivalenter</v>
      </c>
      <c r="H31" s="280" t="e">
        <f>'Resultater - Vestdanmark'!H31+'Resultater - Østdanmark'!H31</f>
        <v>#REF!</v>
      </c>
      <c r="I31" s="281" t="e">
        <f>'Resultater - Vestdanmark'!I31+'Resultater - Østdanmark'!I31</f>
        <v>#REF!</v>
      </c>
      <c r="J31" s="282" t="e">
        <f>'Resultater - Vestdanmark'!J31+'Resultater - Østdanmark'!J31</f>
        <v>#REF!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Areal-skovtype2-30</v>
      </c>
      <c r="E32" s="98" t="str">
        <f>'Resultater - Vestdanmark'!E32</f>
        <v>Hektar</v>
      </c>
      <c r="F32" s="98" t="str">
        <f>'Resultater - Vestdanmark'!F32</f>
        <v>Træer</v>
      </c>
      <c r="G32" s="98" t="str">
        <f>'Resultater - Vestdanmark'!G32</f>
        <v>m3</v>
      </c>
      <c r="H32" s="280" t="e">
        <f>'Resultater - Vestdanmark'!H32+'Resultater - Østdanmark'!H32</f>
        <v>#REF!</v>
      </c>
      <c r="I32" s="281" t="e">
        <f>'Resultater - Vestdanmark'!I32+'Resultater - Østdanmark'!I32</f>
        <v>#REF!</v>
      </c>
      <c r="J32" s="282" t="e">
        <f>'Resultater - Vestdanmark'!J32+'Resultater - Østdanmark'!J32</f>
        <v>#REF!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Areal-skovtype2-30</v>
      </c>
      <c r="E33" s="98" t="str">
        <f>'Resultater - Vestdanmark'!E33</f>
        <v>Hektar</v>
      </c>
      <c r="F33" s="98" t="str">
        <f>'Resultater - Vestdanmark'!F33</f>
        <v>Træ til energi</v>
      </c>
      <c r="G33" s="98" t="str">
        <f>'Resultater - Vestdanmark'!G33</f>
        <v>m3</v>
      </c>
      <c r="H33" s="280" t="e">
        <f>'Resultater - Vestdanmark'!H33+'Resultater - Østdanmark'!H33</f>
        <v>#REF!</v>
      </c>
      <c r="I33" s="281" t="e">
        <f>'Resultater - Vestdanmark'!I33+'Resultater - Østdanmark'!I33</f>
        <v>#REF!</v>
      </c>
      <c r="J33" s="282" t="e">
        <f>'Resultater - Vestdanmark'!J33+'Resultater - Østdanmark'!J33</f>
        <v>#REF!</v>
      </c>
    </row>
    <row r="34" spans="1:10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Areal-skovtype2-30</v>
      </c>
      <c r="E34" s="98" t="str">
        <f>'Resultater - Vestdanmark'!E34</f>
        <v>Hektar</v>
      </c>
      <c r="F34" s="98" t="str">
        <f>'Resultater - Vestdanmark'!F34</f>
        <v>CO2 - atmosfære</v>
      </c>
      <c r="G34" s="98" t="str">
        <f>'Resultater - Vestdanmark'!G34</f>
        <v>t CO2-ækvivalenter</v>
      </c>
      <c r="H34" s="280" t="e">
        <f>'Resultater - Vestdanmark'!H34+'Resultater - Østdanmark'!H34</f>
        <v>#REF!</v>
      </c>
      <c r="I34" s="281" t="e">
        <f>'Resultater - Vestdanmark'!I34+'Resultater - Østdanmark'!I34</f>
        <v>#REF!</v>
      </c>
      <c r="J34" s="282" t="e">
        <f>'Resultater - Vestdanmark'!J34+'Resultater - Østdanmark'!J34</f>
        <v>#REF!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Areal-skovtype2-40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80" t="e">
        <f>'Resultater - Vestdanmark'!H35+'Resultater - Østdanmark'!H35</f>
        <v>#REF!</v>
      </c>
      <c r="I35" s="281" t="e">
        <f>'Resultater - Vestdanmark'!I35+'Resultater - Østdanmark'!I35</f>
        <v>#REF!</v>
      </c>
      <c r="J35" s="282" t="e">
        <f>'Resultater - Vestdanmark'!J35+'Resultater - Østdanmark'!J35</f>
        <v>#REF!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Areal-skovtype2-40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80" t="e">
        <f>'Resultater - Vestdanmark'!H36+'Resultater - Østdanmark'!H36</f>
        <v>#REF!</v>
      </c>
      <c r="I36" s="281" t="e">
        <f>'Resultater - Vestdanmark'!I36+'Resultater - Østdanmark'!I36</f>
        <v>#REF!</v>
      </c>
      <c r="J36" s="282" t="e">
        <f>'Resultater - Vestdanmark'!J36+'Resultater - Østdanmark'!J36</f>
        <v>#REF!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Areal-skovtype2-40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80" t="e">
        <f>'Resultater - Vestdanmark'!H37+'Resultater - Østdanmark'!H37</f>
        <v>#REF!</v>
      </c>
      <c r="I37" s="281" t="e">
        <f>'Resultater - Vestdanmark'!I37+'Resultater - Østdanmark'!I37</f>
        <v>#REF!</v>
      </c>
      <c r="J37" s="282" t="e">
        <f>'Resultater - Vestdanmark'!J37+'Resultater - Østdanmark'!J37</f>
        <v>#REF!</v>
      </c>
    </row>
    <row r="38" spans="1:10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Skovtype3</v>
      </c>
      <c r="D38" s="98" t="str">
        <f>'Resultater - Vestdanmark'!D38</f>
        <v>Areal-skovtype3-10</v>
      </c>
      <c r="E38" s="98" t="str">
        <f>'Resultater - Vestdanmark'!E38</f>
        <v>Hektar</v>
      </c>
      <c r="F38" s="98" t="str">
        <f>'Resultater - Vestdanmark'!F38</f>
        <v>Træer</v>
      </c>
      <c r="G38" s="98" t="str">
        <f>'Resultater - Vestdanmark'!G38</f>
        <v>m3</v>
      </c>
      <c r="H38" s="280" t="e">
        <f>'Resultater - Vestdanmark'!H38+'Resultater - Østdanmark'!H38</f>
        <v>#REF!</v>
      </c>
      <c r="I38" s="281" t="e">
        <f>'Resultater - Vestdanmark'!I38+'Resultater - Østdanmark'!I38</f>
        <v>#REF!</v>
      </c>
      <c r="J38" s="282" t="e">
        <f>'Resultater - Vestdanmark'!J38+'Resultater - Østdanmark'!J38</f>
        <v>#REF!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Skovtype3</v>
      </c>
      <c r="D39" s="98" t="str">
        <f>'Resultater - Vestdanmark'!D39</f>
        <v>Areal-skovtype3-10</v>
      </c>
      <c r="E39" s="98" t="str">
        <f>'Resultater - Vestdanmark'!E39</f>
        <v>Hektar</v>
      </c>
      <c r="F39" s="98" t="str">
        <f>'Resultater - Vestdanmark'!F39</f>
        <v>Træ til energi</v>
      </c>
      <c r="G39" s="98" t="str">
        <f>'Resultater - Vestdanmark'!G39</f>
        <v>m3</v>
      </c>
      <c r="H39" s="280" t="e">
        <f>'Resultater - Vestdanmark'!H39+'Resultater - Østdanmark'!H39</f>
        <v>#REF!</v>
      </c>
      <c r="I39" s="281" t="e">
        <f>'Resultater - Vestdanmark'!I39+'Resultater - Østdanmark'!I39</f>
        <v>#REF!</v>
      </c>
      <c r="J39" s="282" t="e">
        <f>'Resultater - Vestdanmark'!J39+'Resultater - Østdanmark'!J39</f>
        <v>#REF!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Skovtype3</v>
      </c>
      <c r="D40" s="98" t="str">
        <f>'Resultater - Vestdanmark'!D40</f>
        <v>Areal-skovtype3-10</v>
      </c>
      <c r="E40" s="98" t="str">
        <f>'Resultater - Vestdanmark'!E40</f>
        <v>Hektar</v>
      </c>
      <c r="F40" s="98" t="str">
        <f>'Resultater - Vestdanmark'!F40</f>
        <v>CO2 - atmosfære</v>
      </c>
      <c r="G40" s="98" t="str">
        <f>'Resultater - Vestdanmark'!G40</f>
        <v>t CO2-ækvivalenter</v>
      </c>
      <c r="H40" s="280" t="e">
        <f>'Resultater - Vestdanmark'!H40+'Resultater - Østdanmark'!H40</f>
        <v>#REF!</v>
      </c>
      <c r="I40" s="281" t="e">
        <f>'Resultater - Vestdanmark'!I40+'Resultater - Østdanmark'!I40</f>
        <v>#REF!</v>
      </c>
      <c r="J40" s="282" t="e">
        <f>'Resultater - Vestdanmark'!J40+'Resultater - Østdanmark'!J40</f>
        <v>#REF!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Skovtype3</v>
      </c>
      <c r="D41" s="98" t="str">
        <f>'Resultater - Vestdanmark'!D41</f>
        <v>Areal-skovtype3-20</v>
      </c>
      <c r="E41" s="98" t="str">
        <f>'Resultater - Vestdanmark'!E41</f>
        <v>Hektar</v>
      </c>
      <c r="F41" s="98" t="str">
        <f>'Resultater - Vestdanmark'!F41</f>
        <v>Træer</v>
      </c>
      <c r="G41" s="98" t="str">
        <f>'Resultater - Vestdanmark'!G41</f>
        <v>m3</v>
      </c>
      <c r="H41" s="280" t="e">
        <f>'Resultater - Vestdanmark'!H41+'Resultater - Østdanmark'!H41</f>
        <v>#REF!</v>
      </c>
      <c r="I41" s="281" t="e">
        <f>'Resultater - Vestdanmark'!I41+'Resultater - Østdanmark'!I41</f>
        <v>#REF!</v>
      </c>
      <c r="J41" s="282" t="e">
        <f>'Resultater - Vestdanmark'!J41+'Resultater - Østdanmark'!J41</f>
        <v>#REF!</v>
      </c>
    </row>
    <row r="42" spans="1:10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Skovtype3</v>
      </c>
      <c r="D42" s="98" t="str">
        <f>'Resultater - Vestdanmark'!D42</f>
        <v>Areal-skovtype3-20</v>
      </c>
      <c r="E42" s="98" t="str">
        <f>'Resultater - Vestdanmark'!E42</f>
        <v>Hektar</v>
      </c>
      <c r="F42" s="98" t="str">
        <f>'Resultater - Vestdanmark'!F42</f>
        <v>Træ til energi</v>
      </c>
      <c r="G42" s="98" t="str">
        <f>'Resultater - Vestdanmark'!G42</f>
        <v>m3</v>
      </c>
      <c r="H42" s="280" t="e">
        <f>'Resultater - Vestdanmark'!H42+'Resultater - Østdanmark'!H42</f>
        <v>#REF!</v>
      </c>
      <c r="I42" s="281" t="e">
        <f>'Resultater - Vestdanmark'!I42+'Resultater - Østdanmark'!I42</f>
        <v>#REF!</v>
      </c>
      <c r="J42" s="282" t="e">
        <f>'Resultater - Vestdanmark'!J42+'Resultater - Østdanmark'!J42</f>
        <v>#REF!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Skovtype3</v>
      </c>
      <c r="D43" s="98" t="str">
        <f>'Resultater - Vestdanmark'!D43</f>
        <v>Areal-skovtype3-20</v>
      </c>
      <c r="E43" s="98" t="str">
        <f>'Resultater - Vestdanmark'!E43</f>
        <v>Hektar</v>
      </c>
      <c r="F43" s="98" t="str">
        <f>'Resultater - Vestdanmark'!F43</f>
        <v>CO2 - atmosfære</v>
      </c>
      <c r="G43" s="98" t="str">
        <f>'Resultater - Vestdanmark'!G43</f>
        <v>t CO2-ækvivalenter</v>
      </c>
      <c r="H43" s="280" t="e">
        <f>'Resultater - Vestdanmark'!H43+'Resultater - Østdanmark'!H43</f>
        <v>#REF!</v>
      </c>
      <c r="I43" s="281" t="e">
        <f>'Resultater - Vestdanmark'!I43+'Resultater - Østdanmark'!I43</f>
        <v>#REF!</v>
      </c>
      <c r="J43" s="282" t="e">
        <f>'Resultater - Vestdanmark'!J43+'Resultater - Østdanmark'!J43</f>
        <v>#REF!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Skovtype3</v>
      </c>
      <c r="D44" s="98" t="str">
        <f>'Resultater - Vestdanmark'!D44</f>
        <v>Areal-skovtype3-30</v>
      </c>
      <c r="E44" s="98" t="str">
        <f>'Resultater - Vestdanmark'!E44</f>
        <v>Hektar</v>
      </c>
      <c r="F44" s="98" t="str">
        <f>'Resultater - Vestdanmark'!F44</f>
        <v>Træer</v>
      </c>
      <c r="G44" s="98" t="str">
        <f>'Resultater - Vestdanmark'!G44</f>
        <v>m3</v>
      </c>
      <c r="H44" s="280" t="e">
        <f>'Resultater - Vestdanmark'!H44+'Resultater - Østdanmark'!H44</f>
        <v>#REF!</v>
      </c>
      <c r="I44" s="281" t="e">
        <f>'Resultater - Vestdanmark'!I44+'Resultater - Østdanmark'!I44</f>
        <v>#REF!</v>
      </c>
      <c r="J44" s="282" t="e">
        <f>'Resultater - Vestdanmark'!J44+'Resultater - Østdanmark'!J44</f>
        <v>#REF!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Skovtype3</v>
      </c>
      <c r="D45" s="98" t="str">
        <f>'Resultater - Vestdanmark'!D45</f>
        <v>Areal-skovtype3-30</v>
      </c>
      <c r="E45" s="98" t="str">
        <f>'Resultater - Vestdanmark'!E45</f>
        <v>Hektar</v>
      </c>
      <c r="F45" s="98" t="str">
        <f>'Resultater - Vestdanmark'!F45</f>
        <v>Træ til energi</v>
      </c>
      <c r="G45" s="98" t="str">
        <f>'Resultater - Vestdanmark'!G45</f>
        <v>m3</v>
      </c>
      <c r="H45" s="280" t="e">
        <f>'Resultater - Vestdanmark'!H45+'Resultater - Østdanmark'!H45</f>
        <v>#REF!</v>
      </c>
      <c r="I45" s="281" t="e">
        <f>'Resultater - Vestdanmark'!I45+'Resultater - Østdanmark'!I45</f>
        <v>#REF!</v>
      </c>
      <c r="J45" s="282" t="e">
        <f>'Resultater - Vestdanmark'!J45+'Resultater - Østdanmark'!J45</f>
        <v>#REF!</v>
      </c>
    </row>
    <row r="46" spans="1:10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Skovtype3</v>
      </c>
      <c r="D46" s="98" t="str">
        <f>'Resultater - Vestdanmark'!D46</f>
        <v>Areal-skovtype3-30</v>
      </c>
      <c r="E46" s="98" t="str">
        <f>'Resultater - Vestdanmark'!E46</f>
        <v>Hektar</v>
      </c>
      <c r="F46" s="98" t="str">
        <f>'Resultater - Vestdanmark'!F46</f>
        <v>CO2 - atmosfære</v>
      </c>
      <c r="G46" s="98" t="str">
        <f>'Resultater - Vestdanmark'!G46</f>
        <v>t CO2-ækvivalenter</v>
      </c>
      <c r="H46" s="280" t="e">
        <f>'Resultater - Vestdanmark'!H46+'Resultater - Østdanmark'!H46</f>
        <v>#REF!</v>
      </c>
      <c r="I46" s="281" t="e">
        <f>'Resultater - Vestdanmark'!I46+'Resultater - Østdanmark'!I46</f>
        <v>#REF!</v>
      </c>
      <c r="J46" s="282" t="e">
        <f>'Resultater - Vestdanmark'!J46+'Resultater - Østdanmark'!J46</f>
        <v>#REF!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Areal-skovtype3-40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80" t="e">
        <f>'Resultater - Vestdanmark'!H47+'Resultater - Østdanmark'!H47</f>
        <v>#REF!</v>
      </c>
      <c r="I47" s="281" t="e">
        <f>'Resultater - Vestdanmark'!I47+'Resultater - Østdanmark'!I47</f>
        <v>#REF!</v>
      </c>
      <c r="J47" s="282" t="e">
        <f>'Resultater - Vestdanmark'!J47+'Resultater - Østdanmark'!J47</f>
        <v>#REF!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Areal-skovtype3-40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80" t="e">
        <f>'Resultater - Vestdanmark'!H48+'Resultater - Østdanmark'!H48</f>
        <v>#REF!</v>
      </c>
      <c r="I48" s="281" t="e">
        <f>'Resultater - Vestdanmark'!I48+'Resultater - Østdanmark'!I48</f>
        <v>#REF!</v>
      </c>
      <c r="J48" s="282" t="e">
        <f>'Resultater - Vestdanmark'!J48+'Resultater - Østdanmark'!J48</f>
        <v>#REF!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Areal-skovtype3-40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80" t="e">
        <f>'Resultater - Vestdanmark'!H49+'Resultater - Østdanmark'!H49</f>
        <v>#REF!</v>
      </c>
      <c r="I49" s="281" t="e">
        <f>'Resultater - Vestdanmark'!I49+'Resultater - Østdanmark'!I49</f>
        <v>#REF!</v>
      </c>
      <c r="J49" s="282" t="e">
        <f>'Resultater - Vestdanmark'!J49+'Resultater - Østdanmark'!J49</f>
        <v>#REF!</v>
      </c>
    </row>
    <row r="50" spans="1:10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Skovtype4</v>
      </c>
      <c r="D50" s="98" t="str">
        <f>'Resultater - Vestdanmark'!D50</f>
        <v>Areal-skovtype4-10</v>
      </c>
      <c r="E50" s="98" t="str">
        <f>'Resultater - Vestdanmark'!E50</f>
        <v>Hektar</v>
      </c>
      <c r="F50" s="98" t="str">
        <f>'Resultater - Vestdanmark'!F50</f>
        <v>Træer</v>
      </c>
      <c r="G50" s="98" t="str">
        <f>'Resultater - Vestdanmark'!G50</f>
        <v>m3</v>
      </c>
      <c r="H50" s="280" t="e">
        <f>'Resultater - Vestdanmark'!H50+'Resultater - Østdanmark'!H50</f>
        <v>#REF!</v>
      </c>
      <c r="I50" s="281" t="e">
        <f>'Resultater - Vestdanmark'!I50+'Resultater - Østdanmark'!I50</f>
        <v>#REF!</v>
      </c>
      <c r="J50" s="282" t="e">
        <f>'Resultater - Vestdanmark'!J50+'Resultater - Østdanmark'!J50</f>
        <v>#REF!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Skovtype4</v>
      </c>
      <c r="D51" s="98" t="str">
        <f>'Resultater - Vestdanmark'!D51</f>
        <v>Areal-skovtype4-10</v>
      </c>
      <c r="E51" s="98" t="str">
        <f>'Resultater - Vestdanmark'!E51</f>
        <v>Hektar</v>
      </c>
      <c r="F51" s="98" t="str">
        <f>'Resultater - Vestdanmark'!F51</f>
        <v>Træ til energi</v>
      </c>
      <c r="G51" s="98" t="str">
        <f>'Resultater - Vestdanmark'!G51</f>
        <v>m3</v>
      </c>
      <c r="H51" s="280" t="e">
        <f>'Resultater - Vestdanmark'!H51+'Resultater - Østdanmark'!H51</f>
        <v>#REF!</v>
      </c>
      <c r="I51" s="281" t="e">
        <f>'Resultater - Vestdanmark'!I51+'Resultater - Østdanmark'!I51</f>
        <v>#REF!</v>
      </c>
      <c r="J51" s="282" t="e">
        <f>'Resultater - Vestdanmark'!J51+'Resultater - Østdanmark'!J51</f>
        <v>#REF!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Skovtype4</v>
      </c>
      <c r="D52" s="98" t="str">
        <f>'Resultater - Vestdanmark'!D52</f>
        <v>Areal-skovtype4-10</v>
      </c>
      <c r="E52" s="98" t="str">
        <f>'Resultater - Vestdanmark'!E52</f>
        <v>Hektar</v>
      </c>
      <c r="F52" s="98" t="str">
        <f>'Resultater - Vestdanmark'!F52</f>
        <v>CO2 - atmosfære</v>
      </c>
      <c r="G52" s="98" t="str">
        <f>'Resultater - Vestdanmark'!G52</f>
        <v>t CO2-ækvivalenter</v>
      </c>
      <c r="H52" s="280" t="e">
        <f>'Resultater - Vestdanmark'!H52+'Resultater - Østdanmark'!H52</f>
        <v>#REF!</v>
      </c>
      <c r="I52" s="281" t="e">
        <f>'Resultater - Vestdanmark'!I52+'Resultater - Østdanmark'!I52</f>
        <v>#REF!</v>
      </c>
      <c r="J52" s="282" t="e">
        <f>'Resultater - Vestdanmark'!J52+'Resultater - Østdanmark'!J52</f>
        <v>#REF!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Skovtype4</v>
      </c>
      <c r="D53" s="98" t="str">
        <f>'Resultater - Vestdanmark'!D53</f>
        <v>Areal-skovtype4-20</v>
      </c>
      <c r="E53" s="98" t="str">
        <f>'Resultater - Vestdanmark'!E53</f>
        <v>Hektar</v>
      </c>
      <c r="F53" s="98" t="str">
        <f>'Resultater - Vestdanmark'!F53</f>
        <v>Træer</v>
      </c>
      <c r="G53" s="98" t="str">
        <f>'Resultater - Vestdanmark'!G53</f>
        <v>m3</v>
      </c>
      <c r="H53" s="280" t="e">
        <f>'Resultater - Vestdanmark'!H53+'Resultater - Østdanmark'!H53</f>
        <v>#REF!</v>
      </c>
      <c r="I53" s="281" t="e">
        <f>'Resultater - Vestdanmark'!I53+'Resultater - Østdanmark'!I53</f>
        <v>#REF!</v>
      </c>
      <c r="J53" s="282" t="e">
        <f>'Resultater - Vestdanmark'!J53+'Resultater - Østdanmark'!J53</f>
        <v>#REF!</v>
      </c>
    </row>
    <row r="54" spans="1:10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Skovtype4</v>
      </c>
      <c r="D54" s="98" t="str">
        <f>'Resultater - Vestdanmark'!D54</f>
        <v>Areal-skovtype4-20</v>
      </c>
      <c r="E54" s="98" t="str">
        <f>'Resultater - Vestdanmark'!E54</f>
        <v>Hektar</v>
      </c>
      <c r="F54" s="98" t="str">
        <f>'Resultater - Vestdanmark'!F54</f>
        <v>Træ til energi</v>
      </c>
      <c r="G54" s="98" t="str">
        <f>'Resultater - Vestdanmark'!G54</f>
        <v>m3</v>
      </c>
      <c r="H54" s="280" t="e">
        <f>'Resultater - Vestdanmark'!H54+'Resultater - Østdanmark'!H54</f>
        <v>#REF!</v>
      </c>
      <c r="I54" s="281" t="e">
        <f>'Resultater - Vestdanmark'!I54+'Resultater - Østdanmark'!I54</f>
        <v>#REF!</v>
      </c>
      <c r="J54" s="282" t="e">
        <f>'Resultater - Vestdanmark'!J54+'Resultater - Østdanmark'!J54</f>
        <v>#REF!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Skovtype4</v>
      </c>
      <c r="D55" s="98" t="str">
        <f>'Resultater - Vestdanmark'!D55</f>
        <v>Areal-skovtype4-20</v>
      </c>
      <c r="E55" s="98" t="str">
        <f>'Resultater - Vestdanmark'!E55</f>
        <v>Hektar</v>
      </c>
      <c r="F55" s="98" t="str">
        <f>'Resultater - Vestdanmark'!F55</f>
        <v>CO2 - atmosfære</v>
      </c>
      <c r="G55" s="98" t="str">
        <f>'Resultater - Vestdanmark'!G55</f>
        <v>t CO2-ækvivalenter</v>
      </c>
      <c r="H55" s="280" t="e">
        <f>'Resultater - Vestdanmark'!H55+'Resultater - Østdanmark'!H55</f>
        <v>#REF!</v>
      </c>
      <c r="I55" s="281" t="e">
        <f>'Resultater - Vestdanmark'!I55+'Resultater - Østdanmark'!I55</f>
        <v>#REF!</v>
      </c>
      <c r="J55" s="282" t="e">
        <f>'Resultater - Vestdanmark'!J55+'Resultater - Østdanmark'!J55</f>
        <v>#REF!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Skovtype4</v>
      </c>
      <c r="D56" s="98" t="str">
        <f>'Resultater - Vestdanmark'!D56</f>
        <v>Areal-skovtype4-30</v>
      </c>
      <c r="E56" s="98" t="str">
        <f>'Resultater - Vestdanmark'!E56</f>
        <v>Hektar</v>
      </c>
      <c r="F56" s="98" t="str">
        <f>'Resultater - Vestdanmark'!F56</f>
        <v>Træer</v>
      </c>
      <c r="G56" s="98" t="str">
        <f>'Resultater - Vestdanmark'!G56</f>
        <v>m3</v>
      </c>
      <c r="H56" s="280" t="e">
        <f>'Resultater - Vestdanmark'!H56+'Resultater - Østdanmark'!H56</f>
        <v>#REF!</v>
      </c>
      <c r="I56" s="281" t="e">
        <f>'Resultater - Vestdanmark'!I56+'Resultater - Østdanmark'!I56</f>
        <v>#REF!</v>
      </c>
      <c r="J56" s="282" t="e">
        <f>'Resultater - Vestdanmark'!J56+'Resultater - Østdanmark'!J56</f>
        <v>#REF!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Skovtype4</v>
      </c>
      <c r="D57" s="98" t="str">
        <f>'Resultater - Vestdanmark'!D57</f>
        <v>Areal-skovtype4-30</v>
      </c>
      <c r="E57" s="98" t="str">
        <f>'Resultater - Vestdanmark'!E57</f>
        <v>Hektar</v>
      </c>
      <c r="F57" s="98" t="str">
        <f>'Resultater - Vestdanmark'!F57</f>
        <v>Træ til energi</v>
      </c>
      <c r="G57" s="98" t="str">
        <f>'Resultater - Vestdanmark'!G57</f>
        <v>m3</v>
      </c>
      <c r="H57" s="280" t="e">
        <f>'Resultater - Vestdanmark'!H57+'Resultater - Østdanmark'!H57</f>
        <v>#REF!</v>
      </c>
      <c r="I57" s="281" t="e">
        <f>'Resultater - Vestdanmark'!I57+'Resultater - Østdanmark'!I57</f>
        <v>#REF!</v>
      </c>
      <c r="J57" s="282" t="e">
        <f>'Resultater - Vestdanmark'!J57+'Resultater - Østdanmark'!J57</f>
        <v>#REF!</v>
      </c>
    </row>
    <row r="58" spans="1:10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Skovtype4</v>
      </c>
      <c r="D58" s="98" t="str">
        <f>'Resultater - Vestdanmark'!D58</f>
        <v>Areal-skovtype4-30</v>
      </c>
      <c r="E58" s="98" t="str">
        <f>'Resultater - Vestdanmark'!E58</f>
        <v>Hektar</v>
      </c>
      <c r="F58" s="98" t="str">
        <f>'Resultater - Vestdanmark'!F58</f>
        <v>CO2 - atmosfære</v>
      </c>
      <c r="G58" s="98" t="str">
        <f>'Resultater - Vestdanmark'!G58</f>
        <v>t CO2-ækvivalenter</v>
      </c>
      <c r="H58" s="280" t="e">
        <f>'Resultater - Vestdanmark'!H58+'Resultater - Østdanmark'!H58</f>
        <v>#REF!</v>
      </c>
      <c r="I58" s="281" t="e">
        <f>'Resultater - Vestdanmark'!I58+'Resultater - Østdanmark'!I58</f>
        <v>#REF!</v>
      </c>
      <c r="J58" s="282" t="e">
        <f>'Resultater - Vestdanmark'!J58+'Resultater - Østdanmark'!J58</f>
        <v>#REF!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Skovtype4</v>
      </c>
      <c r="D59" s="98" t="str">
        <f>'Resultater - Vestdanmark'!D59</f>
        <v>Areal-skovtype4-40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80" t="e">
        <f>'Resultater - Vestdanmark'!H59+'Resultater - Østdanmark'!H59</f>
        <v>#REF!</v>
      </c>
      <c r="I59" s="281" t="e">
        <f>'Resultater - Vestdanmark'!I59+'Resultater - Østdanmark'!I59</f>
        <v>#REF!</v>
      </c>
      <c r="J59" s="282" t="e">
        <f>'Resultater - Vestdanmark'!J59+'Resultater - Østdanmark'!J59</f>
        <v>#REF!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Skovtype4</v>
      </c>
      <c r="D60" s="98" t="str">
        <f>'Resultater - Vestdanmark'!D60</f>
        <v>Areal-skovtype4-40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80" t="e">
        <f>'Resultater - Vestdanmark'!H60+'Resultater - Østdanmark'!H60</f>
        <v>#REF!</v>
      </c>
      <c r="I60" s="281" t="e">
        <f>'Resultater - Vestdanmark'!I60+'Resultater - Østdanmark'!I60</f>
        <v>#REF!</v>
      </c>
      <c r="J60" s="282" t="e">
        <f>'Resultater - Vestdanmark'!J60+'Resultater - Østdanmark'!J60</f>
        <v>#REF!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Skovtype4</v>
      </c>
      <c r="D61" s="98" t="str">
        <f>'Resultater - Vestdanmark'!D61</f>
        <v>Areal-skovtype4-40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80" t="e">
        <f>'Resultater - Vestdanmark'!H61+'Resultater - Østdanmark'!H61</f>
        <v>#REF!</v>
      </c>
      <c r="I61" s="281" t="e">
        <f>'Resultater - Vestdanmark'!I61+'Resultater - Østdanmark'!I61</f>
        <v>#REF!</v>
      </c>
      <c r="J61" s="282" t="e">
        <f>'Resultater - Vestdanmark'!J61+'Resultater - Østdanmark'!J61</f>
        <v>#REF!</v>
      </c>
    </row>
    <row r="62" spans="1:10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Skovtype5</v>
      </c>
      <c r="D62" s="98" t="str">
        <f>'Resultater - Vestdanmark'!D62</f>
        <v>Areal-skovtype5-10</v>
      </c>
      <c r="E62" s="98" t="str">
        <f>'Resultater - Vestdanmark'!E62</f>
        <v>Hektar</v>
      </c>
      <c r="F62" s="98" t="str">
        <f>'Resultater - Vestdanmark'!F62</f>
        <v>Træer</v>
      </c>
      <c r="G62" s="98" t="str">
        <f>'Resultater - Vestdanmark'!G62</f>
        <v>m3</v>
      </c>
      <c r="H62" s="280" t="e">
        <f>'Resultater - Vestdanmark'!H62+'Resultater - Østdanmark'!H62</f>
        <v>#REF!</v>
      </c>
      <c r="I62" s="281" t="e">
        <f>'Resultater - Vestdanmark'!I62+'Resultater - Østdanmark'!I62</f>
        <v>#REF!</v>
      </c>
      <c r="J62" s="282" t="e">
        <f>'Resultater - Vestdanmark'!J62+'Resultater - Østdanmark'!J62</f>
        <v>#REF!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Skovtype5</v>
      </c>
      <c r="D63" s="98" t="str">
        <f>'Resultater - Vestdanmark'!D63</f>
        <v>Areal-skovtype5-10</v>
      </c>
      <c r="E63" s="98" t="str">
        <f>'Resultater - Vestdanmark'!E63</f>
        <v>Hektar</v>
      </c>
      <c r="F63" s="98" t="str">
        <f>'Resultater - Vestdanmark'!F63</f>
        <v>Træ til energi</v>
      </c>
      <c r="G63" s="98" t="str">
        <f>'Resultater - Vestdanmark'!G63</f>
        <v>m3</v>
      </c>
      <c r="H63" s="280" t="e">
        <f>'Resultater - Vestdanmark'!H63+'Resultater - Østdanmark'!H63</f>
        <v>#REF!</v>
      </c>
      <c r="I63" s="281" t="e">
        <f>'Resultater - Vestdanmark'!I63+'Resultater - Østdanmark'!I63</f>
        <v>#REF!</v>
      </c>
      <c r="J63" s="282" t="e">
        <f>'Resultater - Vestdanmark'!J63+'Resultater - Østdanmark'!J63</f>
        <v>#REF!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Skovtype5</v>
      </c>
      <c r="D64" s="98" t="str">
        <f>'Resultater - Vestdanmark'!D64</f>
        <v>Areal-skovtype5-10</v>
      </c>
      <c r="E64" s="98" t="str">
        <f>'Resultater - Vestdanmark'!E64</f>
        <v>Hektar</v>
      </c>
      <c r="F64" s="98" t="str">
        <f>'Resultater - Vestdanmark'!F64</f>
        <v>CO2 - atmosfære</v>
      </c>
      <c r="G64" s="98" t="str">
        <f>'Resultater - Vestdanmark'!G64</f>
        <v>t CO2-ækvivalenter</v>
      </c>
      <c r="H64" s="280" t="e">
        <f>'Resultater - Vestdanmark'!H64+'Resultater - Østdanmark'!H64</f>
        <v>#REF!</v>
      </c>
      <c r="I64" s="281" t="e">
        <f>'Resultater - Vestdanmark'!I64+'Resultater - Østdanmark'!I64</f>
        <v>#REF!</v>
      </c>
      <c r="J64" s="282" t="e">
        <f>'Resultater - Vestdanmark'!J64+'Resultater - Østdanmark'!J64</f>
        <v>#REF!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Skovtype5</v>
      </c>
      <c r="D65" s="98" t="str">
        <f>'Resultater - Vestdanmark'!D65</f>
        <v>Areal-skovtype5-20</v>
      </c>
      <c r="E65" s="98" t="str">
        <f>'Resultater - Vestdanmark'!E65</f>
        <v>Hektar</v>
      </c>
      <c r="F65" s="98" t="str">
        <f>'Resultater - Vestdanmark'!F65</f>
        <v>Træer</v>
      </c>
      <c r="G65" s="98" t="str">
        <f>'Resultater - Vestdanmark'!G65</f>
        <v>m3</v>
      </c>
      <c r="H65" s="280" t="e">
        <f>'Resultater - Vestdanmark'!H65+'Resultater - Østdanmark'!H65</f>
        <v>#REF!</v>
      </c>
      <c r="I65" s="281" t="e">
        <f>'Resultater - Vestdanmark'!I65+'Resultater - Østdanmark'!I65</f>
        <v>#REF!</v>
      </c>
      <c r="J65" s="282" t="e">
        <f>'Resultater - Vestdanmark'!J65+'Resultater - Østdanmark'!J65</f>
        <v>#REF!</v>
      </c>
    </row>
    <row r="66" spans="1:10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Skovtype5</v>
      </c>
      <c r="D66" s="98" t="str">
        <f>'Resultater - Vestdanmark'!D66</f>
        <v>Areal-skovtype5-20</v>
      </c>
      <c r="E66" s="98" t="str">
        <f>'Resultater - Vestdanmark'!E66</f>
        <v>Hektar</v>
      </c>
      <c r="F66" s="98" t="str">
        <f>'Resultater - Vestdanmark'!F66</f>
        <v>Træ til energi</v>
      </c>
      <c r="G66" s="98" t="str">
        <f>'Resultater - Vestdanmark'!G66</f>
        <v>m3</v>
      </c>
      <c r="H66" s="280" t="e">
        <f>'Resultater - Vestdanmark'!H66+'Resultater - Østdanmark'!H66</f>
        <v>#REF!</v>
      </c>
      <c r="I66" s="281" t="e">
        <f>'Resultater - Vestdanmark'!I66+'Resultater - Østdanmark'!I66</f>
        <v>#REF!</v>
      </c>
      <c r="J66" s="282" t="e">
        <f>'Resultater - Vestdanmark'!J66+'Resultater - Østdanmark'!J66</f>
        <v>#REF!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Skovtype5</v>
      </c>
      <c r="D67" s="98" t="str">
        <f>'Resultater - Vestdanmark'!D67</f>
        <v>Areal-skovtype5-20</v>
      </c>
      <c r="E67" s="98" t="str">
        <f>'Resultater - Vestdanmark'!E67</f>
        <v>Hektar</v>
      </c>
      <c r="F67" s="98" t="str">
        <f>'Resultater - Vestdanmark'!F67</f>
        <v>CO2 - atmosfære</v>
      </c>
      <c r="G67" s="98" t="str">
        <f>'Resultater - Vestdanmark'!G67</f>
        <v>t CO2-ækvivalenter</v>
      </c>
      <c r="H67" s="280" t="e">
        <f>'Resultater - Vestdanmark'!H67+'Resultater - Østdanmark'!H67</f>
        <v>#REF!</v>
      </c>
      <c r="I67" s="281" t="e">
        <f>'Resultater - Vestdanmark'!I67+'Resultater - Østdanmark'!I67</f>
        <v>#REF!</v>
      </c>
      <c r="J67" s="282" t="e">
        <f>'Resultater - Vestdanmark'!J67+'Resultater - Østdanmark'!J67</f>
        <v>#REF!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Skovtype5</v>
      </c>
      <c r="D68" s="98" t="str">
        <f>'Resultater - Vestdanmark'!D68</f>
        <v>Areal-skovtype5-30</v>
      </c>
      <c r="E68" s="98" t="str">
        <f>'Resultater - Vestdanmark'!E68</f>
        <v>Hektar</v>
      </c>
      <c r="F68" s="98" t="str">
        <f>'Resultater - Vestdanmark'!F68</f>
        <v>Træer</v>
      </c>
      <c r="G68" s="98" t="str">
        <f>'Resultater - Vestdanmark'!G68</f>
        <v>m3</v>
      </c>
      <c r="H68" s="280" t="e">
        <f>'Resultater - Vestdanmark'!H68+'Resultater - Østdanmark'!H68</f>
        <v>#REF!</v>
      </c>
      <c r="I68" s="281" t="e">
        <f>'Resultater - Vestdanmark'!I68+'Resultater - Østdanmark'!I68</f>
        <v>#REF!</v>
      </c>
      <c r="J68" s="282" t="e">
        <f>'Resultater - Vestdanmark'!J68+'Resultater - Østdanmark'!J68</f>
        <v>#REF!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Skovtype5</v>
      </c>
      <c r="D69" s="98" t="str">
        <f>'Resultater - Vestdanmark'!D69</f>
        <v>Areal-skovtype5-30</v>
      </c>
      <c r="E69" s="98" t="str">
        <f>'Resultater - Vestdanmark'!E69</f>
        <v>Hektar</v>
      </c>
      <c r="F69" s="98" t="str">
        <f>'Resultater - Vestdanmark'!F69</f>
        <v>Træ til energi</v>
      </c>
      <c r="G69" s="98" t="str">
        <f>'Resultater - Vestdanmark'!G69</f>
        <v>m3</v>
      </c>
      <c r="H69" s="280" t="e">
        <f>'Resultater - Vestdanmark'!H69+'Resultater - Østdanmark'!H69</f>
        <v>#REF!</v>
      </c>
      <c r="I69" s="281" t="e">
        <f>'Resultater - Vestdanmark'!I69+'Resultater - Østdanmark'!I69</f>
        <v>#REF!</v>
      </c>
      <c r="J69" s="282" t="e">
        <f>'Resultater - Vestdanmark'!J69+'Resultater - Østdanmark'!J69</f>
        <v>#REF!</v>
      </c>
    </row>
    <row r="70" spans="1:10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Skovtype5</v>
      </c>
      <c r="D70" s="98" t="str">
        <f>'Resultater - Vestdanmark'!D70</f>
        <v>Areal-skovtype5-30</v>
      </c>
      <c r="E70" s="98" t="str">
        <f>'Resultater - Vestdanmark'!E70</f>
        <v>Hektar</v>
      </c>
      <c r="F70" s="98" t="str">
        <f>'Resultater - Vestdanmark'!F70</f>
        <v>CO2 - atmosfære</v>
      </c>
      <c r="G70" s="98" t="str">
        <f>'Resultater - Vestdanmark'!G70</f>
        <v>t CO2-ækvivalenter</v>
      </c>
      <c r="H70" s="280" t="e">
        <f>'Resultater - Vestdanmark'!H70+'Resultater - Østdanmark'!H70</f>
        <v>#REF!</v>
      </c>
      <c r="I70" s="281" t="e">
        <f>'Resultater - Vestdanmark'!I70+'Resultater - Østdanmark'!I70</f>
        <v>#REF!</v>
      </c>
      <c r="J70" s="282" t="e">
        <f>'Resultater - Vestdanmark'!J70+'Resultater - Østdanmark'!J70</f>
        <v>#REF!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Skovtype5</v>
      </c>
      <c r="D71" s="98" t="str">
        <f>'Resultater - Vestdanmark'!D71</f>
        <v>Areal-skovtype5-40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80" t="e">
        <f>'Resultater - Vestdanmark'!H71+'Resultater - Østdanmark'!H71</f>
        <v>#REF!</v>
      </c>
      <c r="I71" s="281" t="e">
        <f>'Resultater - Vestdanmark'!I71+'Resultater - Østdanmark'!I71</f>
        <v>#REF!</v>
      </c>
      <c r="J71" s="282" t="e">
        <f>'Resultater - Vestdanmark'!J71+'Resultater - Østdanmark'!J71</f>
        <v>#REF!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Skovtype5</v>
      </c>
      <c r="D72" s="98" t="str">
        <f>'Resultater - Vestdanmark'!D72</f>
        <v>Areal-skovtype5-40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80" t="e">
        <f>'Resultater - Vestdanmark'!H72+'Resultater - Østdanmark'!H72</f>
        <v>#REF!</v>
      </c>
      <c r="I72" s="281" t="e">
        <f>'Resultater - Vestdanmark'!I72+'Resultater - Østdanmark'!I72</f>
        <v>#REF!</v>
      </c>
      <c r="J72" s="282" t="e">
        <f>'Resultater - Vestdanmark'!J72+'Resultater - Østdanmark'!J72</f>
        <v>#REF!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Skovtype5</v>
      </c>
      <c r="D73" s="98" t="str">
        <f>'Resultater - Vestdanmark'!D73</f>
        <v>Areal-skovtype5-40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80" t="e">
        <f>'Resultater - Vestdanmark'!H73+'Resultater - Østdanmark'!H73</f>
        <v>#REF!</v>
      </c>
      <c r="I73" s="281" t="e">
        <f>'Resultater - Vestdanmark'!I73+'Resultater - Østdanmark'!I73</f>
        <v>#REF!</v>
      </c>
      <c r="J73" s="282" t="e">
        <f>'Resultater - Vestdanmark'!J73+'Resultater - Østdanmark'!J73</f>
        <v>#REF!</v>
      </c>
    </row>
    <row r="74" spans="1:10" x14ac:dyDescent="0.25">
      <c r="A74" s="98" t="str">
        <f>'Resultater - Vestdanmark'!A74</f>
        <v>Grisestald</v>
      </c>
      <c r="B74" s="98" t="str">
        <f>'Resultater - Vestdanmark'!B74</f>
        <v>Konventionel</v>
      </c>
      <c r="C74" s="98" t="str">
        <f>'Resultater - Vestdanmark'!C74</f>
        <v/>
      </c>
      <c r="D74" s="98" t="str">
        <f>'Resultater - Vestdanmark'!D74</f>
        <v>Svin</v>
      </c>
      <c r="E74" s="98" t="str">
        <f>'Resultater - Vestdanmark'!E74</f>
        <v>Antal</v>
      </c>
      <c r="F74" s="98" t="str">
        <f>'Resultater - Vestdanmark'!F74</f>
        <v>Slagtesvin</v>
      </c>
      <c r="G74" s="98" t="str">
        <f>'Resultater - Vestdanmark'!G74</f>
        <v>Antal</v>
      </c>
      <c r="H74" s="280" t="e">
        <f>'Resultater - Vestdanmark'!H74+'Resultater - Østdanmark'!H74</f>
        <v>#REF!</v>
      </c>
      <c r="I74" s="281" t="e">
        <f>'Resultater - Vestdanmark'!I74+'Resultater - Østdanmark'!I74</f>
        <v>#REF!</v>
      </c>
      <c r="J74" s="282" t="e">
        <f>'Resultater - Vestdanmark'!J74+'Resultater - Østdanmark'!J74</f>
        <v>#REF!</v>
      </c>
    </row>
    <row r="75" spans="1:10" x14ac:dyDescent="0.25">
      <c r="A75" s="98" t="str">
        <f>'Resultater - Vestdanmark'!A75</f>
        <v>Grisestald</v>
      </c>
      <c r="B75" s="98" t="str">
        <f>'Resultater - Vestdanmark'!B75</f>
        <v>Konventionel</v>
      </c>
      <c r="C75" s="98" t="str">
        <f>'Resultater - Vestdanmark'!C75</f>
        <v/>
      </c>
      <c r="D75" s="98" t="str">
        <f>'Resultater - Vestdanmark'!D75</f>
        <v>Svin</v>
      </c>
      <c r="E75" s="98" t="str">
        <f>'Resultater - Vestdanmark'!E75</f>
        <v>Antal</v>
      </c>
      <c r="F75" s="98" t="str">
        <f>'Resultater - Vestdanmark'!F75</f>
        <v>Svinegylle</v>
      </c>
      <c r="G75" s="98" t="str">
        <f>'Resultater - Vestdanmark'!G75</f>
        <v>Ton</v>
      </c>
      <c r="H75" s="280" t="e">
        <f>'Resultater - Vestdanmark'!H75+'Resultater - Østdanmark'!H75</f>
        <v>#REF!</v>
      </c>
      <c r="I75" s="281" t="e">
        <f>'Resultater - Vestdanmark'!I75+'Resultater - Østdanmark'!I75</f>
        <v>#REF!</v>
      </c>
      <c r="J75" s="282" t="e">
        <f>'Resultater - Vestdanmark'!J75+'Resultater - Østdanmark'!J75</f>
        <v>#REF!</v>
      </c>
    </row>
    <row r="76" spans="1:10" x14ac:dyDescent="0.25">
      <c r="A76" s="98" t="str">
        <f>'Resultater - Vestdanmark'!A76</f>
        <v>Grisestald</v>
      </c>
      <c r="B76" s="98" t="str">
        <f>'Resultater - Vestdanmark'!B76</f>
        <v>Konventionel</v>
      </c>
      <c r="C76" s="98" t="str">
        <f>'Resultater - Vestdanmark'!C76</f>
        <v/>
      </c>
      <c r="D76" s="98" t="str">
        <f>'Resultater - Vestdanmark'!D76</f>
        <v>Svin</v>
      </c>
      <c r="E76" s="98" t="str">
        <f>'Resultater - Vestdanmark'!E76</f>
        <v>Antal</v>
      </c>
      <c r="F76" s="98" t="str">
        <f>'Resultater - Vestdanmark'!F76</f>
        <v>Dybstrøelse</v>
      </c>
      <c r="G76" s="98" t="str">
        <f>'Resultater - Vestdanmark'!G76</f>
        <v>Ton</v>
      </c>
      <c r="H76" s="280" t="e">
        <f>'Resultater - Vestdanmark'!H76+'Resultater - Østdanmark'!H76</f>
        <v>#REF!</v>
      </c>
      <c r="I76" s="281" t="e">
        <f>'Resultater - Vestdanmark'!I76+'Resultater - Østdanmark'!I76</f>
        <v>#REF!</v>
      </c>
      <c r="J76" s="282" t="e">
        <f>'Resultater - Vestdanmark'!J76+'Resultater - Østdanmark'!J76</f>
        <v>#REF!</v>
      </c>
    </row>
    <row r="77" spans="1:10" x14ac:dyDescent="0.25">
      <c r="A77" s="98" t="str">
        <f>'Resultater - Vestdanmark'!A77</f>
        <v>Grisestald</v>
      </c>
      <c r="B77" s="98" t="str">
        <f>'Resultater - Vestdanmark'!B77</f>
        <v>Konventionel</v>
      </c>
      <c r="C77" s="98" t="str">
        <f>'Resultater - Vestdanmark'!C77</f>
        <v/>
      </c>
      <c r="D77" s="98" t="str">
        <f>'Resultater - Vestdanmark'!D77</f>
        <v>Svin</v>
      </c>
      <c r="E77" s="98" t="str">
        <f>'Resultater - Vestdanmark'!E77</f>
        <v>Antal</v>
      </c>
      <c r="F77" s="98" t="str">
        <f>'Resultater - Vestdanmark'!F77</f>
        <v>Industriaffald</v>
      </c>
      <c r="G77" s="98" t="str">
        <f>'Resultater - Vestdanmark'!G77</f>
        <v>Ton</v>
      </c>
      <c r="H77" s="280" t="e">
        <f>'Resultater - Vestdanmark'!H77+'Resultater - Østdanmark'!H77</f>
        <v>#REF!</v>
      </c>
      <c r="I77" s="281" t="e">
        <f>'Resultater - Vestdanmark'!I77+'Resultater - Østdanmark'!I77</f>
        <v>#REF!</v>
      </c>
      <c r="J77" s="282" t="e">
        <f>'Resultater - Vestdanmark'!J77+'Resultater - Østdanmark'!J77</f>
        <v>#REF!</v>
      </c>
    </row>
    <row r="78" spans="1:10" x14ac:dyDescent="0.25">
      <c r="A78" s="98" t="str">
        <f>'Resultater - Vestdanmark'!A78</f>
        <v>Grisestald</v>
      </c>
      <c r="B78" s="98" t="str">
        <f>'Resultater - Vestdanmark'!B78</f>
        <v>Konventionel</v>
      </c>
      <c r="C78" s="98" t="str">
        <f>'Resultater - Vestdanmark'!C78</f>
        <v/>
      </c>
      <c r="D78" s="98" t="str">
        <f>'Resultater - Vestdanmark'!D78</f>
        <v>Svin</v>
      </c>
      <c r="E78" s="98" t="str">
        <f>'Resultater - Vestdanmark'!E78</f>
        <v>Antal</v>
      </c>
      <c r="F78" s="98" t="str">
        <f>'Resultater - Vestdanmark'!F78</f>
        <v>Foder</v>
      </c>
      <c r="G78" s="98" t="str">
        <f>'Resultater - Vestdanmark'!G78</f>
        <v>FE</v>
      </c>
      <c r="H78" s="280" t="e">
        <f>'Resultater - Vestdanmark'!H78+'Resultater - Østdanmark'!H78</f>
        <v>#REF!</v>
      </c>
      <c r="I78" s="281" t="e">
        <f>'Resultater - Vestdanmark'!I78+'Resultater - Østdanmark'!I78</f>
        <v>#REF!</v>
      </c>
      <c r="J78" s="282" t="e">
        <f>'Resultater - Vestdanmark'!J78+'Resultater - Østdanmark'!J78</f>
        <v>#REF!</v>
      </c>
    </row>
    <row r="79" spans="1:10" x14ac:dyDescent="0.25">
      <c r="A79" s="98" t="str">
        <f>'Resultater - Vestdanmark'!A79</f>
        <v>Grisestald</v>
      </c>
      <c r="B79" s="98" t="str">
        <f>'Resultater - Vestdanmark'!B79</f>
        <v>Konventionel</v>
      </c>
      <c r="C79" s="98" t="str">
        <f>'Resultater - Vestdanmark'!C79</f>
        <v/>
      </c>
      <c r="D79" s="98" t="str">
        <f>'Resultater - Vestdanmark'!D79</f>
        <v>Svin</v>
      </c>
      <c r="E79" s="98" t="str">
        <f>'Resultater - Vestdanmark'!E79</f>
        <v>Antal</v>
      </c>
      <c r="F79" s="98" t="str">
        <f>'Resultater - Vestdanmark'!F79</f>
        <v>Halm</v>
      </c>
      <c r="G79" s="98" t="str">
        <f>'Resultater - Vestdanmark'!G79</f>
        <v>Ton</v>
      </c>
      <c r="H79" s="280" t="e">
        <f>'Resultater - Vestdanmark'!H79+'Resultater - Østdanmark'!H79</f>
        <v>#REF!</v>
      </c>
      <c r="I79" s="281" t="e">
        <f>'Resultater - Vestdanmark'!I79+'Resultater - Østdanmark'!I79</f>
        <v>#REF!</v>
      </c>
      <c r="J79" s="282" t="e">
        <f>'Resultater - Vestdanmark'!J79+'Resultater - Østdanmark'!J79</f>
        <v>#REF!</v>
      </c>
    </row>
    <row r="80" spans="1:10" x14ac:dyDescent="0.25">
      <c r="A80" s="98" t="str">
        <f>'Resultater - Vestdanmark'!A80</f>
        <v>Grisestald</v>
      </c>
      <c r="B80" s="98" t="str">
        <f>'Resultater - Vestdanmark'!B80</f>
        <v>Konventionel</v>
      </c>
      <c r="C80" s="98" t="str">
        <f>'Resultater - Vestdanmark'!C80</f>
        <v/>
      </c>
      <c r="D80" s="98" t="str">
        <f>'Resultater - Vestdanmark'!D80</f>
        <v>Svin</v>
      </c>
      <c r="E80" s="98" t="str">
        <f>'Resultater - Vestdanmark'!E80</f>
        <v>Antal</v>
      </c>
      <c r="F80" s="98" t="str">
        <f>'Resultater - Vestdanmark'!F80</f>
        <v>CO2 - atmosfære</v>
      </c>
      <c r="G80" s="98" t="str">
        <f>'Resultater - Vestdanmark'!G80</f>
        <v>t CO2-ækvivalenter</v>
      </c>
      <c r="H80" s="280" t="e">
        <f>'Resultater - Vestdanmark'!H80+'Resultater - Østdanmark'!H80</f>
        <v>#REF!</v>
      </c>
      <c r="I80" s="281" t="e">
        <f>'Resultater - Vestdanmark'!I80+'Resultater - Østdanmark'!I80</f>
        <v>#REF!</v>
      </c>
      <c r="J80" s="282" t="e">
        <f>'Resultater - Vestdanmark'!J80+'Resultater - Østdanmark'!J80</f>
        <v>#REF!</v>
      </c>
    </row>
    <row r="81" spans="1:10" x14ac:dyDescent="0.25">
      <c r="A81" s="98" t="str">
        <f>'Resultater - Vestdanmark'!A81</f>
        <v>Grisestald</v>
      </c>
      <c r="B81" s="98" t="str">
        <f>'Resultater - Vestdanmark'!B81</f>
        <v>Økologisk</v>
      </c>
      <c r="C81" s="98" t="str">
        <f>'Resultater - Vestdanmark'!C81</f>
        <v/>
      </c>
      <c r="D81" s="98" t="str">
        <f>'Resultater - Vestdanmark'!D81</f>
        <v>Svin</v>
      </c>
      <c r="E81" s="98" t="str">
        <f>'Resultater - Vestdanmark'!E81</f>
        <v>Antal</v>
      </c>
      <c r="F81" s="98" t="str">
        <f>'Resultater - Vestdanmark'!F81</f>
        <v>Slagtesvin</v>
      </c>
      <c r="G81" s="98" t="str">
        <f>'Resultater - Vestdanmark'!G81</f>
        <v>Antal</v>
      </c>
      <c r="H81" s="280" t="e">
        <f>'Resultater - Vestdanmark'!H81+'Resultater - Østdanmark'!H81</f>
        <v>#REF!</v>
      </c>
      <c r="I81" s="281" t="e">
        <f>'Resultater - Vestdanmark'!I81+'Resultater - Østdanmark'!I81</f>
        <v>#REF!</v>
      </c>
      <c r="J81" s="282" t="e">
        <f>'Resultater - Vestdanmark'!J81+'Resultater - Østdanmark'!J81</f>
        <v>#REF!</v>
      </c>
    </row>
    <row r="82" spans="1:10" x14ac:dyDescent="0.25">
      <c r="A82" s="98" t="str">
        <f>'Resultater - Vestdanmark'!A82</f>
        <v>Grisestald</v>
      </c>
      <c r="B82" s="98" t="str">
        <f>'Resultater - Vestdanmark'!B82</f>
        <v>Økologisk</v>
      </c>
      <c r="C82" s="98" t="str">
        <f>'Resultater - Vestdanmark'!C82</f>
        <v/>
      </c>
      <c r="D82" s="98" t="str">
        <f>'Resultater - Vestdanmark'!D82</f>
        <v>Svin</v>
      </c>
      <c r="E82" s="98" t="str">
        <f>'Resultater - Vestdanmark'!E82</f>
        <v>Antal</v>
      </c>
      <c r="F82" s="98" t="str">
        <f>'Resultater - Vestdanmark'!F82</f>
        <v>Svinegylle</v>
      </c>
      <c r="G82" s="98" t="str">
        <f>'Resultater - Vestdanmark'!G82</f>
        <v>Ton</v>
      </c>
      <c r="H82" s="280" t="e">
        <f>'Resultater - Vestdanmark'!H82+'Resultater - Østdanmark'!H82</f>
        <v>#REF!</v>
      </c>
      <c r="I82" s="281" t="e">
        <f>'Resultater - Vestdanmark'!I82+'Resultater - Østdanmark'!I82</f>
        <v>#REF!</v>
      </c>
      <c r="J82" s="282" t="e">
        <f>'Resultater - Vestdanmark'!J82+'Resultater - Østdanmark'!J82</f>
        <v>#REF!</v>
      </c>
    </row>
    <row r="83" spans="1:10" x14ac:dyDescent="0.25">
      <c r="A83" s="98" t="str">
        <f>'Resultater - Vestdanmark'!A83</f>
        <v>Grisestald</v>
      </c>
      <c r="B83" s="98" t="str">
        <f>'Resultater - Vestdanmark'!B83</f>
        <v>Økologisk</v>
      </c>
      <c r="C83" s="98" t="str">
        <f>'Resultater - Vestdanmark'!C83</f>
        <v/>
      </c>
      <c r="D83" s="98" t="str">
        <f>'Resultater - Vestdanmark'!D83</f>
        <v>Svin</v>
      </c>
      <c r="E83" s="98" t="str">
        <f>'Resultater - Vestdanmark'!E83</f>
        <v>Antal</v>
      </c>
      <c r="F83" s="98" t="str">
        <f>'Resultater - Vestdanmark'!F83</f>
        <v>Dybstrøelse</v>
      </c>
      <c r="G83" s="98" t="str">
        <f>'Resultater - Vestdanmark'!G83</f>
        <v>Ton</v>
      </c>
      <c r="H83" s="280" t="e">
        <f>'Resultater - Vestdanmark'!H83+'Resultater - Østdanmark'!H83</f>
        <v>#REF!</v>
      </c>
      <c r="I83" s="281" t="e">
        <f>'Resultater - Vestdanmark'!I83+'Resultater - Østdanmark'!I83</f>
        <v>#REF!</v>
      </c>
      <c r="J83" s="282" t="e">
        <f>'Resultater - Vestdanmark'!J83+'Resultater - Østdanmark'!J83</f>
        <v>#REF!</v>
      </c>
    </row>
    <row r="84" spans="1:10" x14ac:dyDescent="0.25">
      <c r="A84" s="98" t="str">
        <f>'Resultater - Vestdanmark'!A84</f>
        <v>Grisestald</v>
      </c>
      <c r="B84" s="98" t="str">
        <f>'Resultater - Vestdanmark'!B84</f>
        <v>Økologisk</v>
      </c>
      <c r="C84" s="98" t="str">
        <f>'Resultater - Vestdanmark'!C84</f>
        <v/>
      </c>
      <c r="D84" s="98" t="str">
        <f>'Resultater - Vestdanmark'!D84</f>
        <v>Svin</v>
      </c>
      <c r="E84" s="98" t="str">
        <f>'Resultater - Vestdanmark'!E84</f>
        <v>Antal</v>
      </c>
      <c r="F84" s="98" t="str">
        <f>'Resultater - Vestdanmark'!F84</f>
        <v>Industriaffald</v>
      </c>
      <c r="G84" s="98" t="str">
        <f>'Resultater - Vestdanmark'!G84</f>
        <v>Ton</v>
      </c>
      <c r="H84" s="280" t="e">
        <f>'Resultater - Vestdanmark'!H84+'Resultater - Østdanmark'!H84</f>
        <v>#REF!</v>
      </c>
      <c r="I84" s="281" t="e">
        <f>'Resultater - Vestdanmark'!I84+'Resultater - Østdanmark'!I84</f>
        <v>#REF!</v>
      </c>
      <c r="J84" s="282" t="e">
        <f>'Resultater - Vestdanmark'!J84+'Resultater - Østdanmark'!J84</f>
        <v>#REF!</v>
      </c>
    </row>
    <row r="85" spans="1:10" x14ac:dyDescent="0.25">
      <c r="A85" s="98" t="str">
        <f>'Resultater - Vestdanmark'!A85</f>
        <v>Grisestald</v>
      </c>
      <c r="B85" s="98" t="str">
        <f>'Resultater - Vestdanmark'!B85</f>
        <v>Økologisk</v>
      </c>
      <c r="C85" s="98" t="str">
        <f>'Resultater - Vestdanmark'!C85</f>
        <v/>
      </c>
      <c r="D85" s="98" t="str">
        <f>'Resultater - Vestdanmark'!D85</f>
        <v>Svin</v>
      </c>
      <c r="E85" s="98" t="str">
        <f>'Resultater - Vestdanmark'!E85</f>
        <v>Antal</v>
      </c>
      <c r="F85" s="98" t="str">
        <f>'Resultater - Vestdanmark'!F85</f>
        <v>Foder</v>
      </c>
      <c r="G85" s="98" t="str">
        <f>'Resultater - Vestdanmark'!G85</f>
        <v>FE</v>
      </c>
      <c r="H85" s="280" t="e">
        <f>'Resultater - Vestdanmark'!H85+'Resultater - Østdanmark'!H85</f>
        <v>#REF!</v>
      </c>
      <c r="I85" s="281" t="e">
        <f>'Resultater - Vestdanmark'!I85+'Resultater - Østdanmark'!I85</f>
        <v>#REF!</v>
      </c>
      <c r="J85" s="282" t="e">
        <f>'Resultater - Vestdanmark'!J85+'Resultater - Østdanmark'!J85</f>
        <v>#REF!</v>
      </c>
    </row>
    <row r="86" spans="1:10" x14ac:dyDescent="0.25">
      <c r="A86" s="98" t="str">
        <f>'Resultater - Vestdanmark'!A86</f>
        <v>Grisestald</v>
      </c>
      <c r="B86" s="98" t="str">
        <f>'Resultater - Vestdanmark'!B86</f>
        <v>Økologisk</v>
      </c>
      <c r="C86" s="98" t="str">
        <f>'Resultater - Vestdanmark'!C86</f>
        <v/>
      </c>
      <c r="D86" s="98" t="str">
        <f>'Resultater - Vestdanmark'!D86</f>
        <v>Svin</v>
      </c>
      <c r="E86" s="98" t="str">
        <f>'Resultater - Vestdanmark'!E86</f>
        <v>Antal</v>
      </c>
      <c r="F86" s="98" t="str">
        <f>'Resultater - Vestdanmark'!F86</f>
        <v>Halm</v>
      </c>
      <c r="G86" s="98" t="str">
        <f>'Resultater - Vestdanmark'!G86</f>
        <v>Ton</v>
      </c>
      <c r="H86" s="280" t="e">
        <f>'Resultater - Vestdanmark'!H86+'Resultater - Østdanmark'!H86</f>
        <v>#REF!</v>
      </c>
      <c r="I86" s="281" t="e">
        <f>'Resultater - Vestdanmark'!I86+'Resultater - Østdanmark'!I86</f>
        <v>#REF!</v>
      </c>
      <c r="J86" s="282" t="e">
        <f>'Resultater - Vestdanmark'!J86+'Resultater - Østdanmark'!J86</f>
        <v>#REF!</v>
      </c>
    </row>
    <row r="87" spans="1:10" x14ac:dyDescent="0.25">
      <c r="A87" s="98" t="str">
        <f>'Resultater - Vestdanmark'!A87</f>
        <v>Grisestald</v>
      </c>
      <c r="B87" s="98" t="str">
        <f>'Resultater - Vestdanmark'!B87</f>
        <v>Økologisk</v>
      </c>
      <c r="C87" s="98" t="str">
        <f>'Resultater - Vestdanmark'!C87</f>
        <v/>
      </c>
      <c r="D87" s="98" t="str">
        <f>'Resultater - Vestdanmark'!D87</f>
        <v>Svin</v>
      </c>
      <c r="E87" s="98" t="str">
        <f>'Resultater - Vestdanmark'!E87</f>
        <v>Antal</v>
      </c>
      <c r="F87" s="98" t="str">
        <f>'Resultater - Vestdanmark'!F87</f>
        <v>CO2 - atmosfære</v>
      </c>
      <c r="G87" s="98" t="str">
        <f>'Resultater - Vestdanmark'!G87</f>
        <v>t CO2-ækvivalenter</v>
      </c>
      <c r="H87" s="280" t="e">
        <f>'Resultater - Vestdanmark'!H87+'Resultater - Østdanmark'!H87</f>
        <v>#REF!</v>
      </c>
      <c r="I87" s="281" t="e">
        <f>'Resultater - Vestdanmark'!I87+'Resultater - Østdanmark'!I87</f>
        <v>#REF!</v>
      </c>
      <c r="J87" s="282" t="e">
        <f>'Resultater - Vestdanmark'!J87+'Resultater - Østdanmark'!J87</f>
        <v>#REF!</v>
      </c>
    </row>
    <row r="88" spans="1:10" x14ac:dyDescent="0.25">
      <c r="A88" s="98" t="str">
        <f>'Resultater - Vestdanmark'!A88</f>
        <v>Kostald</v>
      </c>
      <c r="B88" s="98" t="str">
        <f>'Resultater - Vestdanmark'!B88</f>
        <v>Konventionel</v>
      </c>
      <c r="C88" s="98" t="str">
        <f>'Resultater - Vestdanmark'!C88</f>
        <v/>
      </c>
      <c r="D88" s="98" t="str">
        <f>'Resultater - Vestdanmark'!D88</f>
        <v>Køer</v>
      </c>
      <c r="E88" s="98" t="str">
        <f>'Resultater - Vestdanmark'!E88</f>
        <v>Antal</v>
      </c>
      <c r="F88" s="98" t="str">
        <f>'Resultater - Vestdanmark'!F88</f>
        <v>Slagtekøer</v>
      </c>
      <c r="G88" s="98" t="str">
        <f>'Resultater - Vestdanmark'!G88</f>
        <v>Antal</v>
      </c>
      <c r="H88" s="280" t="e">
        <f>'Resultater - Vestdanmark'!H88+'Resultater - Østdanmark'!H88</f>
        <v>#REF!</v>
      </c>
      <c r="I88" s="281" t="e">
        <f>'Resultater - Vestdanmark'!I88+'Resultater - Østdanmark'!I88</f>
        <v>#REF!</v>
      </c>
      <c r="J88" s="282" t="e">
        <f>'Resultater - Vestdanmark'!J88+'Resultater - Østdanmark'!J88</f>
        <v>#REF!</v>
      </c>
    </row>
    <row r="89" spans="1:10" x14ac:dyDescent="0.25">
      <c r="A89" s="98" t="str">
        <f>'Resultater - Vestdanmark'!A89</f>
        <v>Kostald</v>
      </c>
      <c r="B89" s="98" t="str">
        <f>'Resultater - Vestdanmark'!B89</f>
        <v>Konventionel</v>
      </c>
      <c r="C89" s="98" t="str">
        <f>'Resultater - Vestdanmark'!C89</f>
        <v/>
      </c>
      <c r="D89" s="98" t="str">
        <f>'Resultater - Vestdanmark'!D89</f>
        <v>Køer</v>
      </c>
      <c r="E89" s="98" t="str">
        <f>'Resultater - Vestdanmark'!E89</f>
        <v>Antal</v>
      </c>
      <c r="F89" s="98" t="str">
        <f>'Resultater - Vestdanmark'!F89</f>
        <v>Kvæggylle</v>
      </c>
      <c r="G89" s="98" t="str">
        <f>'Resultater - Vestdanmark'!G89</f>
        <v>Ton</v>
      </c>
      <c r="H89" s="280" t="e">
        <f>'Resultater - Vestdanmark'!H89+'Resultater - Østdanmark'!H89</f>
        <v>#REF!</v>
      </c>
      <c r="I89" s="281" t="e">
        <f>'Resultater - Vestdanmark'!I89+'Resultater - Østdanmark'!I89</f>
        <v>#REF!</v>
      </c>
      <c r="J89" s="282" t="e">
        <f>'Resultater - Vestdanmark'!J89+'Resultater - Østdanmark'!J89</f>
        <v>#REF!</v>
      </c>
    </row>
    <row r="90" spans="1:10" x14ac:dyDescent="0.25">
      <c r="A90" s="98" t="str">
        <f>'Resultater - Vestdanmark'!A90</f>
        <v>Kostald</v>
      </c>
      <c r="B90" s="98" t="str">
        <f>'Resultater - Vestdanmark'!B90</f>
        <v>Konventionel</v>
      </c>
      <c r="C90" s="98" t="str">
        <f>'Resultater - Vestdanmark'!C90</f>
        <v/>
      </c>
      <c r="D90" s="98" t="str">
        <f>'Resultater - Vestdanmark'!D90</f>
        <v>Køer</v>
      </c>
      <c r="E90" s="98" t="str">
        <f>'Resultater - Vestdanmark'!E90</f>
        <v>Antal</v>
      </c>
      <c r="F90" s="98" t="str">
        <f>'Resultater - Vestdanmark'!F90</f>
        <v>Dybstrøelse</v>
      </c>
      <c r="G90" s="98" t="str">
        <f>'Resultater - Vestdanmark'!G90</f>
        <v>Ton</v>
      </c>
      <c r="H90" s="280" t="e">
        <f>'Resultater - Vestdanmark'!H90+'Resultater - Østdanmark'!H90</f>
        <v>#REF!</v>
      </c>
      <c r="I90" s="281" t="e">
        <f>'Resultater - Vestdanmark'!I90+'Resultater - Østdanmark'!I90</f>
        <v>#REF!</v>
      </c>
      <c r="J90" s="282" t="e">
        <f>'Resultater - Vestdanmark'!J90+'Resultater - Østdanmark'!J90</f>
        <v>#REF!</v>
      </c>
    </row>
    <row r="91" spans="1:10" x14ac:dyDescent="0.25">
      <c r="A91" s="98" t="str">
        <f>'Resultater - Vestdanmark'!A91</f>
        <v>Kostald</v>
      </c>
      <c r="B91" s="98" t="str">
        <f>'Resultater - Vestdanmark'!B91</f>
        <v>Konventionel</v>
      </c>
      <c r="C91" s="98" t="str">
        <f>'Resultater - Vestdanmark'!C91</f>
        <v/>
      </c>
      <c r="D91" s="98" t="str">
        <f>'Resultater - Vestdanmark'!D91</f>
        <v>Køer</v>
      </c>
      <c r="E91" s="98" t="str">
        <f>'Resultater - Vestdanmark'!E91</f>
        <v>Antal</v>
      </c>
      <c r="F91" s="98" t="str">
        <f>'Resultater - Vestdanmark'!F91</f>
        <v>Råmælk</v>
      </c>
      <c r="G91" s="98" t="str">
        <f>'Resultater - Vestdanmark'!G91</f>
        <v>Ton</v>
      </c>
      <c r="H91" s="280" t="e">
        <f>'Resultater - Vestdanmark'!H91+'Resultater - Østdanmark'!H91</f>
        <v>#REF!</v>
      </c>
      <c r="I91" s="281" t="e">
        <f>'Resultater - Vestdanmark'!I91+'Resultater - Østdanmark'!I91</f>
        <v>#REF!</v>
      </c>
      <c r="J91" s="282" t="e">
        <f>'Resultater - Vestdanmark'!J91+'Resultater - Østdanmark'!J91</f>
        <v>#REF!</v>
      </c>
    </row>
    <row r="92" spans="1:10" x14ac:dyDescent="0.25">
      <c r="A92" s="98" t="str">
        <f>'Resultater - Vestdanmark'!A92</f>
        <v>Kostald</v>
      </c>
      <c r="B92" s="98" t="str">
        <f>'Resultater - Vestdanmark'!B92</f>
        <v>Konventionel</v>
      </c>
      <c r="C92" s="98" t="str">
        <f>'Resultater - Vestdanmark'!C92</f>
        <v/>
      </c>
      <c r="D92" s="98" t="str">
        <f>'Resultater - Vestdanmark'!D92</f>
        <v>Køer</v>
      </c>
      <c r="E92" s="98" t="str">
        <f>'Resultater - Vestdanmark'!E92</f>
        <v>Antal</v>
      </c>
      <c r="F92" s="98" t="str">
        <f>'Resultater - Vestdanmark'!F92</f>
        <v>Industriaffald</v>
      </c>
      <c r="G92" s="98" t="str">
        <f>'Resultater - Vestdanmark'!G92</f>
        <v>Ton</v>
      </c>
      <c r="H92" s="280" t="e">
        <f>'Resultater - Vestdanmark'!H92+'Resultater - Østdanmark'!H92</f>
        <v>#REF!</v>
      </c>
      <c r="I92" s="281" t="e">
        <f>'Resultater - Vestdanmark'!I92+'Resultater - Østdanmark'!I92</f>
        <v>#REF!</v>
      </c>
      <c r="J92" s="282" t="e">
        <f>'Resultater - Vestdanmark'!J92+'Resultater - Østdanmark'!J92</f>
        <v>#REF!</v>
      </c>
    </row>
    <row r="93" spans="1:10" x14ac:dyDescent="0.25">
      <c r="A93" s="98" t="str">
        <f>'Resultater - Vestdanmark'!A93</f>
        <v>Kostald</v>
      </c>
      <c r="B93" s="98" t="str">
        <f>'Resultater - Vestdanmark'!B93</f>
        <v>Konventionel</v>
      </c>
      <c r="C93" s="98" t="str">
        <f>'Resultater - Vestdanmark'!C93</f>
        <v/>
      </c>
      <c r="D93" s="98" t="str">
        <f>'Resultater - Vestdanmark'!D93</f>
        <v>Køer</v>
      </c>
      <c r="E93" s="98" t="str">
        <f>'Resultater - Vestdanmark'!E93</f>
        <v>Antal</v>
      </c>
      <c r="F93" s="98" t="str">
        <f>'Resultater - Vestdanmark'!F93</f>
        <v>Foder</v>
      </c>
      <c r="G93" s="98" t="str">
        <f>'Resultater - Vestdanmark'!G93</f>
        <v>FE</v>
      </c>
      <c r="H93" s="280" t="e">
        <f>'Resultater - Vestdanmark'!H93+'Resultater - Østdanmark'!H93</f>
        <v>#REF!</v>
      </c>
      <c r="I93" s="281" t="e">
        <f>'Resultater - Vestdanmark'!I93+'Resultater - Østdanmark'!I93</f>
        <v>#REF!</v>
      </c>
      <c r="J93" s="282" t="e">
        <f>'Resultater - Vestdanmark'!J93+'Resultater - Østdanmark'!J93</f>
        <v>#REF!</v>
      </c>
    </row>
    <row r="94" spans="1:10" x14ac:dyDescent="0.25">
      <c r="A94" s="98" t="str">
        <f>'Resultater - Vestdanmark'!A94</f>
        <v>Kostald</v>
      </c>
      <c r="B94" s="98" t="str">
        <f>'Resultater - Vestdanmark'!B94</f>
        <v>Konventionel</v>
      </c>
      <c r="C94" s="98" t="str">
        <f>'Resultater - Vestdanmark'!C94</f>
        <v/>
      </c>
      <c r="D94" s="98" t="str">
        <f>'Resultater - Vestdanmark'!D94</f>
        <v>Køer</v>
      </c>
      <c r="E94" s="98" t="str">
        <f>'Resultater - Vestdanmark'!E94</f>
        <v>Antal</v>
      </c>
      <c r="F94" s="98" t="str">
        <f>'Resultater - Vestdanmark'!F94</f>
        <v>Halm</v>
      </c>
      <c r="G94" s="98" t="str">
        <f>'Resultater - Vestdanmark'!G94</f>
        <v>Ton</v>
      </c>
      <c r="H94" s="280" t="e">
        <f>'Resultater - Vestdanmark'!H94+'Resultater - Østdanmark'!H94</f>
        <v>#REF!</v>
      </c>
      <c r="I94" s="281" t="e">
        <f>'Resultater - Vestdanmark'!I94+'Resultater - Østdanmark'!I94</f>
        <v>#REF!</v>
      </c>
      <c r="J94" s="282" t="e">
        <f>'Resultater - Vestdanmark'!J94+'Resultater - Østdanmark'!J94</f>
        <v>#REF!</v>
      </c>
    </row>
    <row r="95" spans="1:10" x14ac:dyDescent="0.25">
      <c r="A95" s="98" t="str">
        <f>'Resultater - Vestdanmark'!A95</f>
        <v>Kostald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Køer</v>
      </c>
      <c r="E95" s="98" t="str">
        <f>'Resultater - Vestdanmark'!E95</f>
        <v>Antal</v>
      </c>
      <c r="F95" s="98" t="str">
        <f>'Resultater - Vestdanmark'!F95</f>
        <v>CO2 - atmosfære</v>
      </c>
      <c r="G95" s="98" t="str">
        <f>'Resultater - Vestdanmark'!G95</f>
        <v>t CO2-ækvivalenter</v>
      </c>
      <c r="H95" s="280" t="e">
        <f>'Resultater - Vestdanmark'!H95+'Resultater - Østdanmark'!H95</f>
        <v>#REF!</v>
      </c>
      <c r="I95" s="281" t="e">
        <f>'Resultater - Vestdanmark'!I95+'Resultater - Østdanmark'!I95</f>
        <v>#REF!</v>
      </c>
      <c r="J95" s="282" t="e">
        <f>'Resultater - Vestdanmark'!J95+'Resultater - Østdanmark'!J95</f>
        <v>#REF!</v>
      </c>
    </row>
    <row r="96" spans="1:10" x14ac:dyDescent="0.25">
      <c r="A96" s="98" t="str">
        <f>'Resultater - Vestdanmark'!A96</f>
        <v>Kostald</v>
      </c>
      <c r="B96" s="98" t="str">
        <f>'Resultater - Vestdanmark'!B96</f>
        <v>Økologisk</v>
      </c>
      <c r="C96" s="98" t="str">
        <f>'Resultater - Vestdanmark'!C96</f>
        <v/>
      </c>
      <c r="D96" s="98" t="str">
        <f>'Resultater - Vestdanmark'!D96</f>
        <v>Køer</v>
      </c>
      <c r="E96" s="98" t="str">
        <f>'Resultater - Vestdanmark'!E96</f>
        <v>Antal</v>
      </c>
      <c r="F96" s="98" t="str">
        <f>'Resultater - Vestdanmark'!F96</f>
        <v>Slagtekøer</v>
      </c>
      <c r="G96" s="98" t="str">
        <f>'Resultater - Vestdanmark'!G96</f>
        <v>Antal</v>
      </c>
      <c r="H96" s="280" t="e">
        <f>'Resultater - Vestdanmark'!H96+'Resultater - Østdanmark'!H96</f>
        <v>#REF!</v>
      </c>
      <c r="I96" s="281" t="e">
        <f>'Resultater - Vestdanmark'!I96+'Resultater - Østdanmark'!I96</f>
        <v>#REF!</v>
      </c>
      <c r="J96" s="282" t="e">
        <f>'Resultater - Vestdanmark'!J96+'Resultater - Østdanmark'!J96</f>
        <v>#REF!</v>
      </c>
    </row>
    <row r="97" spans="1:10" x14ac:dyDescent="0.25">
      <c r="A97" s="98" t="str">
        <f>'Resultater - Vestdanmark'!A97</f>
        <v>Kostald</v>
      </c>
      <c r="B97" s="98" t="str">
        <f>'Resultater - Vestdanmark'!B97</f>
        <v>Økologisk</v>
      </c>
      <c r="C97" s="98" t="str">
        <f>'Resultater - Vestdanmark'!C97</f>
        <v/>
      </c>
      <c r="D97" s="98" t="str">
        <f>'Resultater - Vestdanmark'!D97</f>
        <v>Køer</v>
      </c>
      <c r="E97" s="98" t="str">
        <f>'Resultater - Vestdanmark'!E97</f>
        <v>Antal</v>
      </c>
      <c r="F97" s="98" t="str">
        <f>'Resultater - Vestdanmark'!F97</f>
        <v>Kvæggylle</v>
      </c>
      <c r="G97" s="98" t="str">
        <f>'Resultater - Vestdanmark'!G97</f>
        <v>Ton</v>
      </c>
      <c r="H97" s="280" t="e">
        <f>'Resultater - Vestdanmark'!H97+'Resultater - Østdanmark'!H97</f>
        <v>#REF!</v>
      </c>
      <c r="I97" s="281" t="e">
        <f>'Resultater - Vestdanmark'!I97+'Resultater - Østdanmark'!I97</f>
        <v>#REF!</v>
      </c>
      <c r="J97" s="282" t="e">
        <f>'Resultater - Vestdanmark'!J97+'Resultater - Østdanmark'!J97</f>
        <v>#REF!</v>
      </c>
    </row>
    <row r="98" spans="1:10" x14ac:dyDescent="0.25">
      <c r="A98" s="98" t="str">
        <f>'Resultater - Vestdanmark'!A98</f>
        <v>Kostald</v>
      </c>
      <c r="B98" s="98" t="str">
        <f>'Resultater - Vestdanmark'!B98</f>
        <v>Økologisk</v>
      </c>
      <c r="C98" s="98" t="str">
        <f>'Resultater - Vestdanmark'!C98</f>
        <v/>
      </c>
      <c r="D98" s="98" t="str">
        <f>'Resultater - Vestdanmark'!D98</f>
        <v>Køer</v>
      </c>
      <c r="E98" s="98" t="str">
        <f>'Resultater - Vestdanmark'!E98</f>
        <v>Antal</v>
      </c>
      <c r="F98" s="98" t="str">
        <f>'Resultater - Vestdanmark'!F98</f>
        <v>Dybstrøelse</v>
      </c>
      <c r="G98" s="98" t="str">
        <f>'Resultater - Vestdanmark'!G98</f>
        <v>Ton</v>
      </c>
      <c r="H98" s="280" t="e">
        <f>'Resultater - Vestdanmark'!H98+'Resultater - Østdanmark'!H98</f>
        <v>#REF!</v>
      </c>
      <c r="I98" s="281" t="e">
        <f>'Resultater - Vestdanmark'!I98+'Resultater - Østdanmark'!I98</f>
        <v>#REF!</v>
      </c>
      <c r="J98" s="282" t="e">
        <f>'Resultater - Vestdanmark'!J98+'Resultater - Østdanmark'!J98</f>
        <v>#REF!</v>
      </c>
    </row>
    <row r="99" spans="1:10" x14ac:dyDescent="0.25">
      <c r="A99" s="98" t="str">
        <f>'Resultater - Vestdanmark'!A99</f>
        <v>Kostald</v>
      </c>
      <c r="B99" s="98" t="str">
        <f>'Resultater - Vestdanmark'!B99</f>
        <v>Økologisk</v>
      </c>
      <c r="C99" s="98" t="str">
        <f>'Resultater - Vestdanmark'!C99</f>
        <v/>
      </c>
      <c r="D99" s="98" t="str">
        <f>'Resultater - Vestdanmark'!D99</f>
        <v>Køer</v>
      </c>
      <c r="E99" s="98" t="str">
        <f>'Resultater - Vestdanmark'!E99</f>
        <v>Antal</v>
      </c>
      <c r="F99" s="98" t="str">
        <f>'Resultater - Vestdanmark'!F99</f>
        <v>Råmælk</v>
      </c>
      <c r="G99" s="98" t="str">
        <f>'Resultater - Vestdanmark'!G99</f>
        <v>Ton</v>
      </c>
      <c r="H99" s="280" t="e">
        <f>'Resultater - Vestdanmark'!H99+'Resultater - Østdanmark'!H99</f>
        <v>#REF!</v>
      </c>
      <c r="I99" s="281" t="e">
        <f>'Resultater - Vestdanmark'!I99+'Resultater - Østdanmark'!I99</f>
        <v>#REF!</v>
      </c>
      <c r="J99" s="282" t="e">
        <f>'Resultater - Vestdanmark'!J99+'Resultater - Østdanmark'!J99</f>
        <v>#REF!</v>
      </c>
    </row>
    <row r="100" spans="1:10" x14ac:dyDescent="0.25">
      <c r="A100" s="98" t="str">
        <f>'Resultater - Vestdanmark'!A100</f>
        <v>Kostald</v>
      </c>
      <c r="B100" s="98" t="str">
        <f>'Resultater - Vestdanmark'!B100</f>
        <v>Økologisk</v>
      </c>
      <c r="C100" s="98" t="str">
        <f>'Resultater - Vestdanmark'!C100</f>
        <v/>
      </c>
      <c r="D100" s="98" t="str">
        <f>'Resultater - Vestdanmark'!D100</f>
        <v>Køer</v>
      </c>
      <c r="E100" s="98" t="str">
        <f>'Resultater - Vestdanmark'!E100</f>
        <v>Antal</v>
      </c>
      <c r="F100" s="98" t="str">
        <f>'Resultater - Vestdanmark'!F100</f>
        <v>Industriaffald</v>
      </c>
      <c r="G100" s="98" t="str">
        <f>'Resultater - Vestdanmark'!G100</f>
        <v>Ton</v>
      </c>
      <c r="H100" s="280" t="e">
        <f>'Resultater - Vestdanmark'!H100+'Resultater - Østdanmark'!H100</f>
        <v>#REF!</v>
      </c>
      <c r="I100" s="281" t="e">
        <f>'Resultater - Vestdanmark'!I100+'Resultater - Østdanmark'!I100</f>
        <v>#REF!</v>
      </c>
      <c r="J100" s="282" t="e">
        <f>'Resultater - Vestdanmark'!J100+'Resultater - Østdanmark'!J100</f>
        <v>#REF!</v>
      </c>
    </row>
    <row r="101" spans="1:10" x14ac:dyDescent="0.25">
      <c r="A101" s="98" t="str">
        <f>'Resultater - Vestdanmark'!A101</f>
        <v>Kostald</v>
      </c>
      <c r="B101" s="98" t="str">
        <f>'Resultater - Vestdanmark'!B101</f>
        <v>Økologisk</v>
      </c>
      <c r="C101" s="98" t="str">
        <f>'Resultater - Vestdanmark'!C101</f>
        <v/>
      </c>
      <c r="D101" s="98" t="str">
        <f>'Resultater - Vestdanmark'!D101</f>
        <v>Køer</v>
      </c>
      <c r="E101" s="98" t="str">
        <f>'Resultater - Vestdanmark'!E101</f>
        <v>Antal</v>
      </c>
      <c r="F101" s="98" t="str">
        <f>'Resultater - Vestdanmark'!F101</f>
        <v>Foder</v>
      </c>
      <c r="G101" s="98" t="str">
        <f>'Resultater - Vestdanmark'!G101</f>
        <v>FE</v>
      </c>
      <c r="H101" s="280" t="e">
        <f>'Resultater - Vestdanmark'!H101+'Resultater - Østdanmark'!H101</f>
        <v>#REF!</v>
      </c>
      <c r="I101" s="281" t="e">
        <f>'Resultater - Vestdanmark'!I101+'Resultater - Østdanmark'!I101</f>
        <v>#REF!</v>
      </c>
      <c r="J101" s="282" t="e">
        <f>'Resultater - Vestdanmark'!J101+'Resultater - Østdanmark'!J101</f>
        <v>#REF!</v>
      </c>
    </row>
    <row r="102" spans="1:10" x14ac:dyDescent="0.25">
      <c r="A102" s="98" t="str">
        <f>'Resultater - Vestdanmark'!A102</f>
        <v>Kostald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Køer</v>
      </c>
      <c r="E102" s="98" t="str">
        <f>'Resultater - Vestdanmark'!E102</f>
        <v>Antal</v>
      </c>
      <c r="F102" s="98" t="str">
        <f>'Resultater - Vestdanmark'!F102</f>
        <v>Halm</v>
      </c>
      <c r="G102" s="98" t="str">
        <f>'Resultater - Vestdanmark'!G102</f>
        <v>Ton</v>
      </c>
      <c r="H102" s="280" t="e">
        <f>'Resultater - Vestdanmark'!H102+'Resultater - Østdanmark'!H102</f>
        <v>#REF!</v>
      </c>
      <c r="I102" s="281" t="e">
        <f>'Resultater - Vestdanmark'!I102+'Resultater - Østdanmark'!I102</f>
        <v>#REF!</v>
      </c>
      <c r="J102" s="282" t="e">
        <f>'Resultater - Vestdanmark'!J102+'Resultater - Østdanmark'!J102</f>
        <v>#REF!</v>
      </c>
    </row>
    <row r="103" spans="1:10" x14ac:dyDescent="0.25">
      <c r="A103" s="98" t="str">
        <f>'Resultater - Vestdanmark'!A103</f>
        <v>Kostald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Køer</v>
      </c>
      <c r="E103" s="98" t="str">
        <f>'Resultater - Vestdanmark'!E103</f>
        <v>Antal</v>
      </c>
      <c r="F103" s="98" t="str">
        <f>'Resultater - Vestdanmark'!F103</f>
        <v>CO2 - atmosfære</v>
      </c>
      <c r="G103" s="98" t="str">
        <f>'Resultater - Vestdanmark'!G103</f>
        <v>t CO2-ækvivalenter</v>
      </c>
      <c r="H103" s="280" t="e">
        <f>'Resultater - Vestdanmark'!H103+'Resultater - Østdanmark'!H103</f>
        <v>#REF!</v>
      </c>
      <c r="I103" s="281" t="e">
        <f>'Resultater - Vestdanmark'!I103+'Resultater - Østdanmark'!I103</f>
        <v>#REF!</v>
      </c>
      <c r="J103" s="282" t="e">
        <f>'Resultater - Vestdanmark'!J103+'Resultater - Østdanmark'!J103</f>
        <v>#REF!</v>
      </c>
    </row>
    <row r="104" spans="1:10" x14ac:dyDescent="0.25">
      <c r="A104" s="98" t="str">
        <f>'Resultater - Vestdanmark'!A104</f>
        <v>Fjerkræbrug</v>
      </c>
      <c r="B104" s="98" t="str">
        <f>'Resultater - Vestdanmark'!B104</f>
        <v>Konventionel</v>
      </c>
      <c r="C104" s="98" t="str">
        <f>'Resultater - Vestdanmark'!C104</f>
        <v/>
      </c>
      <c r="D104" s="98" t="str">
        <f>'Resultater - Vestdanmark'!D104</f>
        <v>Fjerkræ</v>
      </c>
      <c r="E104" s="98" t="str">
        <f>'Resultater - Vestdanmark'!E104</f>
        <v>Antal</v>
      </c>
      <c r="F104" s="98" t="str">
        <f>'Resultater - Vestdanmark'!F104</f>
        <v>Slagtefjerkræ</v>
      </c>
      <c r="G104" s="98" t="str">
        <f>'Resultater - Vestdanmark'!G104</f>
        <v>Antal</v>
      </c>
      <c r="H104" s="280" t="e">
        <f>'Resultater - Vestdanmark'!H104+'Resultater - Østdanmark'!H104</f>
        <v>#REF!</v>
      </c>
      <c r="I104" s="281" t="e">
        <f>'Resultater - Vestdanmark'!I104+'Resultater - Østdanmark'!I104</f>
        <v>#REF!</v>
      </c>
      <c r="J104" s="282" t="e">
        <f>'Resultater - Vestdanmark'!J104+'Resultater - Østdanmark'!J104</f>
        <v>#REF!</v>
      </c>
    </row>
    <row r="105" spans="1:10" x14ac:dyDescent="0.25">
      <c r="A105" s="98" t="str">
        <f>'Resultater - Vestdanmark'!A105</f>
        <v>Fjerkræbrug</v>
      </c>
      <c r="B105" s="98" t="str">
        <f>'Resultater - Vestdanmark'!B105</f>
        <v>Konventionel</v>
      </c>
      <c r="C105" s="98" t="str">
        <f>'Resultater - Vestdanmark'!C105</f>
        <v/>
      </c>
      <c r="D105" s="98" t="str">
        <f>'Resultater - Vestdanmark'!D105</f>
        <v>Fjerkræ</v>
      </c>
      <c r="E105" s="98" t="str">
        <f>'Resultater - Vestdanmark'!E105</f>
        <v>Antal</v>
      </c>
      <c r="F105" s="98" t="str">
        <f>'Resultater - Vestdanmark'!F105</f>
        <v>Fjerkrægylle</v>
      </c>
      <c r="G105" s="98" t="str">
        <f>'Resultater - Vestdanmark'!G105</f>
        <v>Ton</v>
      </c>
      <c r="H105" s="280" t="e">
        <f>'Resultater - Vestdanmark'!H105+'Resultater - Østdanmark'!H105</f>
        <v>#REF!</v>
      </c>
      <c r="I105" s="281" t="e">
        <f>'Resultater - Vestdanmark'!I105+'Resultater - Østdanmark'!I105</f>
        <v>#REF!</v>
      </c>
      <c r="J105" s="282" t="e">
        <f>'Resultater - Vestdanmark'!J105+'Resultater - Østdanmark'!J105</f>
        <v>#REF!</v>
      </c>
    </row>
    <row r="106" spans="1:10" x14ac:dyDescent="0.25">
      <c r="A106" s="98" t="str">
        <f>'Resultater - Vestdanmark'!A106</f>
        <v>Fjerkræbrug</v>
      </c>
      <c r="B106" s="98" t="str">
        <f>'Resultater - Vestdanmark'!B106</f>
        <v>Konventionel</v>
      </c>
      <c r="C106" s="98" t="str">
        <f>'Resultater - Vestdanmark'!C106</f>
        <v/>
      </c>
      <c r="D106" s="98" t="str">
        <f>'Resultater - Vestdanmark'!D106</f>
        <v>Fjerkræ</v>
      </c>
      <c r="E106" s="98" t="str">
        <f>'Resultater - Vestdanmark'!E106</f>
        <v>Antal</v>
      </c>
      <c r="F106" s="98" t="str">
        <f>'Resultater - Vestdanmark'!F106</f>
        <v>Dybstrøelse</v>
      </c>
      <c r="G106" s="98" t="str">
        <f>'Resultater - Vestdanmark'!G106</f>
        <v>Ton</v>
      </c>
      <c r="H106" s="280" t="e">
        <f>'Resultater - Vestdanmark'!H106+'Resultater - Østdanmark'!H106</f>
        <v>#REF!</v>
      </c>
      <c r="I106" s="281" t="e">
        <f>'Resultater - Vestdanmark'!I106+'Resultater - Østdanmark'!I106</f>
        <v>#REF!</v>
      </c>
      <c r="J106" s="282" t="e">
        <f>'Resultater - Vestdanmark'!J106+'Resultater - Østdanmark'!J106</f>
        <v>#REF!</v>
      </c>
    </row>
    <row r="107" spans="1:10" x14ac:dyDescent="0.25">
      <c r="A107" s="98" t="str">
        <f>'Resultater - Vestdanmark'!A107</f>
        <v>Fjerkræbrug</v>
      </c>
      <c r="B107" s="98" t="str">
        <f>'Resultater - Vestdanmark'!B107</f>
        <v>Konventionel</v>
      </c>
      <c r="C107" s="98" t="str">
        <f>'Resultater - Vestdanmark'!C107</f>
        <v/>
      </c>
      <c r="D107" s="98" t="str">
        <f>'Resultater - Vestdanmark'!D107</f>
        <v>Fjerkræ</v>
      </c>
      <c r="E107" s="98" t="str">
        <f>'Resultater - Vestdanmark'!E107</f>
        <v>Antal</v>
      </c>
      <c r="F107" s="98" t="str">
        <f>'Resultater - Vestdanmark'!F107</f>
        <v>Æg</v>
      </c>
      <c r="G107" s="98" t="str">
        <f>'Resultater - Vestdanmark'!G107</f>
        <v>Ton</v>
      </c>
      <c r="H107" s="280" t="e">
        <f>'Resultater - Vestdanmark'!H107+'Resultater - Østdanmark'!H107</f>
        <v>#REF!</v>
      </c>
      <c r="I107" s="281" t="e">
        <f>'Resultater - Vestdanmark'!I107+'Resultater - Østdanmark'!I107</f>
        <v>#REF!</v>
      </c>
      <c r="J107" s="282" t="e">
        <f>'Resultater - Vestdanmark'!J107+'Resultater - Østdanmark'!J107</f>
        <v>#REF!</v>
      </c>
    </row>
    <row r="108" spans="1:10" x14ac:dyDescent="0.25">
      <c r="A108" s="98" t="str">
        <f>'Resultater - Vestdanmark'!A108</f>
        <v>Fjerkræbrug</v>
      </c>
      <c r="B108" s="98" t="str">
        <f>'Resultater - Vestdanmark'!B108</f>
        <v>Konventionel</v>
      </c>
      <c r="C108" s="98" t="str">
        <f>'Resultater - Vestdanmark'!C108</f>
        <v/>
      </c>
      <c r="D108" s="98" t="str">
        <f>'Resultater - Vestdanmark'!D108</f>
        <v>Fjerkræ</v>
      </c>
      <c r="E108" s="98" t="str">
        <f>'Resultater - Vestdanmark'!E108</f>
        <v>Antal</v>
      </c>
      <c r="F108" s="98" t="str">
        <f>'Resultater - Vestdanmark'!F108</f>
        <v>Industriaffald</v>
      </c>
      <c r="G108" s="98" t="str">
        <f>'Resultater - Vestdanmark'!G108</f>
        <v>Ton</v>
      </c>
      <c r="H108" s="280" t="e">
        <f>'Resultater - Vestdanmark'!H108+'Resultater - Østdanmark'!H108</f>
        <v>#REF!</v>
      </c>
      <c r="I108" s="281" t="e">
        <f>'Resultater - Vestdanmark'!I108+'Resultater - Østdanmark'!I108</f>
        <v>#REF!</v>
      </c>
      <c r="J108" s="282" t="e">
        <f>'Resultater - Vestdanmark'!J108+'Resultater - Østdanmark'!J108</f>
        <v>#REF!</v>
      </c>
    </row>
    <row r="109" spans="1:10" x14ac:dyDescent="0.25">
      <c r="A109" s="98" t="str">
        <f>'Resultater - Vestdanmark'!A109</f>
        <v>Fjerkræbrug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Fjerkræ</v>
      </c>
      <c r="E109" s="98" t="str">
        <f>'Resultater - Vestdanmark'!E109</f>
        <v>Antal</v>
      </c>
      <c r="F109" s="98" t="str">
        <f>'Resultater - Vestdanmark'!F109</f>
        <v>Foder</v>
      </c>
      <c r="G109" s="98" t="str">
        <f>'Resultater - Vestdanmark'!G109</f>
        <v>FE</v>
      </c>
      <c r="H109" s="280" t="e">
        <f>'Resultater - Vestdanmark'!H109+'Resultater - Østdanmark'!H109</f>
        <v>#REF!</v>
      </c>
      <c r="I109" s="281" t="e">
        <f>'Resultater - Vestdanmark'!I109+'Resultater - Østdanmark'!I109</f>
        <v>#REF!</v>
      </c>
      <c r="J109" s="282" t="e">
        <f>'Resultater - Vestdanmark'!J109+'Resultater - Østdanmark'!J109</f>
        <v>#REF!</v>
      </c>
    </row>
    <row r="110" spans="1:10" x14ac:dyDescent="0.25">
      <c r="A110" s="98" t="str">
        <f>'Resultater - Vestdanmark'!A110</f>
        <v>Fjerkræbrug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Fjerkræ</v>
      </c>
      <c r="E110" s="98" t="str">
        <f>'Resultater - Vestdanmark'!E110</f>
        <v>Antal</v>
      </c>
      <c r="F110" s="98" t="str">
        <f>'Resultater - Vestdanmark'!F110</f>
        <v>Halm</v>
      </c>
      <c r="G110" s="98" t="str">
        <f>'Resultater - Vestdanmark'!G110</f>
        <v>Ton</v>
      </c>
      <c r="H110" s="280" t="e">
        <f>'Resultater - Vestdanmark'!H110+'Resultater - Østdanmark'!H110</f>
        <v>#REF!</v>
      </c>
      <c r="I110" s="281" t="e">
        <f>'Resultater - Vestdanmark'!I110+'Resultater - Østdanmark'!I110</f>
        <v>#REF!</v>
      </c>
      <c r="J110" s="282" t="e">
        <f>'Resultater - Vestdanmark'!J110+'Resultater - Østdanmark'!J110</f>
        <v>#REF!</v>
      </c>
    </row>
    <row r="111" spans="1:10" x14ac:dyDescent="0.25">
      <c r="A111" s="98" t="str">
        <f>'Resultater - Vestdanmark'!A111</f>
        <v>Fjerkræbrug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Fjerkræ</v>
      </c>
      <c r="E111" s="98" t="str">
        <f>'Resultater - Vestdanmark'!E111</f>
        <v>Antal</v>
      </c>
      <c r="F111" s="98" t="str">
        <f>'Resultater - Vestdanmark'!F111</f>
        <v>CO2 - atmosfære</v>
      </c>
      <c r="G111" s="98" t="str">
        <f>'Resultater - Vestdanmark'!G111</f>
        <v>t CO2-ækvivalenter</v>
      </c>
      <c r="H111" s="280" t="e">
        <f>'Resultater - Vestdanmark'!H111+'Resultater - Østdanmark'!H111</f>
        <v>#REF!</v>
      </c>
      <c r="I111" s="281" t="e">
        <f>'Resultater - Vestdanmark'!I111+'Resultater - Østdanmark'!I111</f>
        <v>#REF!</v>
      </c>
      <c r="J111" s="282" t="e">
        <f>'Resultater - Vestdanmark'!J111+'Resultater - Østdanmark'!J111</f>
        <v>#REF!</v>
      </c>
    </row>
    <row r="112" spans="1:10" x14ac:dyDescent="0.25">
      <c r="A112" s="98" t="str">
        <f>'Resultater - Vestdanmark'!A112</f>
        <v>Fjerkræbrug</v>
      </c>
      <c r="B112" s="98" t="str">
        <f>'Resultater - Vestdanmark'!B112</f>
        <v>Økologisk</v>
      </c>
      <c r="C112" s="98" t="str">
        <f>'Resultater - Vestdanmark'!C112</f>
        <v/>
      </c>
      <c r="D112" s="98" t="str">
        <f>'Resultater - Vestdanmark'!D112</f>
        <v>Fjerkræ</v>
      </c>
      <c r="E112" s="98" t="str">
        <f>'Resultater - Vestdanmark'!E112</f>
        <v>Antal</v>
      </c>
      <c r="F112" s="98" t="str">
        <f>'Resultater - Vestdanmark'!F112</f>
        <v>Slagtefjerkræ</v>
      </c>
      <c r="G112" s="98" t="str">
        <f>'Resultater - Vestdanmark'!G112</f>
        <v>Antal</v>
      </c>
      <c r="H112" s="280" t="e">
        <f>'Resultater - Vestdanmark'!H112+'Resultater - Østdanmark'!H112</f>
        <v>#REF!</v>
      </c>
      <c r="I112" s="281" t="e">
        <f>'Resultater - Vestdanmark'!I112+'Resultater - Østdanmark'!I112</f>
        <v>#REF!</v>
      </c>
      <c r="J112" s="282" t="e">
        <f>'Resultater - Vestdanmark'!J112+'Resultater - Østdanmark'!J112</f>
        <v>#REF!</v>
      </c>
    </row>
    <row r="113" spans="1:10" x14ac:dyDescent="0.25">
      <c r="A113" s="98" t="str">
        <f>'Resultater - Vestdanmark'!A113</f>
        <v>Fjerkræbrug</v>
      </c>
      <c r="B113" s="98" t="str">
        <f>'Resultater - Vestdanmark'!B113</f>
        <v>Økologisk</v>
      </c>
      <c r="C113" s="98" t="str">
        <f>'Resultater - Vestdanmark'!C113</f>
        <v/>
      </c>
      <c r="D113" s="98" t="str">
        <f>'Resultater - Vestdanmark'!D113</f>
        <v>Fjerkræ</v>
      </c>
      <c r="E113" s="98" t="str">
        <f>'Resultater - Vestdanmark'!E113</f>
        <v>Antal</v>
      </c>
      <c r="F113" s="98" t="str">
        <f>'Resultater - Vestdanmark'!F113</f>
        <v>Fjerkrægylle</v>
      </c>
      <c r="G113" s="98" t="str">
        <f>'Resultater - Vestdanmark'!G113</f>
        <v>Ton</v>
      </c>
      <c r="H113" s="280" t="e">
        <f>'Resultater - Vestdanmark'!H113+'Resultater - Østdanmark'!H113</f>
        <v>#REF!</v>
      </c>
      <c r="I113" s="281" t="e">
        <f>'Resultater - Vestdanmark'!I113+'Resultater - Østdanmark'!I113</f>
        <v>#REF!</v>
      </c>
      <c r="J113" s="282" t="e">
        <f>'Resultater - Vestdanmark'!J113+'Resultater - Østdanmark'!J113</f>
        <v>#REF!</v>
      </c>
    </row>
    <row r="114" spans="1:10" x14ac:dyDescent="0.25">
      <c r="A114" s="98" t="str">
        <f>'Resultater - Vestdanmark'!A114</f>
        <v>Fjerkræbrug</v>
      </c>
      <c r="B114" s="98" t="str">
        <f>'Resultater - Vestdanmark'!B114</f>
        <v>Økologisk</v>
      </c>
      <c r="C114" s="98" t="str">
        <f>'Resultater - Vestdanmark'!C114</f>
        <v/>
      </c>
      <c r="D114" s="98" t="str">
        <f>'Resultater - Vestdanmark'!D114</f>
        <v>Fjerkræ</v>
      </c>
      <c r="E114" s="98" t="str">
        <f>'Resultater - Vestdanmark'!E114</f>
        <v>Antal</v>
      </c>
      <c r="F114" s="98" t="str">
        <f>'Resultater - Vestdanmark'!F114</f>
        <v>Dybstrøelse</v>
      </c>
      <c r="G114" s="98" t="str">
        <f>'Resultater - Vestdanmark'!G114</f>
        <v>Ton</v>
      </c>
      <c r="H114" s="280" t="e">
        <f>'Resultater - Vestdanmark'!H114+'Resultater - Østdanmark'!H114</f>
        <v>#REF!</v>
      </c>
      <c r="I114" s="281" t="e">
        <f>'Resultater - Vestdanmark'!I114+'Resultater - Østdanmark'!I114</f>
        <v>#REF!</v>
      </c>
      <c r="J114" s="282" t="e">
        <f>'Resultater - Vestdanmark'!J114+'Resultater - Østdanmark'!J114</f>
        <v>#REF!</v>
      </c>
    </row>
    <row r="115" spans="1:10" x14ac:dyDescent="0.25">
      <c r="A115" s="98" t="str">
        <f>'Resultater - Vestdanmark'!A115</f>
        <v>Fjerkræbrug</v>
      </c>
      <c r="B115" s="98" t="str">
        <f>'Resultater - Vestdanmark'!B115</f>
        <v>Økologisk</v>
      </c>
      <c r="C115" s="98" t="str">
        <f>'Resultater - Vestdanmark'!C115</f>
        <v/>
      </c>
      <c r="D115" s="98" t="str">
        <f>'Resultater - Vestdanmark'!D115</f>
        <v>Fjerkræ</v>
      </c>
      <c r="E115" s="98" t="str">
        <f>'Resultater - Vestdanmark'!E115</f>
        <v>Antal</v>
      </c>
      <c r="F115" s="98" t="str">
        <f>'Resultater - Vestdanmark'!F115</f>
        <v>Æg</v>
      </c>
      <c r="G115" s="98" t="str">
        <f>'Resultater - Vestdanmark'!G115</f>
        <v>Ton</v>
      </c>
      <c r="H115" s="280" t="e">
        <f>'Resultater - Vestdanmark'!H115+'Resultater - Østdanmark'!H115</f>
        <v>#REF!</v>
      </c>
      <c r="I115" s="281" t="e">
        <f>'Resultater - Vestdanmark'!I115+'Resultater - Østdanmark'!I115</f>
        <v>#REF!</v>
      </c>
      <c r="J115" s="282" t="e">
        <f>'Resultater - Vestdanmark'!J115+'Resultater - Østdanmark'!J115</f>
        <v>#REF!</v>
      </c>
    </row>
    <row r="116" spans="1:10" x14ac:dyDescent="0.25">
      <c r="A116" s="98" t="str">
        <f>'Resultater - Vestdanmark'!A116</f>
        <v>Fjerkræbrug</v>
      </c>
      <c r="B116" s="98" t="str">
        <f>'Resultater - Vestdanmark'!B116</f>
        <v>Økologisk</v>
      </c>
      <c r="C116" s="98" t="str">
        <f>'Resultater - Vestdanmark'!C116</f>
        <v/>
      </c>
      <c r="D116" s="98" t="str">
        <f>'Resultater - Vestdanmark'!D116</f>
        <v>Fjerkræ</v>
      </c>
      <c r="E116" s="98" t="str">
        <f>'Resultater - Vestdanmark'!E116</f>
        <v>Antal</v>
      </c>
      <c r="F116" s="98" t="str">
        <f>'Resultater - Vestdanmark'!F116</f>
        <v>Industriaffald</v>
      </c>
      <c r="G116" s="98" t="str">
        <f>'Resultater - Vestdanmark'!G116</f>
        <v>Ton</v>
      </c>
      <c r="H116" s="280" t="e">
        <f>'Resultater - Vestdanmark'!H116+'Resultater - Østdanmark'!H116</f>
        <v>#REF!</v>
      </c>
      <c r="I116" s="281" t="e">
        <f>'Resultater - Vestdanmark'!I116+'Resultater - Østdanmark'!I116</f>
        <v>#REF!</v>
      </c>
      <c r="J116" s="282" t="e">
        <f>'Resultater - Vestdanmark'!J116+'Resultater - Østdanmark'!J116</f>
        <v>#REF!</v>
      </c>
    </row>
    <row r="117" spans="1:10" x14ac:dyDescent="0.25">
      <c r="A117" s="98" t="str">
        <f>'Resultater - Vestdanmark'!A117</f>
        <v>Fjerkræbrug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Fjerkræ</v>
      </c>
      <c r="E117" s="98" t="str">
        <f>'Resultater - Vestdanmark'!E117</f>
        <v>Antal</v>
      </c>
      <c r="F117" s="98" t="str">
        <f>'Resultater - Vestdanmark'!F117</f>
        <v>Foder</v>
      </c>
      <c r="G117" s="98" t="str">
        <f>'Resultater - Vestdanmark'!G117</f>
        <v>FE</v>
      </c>
      <c r="H117" s="280" t="e">
        <f>'Resultater - Vestdanmark'!H117+'Resultater - Østdanmark'!H117</f>
        <v>#REF!</v>
      </c>
      <c r="I117" s="281" t="e">
        <f>'Resultater - Vestdanmark'!I117+'Resultater - Østdanmark'!I117</f>
        <v>#REF!</v>
      </c>
      <c r="J117" s="282" t="e">
        <f>'Resultater - Vestdanmark'!J117+'Resultater - Østdanmark'!J117</f>
        <v>#REF!</v>
      </c>
    </row>
    <row r="118" spans="1:10" x14ac:dyDescent="0.25">
      <c r="A118" s="98" t="str">
        <f>'Resultater - Vestdanmark'!A118</f>
        <v>Fjerkræbrug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Fjerkræ</v>
      </c>
      <c r="E118" s="98" t="str">
        <f>'Resultater - Vestdanmark'!E118</f>
        <v>Antal</v>
      </c>
      <c r="F118" s="98" t="str">
        <f>'Resultater - Vestdanmark'!F118</f>
        <v>Halm</v>
      </c>
      <c r="G118" s="98" t="str">
        <f>'Resultater - Vestdanmark'!G118</f>
        <v>Ton</v>
      </c>
      <c r="H118" s="280" t="e">
        <f>'Resultater - Vestdanmark'!H118+'Resultater - Østdanmark'!H118</f>
        <v>#REF!</v>
      </c>
      <c r="I118" s="281" t="e">
        <f>'Resultater - Vestdanmark'!I118+'Resultater - Østdanmark'!I118</f>
        <v>#REF!</v>
      </c>
      <c r="J118" s="282" t="e">
        <f>'Resultater - Vestdanmark'!J118+'Resultater - Østdanmark'!J118</f>
        <v>#REF!</v>
      </c>
    </row>
    <row r="119" spans="1:10" x14ac:dyDescent="0.25">
      <c r="A119" s="98" t="str">
        <f>'Resultater - Vestdanmark'!A119</f>
        <v>Fjerkræbrug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Fjerkræ</v>
      </c>
      <c r="E119" s="98" t="str">
        <f>'Resultater - Vestdanmark'!E119</f>
        <v>Antal</v>
      </c>
      <c r="F119" s="98" t="str">
        <f>'Resultater - Vestdanmark'!F119</f>
        <v>CO2 - atmosfære</v>
      </c>
      <c r="G119" s="98" t="str">
        <f>'Resultater - Vestdanmark'!G119</f>
        <v>t CO2-ækvivalenter</v>
      </c>
      <c r="H119" s="280" t="e">
        <f>'Resultater - Vestdanmark'!H119+'Resultater - Østdanmark'!H119</f>
        <v>#REF!</v>
      </c>
      <c r="I119" s="281" t="e">
        <f>'Resultater - Vestdanmark'!I119+'Resultater - Østdanmark'!I119</f>
        <v>#REF!</v>
      </c>
      <c r="J119" s="282" t="e">
        <f>'Resultater - Vestdanmark'!J119+'Resultater - Østdanmark'!J119</f>
        <v>#REF!</v>
      </c>
    </row>
    <row r="120" spans="1:10" x14ac:dyDescent="0.25">
      <c r="A120" s="98" t="str">
        <f>'Resultater - Vestdanmark'!A120</f>
        <v>Kornmark</v>
      </c>
      <c r="B120" s="98" t="str">
        <f>'Resultater - Vestdanmark'!B120</f>
        <v>Konventionel</v>
      </c>
      <c r="C120" s="98" t="str">
        <f>'Resultater - Vestdanmark'!C120</f>
        <v>JB1-10</v>
      </c>
      <c r="D120" s="98" t="str">
        <f>'Resultater - Vestdanmark'!D120</f>
        <v>Areal-korn</v>
      </c>
      <c r="E120" s="98" t="str">
        <f>'Resultater - Vestdanmark'!E120</f>
        <v>Hektar</v>
      </c>
      <c r="F120" s="98" t="str">
        <f>'Resultater - Vestdanmark'!F120</f>
        <v>Korn</v>
      </c>
      <c r="G120" s="98" t="str">
        <f>'Resultater - Vestdanmark'!G120</f>
        <v>Ton</v>
      </c>
      <c r="H120" s="280" t="e">
        <f>'Resultater - Vestdanmark'!H120+'Resultater - Østdanmark'!H120</f>
        <v>#REF!</v>
      </c>
      <c r="I120" s="281" t="e">
        <f>'Resultater - Vestdanmark'!I120+'Resultater - Østdanmark'!I120</f>
        <v>#REF!</v>
      </c>
      <c r="J120" s="282" t="e">
        <f>'Resultater - Vestdanmark'!J120+'Resultater - Østdanmark'!J120</f>
        <v>#REF!</v>
      </c>
    </row>
    <row r="121" spans="1:10" x14ac:dyDescent="0.25">
      <c r="A121" s="98" t="str">
        <f>'Resultater - Vestdanmark'!A121</f>
        <v>Kornmark</v>
      </c>
      <c r="B121" s="98" t="str">
        <f>'Resultater - Vestdanmark'!B121</f>
        <v>Konventionel</v>
      </c>
      <c r="C121" s="98" t="str">
        <f>'Resultater - Vestdanmark'!C121</f>
        <v>JB1-10</v>
      </c>
      <c r="D121" s="98" t="str">
        <f>'Resultater - Vestdanmark'!D121</f>
        <v>Areal-korn</v>
      </c>
      <c r="E121" s="98" t="str">
        <f>'Resultater - Vestdanmark'!E121</f>
        <v>Hektar</v>
      </c>
      <c r="F121" s="98" t="str">
        <f>'Resultater - Vestdanmark'!F121</f>
        <v>Halm</v>
      </c>
      <c r="G121" s="98" t="str">
        <f>'Resultater - Vestdanmark'!G121</f>
        <v>Ton</v>
      </c>
      <c r="H121" s="280" t="e">
        <f>'Resultater - Vestdanmark'!H121+'Resultater - Østdanmark'!H121</f>
        <v>#REF!</v>
      </c>
      <c r="I121" s="281" t="e">
        <f>'Resultater - Vestdanmark'!I121+'Resultater - Østdanmark'!I121</f>
        <v>#REF!</v>
      </c>
      <c r="J121" s="282" t="e">
        <f>'Resultater - Vestdanmark'!J121+'Resultater - Østdanmark'!J121</f>
        <v>#REF!</v>
      </c>
    </row>
    <row r="122" spans="1:10" x14ac:dyDescent="0.25">
      <c r="A122" s="98" t="str">
        <f>'Resultater - Vestdanmark'!A122</f>
        <v>Kornmark</v>
      </c>
      <c r="B122" s="98" t="str">
        <f>'Resultater - Vestdanmark'!B122</f>
        <v>Konventionel</v>
      </c>
      <c r="C122" s="98" t="str">
        <f>'Resultater - Vestdanmark'!C122</f>
        <v>JB1-10</v>
      </c>
      <c r="D122" s="98" t="str">
        <f>'Resultater - Vestdanmark'!D122</f>
        <v>Areal-korn</v>
      </c>
      <c r="E122" s="98" t="str">
        <f>'Resultater - Vestdanmark'!E122</f>
        <v>Hektar</v>
      </c>
      <c r="F122" s="98" t="str">
        <f>'Resultater - Vestdanmark'!F122</f>
        <v>Gødning</v>
      </c>
      <c r="G122" s="98" t="str">
        <f>'Resultater - Vestdanmark'!G122</f>
        <v>kg N</v>
      </c>
      <c r="H122" s="280" t="e">
        <f>'Resultater - Vestdanmark'!H122+'Resultater - Østdanmark'!H122</f>
        <v>#REF!</v>
      </c>
      <c r="I122" s="281" t="e">
        <f>'Resultater - Vestdanmark'!I122+'Resultater - Østdanmark'!I122</f>
        <v>#REF!</v>
      </c>
      <c r="J122" s="282" t="e">
        <f>'Resultater - Vestdanmark'!J122+'Resultater - Østdanmark'!J122</f>
        <v>#REF!</v>
      </c>
    </row>
    <row r="123" spans="1:10" x14ac:dyDescent="0.25">
      <c r="A123" s="98" t="str">
        <f>'Resultater - Vestdanmark'!A123</f>
        <v>Kornmark</v>
      </c>
      <c r="B123" s="98" t="str">
        <f>'Resultater - Vestdanmark'!B123</f>
        <v>Konventionel</v>
      </c>
      <c r="C123" s="98" t="str">
        <f>'Resultater - Vestdanmark'!C123</f>
        <v>JB1-10</v>
      </c>
      <c r="D123" s="98" t="str">
        <f>'Resultater - Vestdanmark'!D123</f>
        <v>Areal-korn</v>
      </c>
      <c r="E123" s="98" t="str">
        <f>'Resultater - Vestdanmark'!E123</f>
        <v>Hektar</v>
      </c>
      <c r="F123" s="98" t="str">
        <f>'Resultater - Vestdanmark'!F123</f>
        <v>CO2 - atmosfære</v>
      </c>
      <c r="G123" s="98" t="str">
        <f>'Resultater - Vestdanmark'!G123</f>
        <v>t CO2-ækvivalenter</v>
      </c>
      <c r="H123" s="280" t="e">
        <f>'Resultater - Vestdanmark'!H123+'Resultater - Østdanmark'!H123</f>
        <v>#REF!</v>
      </c>
      <c r="I123" s="281" t="e">
        <f>'Resultater - Vestdanmark'!I123+'Resultater - Østdanmark'!I123</f>
        <v>#REF!</v>
      </c>
      <c r="J123" s="282" t="e">
        <f>'Resultater - Vestdanmark'!J123+'Resultater - Østdanmark'!J123</f>
        <v>#REF!</v>
      </c>
    </row>
    <row r="124" spans="1:10" x14ac:dyDescent="0.25">
      <c r="A124" s="98" t="str">
        <f>'Resultater - Vestdanmark'!A124</f>
        <v>Kornmark</v>
      </c>
      <c r="B124" s="98" t="str">
        <f>'Resultater - Vestdanmark'!B124</f>
        <v>Konventionel</v>
      </c>
      <c r="C124" s="98" t="str">
        <f>'Resultater - Vestdanmark'!C124</f>
        <v>OC6</v>
      </c>
      <c r="D124" s="98" t="str">
        <f>'Resultater - Vestdanmark'!D124</f>
        <v>Areal-korn</v>
      </c>
      <c r="E124" s="98" t="str">
        <f>'Resultater - Vestdanmark'!E124</f>
        <v>Hektar</v>
      </c>
      <c r="F124" s="98" t="str">
        <f>'Resultater - Vestdanmark'!F124</f>
        <v>Korn</v>
      </c>
      <c r="G124" s="98" t="str">
        <f>'Resultater - Vestdanmark'!G124</f>
        <v>Ton</v>
      </c>
      <c r="H124" s="280" t="e">
        <f>'Resultater - Vestdanmark'!H124+'Resultater - Østdanmark'!H124</f>
        <v>#REF!</v>
      </c>
      <c r="I124" s="281" t="e">
        <f>'Resultater - Vestdanmark'!I124+'Resultater - Østdanmark'!I124</f>
        <v>#REF!</v>
      </c>
      <c r="J124" s="282" t="e">
        <f>'Resultater - Vestdanmark'!J124+'Resultater - Østdanmark'!J124</f>
        <v>#REF!</v>
      </c>
    </row>
    <row r="125" spans="1:10" x14ac:dyDescent="0.25">
      <c r="A125" s="98" t="str">
        <f>'Resultater - Vestdanmark'!A125</f>
        <v>Kornmark</v>
      </c>
      <c r="B125" s="98" t="str">
        <f>'Resultater - Vestdanmark'!B125</f>
        <v>Konventionel</v>
      </c>
      <c r="C125" s="98" t="str">
        <f>'Resultater - Vestdanmark'!C125</f>
        <v>OC6</v>
      </c>
      <c r="D125" s="98" t="str">
        <f>'Resultater - Vestdanmark'!D125</f>
        <v>Areal-korn</v>
      </c>
      <c r="E125" s="98" t="str">
        <f>'Resultater - Vestdanmark'!E125</f>
        <v>Hektar</v>
      </c>
      <c r="F125" s="98" t="str">
        <f>'Resultater - Vestdanmark'!F125</f>
        <v>Halm</v>
      </c>
      <c r="G125" s="98" t="str">
        <f>'Resultater - Vestdanmark'!G125</f>
        <v>Ton</v>
      </c>
      <c r="H125" s="280" t="e">
        <f>'Resultater - Vestdanmark'!H125+'Resultater - Østdanmark'!H125</f>
        <v>#REF!</v>
      </c>
      <c r="I125" s="281" t="e">
        <f>'Resultater - Vestdanmark'!I125+'Resultater - Østdanmark'!I125</f>
        <v>#REF!</v>
      </c>
      <c r="J125" s="282" t="e">
        <f>'Resultater - Vestdanmark'!J125+'Resultater - Østdanmark'!J125</f>
        <v>#REF!</v>
      </c>
    </row>
    <row r="126" spans="1:10" x14ac:dyDescent="0.25">
      <c r="A126" s="98" t="str">
        <f>'Resultater - Vestdanmark'!A126</f>
        <v>Kornmark</v>
      </c>
      <c r="B126" s="98" t="str">
        <f>'Resultater - Vestdanmark'!B126</f>
        <v>Konventionel</v>
      </c>
      <c r="C126" s="98" t="str">
        <f>'Resultater - Vestdanmark'!C126</f>
        <v>OC6</v>
      </c>
      <c r="D126" s="98" t="str">
        <f>'Resultater - Vestdanmark'!D126</f>
        <v>Areal-korn</v>
      </c>
      <c r="E126" s="98" t="str">
        <f>'Resultater - Vestdanmark'!E126</f>
        <v>Hektar</v>
      </c>
      <c r="F126" s="98" t="str">
        <f>'Resultater - Vestdanmark'!F126</f>
        <v>Gødning</v>
      </c>
      <c r="G126" s="98" t="str">
        <f>'Resultater - Vestdanmark'!G126</f>
        <v>kg N</v>
      </c>
      <c r="H126" s="280" t="e">
        <f>'Resultater - Vestdanmark'!H126+'Resultater - Østdanmark'!H126</f>
        <v>#REF!</v>
      </c>
      <c r="I126" s="281" t="e">
        <f>'Resultater - Vestdanmark'!I126+'Resultater - Østdanmark'!I126</f>
        <v>#REF!</v>
      </c>
      <c r="J126" s="282" t="e">
        <f>'Resultater - Vestdanmark'!J126+'Resultater - Østdanmark'!J126</f>
        <v>#REF!</v>
      </c>
    </row>
    <row r="127" spans="1:10" x14ac:dyDescent="0.25">
      <c r="A127" s="98" t="str">
        <f>'Resultater - Vestdanmark'!A127</f>
        <v>Kornmark</v>
      </c>
      <c r="B127" s="98" t="str">
        <f>'Resultater - Vestdanmark'!B127</f>
        <v>Konventionel</v>
      </c>
      <c r="C127" s="98" t="str">
        <f>'Resultater - Vestdanmark'!C127</f>
        <v>OC6</v>
      </c>
      <c r="D127" s="98" t="str">
        <f>'Resultater - Vestdanmark'!D127</f>
        <v>Areal-korn</v>
      </c>
      <c r="E127" s="98" t="str">
        <f>'Resultater - Vestdanmark'!E127</f>
        <v>Hektar</v>
      </c>
      <c r="F127" s="98" t="str">
        <f>'Resultater - Vestdanmark'!F127</f>
        <v>CO2 - atmosfære</v>
      </c>
      <c r="G127" s="98" t="str">
        <f>'Resultater - Vestdanmark'!G127</f>
        <v>t CO2-ækvivalenter</v>
      </c>
      <c r="H127" s="280" t="e">
        <f>'Resultater - Vestdanmark'!H127+'Resultater - Østdanmark'!H127</f>
        <v>#REF!</v>
      </c>
      <c r="I127" s="281" t="e">
        <f>'Resultater - Vestdanmark'!I127+'Resultater - Østdanmark'!I127</f>
        <v>#REF!</v>
      </c>
      <c r="J127" s="282" t="e">
        <f>'Resultater - Vestdanmark'!J127+'Resultater - Østdanmark'!J127</f>
        <v>#REF!</v>
      </c>
    </row>
    <row r="128" spans="1:10" x14ac:dyDescent="0.25">
      <c r="A128" s="98" t="str">
        <f>'Resultater - Vestdanmark'!A128</f>
        <v>Kornmark</v>
      </c>
      <c r="B128" s="98" t="str">
        <f>'Resultater - Vestdanmark'!B128</f>
        <v>Konventionel</v>
      </c>
      <c r="C128" s="98" t="str">
        <f>'Resultater - Vestdanmark'!C128</f>
        <v>OC12</v>
      </c>
      <c r="D128" s="98" t="str">
        <f>'Resultater - Vestdanmark'!D128</f>
        <v>Areal-korn</v>
      </c>
      <c r="E128" s="98" t="str">
        <f>'Resultater - Vestdanmark'!E128</f>
        <v>Hektar</v>
      </c>
      <c r="F128" s="98" t="str">
        <f>'Resultater - Vestdanmark'!F128</f>
        <v>Korn</v>
      </c>
      <c r="G128" s="98" t="str">
        <f>'Resultater - Vestdanmark'!G128</f>
        <v>Ton</v>
      </c>
      <c r="H128" s="280" t="e">
        <f>'Resultater - Vestdanmark'!H128+'Resultater - Østdanmark'!H128</f>
        <v>#REF!</v>
      </c>
      <c r="I128" s="281" t="e">
        <f>'Resultater - Vestdanmark'!I128+'Resultater - Østdanmark'!I128</f>
        <v>#REF!</v>
      </c>
      <c r="J128" s="282" t="e">
        <f>'Resultater - Vestdanmark'!J128+'Resultater - Østdanmark'!J128</f>
        <v>#REF!</v>
      </c>
    </row>
    <row r="129" spans="1:10" x14ac:dyDescent="0.25">
      <c r="A129" s="98" t="str">
        <f>'Resultater - Vestdanmark'!A129</f>
        <v>Kornmark</v>
      </c>
      <c r="B129" s="98" t="str">
        <f>'Resultater - Vestdanmark'!B129</f>
        <v>Konventionel</v>
      </c>
      <c r="C129" s="98" t="str">
        <f>'Resultater - Vestdanmark'!C129</f>
        <v>OC12</v>
      </c>
      <c r="D129" s="98" t="str">
        <f>'Resultater - Vestdanmark'!D129</f>
        <v>Areal-korn</v>
      </c>
      <c r="E129" s="98" t="str">
        <f>'Resultater - Vestdanmark'!E129</f>
        <v>Hektar</v>
      </c>
      <c r="F129" s="98" t="str">
        <f>'Resultater - Vestdanmark'!F129</f>
        <v>Halm</v>
      </c>
      <c r="G129" s="98" t="str">
        <f>'Resultater - Vestdanmark'!G129</f>
        <v>Ton</v>
      </c>
      <c r="H129" s="280" t="e">
        <f>'Resultater - Vestdanmark'!H129+'Resultater - Østdanmark'!H129</f>
        <v>#REF!</v>
      </c>
      <c r="I129" s="281" t="e">
        <f>'Resultater - Vestdanmark'!I129+'Resultater - Østdanmark'!I129</f>
        <v>#REF!</v>
      </c>
      <c r="J129" s="282" t="e">
        <f>'Resultater - Vestdanmark'!J129+'Resultater - Østdanmark'!J129</f>
        <v>#REF!</v>
      </c>
    </row>
    <row r="130" spans="1:10" x14ac:dyDescent="0.25">
      <c r="A130" s="98" t="str">
        <f>'Resultater - Vestdanmark'!A130</f>
        <v>Kornmark</v>
      </c>
      <c r="B130" s="98" t="str">
        <f>'Resultater - Vestdanmark'!B130</f>
        <v>Konventionel</v>
      </c>
      <c r="C130" s="98" t="str">
        <f>'Resultater - Vestdanmark'!C130</f>
        <v>OC12</v>
      </c>
      <c r="D130" s="98" t="str">
        <f>'Resultater - Vestdanmark'!D130</f>
        <v>Areal-korn</v>
      </c>
      <c r="E130" s="98" t="str">
        <f>'Resultater - Vestdanmark'!E130</f>
        <v>Hektar</v>
      </c>
      <c r="F130" s="98" t="str">
        <f>'Resultater - Vestdanmark'!F130</f>
        <v>Gødning</v>
      </c>
      <c r="G130" s="98" t="str">
        <f>'Resultater - Vestdanmark'!G130</f>
        <v>kg N</v>
      </c>
      <c r="H130" s="280" t="e">
        <f>'Resultater - Vestdanmark'!H130+'Resultater - Østdanmark'!H130</f>
        <v>#REF!</v>
      </c>
      <c r="I130" s="281" t="e">
        <f>'Resultater - Vestdanmark'!I130+'Resultater - Østdanmark'!I130</f>
        <v>#REF!</v>
      </c>
      <c r="J130" s="282" t="e">
        <f>'Resultater - Vestdanmark'!J130+'Resultater - Østdanmark'!J130</f>
        <v>#REF!</v>
      </c>
    </row>
    <row r="131" spans="1:10" x14ac:dyDescent="0.25">
      <c r="A131" s="98" t="str">
        <f>'Resultater - Vestdanmark'!A131</f>
        <v>Kornmark</v>
      </c>
      <c r="B131" s="98" t="str">
        <f>'Resultater - Vestdanmark'!B131</f>
        <v>Konventionel</v>
      </c>
      <c r="C131" s="98" t="str">
        <f>'Resultater - Vestdanmark'!C131</f>
        <v>OC12</v>
      </c>
      <c r="D131" s="98" t="str">
        <f>'Resultater - Vestdanmark'!D131</f>
        <v>Areal-korn</v>
      </c>
      <c r="E131" s="98" t="str">
        <f>'Resultater - Vestdanmark'!E131</f>
        <v>Hektar</v>
      </c>
      <c r="F131" s="98" t="str">
        <f>'Resultater - Vestdanmark'!F131</f>
        <v>CO2 - atmosfære</v>
      </c>
      <c r="G131" s="98" t="str">
        <f>'Resultater - Vestdanmark'!G131</f>
        <v>t CO2-ækvivalenter</v>
      </c>
      <c r="H131" s="280" t="e">
        <f>'Resultater - Vestdanmark'!H131+'Resultater - Østdanmark'!H131</f>
        <v>#REF!</v>
      </c>
      <c r="I131" s="281" t="e">
        <f>'Resultater - Vestdanmark'!I131+'Resultater - Østdanmark'!I131</f>
        <v>#REF!</v>
      </c>
      <c r="J131" s="282" t="e">
        <f>'Resultater - Vestdanmark'!J131+'Resultater - Østdanmark'!J131</f>
        <v>#REF!</v>
      </c>
    </row>
    <row r="132" spans="1:10" x14ac:dyDescent="0.25">
      <c r="A132" s="98" t="str">
        <f>'Resultater - Vestdanmark'!A132</f>
        <v>Kornmark</v>
      </c>
      <c r="B132" s="98" t="str">
        <f>'Resultater - Vestdanmark'!B132</f>
        <v>Økologisk</v>
      </c>
      <c r="C132" s="98" t="str">
        <f>'Resultater - Vestdanmark'!C132</f>
        <v>JB1-10</v>
      </c>
      <c r="D132" s="98" t="str">
        <f>'Resultater - Vestdanmark'!D132</f>
        <v>Areal-korn</v>
      </c>
      <c r="E132" s="98" t="str">
        <f>'Resultater - Vestdanmark'!E132</f>
        <v>Hektar</v>
      </c>
      <c r="F132" s="98" t="str">
        <f>'Resultater - Vestdanmark'!F132</f>
        <v>Korn</v>
      </c>
      <c r="G132" s="98" t="str">
        <f>'Resultater - Vestdanmark'!G132</f>
        <v>Ton</v>
      </c>
      <c r="H132" s="280" t="e">
        <f>'Resultater - Vestdanmark'!H132+'Resultater - Østdanmark'!H132</f>
        <v>#REF!</v>
      </c>
      <c r="I132" s="281" t="e">
        <f>'Resultater - Vestdanmark'!I132+'Resultater - Østdanmark'!I132</f>
        <v>#REF!</v>
      </c>
      <c r="J132" s="282" t="e">
        <f>'Resultater - Vestdanmark'!J132+'Resultater - Østdanmark'!J132</f>
        <v>#REF!</v>
      </c>
    </row>
    <row r="133" spans="1:10" x14ac:dyDescent="0.25">
      <c r="A133" s="98" t="str">
        <f>'Resultater - Vestdanmark'!A133</f>
        <v>Kornmark</v>
      </c>
      <c r="B133" s="98" t="str">
        <f>'Resultater - Vestdanmark'!B133</f>
        <v>Økologisk</v>
      </c>
      <c r="C133" s="98" t="str">
        <f>'Resultater - Vestdanmark'!C133</f>
        <v>JB1-10</v>
      </c>
      <c r="D133" s="98" t="str">
        <f>'Resultater - Vestdanmark'!D133</f>
        <v>Areal-korn</v>
      </c>
      <c r="E133" s="98" t="str">
        <f>'Resultater - Vestdanmark'!E133</f>
        <v>Hektar</v>
      </c>
      <c r="F133" s="98" t="str">
        <f>'Resultater - Vestdanmark'!F133</f>
        <v>Halm</v>
      </c>
      <c r="G133" s="98" t="str">
        <f>'Resultater - Vestdanmark'!G133</f>
        <v>Ton</v>
      </c>
      <c r="H133" s="280" t="e">
        <f>'Resultater - Vestdanmark'!H133+'Resultater - Østdanmark'!H133</f>
        <v>#REF!</v>
      </c>
      <c r="I133" s="281" t="e">
        <f>'Resultater - Vestdanmark'!I133+'Resultater - Østdanmark'!I133</f>
        <v>#REF!</v>
      </c>
      <c r="J133" s="282" t="e">
        <f>'Resultater - Vestdanmark'!J133+'Resultater - Østdanmark'!J133</f>
        <v>#REF!</v>
      </c>
    </row>
    <row r="134" spans="1:10" x14ac:dyDescent="0.25">
      <c r="A134" s="98" t="str">
        <f>'Resultater - Vestdanmark'!A134</f>
        <v>Kornmark</v>
      </c>
      <c r="B134" s="98" t="str">
        <f>'Resultater - Vestdanmark'!B134</f>
        <v>Økologisk</v>
      </c>
      <c r="C134" s="98" t="str">
        <f>'Resultater - Vestdanmark'!C134</f>
        <v>JB1-10</v>
      </c>
      <c r="D134" s="98" t="str">
        <f>'Resultater - Vestdanmark'!D134</f>
        <v>Areal-korn</v>
      </c>
      <c r="E134" s="98" t="str">
        <f>'Resultater - Vestdanmark'!E134</f>
        <v>Hektar</v>
      </c>
      <c r="F134" s="98" t="str">
        <f>'Resultater - Vestdanmark'!F134</f>
        <v>Gødning</v>
      </c>
      <c r="G134" s="98" t="str">
        <f>'Resultater - Vestdanmark'!G134</f>
        <v>kg N</v>
      </c>
      <c r="H134" s="280" t="e">
        <f>'Resultater - Vestdanmark'!H134+'Resultater - Østdanmark'!H134</f>
        <v>#REF!</v>
      </c>
      <c r="I134" s="281" t="e">
        <f>'Resultater - Vestdanmark'!I134+'Resultater - Østdanmark'!I134</f>
        <v>#REF!</v>
      </c>
      <c r="J134" s="282" t="e">
        <f>'Resultater - Vestdanmark'!J134+'Resultater - Østdanmark'!J134</f>
        <v>#REF!</v>
      </c>
    </row>
    <row r="135" spans="1:10" x14ac:dyDescent="0.25">
      <c r="A135" s="98" t="str">
        <f>'Resultater - Vestdanmark'!A135</f>
        <v>Kornmark</v>
      </c>
      <c r="B135" s="98" t="str">
        <f>'Resultater - Vestdanmark'!B135</f>
        <v>Økologisk</v>
      </c>
      <c r="C135" s="98" t="str">
        <f>'Resultater - Vestdanmark'!C135</f>
        <v>JB1-10</v>
      </c>
      <c r="D135" s="98" t="str">
        <f>'Resultater - Vestdanmark'!D135</f>
        <v>Areal-korn</v>
      </c>
      <c r="E135" s="98" t="str">
        <f>'Resultater - Vestdanmark'!E135</f>
        <v>Hektar</v>
      </c>
      <c r="F135" s="98" t="str">
        <f>'Resultater - Vestdanmark'!F135</f>
        <v>CO2 - atmosfære</v>
      </c>
      <c r="G135" s="98" t="str">
        <f>'Resultater - Vestdanmark'!G135</f>
        <v>t CO2-ækvivalenter</v>
      </c>
      <c r="H135" s="280" t="e">
        <f>'Resultater - Vestdanmark'!H135+'Resultater - Østdanmark'!H135</f>
        <v>#REF!</v>
      </c>
      <c r="I135" s="281" t="e">
        <f>'Resultater - Vestdanmark'!I135+'Resultater - Østdanmark'!I135</f>
        <v>#REF!</v>
      </c>
      <c r="J135" s="282" t="e">
        <f>'Resultater - Vestdanmark'!J135+'Resultater - Østdanmark'!J135</f>
        <v>#REF!</v>
      </c>
    </row>
    <row r="136" spans="1:10" x14ac:dyDescent="0.25">
      <c r="A136" s="98" t="str">
        <f>'Resultater - Vestdanmark'!A136</f>
        <v>Kornmark</v>
      </c>
      <c r="B136" s="98" t="str">
        <f>'Resultater - Vestdanmark'!B136</f>
        <v>Økologisk</v>
      </c>
      <c r="C136" s="98" t="str">
        <f>'Resultater - Vestdanmark'!C136</f>
        <v>OC6</v>
      </c>
      <c r="D136" s="98" t="str">
        <f>'Resultater - Vestdanmark'!D136</f>
        <v>Areal-korn</v>
      </c>
      <c r="E136" s="98" t="str">
        <f>'Resultater - Vestdanmark'!E136</f>
        <v>Hektar</v>
      </c>
      <c r="F136" s="98" t="str">
        <f>'Resultater - Vestdanmark'!F136</f>
        <v>Korn</v>
      </c>
      <c r="G136" s="98" t="str">
        <f>'Resultater - Vestdanmark'!G136</f>
        <v>Ton</v>
      </c>
      <c r="H136" s="280" t="e">
        <f>'Resultater - Vestdanmark'!H136+'Resultater - Østdanmark'!H136</f>
        <v>#REF!</v>
      </c>
      <c r="I136" s="281" t="e">
        <f>'Resultater - Vestdanmark'!I136+'Resultater - Østdanmark'!I136</f>
        <v>#REF!</v>
      </c>
      <c r="J136" s="282" t="e">
        <f>'Resultater - Vestdanmark'!J136+'Resultater - Østdanmark'!J136</f>
        <v>#REF!</v>
      </c>
    </row>
    <row r="137" spans="1:10" x14ac:dyDescent="0.25">
      <c r="A137" s="98" t="str">
        <f>'Resultater - Vestdanmark'!A137</f>
        <v>Kornmark</v>
      </c>
      <c r="B137" s="98" t="str">
        <f>'Resultater - Vestdanmark'!B137</f>
        <v>Økologisk</v>
      </c>
      <c r="C137" s="98" t="str">
        <f>'Resultater - Vestdanmark'!C137</f>
        <v>OC6</v>
      </c>
      <c r="D137" s="98" t="str">
        <f>'Resultater - Vestdanmark'!D137</f>
        <v>Areal-korn</v>
      </c>
      <c r="E137" s="98" t="str">
        <f>'Resultater - Vestdanmark'!E137</f>
        <v>Hektar</v>
      </c>
      <c r="F137" s="98" t="str">
        <f>'Resultater - Vestdanmark'!F137</f>
        <v>Halm</v>
      </c>
      <c r="G137" s="98" t="str">
        <f>'Resultater - Vestdanmark'!G137</f>
        <v>Ton</v>
      </c>
      <c r="H137" s="280" t="e">
        <f>'Resultater - Vestdanmark'!H137+'Resultater - Østdanmark'!H137</f>
        <v>#REF!</v>
      </c>
      <c r="I137" s="281" t="e">
        <f>'Resultater - Vestdanmark'!I137+'Resultater - Østdanmark'!I137</f>
        <v>#REF!</v>
      </c>
      <c r="J137" s="282" t="e">
        <f>'Resultater - Vestdanmark'!J137+'Resultater - Østdanmark'!J137</f>
        <v>#REF!</v>
      </c>
    </row>
    <row r="138" spans="1:10" x14ac:dyDescent="0.25">
      <c r="A138" s="98" t="str">
        <f>'Resultater - Vestdanmark'!A138</f>
        <v>Kornmark</v>
      </c>
      <c r="B138" s="98" t="str">
        <f>'Resultater - Vestdanmark'!B138</f>
        <v>Økologisk</v>
      </c>
      <c r="C138" s="98" t="str">
        <f>'Resultater - Vestdanmark'!C138</f>
        <v>OC6</v>
      </c>
      <c r="D138" s="98" t="str">
        <f>'Resultater - Vestdanmark'!D138</f>
        <v>Areal-korn</v>
      </c>
      <c r="E138" s="98" t="str">
        <f>'Resultater - Vestdanmark'!E138</f>
        <v>Hektar</v>
      </c>
      <c r="F138" s="98" t="str">
        <f>'Resultater - Vestdanmark'!F138</f>
        <v>Gødning</v>
      </c>
      <c r="G138" s="98" t="str">
        <f>'Resultater - Vestdanmark'!G138</f>
        <v>kg N</v>
      </c>
      <c r="H138" s="280" t="e">
        <f>'Resultater - Vestdanmark'!H138+'Resultater - Østdanmark'!H138</f>
        <v>#REF!</v>
      </c>
      <c r="I138" s="281" t="e">
        <f>'Resultater - Vestdanmark'!I138+'Resultater - Østdanmark'!I138</f>
        <v>#REF!</v>
      </c>
      <c r="J138" s="282" t="e">
        <f>'Resultater - Vestdanmark'!J138+'Resultater - Østdanmark'!J138</f>
        <v>#REF!</v>
      </c>
    </row>
    <row r="139" spans="1:10" x14ac:dyDescent="0.25">
      <c r="A139" s="98" t="str">
        <f>'Resultater - Vestdanmark'!A139</f>
        <v>Kornmark</v>
      </c>
      <c r="B139" s="98" t="str">
        <f>'Resultater - Vestdanmark'!B139</f>
        <v>Økologisk</v>
      </c>
      <c r="C139" s="98" t="str">
        <f>'Resultater - Vestdanmark'!C139</f>
        <v>OC6</v>
      </c>
      <c r="D139" s="98" t="str">
        <f>'Resultater - Vestdanmark'!D139</f>
        <v>Areal-korn</v>
      </c>
      <c r="E139" s="98" t="str">
        <f>'Resultater - Vestdanmark'!E139</f>
        <v>Hektar</v>
      </c>
      <c r="F139" s="98" t="str">
        <f>'Resultater - Vestdanmark'!F139</f>
        <v>CO2 - atmosfære</v>
      </c>
      <c r="G139" s="98" t="str">
        <f>'Resultater - Vestdanmark'!G139</f>
        <v>t CO2-ækvivalenter</v>
      </c>
      <c r="H139" s="280" t="e">
        <f>'Resultater - Vestdanmark'!H139+'Resultater - Østdanmark'!H139</f>
        <v>#REF!</v>
      </c>
      <c r="I139" s="281" t="e">
        <f>'Resultater - Vestdanmark'!I139+'Resultater - Østdanmark'!I139</f>
        <v>#REF!</v>
      </c>
      <c r="J139" s="282" t="e">
        <f>'Resultater - Vestdanmark'!J139+'Resultater - Østdanmark'!J139</f>
        <v>#REF!</v>
      </c>
    </row>
    <row r="140" spans="1:10" x14ac:dyDescent="0.25">
      <c r="A140" s="98" t="str">
        <f>'Resultater - Vestdanmark'!A140</f>
        <v>Kornmark</v>
      </c>
      <c r="B140" s="98" t="str">
        <f>'Resultater - Vestdanmark'!B140</f>
        <v>Økologisk</v>
      </c>
      <c r="C140" s="98" t="str">
        <f>'Resultater - Vestdanmark'!C140</f>
        <v>OC12</v>
      </c>
      <c r="D140" s="98" t="str">
        <f>'Resultater - Vestdanmark'!D140</f>
        <v>Areal-korn</v>
      </c>
      <c r="E140" s="98" t="str">
        <f>'Resultater - Vestdanmark'!E140</f>
        <v>Hektar</v>
      </c>
      <c r="F140" s="98" t="str">
        <f>'Resultater - Vestdanmark'!F140</f>
        <v>Korn</v>
      </c>
      <c r="G140" s="98" t="str">
        <f>'Resultater - Vestdanmark'!G140</f>
        <v>Ton</v>
      </c>
      <c r="H140" s="280" t="e">
        <f>'Resultater - Vestdanmark'!H140+'Resultater - Østdanmark'!H140</f>
        <v>#REF!</v>
      </c>
      <c r="I140" s="281" t="e">
        <f>'Resultater - Vestdanmark'!I140+'Resultater - Østdanmark'!I140</f>
        <v>#REF!</v>
      </c>
      <c r="J140" s="282" t="e">
        <f>'Resultater - Vestdanmark'!J140+'Resultater - Østdanmark'!J140</f>
        <v>#REF!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Økologisk</v>
      </c>
      <c r="C141" s="98" t="str">
        <f>'Resultater - Vestdanmark'!C141</f>
        <v>OC12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Halm</v>
      </c>
      <c r="G141" s="98" t="str">
        <f>'Resultater - Vestdanmark'!G141</f>
        <v>Ton</v>
      </c>
      <c r="H141" s="280" t="e">
        <f>'Resultater - Vestdanmark'!H141+'Resultater - Østdanmark'!H141</f>
        <v>#REF!</v>
      </c>
      <c r="I141" s="281" t="e">
        <f>'Resultater - Vestdanmark'!I141+'Resultater - Østdanmark'!I141</f>
        <v>#REF!</v>
      </c>
      <c r="J141" s="282" t="e">
        <f>'Resultater - Vestdanmark'!J141+'Resultater - Østdanmark'!J141</f>
        <v>#REF!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Økologisk</v>
      </c>
      <c r="C142" s="98" t="str">
        <f>'Resultater - Vestdanmark'!C142</f>
        <v>OC12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Gødning</v>
      </c>
      <c r="G142" s="98" t="str">
        <f>'Resultater - Vestdanmark'!G142</f>
        <v>kg N</v>
      </c>
      <c r="H142" s="280" t="e">
        <f>'Resultater - Vestdanmark'!H142+'Resultater - Østdanmark'!H142</f>
        <v>#REF!</v>
      </c>
      <c r="I142" s="281" t="e">
        <f>'Resultater - Vestdanmark'!I142+'Resultater - Østdanmark'!I142</f>
        <v>#REF!</v>
      </c>
      <c r="J142" s="282" t="e">
        <f>'Resultater - Vestdanmark'!J142+'Resultater - Østdanmark'!J142</f>
        <v>#REF!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Økologisk</v>
      </c>
      <c r="C143" s="98" t="str">
        <f>'Resultater - Vestdanmark'!C143</f>
        <v>OC12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CO2 - atmosfære</v>
      </c>
      <c r="G143" s="98" t="str">
        <f>'Resultater - Vestdanmark'!G143</f>
        <v>t CO2-ækvivalenter</v>
      </c>
      <c r="H143" s="280" t="e">
        <f>'Resultater - Vestdanmark'!H143+'Resultater - Østdanmark'!H143</f>
        <v>#REF!</v>
      </c>
      <c r="I143" s="281" t="e">
        <f>'Resultater - Vestdanmark'!I143+'Resultater - Østdanmark'!I143</f>
        <v>#REF!</v>
      </c>
      <c r="J143" s="282" t="e">
        <f>'Resultater - Vestdanmark'!J143+'Resultater - Østdanmark'!J143</f>
        <v>#REF!</v>
      </c>
    </row>
    <row r="144" spans="1:10" x14ac:dyDescent="0.25">
      <c r="A144" s="98" t="str">
        <f>'Resultater - Vestdanmark'!A144</f>
        <v>Grøntsager på land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Areal-grøntsager</v>
      </c>
      <c r="E144" s="98" t="str">
        <f>'Resultater - Vestdanmark'!E144</f>
        <v>Hektar</v>
      </c>
      <c r="F144" s="98" t="str">
        <f>'Resultater - Vestdanmark'!F144</f>
        <v>Grøntsager</v>
      </c>
      <c r="G144" s="98" t="str">
        <f>'Resultater - Vestdanmark'!G144</f>
        <v>Ton</v>
      </c>
      <c r="H144" s="280" t="e">
        <f>'Resultater - Vestdanmark'!H144+'Resultater - Østdanmark'!H144</f>
        <v>#REF!</v>
      </c>
      <c r="I144" s="281" t="e">
        <f>'Resultater - Vestdanmark'!I144+'Resultater - Østdanmark'!I144</f>
        <v>#REF!</v>
      </c>
      <c r="J144" s="282" t="e">
        <f>'Resultater - Vestdanmark'!J144+'Resultater - Østdanmark'!J144</f>
        <v>#REF!</v>
      </c>
    </row>
    <row r="145" spans="1:10" x14ac:dyDescent="0.25">
      <c r="A145" s="98" t="str">
        <f>'Resultater - Vestdanmark'!A145</f>
        <v>Grøntsager på land</v>
      </c>
      <c r="B145" s="98" t="str">
        <f>'Resultater - Vestdanmark'!B145</f>
        <v>Konventionel</v>
      </c>
      <c r="C145" s="98" t="str">
        <f>'Resultater - Vestdanmark'!C145</f>
        <v>JB1-10</v>
      </c>
      <c r="D145" s="98" t="str">
        <f>'Resultater - Vestdanmark'!D145</f>
        <v>Areal-grøntsager</v>
      </c>
      <c r="E145" s="98" t="str">
        <f>'Resultater - Vestdanmark'!E145</f>
        <v>Hektar</v>
      </c>
      <c r="F145" s="98" t="str">
        <f>'Resultater - Vestdanmark'!F145</f>
        <v>Gødning</v>
      </c>
      <c r="G145" s="98" t="str">
        <f>'Resultater - Vestdanmark'!G145</f>
        <v>kg N</v>
      </c>
      <c r="H145" s="280" t="e">
        <f>'Resultater - Vestdanmark'!H145+'Resultater - Østdanmark'!H145</f>
        <v>#REF!</v>
      </c>
      <c r="I145" s="281" t="e">
        <f>'Resultater - Vestdanmark'!I145+'Resultater - Østdanmark'!I145</f>
        <v>#REF!</v>
      </c>
      <c r="J145" s="282" t="e">
        <f>'Resultater - Vestdanmark'!J145+'Resultater - Østdanmark'!J145</f>
        <v>#REF!</v>
      </c>
    </row>
    <row r="146" spans="1:10" x14ac:dyDescent="0.25">
      <c r="A146" s="98" t="str">
        <f>'Resultater - Vestdanmark'!A146</f>
        <v>Grøntsager på land</v>
      </c>
      <c r="B146" s="98" t="str">
        <f>'Resultater - Vestdanmark'!B146</f>
        <v>Konventionel</v>
      </c>
      <c r="C146" s="98" t="str">
        <f>'Resultater - Vestdanmark'!C146</f>
        <v>JB1-10</v>
      </c>
      <c r="D146" s="98" t="str">
        <f>'Resultater - Vestdanmark'!D146</f>
        <v>Areal-grøntsager</v>
      </c>
      <c r="E146" s="98" t="str">
        <f>'Resultater - Vestdanmark'!E146</f>
        <v>Hektar</v>
      </c>
      <c r="F146" s="98" t="str">
        <f>'Resultater - Vestdanmark'!F146</f>
        <v>CO2 - atmosfære</v>
      </c>
      <c r="G146" s="98" t="str">
        <f>'Resultater - Vestdanmark'!G146</f>
        <v>t CO2-ækvivalenter</v>
      </c>
      <c r="H146" s="280" t="e">
        <f>'Resultater - Vestdanmark'!H146+'Resultater - Østdanmark'!H146</f>
        <v>#REF!</v>
      </c>
      <c r="I146" s="281" t="e">
        <f>'Resultater - Vestdanmark'!I146+'Resultater - Østdanmark'!I146</f>
        <v>#REF!</v>
      </c>
      <c r="J146" s="282" t="e">
        <f>'Resultater - Vestdanmark'!J146+'Resultater - Østdanmark'!J146</f>
        <v>#REF!</v>
      </c>
    </row>
    <row r="147" spans="1:10" x14ac:dyDescent="0.25">
      <c r="A147" s="98" t="str">
        <f>'Resultater - Vestdanmark'!A147</f>
        <v>Grøntsager på land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Areal-grøntsager</v>
      </c>
      <c r="E147" s="98" t="str">
        <f>'Resultater - Vestdanmark'!E147</f>
        <v>Hektar</v>
      </c>
      <c r="F147" s="98" t="str">
        <f>'Resultater - Vestdanmark'!F147</f>
        <v>Grøntsager</v>
      </c>
      <c r="G147" s="98" t="str">
        <f>'Resultater - Vestdanmark'!G147</f>
        <v>Ton</v>
      </c>
      <c r="H147" s="280" t="e">
        <f>'Resultater - Vestdanmark'!H147+'Resultater - Østdanmark'!H147</f>
        <v>#REF!</v>
      </c>
      <c r="I147" s="281" t="e">
        <f>'Resultater - Vestdanmark'!I147+'Resultater - Østdanmark'!I147</f>
        <v>#REF!</v>
      </c>
      <c r="J147" s="282" t="e">
        <f>'Resultater - Vestdanmark'!J147+'Resultater - Østdanmark'!J147</f>
        <v>#REF!</v>
      </c>
    </row>
    <row r="148" spans="1:10" x14ac:dyDescent="0.25">
      <c r="A148" s="98" t="str">
        <f>'Resultater - Vestdanmark'!A148</f>
        <v>Grøntsager på land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Areal-grøntsager</v>
      </c>
      <c r="E148" s="98" t="str">
        <f>'Resultater - Vestdanmark'!E148</f>
        <v>Hektar</v>
      </c>
      <c r="F148" s="98" t="str">
        <f>'Resultater - Vestdanmark'!F148</f>
        <v>Gødning</v>
      </c>
      <c r="G148" s="98" t="str">
        <f>'Resultater - Vestdanmark'!G148</f>
        <v>kg N</v>
      </c>
      <c r="H148" s="280" t="e">
        <f>'Resultater - Vestdanmark'!H148+'Resultater - Østdanmark'!H148</f>
        <v>#REF!</v>
      </c>
      <c r="I148" s="281" t="e">
        <f>'Resultater - Vestdanmark'!I148+'Resultater - Østdanmark'!I148</f>
        <v>#REF!</v>
      </c>
      <c r="J148" s="282" t="e">
        <f>'Resultater - Vestdanmark'!J148+'Resultater - Østdanmark'!J148</f>
        <v>#REF!</v>
      </c>
    </row>
    <row r="149" spans="1:10" x14ac:dyDescent="0.25">
      <c r="A149" s="98" t="str">
        <f>'Resultater - Vestdanmark'!A149</f>
        <v>Grøntsager på land</v>
      </c>
      <c r="B149" s="98" t="str">
        <f>'Resultater - Vestdanmark'!B149</f>
        <v>Konventionel</v>
      </c>
      <c r="C149" s="98" t="str">
        <f>'Resultater - Vestdanmark'!C149</f>
        <v>OC6</v>
      </c>
      <c r="D149" s="98" t="str">
        <f>'Resultater - Vestdanmark'!D149</f>
        <v>Areal-grøntsager</v>
      </c>
      <c r="E149" s="98" t="str">
        <f>'Resultater - Vestdanmark'!E149</f>
        <v>Hektar</v>
      </c>
      <c r="F149" s="98" t="str">
        <f>'Resultater - Vestdanmark'!F149</f>
        <v>CO2 - atmosfære</v>
      </c>
      <c r="G149" s="98" t="str">
        <f>'Resultater - Vestdanmark'!G149</f>
        <v>t CO2-ækvivalenter</v>
      </c>
      <c r="H149" s="280" t="e">
        <f>'Resultater - Vestdanmark'!H149+'Resultater - Østdanmark'!H149</f>
        <v>#REF!</v>
      </c>
      <c r="I149" s="281" t="e">
        <f>'Resultater - Vestdanmark'!I149+'Resultater - Østdanmark'!I149</f>
        <v>#REF!</v>
      </c>
      <c r="J149" s="282" t="e">
        <f>'Resultater - Vestdanmark'!J149+'Resultater - Østdanmark'!J149</f>
        <v>#REF!</v>
      </c>
    </row>
    <row r="150" spans="1:10" x14ac:dyDescent="0.25">
      <c r="A150" s="98" t="str">
        <f>'Resultater - Vestdanmark'!A150</f>
        <v>Grøntsager på land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Areal-grøntsager</v>
      </c>
      <c r="E150" s="98" t="str">
        <f>'Resultater - Vestdanmark'!E150</f>
        <v>Hektar</v>
      </c>
      <c r="F150" s="98" t="str">
        <f>'Resultater - Vestdanmark'!F150</f>
        <v>Grøntsager</v>
      </c>
      <c r="G150" s="98" t="str">
        <f>'Resultater - Vestdanmark'!G150</f>
        <v>Ton</v>
      </c>
      <c r="H150" s="280" t="e">
        <f>'Resultater - Vestdanmark'!H150+'Resultater - Østdanmark'!H150</f>
        <v>#REF!</v>
      </c>
      <c r="I150" s="281" t="e">
        <f>'Resultater - Vestdanmark'!I150+'Resultater - Østdanmark'!I150</f>
        <v>#REF!</v>
      </c>
      <c r="J150" s="282" t="e">
        <f>'Resultater - Vestdanmark'!J150+'Resultater - Østdanmark'!J150</f>
        <v>#REF!</v>
      </c>
    </row>
    <row r="151" spans="1:10" x14ac:dyDescent="0.25">
      <c r="A151" s="98" t="str">
        <f>'Resultater - Vestdanmark'!A151</f>
        <v>Grøntsager på land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Areal-grøntsager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80" t="e">
        <f>'Resultater - Vestdanmark'!H151+'Resultater - Østdanmark'!H151</f>
        <v>#REF!</v>
      </c>
      <c r="I151" s="281" t="e">
        <f>'Resultater - Vestdanmark'!I151+'Resultater - Østdanmark'!I151</f>
        <v>#REF!</v>
      </c>
      <c r="J151" s="282" t="e">
        <f>'Resultater - Vestdanmark'!J151+'Resultater - Østdanmark'!J151</f>
        <v>#REF!</v>
      </c>
    </row>
    <row r="152" spans="1:10" x14ac:dyDescent="0.25">
      <c r="A152" s="98" t="str">
        <f>'Resultater - Vestdanmark'!A152</f>
        <v>Grøntsager på land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Areal-grøntsager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80" t="e">
        <f>'Resultater - Vestdanmark'!H152+'Resultater - Østdanmark'!H152</f>
        <v>#REF!</v>
      </c>
      <c r="I152" s="281" t="e">
        <f>'Resultater - Vestdanmark'!I152+'Resultater - Østdanmark'!I152</f>
        <v>#REF!</v>
      </c>
      <c r="J152" s="282" t="e">
        <f>'Resultater - Vestdanmark'!J152+'Resultater - Østdanmark'!J152</f>
        <v>#REF!</v>
      </c>
    </row>
    <row r="153" spans="1:10" x14ac:dyDescent="0.25">
      <c r="A153" s="98" t="str">
        <f>'Resultater - Vestdanmark'!A153</f>
        <v>Grøntsager på land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Areal-grøntsager</v>
      </c>
      <c r="E153" s="98" t="str">
        <f>'Resultater - Vestdanmark'!E153</f>
        <v>Hektar</v>
      </c>
      <c r="F153" s="98" t="str">
        <f>'Resultater - Vestdanmark'!F153</f>
        <v>Grøntsager</v>
      </c>
      <c r="G153" s="98" t="str">
        <f>'Resultater - Vestdanmark'!G153</f>
        <v>Ton</v>
      </c>
      <c r="H153" s="280" t="e">
        <f>'Resultater - Vestdanmark'!H153+'Resultater - Østdanmark'!H153</f>
        <v>#REF!</v>
      </c>
      <c r="I153" s="281" t="e">
        <f>'Resultater - Vestdanmark'!I153+'Resultater - Østdanmark'!I153</f>
        <v>#REF!</v>
      </c>
      <c r="J153" s="282" t="e">
        <f>'Resultater - Vestdanmark'!J153+'Resultater - Østdanmark'!J153</f>
        <v>#REF!</v>
      </c>
    </row>
    <row r="154" spans="1:10" x14ac:dyDescent="0.25">
      <c r="A154" s="98" t="str">
        <f>'Resultater - Vestdanmark'!A154</f>
        <v>Grøntsager på land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Areal-grøntsager</v>
      </c>
      <c r="E154" s="98" t="str">
        <f>'Resultater - Vestdanmark'!E154</f>
        <v>Hektar</v>
      </c>
      <c r="F154" s="98" t="str">
        <f>'Resultater - Vestdanmark'!F154</f>
        <v>Gødning</v>
      </c>
      <c r="G154" s="98" t="str">
        <f>'Resultater - Vestdanmark'!G154</f>
        <v>kg N</v>
      </c>
      <c r="H154" s="280" t="e">
        <f>'Resultater - Vestdanmark'!H154+'Resultater - Østdanmark'!H154</f>
        <v>#REF!</v>
      </c>
      <c r="I154" s="281" t="e">
        <f>'Resultater - Vestdanmark'!I154+'Resultater - Østdanmark'!I154</f>
        <v>#REF!</v>
      </c>
      <c r="J154" s="282" t="e">
        <f>'Resultater - Vestdanmark'!J154+'Resultater - Østdanmark'!J154</f>
        <v>#REF!</v>
      </c>
    </row>
    <row r="155" spans="1:10" x14ac:dyDescent="0.25">
      <c r="A155" s="98" t="str">
        <f>'Resultater - Vestdanmark'!A155</f>
        <v>Grøntsager på land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Areal-grøntsager</v>
      </c>
      <c r="E155" s="98" t="str">
        <f>'Resultater - Vestdanmark'!E155</f>
        <v>Hektar</v>
      </c>
      <c r="F155" s="98" t="str">
        <f>'Resultater - Vestdanmark'!F155</f>
        <v>CO2 - atmosfære</v>
      </c>
      <c r="G155" s="98" t="str">
        <f>'Resultater - Vestdanmark'!G155</f>
        <v>t CO2-ækvivalenter</v>
      </c>
      <c r="H155" s="280" t="e">
        <f>'Resultater - Vestdanmark'!H155+'Resultater - Østdanmark'!H155</f>
        <v>#REF!</v>
      </c>
      <c r="I155" s="281" t="e">
        <f>'Resultater - Vestdanmark'!I155+'Resultater - Østdanmark'!I155</f>
        <v>#REF!</v>
      </c>
      <c r="J155" s="282" t="e">
        <f>'Resultater - Vestdanmark'!J155+'Resultater - Østdanmark'!J155</f>
        <v>#REF!</v>
      </c>
    </row>
    <row r="156" spans="1:10" x14ac:dyDescent="0.25">
      <c r="A156" s="98" t="str">
        <f>'Resultater - Vestdanmark'!A156</f>
        <v>Grøntsager på land</v>
      </c>
      <c r="B156" s="98" t="str">
        <f>'Resultater - Vestdanmark'!B156</f>
        <v>Økologisk</v>
      </c>
      <c r="C156" s="98" t="str">
        <f>'Resultater - Vestdanmark'!C156</f>
        <v>OC6</v>
      </c>
      <c r="D156" s="98" t="str">
        <f>'Resultater - Vestdanmark'!D156</f>
        <v>Areal-grøntsager</v>
      </c>
      <c r="E156" s="98" t="str">
        <f>'Resultater - Vestdanmark'!E156</f>
        <v>Hektar</v>
      </c>
      <c r="F156" s="98" t="str">
        <f>'Resultater - Vestdanmark'!F156</f>
        <v>Grøntsager</v>
      </c>
      <c r="G156" s="98" t="str">
        <f>'Resultater - Vestdanmark'!G156</f>
        <v>Ton</v>
      </c>
      <c r="H156" s="280" t="e">
        <f>'Resultater - Vestdanmark'!H156+'Resultater - Østdanmark'!H156</f>
        <v>#REF!</v>
      </c>
      <c r="I156" s="281" t="e">
        <f>'Resultater - Vestdanmark'!I156+'Resultater - Østdanmark'!I156</f>
        <v>#REF!</v>
      </c>
      <c r="J156" s="282" t="e">
        <f>'Resultater - Vestdanmark'!J156+'Resultater - Østdanmark'!J156</f>
        <v>#REF!</v>
      </c>
    </row>
    <row r="157" spans="1:10" x14ac:dyDescent="0.25">
      <c r="A157" s="98" t="str">
        <f>'Resultater - Vestdanmark'!A157</f>
        <v>Grøntsager på land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Areal-grøntsager</v>
      </c>
      <c r="E157" s="98" t="str">
        <f>'Resultater - Vestdanmark'!E157</f>
        <v>Hektar</v>
      </c>
      <c r="F157" s="98" t="str">
        <f>'Resultater - Vestdanmark'!F157</f>
        <v>Gødning</v>
      </c>
      <c r="G157" s="98" t="str">
        <f>'Resultater - Vestdanmark'!G157</f>
        <v>kg N</v>
      </c>
      <c r="H157" s="280" t="e">
        <f>'Resultater - Vestdanmark'!H157+'Resultater - Østdanmark'!H157</f>
        <v>#REF!</v>
      </c>
      <c r="I157" s="281" t="e">
        <f>'Resultater - Vestdanmark'!I157+'Resultater - Østdanmark'!I157</f>
        <v>#REF!</v>
      </c>
      <c r="J157" s="282" t="e">
        <f>'Resultater - Vestdanmark'!J157+'Resultater - Østdanmark'!J157</f>
        <v>#REF!</v>
      </c>
    </row>
    <row r="158" spans="1:10" x14ac:dyDescent="0.25">
      <c r="A158" s="98" t="str">
        <f>'Resultater - Vestdanmark'!A158</f>
        <v>Grøntsager på land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Areal-grøntsager</v>
      </c>
      <c r="E158" s="98" t="str">
        <f>'Resultater - Vestdanmark'!E158</f>
        <v>Hektar</v>
      </c>
      <c r="F158" s="98" t="str">
        <f>'Resultater - Vestdanmark'!F158</f>
        <v>CO2 - atmosfære</v>
      </c>
      <c r="G158" s="98" t="str">
        <f>'Resultater - Vestdanmark'!G158</f>
        <v>t CO2-ækvivalenter</v>
      </c>
      <c r="H158" s="280" t="e">
        <f>'Resultater - Vestdanmark'!H158+'Resultater - Østdanmark'!H158</f>
        <v>#REF!</v>
      </c>
      <c r="I158" s="281" t="e">
        <f>'Resultater - Vestdanmark'!I158+'Resultater - Østdanmark'!I158</f>
        <v>#REF!</v>
      </c>
      <c r="J158" s="282" t="e">
        <f>'Resultater - Vestdanmark'!J158+'Resultater - Østdanmark'!J158</f>
        <v>#REF!</v>
      </c>
    </row>
    <row r="159" spans="1:10" x14ac:dyDescent="0.25">
      <c r="A159" s="98" t="str">
        <f>'Resultater - Vestdanmark'!A159</f>
        <v>Grøntsager på land</v>
      </c>
      <c r="B159" s="98" t="str">
        <f>'Resultater - Vestdanmark'!B159</f>
        <v>Økologisk</v>
      </c>
      <c r="C159" s="98" t="str">
        <f>'Resultater - Vestdanmark'!C159</f>
        <v>OC12</v>
      </c>
      <c r="D159" s="98" t="str">
        <f>'Resultater - Vestdanmark'!D159</f>
        <v>Areal-grøntsager</v>
      </c>
      <c r="E159" s="98" t="str">
        <f>'Resultater - Vestdanmark'!E159</f>
        <v>Hektar</v>
      </c>
      <c r="F159" s="98" t="str">
        <f>'Resultater - Vestdanmark'!F159</f>
        <v>Grøntsager</v>
      </c>
      <c r="G159" s="98" t="str">
        <f>'Resultater - Vestdanmark'!G159</f>
        <v>Ton</v>
      </c>
      <c r="H159" s="280" t="e">
        <f>'Resultater - Vestdanmark'!H159+'Resultater - Østdanmark'!H159</f>
        <v>#REF!</v>
      </c>
      <c r="I159" s="281" t="e">
        <f>'Resultater - Vestdanmark'!I159+'Resultater - Østdanmark'!I159</f>
        <v>#REF!</v>
      </c>
      <c r="J159" s="282" t="e">
        <f>'Resultater - Vestdanmark'!J159+'Resultater - Østdanmark'!J159</f>
        <v>#REF!</v>
      </c>
    </row>
    <row r="160" spans="1:10" x14ac:dyDescent="0.25">
      <c r="A160" s="98" t="str">
        <f>'Resultater - Vestdanmark'!A160</f>
        <v>Grøntsager på land</v>
      </c>
      <c r="B160" s="98" t="str">
        <f>'Resultater - Vestdanmark'!B160</f>
        <v>Økologisk</v>
      </c>
      <c r="C160" s="98" t="str">
        <f>'Resultater - Vestdanmark'!C160</f>
        <v>OC12</v>
      </c>
      <c r="D160" s="98" t="str">
        <f>'Resultater - Vestdanmark'!D160</f>
        <v>Areal-grøntsager</v>
      </c>
      <c r="E160" s="98" t="str">
        <f>'Resultater - Vestdanmark'!E160</f>
        <v>Hektar</v>
      </c>
      <c r="F160" s="98" t="str">
        <f>'Resultater - Vestdanmark'!F160</f>
        <v>Gødning</v>
      </c>
      <c r="G160" s="98" t="str">
        <f>'Resultater - Vestdanmark'!G160</f>
        <v>kg N</v>
      </c>
      <c r="H160" s="280" t="e">
        <f>'Resultater - Vestdanmark'!H160+'Resultater - Østdanmark'!H160</f>
        <v>#REF!</v>
      </c>
      <c r="I160" s="281" t="e">
        <f>'Resultater - Vestdanmark'!I160+'Resultater - Østdanmark'!I160</f>
        <v>#REF!</v>
      </c>
      <c r="J160" s="282" t="e">
        <f>'Resultater - Vestdanmark'!J160+'Resultater - Østdanmark'!J160</f>
        <v>#REF!</v>
      </c>
    </row>
    <row r="161" spans="1:10" x14ac:dyDescent="0.25">
      <c r="A161" s="98" t="str">
        <f>'Resultater - Vestdanmark'!A161</f>
        <v>Grøntsager på land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Areal-grøntsager</v>
      </c>
      <c r="E161" s="98" t="str">
        <f>'Resultater - Vestdanmark'!E161</f>
        <v>Hektar</v>
      </c>
      <c r="F161" s="98" t="str">
        <f>'Resultater - Vestdanmark'!F161</f>
        <v>CO2 - atmosfære</v>
      </c>
      <c r="G161" s="98" t="str">
        <f>'Resultater - Vestdanmark'!G161</f>
        <v>t CO2-ækvivalenter</v>
      </c>
      <c r="H161" s="280" t="e">
        <f>'Resultater - Vestdanmark'!H161+'Resultater - Østdanmark'!H161</f>
        <v>#REF!</v>
      </c>
      <c r="I161" s="281" t="e">
        <f>'Resultater - Vestdanmark'!I161+'Resultater - Østdanmark'!I161</f>
        <v>#REF!</v>
      </c>
      <c r="J161" s="282" t="e">
        <f>'Resultater - Vestdanmark'!J161+'Resultater - Østdanmark'!J161</f>
        <v>#REF!</v>
      </c>
    </row>
    <row r="162" spans="1:10" x14ac:dyDescent="0.25">
      <c r="A162" s="98" t="str">
        <f>'Resultater - Vestdanmark'!A162</f>
        <v>Grøntsager i drivhus</v>
      </c>
      <c r="B162" s="98" t="str">
        <f>'Resultater - Vestdanmark'!B162</f>
        <v>Konventionel</v>
      </c>
      <c r="C162" s="98" t="str">
        <f>'Resultater - Vestdanmark'!C162</f>
        <v/>
      </c>
      <c r="D162" s="98" t="str">
        <f>'Resultater - Vestdanmark'!D162</f>
        <v>Areal-grøntsager</v>
      </c>
      <c r="E162" s="98" t="str">
        <f>'Resultater - Vestdanmark'!E162</f>
        <v>Hektar</v>
      </c>
      <c r="F162" s="98" t="str">
        <f>'Resultater - Vestdanmark'!F162</f>
        <v>Grøntsager</v>
      </c>
      <c r="G162" s="98" t="str">
        <f>'Resultater - Vestdanmark'!G162</f>
        <v>Ton</v>
      </c>
      <c r="H162" s="280" t="e">
        <f>'Resultater - Vestdanmark'!H162+'Resultater - Østdanmark'!H162</f>
        <v>#REF!</v>
      </c>
      <c r="I162" s="281" t="e">
        <f>'Resultater - Vestdanmark'!I162+'Resultater - Østdanmark'!I162</f>
        <v>#REF!</v>
      </c>
      <c r="J162" s="282" t="e">
        <f>'Resultater - Vestdanmark'!J162+'Resultater - Østdanmark'!J162</f>
        <v>#REF!</v>
      </c>
    </row>
    <row r="163" spans="1:10" x14ac:dyDescent="0.25">
      <c r="A163" s="98" t="str">
        <f>'Resultater - Vestdanmark'!A163</f>
        <v>Grøntsager i drivhus</v>
      </c>
      <c r="B163" s="98" t="str">
        <f>'Resultater - Vestdanmark'!B163</f>
        <v>Konventionel</v>
      </c>
      <c r="C163" s="98" t="str">
        <f>'Resultater - Vestdanmark'!C163</f>
        <v/>
      </c>
      <c r="D163" s="98" t="str">
        <f>'Resultater - Vestdanmark'!D163</f>
        <v>Areal-grøntsager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80" t="e">
        <f>'Resultater - Vestdanmark'!H163+'Resultater - Østdanmark'!H163</f>
        <v>#REF!</v>
      </c>
      <c r="I163" s="281" t="e">
        <f>'Resultater - Vestdanmark'!I163+'Resultater - Østdanmark'!I163</f>
        <v>#REF!</v>
      </c>
      <c r="J163" s="282" t="e">
        <f>'Resultater - Vestdanmark'!J163+'Resultater - Østdanmark'!J163</f>
        <v>#REF!</v>
      </c>
    </row>
    <row r="164" spans="1:10" x14ac:dyDescent="0.25">
      <c r="A164" s="98" t="str">
        <f>'Resultater - Vestdanmark'!A164</f>
        <v>Grøntsager i drivhus</v>
      </c>
      <c r="B164" s="98" t="str">
        <f>'Resultater - Vestdanmark'!B164</f>
        <v>Konventionel</v>
      </c>
      <c r="C164" s="98" t="str">
        <f>'Resultater - Vestdanmark'!C164</f>
        <v/>
      </c>
      <c r="D164" s="98" t="str">
        <f>'Resultater - Vestdanmark'!D164</f>
        <v>Areal-grøntsager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80" t="e">
        <f>'Resultater - Vestdanmark'!H164+'Resultater - Østdanmark'!H164</f>
        <v>#REF!</v>
      </c>
      <c r="I164" s="281" t="e">
        <f>'Resultater - Vestdanmark'!I164+'Resultater - Østdanmark'!I164</f>
        <v>#REF!</v>
      </c>
      <c r="J164" s="282" t="e">
        <f>'Resultater - Vestdanmark'!J164+'Resultater - Østdanmark'!J164</f>
        <v>#REF!</v>
      </c>
    </row>
    <row r="165" spans="1:10" x14ac:dyDescent="0.25">
      <c r="A165" s="98" t="str">
        <f>'Resultater - Vestdanmark'!A165</f>
        <v>Grøntsager i drivhus</v>
      </c>
      <c r="B165" s="98" t="str">
        <f>'Resultater - Vestdanmark'!B165</f>
        <v>Økologisk</v>
      </c>
      <c r="C165" s="98" t="str">
        <f>'Resultater - Vestdanmark'!C165</f>
        <v/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80" t="e">
        <f>'Resultater - Vestdanmark'!H165+'Resultater - Østdanmark'!H165</f>
        <v>#REF!</v>
      </c>
      <c r="I165" s="281" t="e">
        <f>'Resultater - Vestdanmark'!I165+'Resultater - Østdanmark'!I165</f>
        <v>#REF!</v>
      </c>
      <c r="J165" s="282" t="e">
        <f>'Resultater - Vestdanmark'!J165+'Resultater - Østdanmark'!J165</f>
        <v>#REF!</v>
      </c>
    </row>
    <row r="166" spans="1:10" x14ac:dyDescent="0.25">
      <c r="A166" s="98" t="str">
        <f>'Resultater - Vestdanmark'!A166</f>
        <v>Grøntsager i drivhus</v>
      </c>
      <c r="B166" s="98" t="str">
        <f>'Resultater - Vestdanmark'!B166</f>
        <v>Økologisk</v>
      </c>
      <c r="C166" s="98" t="str">
        <f>'Resultater - Vestdanmark'!C166</f>
        <v/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80" t="e">
        <f>'Resultater - Vestdanmark'!H166+'Resultater - Østdanmark'!H166</f>
        <v>#REF!</v>
      </c>
      <c r="I166" s="281" t="e">
        <f>'Resultater - Vestdanmark'!I166+'Resultater - Østdanmark'!I166</f>
        <v>#REF!</v>
      </c>
      <c r="J166" s="282" t="e">
        <f>'Resultater - Vestdanmark'!J166+'Resultater - Østdanmark'!J166</f>
        <v>#REF!</v>
      </c>
    </row>
    <row r="167" spans="1:10" x14ac:dyDescent="0.25">
      <c r="A167" s="98" t="str">
        <f>'Resultater - Vestdanmark'!A167</f>
        <v>Grøntsager i drivhus</v>
      </c>
      <c r="B167" s="98" t="str">
        <f>'Resultater - Vestdanmark'!B167</f>
        <v>Økologisk</v>
      </c>
      <c r="C167" s="98" t="str">
        <f>'Resultater - Vestdanmark'!C167</f>
        <v/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80" t="e">
        <f>'Resultater - Vestdanmark'!H167+'Resultater - Østdanmark'!H167</f>
        <v>#REF!</v>
      </c>
      <c r="I167" s="281" t="e">
        <f>'Resultater - Vestdanmark'!I167+'Resultater - Østdanmark'!I167</f>
        <v>#REF!</v>
      </c>
      <c r="J167" s="282" t="e">
        <f>'Resultater - Vestdanmark'!J167+'Resultater - Østdanmark'!J167</f>
        <v>#REF!</v>
      </c>
    </row>
    <row r="168" spans="1:10" x14ac:dyDescent="0.25">
      <c r="A168" s="98" t="str">
        <f>'Resultater - Vestdanmark'!A168</f>
        <v>Kartoffelmark</v>
      </c>
      <c r="B168" s="98" t="str">
        <f>'Resultater - Vestdanmark'!B168</f>
        <v>Konventionel</v>
      </c>
      <c r="C168" s="98" t="str">
        <f>'Resultater - Vestdanmark'!C168</f>
        <v>JB1-10</v>
      </c>
      <c r="D168" s="98" t="str">
        <f>'Resultater - Vestdanmark'!D168</f>
        <v>Areal-kartofler</v>
      </c>
      <c r="E168" s="98" t="str">
        <f>'Resultater - Vestdanmark'!E168</f>
        <v>Hektar</v>
      </c>
      <c r="F168" s="98" t="str">
        <f>'Resultater - Vestdanmark'!F168</f>
        <v>Kartofler</v>
      </c>
      <c r="G168" s="98" t="str">
        <f>'Resultater - Vestdanmark'!G168</f>
        <v>Ton</v>
      </c>
      <c r="H168" s="280" t="e">
        <f>'Resultater - Vestdanmark'!H168+'Resultater - Østdanmark'!H168</f>
        <v>#REF!</v>
      </c>
      <c r="I168" s="281" t="e">
        <f>'Resultater - Vestdanmark'!I168+'Resultater - Østdanmark'!I168</f>
        <v>#REF!</v>
      </c>
      <c r="J168" s="282" t="e">
        <f>'Resultater - Vestdanmark'!J168+'Resultater - Østdanmark'!J168</f>
        <v>#REF!</v>
      </c>
    </row>
    <row r="169" spans="1:10" x14ac:dyDescent="0.25">
      <c r="A169" s="98" t="str">
        <f>'Resultater - Vestdanmark'!A169</f>
        <v>Kartoffelmark</v>
      </c>
      <c r="B169" s="98" t="str">
        <f>'Resultater - Vestdanmark'!B169</f>
        <v>Konventionel</v>
      </c>
      <c r="C169" s="98" t="str">
        <f>'Resultater - Vestdanmark'!C169</f>
        <v>JB1-10</v>
      </c>
      <c r="D169" s="98" t="str">
        <f>'Resultater - Vestdanmark'!D169</f>
        <v>Areal-kartofler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80" t="e">
        <f>'Resultater - Vestdanmark'!H169+'Resultater - Østdanmark'!H169</f>
        <v>#REF!</v>
      </c>
      <c r="I169" s="281" t="e">
        <f>'Resultater - Vestdanmark'!I169+'Resultater - Østdanmark'!I169</f>
        <v>#REF!</v>
      </c>
      <c r="J169" s="282" t="e">
        <f>'Resultater - Vestdanmark'!J169+'Resultater - Østdanmark'!J169</f>
        <v>#REF!</v>
      </c>
    </row>
    <row r="170" spans="1:10" x14ac:dyDescent="0.25">
      <c r="A170" s="98" t="str">
        <f>'Resultater - Vestdanmark'!A170</f>
        <v>Kartoffelmark</v>
      </c>
      <c r="B170" s="98" t="str">
        <f>'Resultater - Vestdanmark'!B170</f>
        <v>Konventionel</v>
      </c>
      <c r="C170" s="98" t="str">
        <f>'Resultater - Vestdanmark'!C170</f>
        <v>JB1-10</v>
      </c>
      <c r="D170" s="98" t="str">
        <f>'Resultater - Vestdanmark'!D170</f>
        <v>Areal-kartofler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80" t="e">
        <f>'Resultater - Vestdanmark'!H170+'Resultater - Østdanmark'!H170</f>
        <v>#REF!</v>
      </c>
      <c r="I170" s="281" t="e">
        <f>'Resultater - Vestdanmark'!I170+'Resultater - Østdanmark'!I170</f>
        <v>#REF!</v>
      </c>
      <c r="J170" s="282" t="e">
        <f>'Resultater - Vestdanmark'!J170+'Resultater - Østdanmark'!J170</f>
        <v>#REF!</v>
      </c>
    </row>
    <row r="171" spans="1:10" x14ac:dyDescent="0.25">
      <c r="A171" s="98" t="str">
        <f>'Resultater - Vestdanmark'!A171</f>
        <v>Kartoffelmark</v>
      </c>
      <c r="B171" s="98" t="str">
        <f>'Resultater - Vestdanmark'!B171</f>
        <v>Konventionel</v>
      </c>
      <c r="C171" s="98" t="str">
        <f>'Resultater - Vestdanmark'!C171</f>
        <v>OC6</v>
      </c>
      <c r="D171" s="98" t="str">
        <f>'Resultater - Vestdanmark'!D171</f>
        <v>Areal-kartofler</v>
      </c>
      <c r="E171" s="98" t="str">
        <f>'Resultater - Vestdanmark'!E171</f>
        <v>Hektar</v>
      </c>
      <c r="F171" s="98" t="str">
        <f>'Resultater - Vestdanmark'!F171</f>
        <v>Kartofler</v>
      </c>
      <c r="G171" s="98" t="str">
        <f>'Resultater - Vestdanmark'!G171</f>
        <v>Ton</v>
      </c>
      <c r="H171" s="280" t="e">
        <f>'Resultater - Vestdanmark'!H171+'Resultater - Østdanmark'!H171</f>
        <v>#REF!</v>
      </c>
      <c r="I171" s="281" t="e">
        <f>'Resultater - Vestdanmark'!I171+'Resultater - Østdanmark'!I171</f>
        <v>#REF!</v>
      </c>
      <c r="J171" s="282" t="e">
        <f>'Resultater - Vestdanmark'!J171+'Resultater - Østdanmark'!J171</f>
        <v>#REF!</v>
      </c>
    </row>
    <row r="172" spans="1:10" x14ac:dyDescent="0.25">
      <c r="A172" s="98" t="str">
        <f>'Resultater - Vestdanmark'!A172</f>
        <v>Kartoffelmark</v>
      </c>
      <c r="B172" s="98" t="str">
        <f>'Resultater - Vestdanmark'!B172</f>
        <v>Konventionel</v>
      </c>
      <c r="C172" s="98" t="str">
        <f>'Resultater - Vestdanmark'!C172</f>
        <v>OC6</v>
      </c>
      <c r="D172" s="98" t="str">
        <f>'Resultater - Vestdanmark'!D172</f>
        <v>Areal-kartofler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80" t="e">
        <f>'Resultater - Vestdanmark'!H172+'Resultater - Østdanmark'!H172</f>
        <v>#REF!</v>
      </c>
      <c r="I172" s="281" t="e">
        <f>'Resultater - Vestdanmark'!I172+'Resultater - Østdanmark'!I172</f>
        <v>#REF!</v>
      </c>
      <c r="J172" s="282" t="e">
        <f>'Resultater - Vestdanmark'!J172+'Resultater - Østdanmark'!J172</f>
        <v>#REF!</v>
      </c>
    </row>
    <row r="173" spans="1:10" x14ac:dyDescent="0.25">
      <c r="A173" s="98" t="str">
        <f>'Resultater - Vestdanmark'!A173</f>
        <v>Kartoffelmark</v>
      </c>
      <c r="B173" s="98" t="str">
        <f>'Resultater - Vestdanmark'!B173</f>
        <v>Konventionel</v>
      </c>
      <c r="C173" s="98" t="str">
        <f>'Resultater - Vestdanmark'!C173</f>
        <v>OC6</v>
      </c>
      <c r="D173" s="98" t="str">
        <f>'Resultater - Vestdanmark'!D173</f>
        <v>Areal-kartofler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80" t="e">
        <f>'Resultater - Vestdanmark'!H173+'Resultater - Østdanmark'!H173</f>
        <v>#REF!</v>
      </c>
      <c r="I173" s="281" t="e">
        <f>'Resultater - Vestdanmark'!I173+'Resultater - Østdanmark'!I173</f>
        <v>#REF!</v>
      </c>
      <c r="J173" s="282" t="e">
        <f>'Resultater - Vestdanmark'!J173+'Resultater - Østdanmark'!J173</f>
        <v>#REF!</v>
      </c>
    </row>
    <row r="174" spans="1:10" x14ac:dyDescent="0.25">
      <c r="A174" s="98" t="str">
        <f>'Resultater - Vestdanmark'!A174</f>
        <v>Kartoffelmark</v>
      </c>
      <c r="B174" s="98" t="str">
        <f>'Resultater - Vestdanmark'!B174</f>
        <v>Konventionel</v>
      </c>
      <c r="C174" s="98" t="str">
        <f>'Resultater - Vestdanmark'!C174</f>
        <v>OC12</v>
      </c>
      <c r="D174" s="98" t="str">
        <f>'Resultater - Vestdanmark'!D174</f>
        <v>Areal-kartofler</v>
      </c>
      <c r="E174" s="98" t="str">
        <f>'Resultater - Vestdanmark'!E174</f>
        <v>Hektar</v>
      </c>
      <c r="F174" s="98" t="str">
        <f>'Resultater - Vestdanmark'!F174</f>
        <v>Kartofler</v>
      </c>
      <c r="G174" s="98" t="str">
        <f>'Resultater - Vestdanmark'!G174</f>
        <v>Ton</v>
      </c>
      <c r="H174" s="280" t="e">
        <f>'Resultater - Vestdanmark'!H174+'Resultater - Østdanmark'!H174</f>
        <v>#REF!</v>
      </c>
      <c r="I174" s="281" t="e">
        <f>'Resultater - Vestdanmark'!I174+'Resultater - Østdanmark'!I174</f>
        <v>#REF!</v>
      </c>
      <c r="J174" s="282" t="e">
        <f>'Resultater - Vestdanmark'!J174+'Resultater - Østdanmark'!J174</f>
        <v>#REF!</v>
      </c>
    </row>
    <row r="175" spans="1:10" x14ac:dyDescent="0.25">
      <c r="A175" s="98" t="str">
        <f>'Resultater - Vestdanmark'!A175</f>
        <v>Kartoffelmark</v>
      </c>
      <c r="B175" s="98" t="str">
        <f>'Resultater - Vestdanmark'!B175</f>
        <v>Konventionel</v>
      </c>
      <c r="C175" s="98" t="str">
        <f>'Resultater - Vestdanmark'!C175</f>
        <v>OC12</v>
      </c>
      <c r="D175" s="98" t="str">
        <f>'Resultater - Vestdanmark'!D175</f>
        <v>Areal-kartofler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80" t="e">
        <f>'Resultater - Vestdanmark'!H175+'Resultater - Østdanmark'!H175</f>
        <v>#REF!</v>
      </c>
      <c r="I175" s="281" t="e">
        <f>'Resultater - Vestdanmark'!I175+'Resultater - Østdanmark'!I175</f>
        <v>#REF!</v>
      </c>
      <c r="J175" s="282" t="e">
        <f>'Resultater - Vestdanmark'!J175+'Resultater - Østdanmark'!J175</f>
        <v>#REF!</v>
      </c>
    </row>
    <row r="176" spans="1:10" x14ac:dyDescent="0.25">
      <c r="A176" s="98" t="str">
        <f>'Resultater - Vestdanmark'!A176</f>
        <v>Kartoffelmark</v>
      </c>
      <c r="B176" s="98" t="str">
        <f>'Resultater - Vestdanmark'!B176</f>
        <v>Konventionel</v>
      </c>
      <c r="C176" s="98" t="str">
        <f>'Resultater - Vestdanmark'!C176</f>
        <v>OC12</v>
      </c>
      <c r="D176" s="98" t="str">
        <f>'Resultater - Vestdanmark'!D176</f>
        <v>Areal-kartofler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80" t="e">
        <f>'Resultater - Vestdanmark'!H176+'Resultater - Østdanmark'!H176</f>
        <v>#REF!</v>
      </c>
      <c r="I176" s="281" t="e">
        <f>'Resultater - Vestdanmark'!I176+'Resultater - Østdanmark'!I176</f>
        <v>#REF!</v>
      </c>
      <c r="J176" s="282" t="e">
        <f>'Resultater - Vestdanmark'!J176+'Resultater - Østdanmark'!J176</f>
        <v>#REF!</v>
      </c>
    </row>
    <row r="177" spans="1:10" x14ac:dyDescent="0.25">
      <c r="A177" s="98" t="str">
        <f>'Resultater - Vestdanmark'!A177</f>
        <v>Kartoffelmark</v>
      </c>
      <c r="B177" s="98" t="str">
        <f>'Resultater - Vestdanmark'!B177</f>
        <v>Økologisk</v>
      </c>
      <c r="C177" s="98" t="str">
        <f>'Resultater - Vestdanmark'!C177</f>
        <v>JB1-10</v>
      </c>
      <c r="D177" s="98" t="str">
        <f>'Resultater - Vestdanmark'!D177</f>
        <v>Areal-kartofler</v>
      </c>
      <c r="E177" s="98" t="str">
        <f>'Resultater - Vestdanmark'!E177</f>
        <v>Hektar</v>
      </c>
      <c r="F177" s="98" t="str">
        <f>'Resultater - Vestdanmark'!F177</f>
        <v>Kartofler</v>
      </c>
      <c r="G177" s="98" t="str">
        <f>'Resultater - Vestdanmark'!G177</f>
        <v>Ton</v>
      </c>
      <c r="H177" s="280" t="e">
        <f>'Resultater - Vestdanmark'!H177+'Resultater - Østdanmark'!H177</f>
        <v>#REF!</v>
      </c>
      <c r="I177" s="281" t="e">
        <f>'Resultater - Vestdanmark'!I177+'Resultater - Østdanmark'!I177</f>
        <v>#REF!</v>
      </c>
      <c r="J177" s="282" t="e">
        <f>'Resultater - Vestdanmark'!J177+'Resultater - Østdanmark'!J177</f>
        <v>#REF!</v>
      </c>
    </row>
    <row r="178" spans="1:10" x14ac:dyDescent="0.25">
      <c r="A178" s="98" t="str">
        <f>'Resultater - Vestdanmark'!A178</f>
        <v>Kartoffelmark</v>
      </c>
      <c r="B178" s="98" t="str">
        <f>'Resultater - Vestdanmark'!B178</f>
        <v>Økologisk</v>
      </c>
      <c r="C178" s="98" t="str">
        <f>'Resultater - Vestdanmark'!C178</f>
        <v>JB1-10</v>
      </c>
      <c r="D178" s="98" t="str">
        <f>'Resultater - Vestdanmark'!D178</f>
        <v>Areal-kartofler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80" t="e">
        <f>'Resultater - Vestdanmark'!H178+'Resultater - Østdanmark'!H178</f>
        <v>#REF!</v>
      </c>
      <c r="I178" s="281" t="e">
        <f>'Resultater - Vestdanmark'!I178+'Resultater - Østdanmark'!I178</f>
        <v>#REF!</v>
      </c>
      <c r="J178" s="282" t="e">
        <f>'Resultater - Vestdanmark'!J178+'Resultater - Østdanmark'!J178</f>
        <v>#REF!</v>
      </c>
    </row>
    <row r="179" spans="1:10" x14ac:dyDescent="0.25">
      <c r="A179" s="98" t="str">
        <f>'Resultater - Vestdanmark'!A179</f>
        <v>Kartoffelmark</v>
      </c>
      <c r="B179" s="98" t="str">
        <f>'Resultater - Vestdanmark'!B179</f>
        <v>Økologisk</v>
      </c>
      <c r="C179" s="98" t="str">
        <f>'Resultater - Vestdanmark'!C179</f>
        <v>JB1-10</v>
      </c>
      <c r="D179" s="98" t="str">
        <f>'Resultater - Vestdanmark'!D179</f>
        <v>Areal-kartofler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80" t="e">
        <f>'Resultater - Vestdanmark'!H179+'Resultater - Østdanmark'!H179</f>
        <v>#REF!</v>
      </c>
      <c r="I179" s="281" t="e">
        <f>'Resultater - Vestdanmark'!I179+'Resultater - Østdanmark'!I179</f>
        <v>#REF!</v>
      </c>
      <c r="J179" s="282" t="e">
        <f>'Resultater - Vestdanmark'!J179+'Resultater - Østdanmark'!J179</f>
        <v>#REF!</v>
      </c>
    </row>
    <row r="180" spans="1:10" x14ac:dyDescent="0.25">
      <c r="A180" s="98" t="str">
        <f>'Resultater - Vestdanmark'!A180</f>
        <v>Kartoffelmark</v>
      </c>
      <c r="B180" s="98" t="str">
        <f>'Resultater - Vestdanmark'!B180</f>
        <v>Økologisk</v>
      </c>
      <c r="C180" s="98" t="str">
        <f>'Resultater - Vestdanmark'!C180</f>
        <v>OC6</v>
      </c>
      <c r="D180" s="98" t="str">
        <f>'Resultater - Vestdanmark'!D180</f>
        <v>Areal-kartofler</v>
      </c>
      <c r="E180" s="98" t="str">
        <f>'Resultater - Vestdanmark'!E180</f>
        <v>Hektar</v>
      </c>
      <c r="F180" s="98" t="str">
        <f>'Resultater - Vestdanmark'!F180</f>
        <v>Kartofler</v>
      </c>
      <c r="G180" s="98" t="str">
        <f>'Resultater - Vestdanmark'!G180</f>
        <v>Ton</v>
      </c>
      <c r="H180" s="280" t="e">
        <f>'Resultater - Vestdanmark'!H180+'Resultater - Østdanmark'!H180</f>
        <v>#REF!</v>
      </c>
      <c r="I180" s="281" t="e">
        <f>'Resultater - Vestdanmark'!I180+'Resultater - Østdanmark'!I180</f>
        <v>#REF!</v>
      </c>
      <c r="J180" s="282" t="e">
        <f>'Resultater - Vestdanmark'!J180+'Resultater - Østdanmark'!J180</f>
        <v>#REF!</v>
      </c>
    </row>
    <row r="181" spans="1:10" x14ac:dyDescent="0.25">
      <c r="A181" s="98" t="str">
        <f>'Resultater - Vestdanmark'!A181</f>
        <v>Kartoffelmark</v>
      </c>
      <c r="B181" s="98" t="str">
        <f>'Resultater - Vestdanmark'!B181</f>
        <v>Økologisk</v>
      </c>
      <c r="C181" s="98" t="str">
        <f>'Resultater - Vestdanmark'!C181</f>
        <v>OC6</v>
      </c>
      <c r="D181" s="98" t="str">
        <f>'Resultater - Vestdanmark'!D181</f>
        <v>Areal-kartofler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80" t="e">
        <f>'Resultater - Vestdanmark'!H181+'Resultater - Østdanmark'!H181</f>
        <v>#REF!</v>
      </c>
      <c r="I181" s="281" t="e">
        <f>'Resultater - Vestdanmark'!I181+'Resultater - Østdanmark'!I181</f>
        <v>#REF!</v>
      </c>
      <c r="J181" s="282" t="e">
        <f>'Resultater - Vestdanmark'!J181+'Resultater - Østdanmark'!J181</f>
        <v>#REF!</v>
      </c>
    </row>
    <row r="182" spans="1:10" x14ac:dyDescent="0.25">
      <c r="A182" s="98" t="str">
        <f>'Resultater - Vestdanmark'!A182</f>
        <v>Kartoffelmark</v>
      </c>
      <c r="B182" s="98" t="str">
        <f>'Resultater - Vestdanmark'!B182</f>
        <v>Økologisk</v>
      </c>
      <c r="C182" s="98" t="str">
        <f>'Resultater - Vestdanmark'!C182</f>
        <v>OC6</v>
      </c>
      <c r="D182" s="98" t="str">
        <f>'Resultater - Vestdanmark'!D182</f>
        <v>Areal-kartofler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80" t="e">
        <f>'Resultater - Vestdanmark'!H182+'Resultater - Østdanmark'!H182</f>
        <v>#REF!</v>
      </c>
      <c r="I182" s="281" t="e">
        <f>'Resultater - Vestdanmark'!I182+'Resultater - Østdanmark'!I182</f>
        <v>#REF!</v>
      </c>
      <c r="J182" s="282" t="e">
        <f>'Resultater - Vestdanmark'!J182+'Resultater - Østdanmark'!J182</f>
        <v>#REF!</v>
      </c>
    </row>
    <row r="183" spans="1:10" x14ac:dyDescent="0.25">
      <c r="A183" s="98" t="str">
        <f>'Resultater - Vestdanmark'!A183</f>
        <v>Kartoffelmark</v>
      </c>
      <c r="B183" s="98" t="str">
        <f>'Resultater - Vestdanmark'!B183</f>
        <v>Økologisk</v>
      </c>
      <c r="C183" s="98" t="str">
        <f>'Resultater - Vestdanmark'!C183</f>
        <v>OC12</v>
      </c>
      <c r="D183" s="98" t="str">
        <f>'Resultater - Vestdanmark'!D183</f>
        <v>Areal-kartofler</v>
      </c>
      <c r="E183" s="98" t="str">
        <f>'Resultater - Vestdanmark'!E183</f>
        <v>Hektar</v>
      </c>
      <c r="F183" s="98" t="str">
        <f>'Resultater - Vestdanmark'!F183</f>
        <v>Kartofler</v>
      </c>
      <c r="G183" s="98" t="str">
        <f>'Resultater - Vestdanmark'!G183</f>
        <v>Ton</v>
      </c>
      <c r="H183" s="280" t="e">
        <f>'Resultater - Vestdanmark'!H183+'Resultater - Østdanmark'!H183</f>
        <v>#REF!</v>
      </c>
      <c r="I183" s="281" t="e">
        <f>'Resultater - Vestdanmark'!I183+'Resultater - Østdanmark'!I183</f>
        <v>#REF!</v>
      </c>
      <c r="J183" s="282" t="e">
        <f>'Resultater - Vestdanmark'!J183+'Resultater - Østdanmark'!J183</f>
        <v>#REF!</v>
      </c>
    </row>
    <row r="184" spans="1:10" x14ac:dyDescent="0.25">
      <c r="A184" s="98" t="str">
        <f>'Resultater - Vestdanmark'!A184</f>
        <v>Kartoffelmark</v>
      </c>
      <c r="B184" s="98" t="str">
        <f>'Resultater - Vestdanmark'!B184</f>
        <v>Økologisk</v>
      </c>
      <c r="C184" s="98" t="str">
        <f>'Resultater - Vestdanmark'!C184</f>
        <v>OC12</v>
      </c>
      <c r="D184" s="98" t="str">
        <f>'Resultater - Vestdanmark'!D184</f>
        <v>Areal-kartofler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80" t="e">
        <f>'Resultater - Vestdanmark'!H184+'Resultater - Østdanmark'!H184</f>
        <v>#REF!</v>
      </c>
      <c r="I184" s="281" t="e">
        <f>'Resultater - Vestdanmark'!I184+'Resultater - Østdanmark'!I184</f>
        <v>#REF!</v>
      </c>
      <c r="J184" s="282" t="e">
        <f>'Resultater - Vestdanmark'!J184+'Resultater - Østdanmark'!J184</f>
        <v>#REF!</v>
      </c>
    </row>
    <row r="185" spans="1:10" x14ac:dyDescent="0.25">
      <c r="A185" s="98" t="str">
        <f>'Resultater - Vestdanmark'!A185</f>
        <v>Kartoffelmark</v>
      </c>
      <c r="B185" s="98" t="str">
        <f>'Resultater - Vestdanmark'!B185</f>
        <v>Økologisk</v>
      </c>
      <c r="C185" s="98" t="str">
        <f>'Resultater - Vestdanmark'!C185</f>
        <v>OC12</v>
      </c>
      <c r="D185" s="98" t="str">
        <f>'Resultater - Vestdanmark'!D185</f>
        <v>Areal-kartofler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80" t="e">
        <f>'Resultater - Vestdanmark'!H185+'Resultater - Østdanmark'!H185</f>
        <v>#REF!</v>
      </c>
      <c r="I185" s="281" t="e">
        <f>'Resultater - Vestdanmark'!I185+'Resultater - Østdanmark'!I185</f>
        <v>#REF!</v>
      </c>
      <c r="J185" s="282" t="e">
        <f>'Resultater - Vestdanmark'!J185+'Resultater - Østdanmark'!J185</f>
        <v>#REF!</v>
      </c>
    </row>
    <row r="186" spans="1:10" x14ac:dyDescent="0.25">
      <c r="A186" s="98" t="str">
        <f>'Resultater - Vestdanmark'!A186</f>
        <v>Græsmark</v>
      </c>
      <c r="B186" s="98" t="str">
        <f>'Resultater - Vestdanmark'!B186</f>
        <v>Konventionel</v>
      </c>
      <c r="C186" s="98" t="str">
        <f>'Resultater - Vestdanmark'!C186</f>
        <v>JB1-10</v>
      </c>
      <c r="D186" s="98" t="str">
        <f>'Resultater - Vestdanmark'!D186</f>
        <v>Areal-græs</v>
      </c>
      <c r="E186" s="98" t="str">
        <f>'Resultater - Vestdanmark'!E186</f>
        <v>Hektar</v>
      </c>
      <c r="F186" s="98" t="str">
        <f>'Resultater - Vestdanmark'!F186</f>
        <v>Græs</v>
      </c>
      <c r="G186" s="98" t="str">
        <f>'Resultater - Vestdanmark'!G186</f>
        <v>Ton</v>
      </c>
      <c r="H186" s="280" t="e">
        <f>'Resultater - Vestdanmark'!H186+'Resultater - Østdanmark'!H186</f>
        <v>#REF!</v>
      </c>
      <c r="I186" s="281" t="e">
        <f>'Resultater - Vestdanmark'!I186+'Resultater - Østdanmark'!I186</f>
        <v>#REF!</v>
      </c>
      <c r="J186" s="282" t="e">
        <f>'Resultater - Vestdanmark'!J186+'Resultater - Østdanmark'!J186</f>
        <v>#REF!</v>
      </c>
    </row>
    <row r="187" spans="1:10" x14ac:dyDescent="0.25">
      <c r="A187" s="98" t="str">
        <f>'Resultater - Vestdanmark'!A187</f>
        <v>Græsmark</v>
      </c>
      <c r="B187" s="98" t="str">
        <f>'Resultater - Vestdanmark'!B187</f>
        <v>Konventionel</v>
      </c>
      <c r="C187" s="98" t="str">
        <f>'Resultater - Vestdanmark'!C187</f>
        <v>JB1-10</v>
      </c>
      <c r="D187" s="98" t="str">
        <f>'Resultater - Vestdanmark'!D187</f>
        <v>Areal-græs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80" t="e">
        <f>'Resultater - Vestdanmark'!H187+'Resultater - Østdanmark'!H187</f>
        <v>#REF!</v>
      </c>
      <c r="I187" s="281" t="e">
        <f>'Resultater - Vestdanmark'!I187+'Resultater - Østdanmark'!I187</f>
        <v>#REF!</v>
      </c>
      <c r="J187" s="282" t="e">
        <f>'Resultater - Vestdanmark'!J187+'Resultater - Østdanmark'!J187</f>
        <v>#REF!</v>
      </c>
    </row>
    <row r="188" spans="1:10" x14ac:dyDescent="0.25">
      <c r="A188" s="98" t="str">
        <f>'Resultater - Vestdanmark'!A188</f>
        <v>Græsmark</v>
      </c>
      <c r="B188" s="98" t="str">
        <f>'Resultater - Vestdanmark'!B188</f>
        <v>Konventionel</v>
      </c>
      <c r="C188" s="98" t="str">
        <f>'Resultater - Vestdanmark'!C188</f>
        <v>JB1-10</v>
      </c>
      <c r="D188" s="98" t="str">
        <f>'Resultater - Vestdanmark'!D188</f>
        <v>Areal-græs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80" t="e">
        <f>'Resultater - Vestdanmark'!H188+'Resultater - Østdanmark'!H188</f>
        <v>#REF!</v>
      </c>
      <c r="I188" s="281" t="e">
        <f>'Resultater - Vestdanmark'!I188+'Resultater - Østdanmark'!I188</f>
        <v>#REF!</v>
      </c>
      <c r="J188" s="282" t="e">
        <f>'Resultater - Vestdanmark'!J188+'Resultater - Østdanmark'!J188</f>
        <v>#REF!</v>
      </c>
    </row>
    <row r="189" spans="1:10" x14ac:dyDescent="0.25">
      <c r="A189" s="98" t="str">
        <f>'Resultater - Vestdanmark'!A189</f>
        <v>Græsmark</v>
      </c>
      <c r="B189" s="98" t="str">
        <f>'Resultater - Vestdanmark'!B189</f>
        <v>Konventionel</v>
      </c>
      <c r="C189" s="98" t="str">
        <f>'Resultater - Vestdanmark'!C189</f>
        <v>OC6</v>
      </c>
      <c r="D189" s="98" t="str">
        <f>'Resultater - Vestdanmark'!D189</f>
        <v>Areal-græs</v>
      </c>
      <c r="E189" s="98" t="str">
        <f>'Resultater - Vestdanmark'!E189</f>
        <v>Hektar</v>
      </c>
      <c r="F189" s="98" t="str">
        <f>'Resultater - Vestdanmark'!F189</f>
        <v>Græs</v>
      </c>
      <c r="G189" s="98" t="str">
        <f>'Resultater - Vestdanmark'!G189</f>
        <v>Ton</v>
      </c>
      <c r="H189" s="280" t="e">
        <f>'Resultater - Vestdanmark'!H189+'Resultater - Østdanmark'!H189</f>
        <v>#REF!</v>
      </c>
      <c r="I189" s="281" t="e">
        <f>'Resultater - Vestdanmark'!I189+'Resultater - Østdanmark'!I189</f>
        <v>#REF!</v>
      </c>
      <c r="J189" s="282" t="e">
        <f>'Resultater - Vestdanmark'!J189+'Resultater - Østdanmark'!J189</f>
        <v>#REF!</v>
      </c>
    </row>
    <row r="190" spans="1:10" x14ac:dyDescent="0.25">
      <c r="A190" s="98" t="str">
        <f>'Resultater - Vestdanmark'!A190</f>
        <v>Græsmark</v>
      </c>
      <c r="B190" s="98" t="str">
        <f>'Resultater - Vestdanmark'!B190</f>
        <v>Konventionel</v>
      </c>
      <c r="C190" s="98" t="str">
        <f>'Resultater - Vestdanmark'!C190</f>
        <v>OC6</v>
      </c>
      <c r="D190" s="98" t="str">
        <f>'Resultater - Vestdanmark'!D190</f>
        <v>Areal-græs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80" t="e">
        <f>'Resultater - Vestdanmark'!H190+'Resultater - Østdanmark'!H190</f>
        <v>#REF!</v>
      </c>
      <c r="I190" s="281" t="e">
        <f>'Resultater - Vestdanmark'!I190+'Resultater - Østdanmark'!I190</f>
        <v>#REF!</v>
      </c>
      <c r="J190" s="282" t="e">
        <f>'Resultater - Vestdanmark'!J190+'Resultater - Østdanmark'!J190</f>
        <v>#REF!</v>
      </c>
    </row>
    <row r="191" spans="1:10" x14ac:dyDescent="0.25">
      <c r="A191" s="98" t="str">
        <f>'Resultater - Vestdanmark'!A191</f>
        <v>Græsmark</v>
      </c>
      <c r="B191" s="98" t="str">
        <f>'Resultater - Vestdanmark'!B191</f>
        <v>Konventionel</v>
      </c>
      <c r="C191" s="98" t="str">
        <f>'Resultater - Vestdanmark'!C191</f>
        <v>OC6</v>
      </c>
      <c r="D191" s="98" t="str">
        <f>'Resultater - Vestdanmark'!D191</f>
        <v>Areal-græs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80" t="e">
        <f>'Resultater - Vestdanmark'!H191+'Resultater - Østdanmark'!H191</f>
        <v>#REF!</v>
      </c>
      <c r="I191" s="281" t="e">
        <f>'Resultater - Vestdanmark'!I191+'Resultater - Østdanmark'!I191</f>
        <v>#REF!</v>
      </c>
      <c r="J191" s="282" t="e">
        <f>'Resultater - Vestdanmark'!J191+'Resultater - Østdanmark'!J191</f>
        <v>#REF!</v>
      </c>
    </row>
    <row r="192" spans="1:10" x14ac:dyDescent="0.25">
      <c r="A192" s="98" t="str">
        <f>'Resultater - Vestdanmark'!A192</f>
        <v>Græsmark</v>
      </c>
      <c r="B192" s="98" t="str">
        <f>'Resultater - Vestdanmark'!B192</f>
        <v>Konventionel</v>
      </c>
      <c r="C192" s="98" t="str">
        <f>'Resultater - Vestdanmark'!C192</f>
        <v>OC12</v>
      </c>
      <c r="D192" s="98" t="str">
        <f>'Resultater - Vestdanmark'!D192</f>
        <v>Areal-græs</v>
      </c>
      <c r="E192" s="98" t="str">
        <f>'Resultater - Vestdanmark'!E192</f>
        <v>Hektar</v>
      </c>
      <c r="F192" s="98" t="str">
        <f>'Resultater - Vestdanmark'!F192</f>
        <v>Græs</v>
      </c>
      <c r="G192" s="98" t="str">
        <f>'Resultater - Vestdanmark'!G192</f>
        <v>Ton</v>
      </c>
      <c r="H192" s="280" t="e">
        <f>'Resultater - Vestdanmark'!H192+'Resultater - Østdanmark'!H192</f>
        <v>#REF!</v>
      </c>
      <c r="I192" s="281" t="e">
        <f>'Resultater - Vestdanmark'!I192+'Resultater - Østdanmark'!I192</f>
        <v>#REF!</v>
      </c>
      <c r="J192" s="282" t="e">
        <f>'Resultater - Vestdanmark'!J192+'Resultater - Østdanmark'!J192</f>
        <v>#REF!</v>
      </c>
    </row>
    <row r="193" spans="1:10" x14ac:dyDescent="0.25">
      <c r="A193" s="98" t="str">
        <f>'Resultater - Vestdanmark'!A193</f>
        <v>Græsmark</v>
      </c>
      <c r="B193" s="98" t="str">
        <f>'Resultater - Vestdanmark'!B193</f>
        <v>Konventionel</v>
      </c>
      <c r="C193" s="98" t="str">
        <f>'Resultater - Vestdanmark'!C193</f>
        <v>OC12</v>
      </c>
      <c r="D193" s="98" t="str">
        <f>'Resultater - Vestdanmark'!D193</f>
        <v>Areal-græs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80" t="e">
        <f>'Resultater - Vestdanmark'!H193+'Resultater - Østdanmark'!H193</f>
        <v>#REF!</v>
      </c>
      <c r="I193" s="281" t="e">
        <f>'Resultater - Vestdanmark'!I193+'Resultater - Østdanmark'!I193</f>
        <v>#REF!</v>
      </c>
      <c r="J193" s="282" t="e">
        <f>'Resultater - Vestdanmark'!J193+'Resultater - Østdanmark'!J193</f>
        <v>#REF!</v>
      </c>
    </row>
    <row r="194" spans="1:10" x14ac:dyDescent="0.25">
      <c r="A194" s="98" t="str">
        <f>'Resultater - Vestdanmark'!A194</f>
        <v>Græsmark</v>
      </c>
      <c r="B194" s="98" t="str">
        <f>'Resultater - Vestdanmark'!B194</f>
        <v>Konventionel</v>
      </c>
      <c r="C194" s="98" t="str">
        <f>'Resultater - Vestdanmark'!C194</f>
        <v>OC12</v>
      </c>
      <c r="D194" s="98" t="str">
        <f>'Resultater - Vestdanmark'!D194</f>
        <v>Areal-græs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80" t="e">
        <f>'Resultater - Vestdanmark'!H194+'Resultater - Østdanmark'!H194</f>
        <v>#REF!</v>
      </c>
      <c r="I194" s="281" t="e">
        <f>'Resultater - Vestdanmark'!I194+'Resultater - Østdanmark'!I194</f>
        <v>#REF!</v>
      </c>
      <c r="J194" s="282" t="e">
        <f>'Resultater - Vestdanmark'!J194+'Resultater - Østdanmark'!J194</f>
        <v>#REF!</v>
      </c>
    </row>
    <row r="195" spans="1:10" x14ac:dyDescent="0.25">
      <c r="A195" s="98" t="str">
        <f>'Resultater - Vestdanmark'!A195</f>
        <v>Græsmark</v>
      </c>
      <c r="B195" s="98" t="str">
        <f>'Resultater - Vestdanmark'!B195</f>
        <v>Økologisk</v>
      </c>
      <c r="C195" s="98" t="str">
        <f>'Resultater - Vestdanmark'!C195</f>
        <v>JB1-10</v>
      </c>
      <c r="D195" s="98" t="str">
        <f>'Resultater - Vestdanmark'!D195</f>
        <v>Areal-græs</v>
      </c>
      <c r="E195" s="98" t="str">
        <f>'Resultater - Vestdanmark'!E195</f>
        <v>Hektar</v>
      </c>
      <c r="F195" s="98" t="str">
        <f>'Resultater - Vestdanmark'!F195</f>
        <v>Græs</v>
      </c>
      <c r="G195" s="98" t="str">
        <f>'Resultater - Vestdanmark'!G195</f>
        <v>Ton</v>
      </c>
      <c r="H195" s="280" t="e">
        <f>'Resultater - Vestdanmark'!H195+'Resultater - Østdanmark'!H195</f>
        <v>#REF!</v>
      </c>
      <c r="I195" s="281" t="e">
        <f>'Resultater - Vestdanmark'!I195+'Resultater - Østdanmark'!I195</f>
        <v>#REF!</v>
      </c>
      <c r="J195" s="282" t="e">
        <f>'Resultater - Vestdanmark'!J195+'Resultater - Østdanmark'!J195</f>
        <v>#REF!</v>
      </c>
    </row>
    <row r="196" spans="1:10" x14ac:dyDescent="0.25">
      <c r="A196" s="98" t="str">
        <f>'Resultater - Vestdanmark'!A196</f>
        <v>Græsmark</v>
      </c>
      <c r="B196" s="98" t="str">
        <f>'Resultater - Vestdanmark'!B196</f>
        <v>Økologisk</v>
      </c>
      <c r="C196" s="98" t="str">
        <f>'Resultater - Vestdanmark'!C196</f>
        <v>JB1-10</v>
      </c>
      <c r="D196" s="98" t="str">
        <f>'Resultater - Vestdanmark'!D196</f>
        <v>Areal-græs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80" t="e">
        <f>'Resultater - Vestdanmark'!H196+'Resultater - Østdanmark'!H196</f>
        <v>#REF!</v>
      </c>
      <c r="I196" s="281" t="e">
        <f>'Resultater - Vestdanmark'!I196+'Resultater - Østdanmark'!I196</f>
        <v>#REF!</v>
      </c>
      <c r="J196" s="282" t="e">
        <f>'Resultater - Vestdanmark'!J196+'Resultater - Østdanmark'!J196</f>
        <v>#REF!</v>
      </c>
    </row>
    <row r="197" spans="1:10" x14ac:dyDescent="0.25">
      <c r="A197" s="98" t="str">
        <f>'Resultater - Vestdanmark'!A197</f>
        <v>Græsmark</v>
      </c>
      <c r="B197" s="98" t="str">
        <f>'Resultater - Vestdanmark'!B197</f>
        <v>Økologisk</v>
      </c>
      <c r="C197" s="98" t="str">
        <f>'Resultater - Vestdanmark'!C197</f>
        <v>JB1-10</v>
      </c>
      <c r="D197" s="98" t="str">
        <f>'Resultater - Vestdanmark'!D197</f>
        <v>Areal-græs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80" t="e">
        <f>'Resultater - Vestdanmark'!H197+'Resultater - Østdanmark'!H197</f>
        <v>#REF!</v>
      </c>
      <c r="I197" s="281" t="e">
        <f>'Resultater - Vestdanmark'!I197+'Resultater - Østdanmark'!I197</f>
        <v>#REF!</v>
      </c>
      <c r="J197" s="282" t="e">
        <f>'Resultater - Vestdanmark'!J197+'Resultater - Østdanmark'!J197</f>
        <v>#REF!</v>
      </c>
    </row>
    <row r="198" spans="1:10" x14ac:dyDescent="0.25">
      <c r="A198" s="98" t="str">
        <f>'Resultater - Vestdanmark'!A198</f>
        <v>Græsmark</v>
      </c>
      <c r="B198" s="98" t="str">
        <f>'Resultater - Vestdanmark'!B198</f>
        <v>Økologisk</v>
      </c>
      <c r="C198" s="98" t="str">
        <f>'Resultater - Vestdanmark'!C198</f>
        <v>OC6</v>
      </c>
      <c r="D198" s="98" t="str">
        <f>'Resultater - Vestdanmark'!D198</f>
        <v>Areal-græs</v>
      </c>
      <c r="E198" s="98" t="str">
        <f>'Resultater - Vestdanmark'!E198</f>
        <v>Hektar</v>
      </c>
      <c r="F198" s="98" t="str">
        <f>'Resultater - Vestdanmark'!F198</f>
        <v>Græs</v>
      </c>
      <c r="G198" s="98" t="str">
        <f>'Resultater - Vestdanmark'!G198</f>
        <v>Ton</v>
      </c>
      <c r="H198" s="280" t="e">
        <f>'Resultater - Vestdanmark'!H198+'Resultater - Østdanmark'!H198</f>
        <v>#REF!</v>
      </c>
      <c r="I198" s="281" t="e">
        <f>'Resultater - Vestdanmark'!I198+'Resultater - Østdanmark'!I198</f>
        <v>#REF!</v>
      </c>
      <c r="J198" s="282" t="e">
        <f>'Resultater - Vestdanmark'!J198+'Resultater - Østdanmark'!J198</f>
        <v>#REF!</v>
      </c>
    </row>
    <row r="199" spans="1:10" x14ac:dyDescent="0.25">
      <c r="A199" s="98" t="str">
        <f>'Resultater - Vestdanmark'!A199</f>
        <v>Græsmark</v>
      </c>
      <c r="B199" s="98" t="str">
        <f>'Resultater - Vestdanmark'!B199</f>
        <v>Økologisk</v>
      </c>
      <c r="C199" s="98" t="str">
        <f>'Resultater - Vestdanmark'!C199</f>
        <v>OC6</v>
      </c>
      <c r="D199" s="98" t="str">
        <f>'Resultater - Vestdanmark'!D199</f>
        <v>Areal-græs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80" t="e">
        <f>'Resultater - Vestdanmark'!H199+'Resultater - Østdanmark'!H199</f>
        <v>#REF!</v>
      </c>
      <c r="I199" s="281" t="e">
        <f>'Resultater - Vestdanmark'!I199+'Resultater - Østdanmark'!I199</f>
        <v>#REF!</v>
      </c>
      <c r="J199" s="282" t="e">
        <f>'Resultater - Vestdanmark'!J199+'Resultater - Østdanmark'!J199</f>
        <v>#REF!</v>
      </c>
    </row>
    <row r="200" spans="1:10" x14ac:dyDescent="0.25">
      <c r="A200" s="98" t="str">
        <f>'Resultater - Vestdanmark'!A200</f>
        <v>Græsmark</v>
      </c>
      <c r="B200" s="98" t="str">
        <f>'Resultater - Vestdanmark'!B200</f>
        <v>Økologisk</v>
      </c>
      <c r="C200" s="98" t="str">
        <f>'Resultater - Vestdanmark'!C200</f>
        <v>OC6</v>
      </c>
      <c r="D200" s="98" t="str">
        <f>'Resultater - Vestdanmark'!D200</f>
        <v>Areal-græs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80" t="e">
        <f>'Resultater - Vestdanmark'!H200+'Resultater - Østdanmark'!H200</f>
        <v>#REF!</v>
      </c>
      <c r="I200" s="281" t="e">
        <f>'Resultater - Vestdanmark'!I200+'Resultater - Østdanmark'!I200</f>
        <v>#REF!</v>
      </c>
      <c r="J200" s="282" t="e">
        <f>'Resultater - Vestdanmark'!J200+'Resultater - Østdanmark'!J200</f>
        <v>#REF!</v>
      </c>
    </row>
    <row r="201" spans="1:10" x14ac:dyDescent="0.25">
      <c r="A201" s="98" t="str">
        <f>'Resultater - Vestdanmark'!A201</f>
        <v>Græsmark</v>
      </c>
      <c r="B201" s="98" t="str">
        <f>'Resultater - Vestdanmark'!B201</f>
        <v>Økologisk</v>
      </c>
      <c r="C201" s="98" t="str">
        <f>'Resultater - Vestdanmark'!C201</f>
        <v>OC12</v>
      </c>
      <c r="D201" s="98" t="str">
        <f>'Resultater - Vestdanmark'!D201</f>
        <v>Areal-græs</v>
      </c>
      <c r="E201" s="98" t="str">
        <f>'Resultater - Vestdanmark'!E201</f>
        <v>Hektar</v>
      </c>
      <c r="F201" s="98" t="str">
        <f>'Resultater - Vestdanmark'!F201</f>
        <v>Græs</v>
      </c>
      <c r="G201" s="98" t="str">
        <f>'Resultater - Vestdanmark'!G201</f>
        <v>Ton</v>
      </c>
      <c r="H201" s="280" t="e">
        <f>'Resultater - Vestdanmark'!H201+'Resultater - Østdanmark'!H201</f>
        <v>#REF!</v>
      </c>
      <c r="I201" s="281" t="e">
        <f>'Resultater - Vestdanmark'!I201+'Resultater - Østdanmark'!I201</f>
        <v>#REF!</v>
      </c>
      <c r="J201" s="282" t="e">
        <f>'Resultater - Vestdanmark'!J201+'Resultater - Østdanmark'!J201</f>
        <v>#REF!</v>
      </c>
    </row>
    <row r="202" spans="1:10" x14ac:dyDescent="0.25">
      <c r="A202" s="98" t="str">
        <f>'Resultater - Vestdanmark'!A202</f>
        <v>Græsmark</v>
      </c>
      <c r="B202" s="98" t="str">
        <f>'Resultater - Vestdanmark'!B202</f>
        <v>Økologisk</v>
      </c>
      <c r="C202" s="98" t="str">
        <f>'Resultater - Vestdanmark'!C202</f>
        <v>OC12</v>
      </c>
      <c r="D202" s="98" t="str">
        <f>'Resultater - Vestdanmark'!D202</f>
        <v>Areal-græs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80" t="e">
        <f>'Resultater - Vestdanmark'!H202+'Resultater - Østdanmark'!H202</f>
        <v>#REF!</v>
      </c>
      <c r="I202" s="281" t="e">
        <f>'Resultater - Vestdanmark'!I202+'Resultater - Østdanmark'!I202</f>
        <v>#REF!</v>
      </c>
      <c r="J202" s="282" t="e">
        <f>'Resultater - Vestdanmark'!J202+'Resultater - Østdanmark'!J202</f>
        <v>#REF!</v>
      </c>
    </row>
    <row r="203" spans="1:10" x14ac:dyDescent="0.25">
      <c r="A203" s="98" t="str">
        <f>'Resultater - Vestdanmark'!A203</f>
        <v>Græsmark</v>
      </c>
      <c r="B203" s="98" t="str">
        <f>'Resultater - Vestdanmark'!B203</f>
        <v>Økologisk</v>
      </c>
      <c r="C203" s="98" t="str">
        <f>'Resultater - Vestdanmark'!C203</f>
        <v>OC12</v>
      </c>
      <c r="D203" s="98" t="str">
        <f>'Resultater - Vestdanmark'!D203</f>
        <v>Areal-græs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80" t="e">
        <f>'Resultater - Vestdanmark'!H203+'Resultater - Østdanmark'!H203</f>
        <v>#REF!</v>
      </c>
      <c r="I203" s="281" t="e">
        <f>'Resultater - Vestdanmark'!I203+'Resultater - Østdanmark'!I203</f>
        <v>#REF!</v>
      </c>
      <c r="J203" s="282" t="e">
        <f>'Resultater - Vestdanmark'!J203+'Resultater - Østdanmark'!J203</f>
        <v>#REF!</v>
      </c>
    </row>
    <row r="204" spans="1:10" x14ac:dyDescent="0.25">
      <c r="A204" s="98" t="str">
        <f>'Resultater - Vestdanmark'!A204</f>
        <v>Bælgsædsmark</v>
      </c>
      <c r="B204" s="98" t="str">
        <f>'Resultater - Vestdanmark'!B204</f>
        <v>Konventionel</v>
      </c>
      <c r="C204" s="98" t="str">
        <f>'Resultater - Vestdanmark'!C204</f>
        <v>JB1-10</v>
      </c>
      <c r="D204" s="98" t="str">
        <f>'Resultater - Vestdanmark'!D204</f>
        <v>Areal-bælgsæd</v>
      </c>
      <c r="E204" s="98" t="str">
        <f>'Resultater - Vestdanmark'!E204</f>
        <v>Hektar</v>
      </c>
      <c r="F204" s="98" t="str">
        <f>'Resultater - Vestdanmark'!F204</f>
        <v>Bælgsæd</v>
      </c>
      <c r="G204" s="98" t="str">
        <f>'Resultater - Vestdanmark'!G204</f>
        <v>Ton</v>
      </c>
      <c r="H204" s="280" t="e">
        <f>'Resultater - Vestdanmark'!H204+'Resultater - Østdanmark'!H204</f>
        <v>#REF!</v>
      </c>
      <c r="I204" s="281" t="e">
        <f>'Resultater - Vestdanmark'!I204+'Resultater - Østdanmark'!I204</f>
        <v>#REF!</v>
      </c>
      <c r="J204" s="282" t="e">
        <f>'Resultater - Vestdanmark'!J204+'Resultater - Østdanmark'!J204</f>
        <v>#REF!</v>
      </c>
    </row>
    <row r="205" spans="1:10" x14ac:dyDescent="0.25">
      <c r="A205" s="98" t="str">
        <f>'Resultater - Vestdanmark'!A205</f>
        <v>Bælgsædsmark</v>
      </c>
      <c r="B205" s="98" t="str">
        <f>'Resultater - Vestdanmark'!B205</f>
        <v>Konventionel</v>
      </c>
      <c r="C205" s="98" t="str">
        <f>'Resultater - Vestdanmark'!C205</f>
        <v>JB1-10</v>
      </c>
      <c r="D205" s="98" t="str">
        <f>'Resultater - Vestdanmark'!D205</f>
        <v>Areal-bælgsæd</v>
      </c>
      <c r="E205" s="98" t="str">
        <f>'Resultater - Vestdanmark'!E205</f>
        <v>Hektar</v>
      </c>
      <c r="F205" s="98" t="str">
        <f>'Resultater - Vestdanmark'!F205</f>
        <v>Halm</v>
      </c>
      <c r="G205" s="98" t="str">
        <f>'Resultater - Vestdanmark'!G205</f>
        <v>Ton</v>
      </c>
      <c r="H205" s="280" t="e">
        <f>'Resultater - Vestdanmark'!H205+'Resultater - Østdanmark'!H205</f>
        <v>#REF!</v>
      </c>
      <c r="I205" s="281" t="e">
        <f>'Resultater - Vestdanmark'!I205+'Resultater - Østdanmark'!I205</f>
        <v>#REF!</v>
      </c>
      <c r="J205" s="282" t="e">
        <f>'Resultater - Vestdanmark'!J205+'Resultater - Østdanmark'!J205</f>
        <v>#REF!</v>
      </c>
    </row>
    <row r="206" spans="1:10" x14ac:dyDescent="0.25">
      <c r="A206" s="98" t="str">
        <f>'Resultater - Vestdanmark'!A206</f>
        <v>Bælgsædsmark</v>
      </c>
      <c r="B206" s="98" t="str">
        <f>'Resultater - Vestdanmark'!B206</f>
        <v>Konventionel</v>
      </c>
      <c r="C206" s="98" t="str">
        <f>'Resultater - Vestdanmark'!C206</f>
        <v>JB1-10</v>
      </c>
      <c r="D206" s="98" t="str">
        <f>'Resultater - Vestdanmark'!D206</f>
        <v>Areal-bælgsæd</v>
      </c>
      <c r="E206" s="98" t="str">
        <f>'Resultater - Vestdanmark'!E206</f>
        <v>Hektar</v>
      </c>
      <c r="F206" s="98" t="str">
        <f>'Resultater - Vestdanmark'!F206</f>
        <v>Gødning</v>
      </c>
      <c r="G206" s="98" t="str">
        <f>'Resultater - Vestdanmark'!G206</f>
        <v>kg N</v>
      </c>
      <c r="H206" s="280" t="e">
        <f>'Resultater - Vestdanmark'!H206+'Resultater - Østdanmark'!H206</f>
        <v>#REF!</v>
      </c>
      <c r="I206" s="281" t="e">
        <f>'Resultater - Vestdanmark'!I206+'Resultater - Østdanmark'!I206</f>
        <v>#REF!</v>
      </c>
      <c r="J206" s="282" t="e">
        <f>'Resultater - Vestdanmark'!J206+'Resultater - Østdanmark'!J206</f>
        <v>#REF!</v>
      </c>
    </row>
    <row r="207" spans="1:10" x14ac:dyDescent="0.25">
      <c r="A207" s="98" t="str">
        <f>'Resultater - Vestdanmark'!A207</f>
        <v>Bælgsædsmark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Areal-bælgsæd</v>
      </c>
      <c r="E207" s="98" t="str">
        <f>'Resultater - Vestdanmark'!E207</f>
        <v>Hektar</v>
      </c>
      <c r="F207" s="98" t="str">
        <f>'Resultater - Vestdanmark'!F207</f>
        <v>CO2 - atmosfære</v>
      </c>
      <c r="G207" s="98" t="str">
        <f>'Resultater - Vestdanmark'!G207</f>
        <v>t CO2-ækvivalenter</v>
      </c>
      <c r="H207" s="280" t="e">
        <f>'Resultater - Vestdanmark'!H207+'Resultater - Østdanmark'!H207</f>
        <v>#REF!</v>
      </c>
      <c r="I207" s="281" t="e">
        <f>'Resultater - Vestdanmark'!I207+'Resultater - Østdanmark'!I207</f>
        <v>#REF!</v>
      </c>
      <c r="J207" s="282" t="e">
        <f>'Resultater - Vestdanmark'!J207+'Resultater - Østdanmark'!J207</f>
        <v>#REF!</v>
      </c>
    </row>
    <row r="208" spans="1:10" x14ac:dyDescent="0.25">
      <c r="A208" s="98" t="str">
        <f>'Resultater - Vestdanmark'!A208</f>
        <v>Bælgsædsmark</v>
      </c>
      <c r="B208" s="98" t="str">
        <f>'Resultater - Vestdanmark'!B208</f>
        <v>Konventionel</v>
      </c>
      <c r="C208" s="98" t="str">
        <f>'Resultater - Vestdanmark'!C208</f>
        <v>OC6</v>
      </c>
      <c r="D208" s="98" t="str">
        <f>'Resultater - Vestdanmark'!D208</f>
        <v>Areal-bælgsæd</v>
      </c>
      <c r="E208" s="98" t="str">
        <f>'Resultater - Vestdanmark'!E208</f>
        <v>Hektar</v>
      </c>
      <c r="F208" s="98" t="str">
        <f>'Resultater - Vestdanmark'!F208</f>
        <v>Bælgsæd</v>
      </c>
      <c r="G208" s="98" t="str">
        <f>'Resultater - Vestdanmark'!G208</f>
        <v>Ton</v>
      </c>
      <c r="H208" s="280" t="e">
        <f>'Resultater - Vestdanmark'!H208+'Resultater - Østdanmark'!H208</f>
        <v>#REF!</v>
      </c>
      <c r="I208" s="281" t="e">
        <f>'Resultater - Vestdanmark'!I208+'Resultater - Østdanmark'!I208</f>
        <v>#REF!</v>
      </c>
      <c r="J208" s="282" t="e">
        <f>'Resultater - Vestdanmark'!J208+'Resultater - Østdanmark'!J208</f>
        <v>#REF!</v>
      </c>
    </row>
    <row r="209" spans="1:10" x14ac:dyDescent="0.25">
      <c r="A209" s="98" t="str">
        <f>'Resultater - Vestdanmark'!A209</f>
        <v>Bælgsædsmark</v>
      </c>
      <c r="B209" s="98" t="str">
        <f>'Resultater - Vestdanmark'!B209</f>
        <v>Konventionel</v>
      </c>
      <c r="C209" s="98" t="str">
        <f>'Resultater - Vestdanmark'!C209</f>
        <v>OC6</v>
      </c>
      <c r="D209" s="98" t="str">
        <f>'Resultater - Vestdanmark'!D209</f>
        <v>Areal-bælgsæd</v>
      </c>
      <c r="E209" s="98" t="str">
        <f>'Resultater - Vestdanmark'!E209</f>
        <v>Hektar</v>
      </c>
      <c r="F209" s="98" t="str">
        <f>'Resultater - Vestdanmark'!F209</f>
        <v>Halm</v>
      </c>
      <c r="G209" s="98" t="str">
        <f>'Resultater - Vestdanmark'!G209</f>
        <v>Ton</v>
      </c>
      <c r="H209" s="280" t="e">
        <f>'Resultater - Vestdanmark'!H209+'Resultater - Østdanmark'!H209</f>
        <v>#REF!</v>
      </c>
      <c r="I209" s="281" t="e">
        <f>'Resultater - Vestdanmark'!I209+'Resultater - Østdanmark'!I209</f>
        <v>#REF!</v>
      </c>
      <c r="J209" s="282" t="e">
        <f>'Resultater - Vestdanmark'!J209+'Resultater - Østdanmark'!J209</f>
        <v>#REF!</v>
      </c>
    </row>
    <row r="210" spans="1:10" x14ac:dyDescent="0.25">
      <c r="A210" s="98" t="str">
        <f>'Resultater - Vestdanmark'!A210</f>
        <v>Bælgsædsmark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Areal-bælgsæd</v>
      </c>
      <c r="E210" s="98" t="str">
        <f>'Resultater - Vestdanmark'!E210</f>
        <v>Hektar</v>
      </c>
      <c r="F210" s="98" t="str">
        <f>'Resultater - Vestdanmark'!F210</f>
        <v>Gødning</v>
      </c>
      <c r="G210" s="98" t="str">
        <f>'Resultater - Vestdanmark'!G210</f>
        <v>kg N</v>
      </c>
      <c r="H210" s="280" t="e">
        <f>'Resultater - Vestdanmark'!H210+'Resultater - Østdanmark'!H210</f>
        <v>#REF!</v>
      </c>
      <c r="I210" s="281" t="e">
        <f>'Resultater - Vestdanmark'!I210+'Resultater - Østdanmark'!I210</f>
        <v>#REF!</v>
      </c>
      <c r="J210" s="282" t="e">
        <f>'Resultater - Vestdanmark'!J210+'Resultater - Østdanmark'!J210</f>
        <v>#REF!</v>
      </c>
    </row>
    <row r="211" spans="1:10" x14ac:dyDescent="0.25">
      <c r="A211" s="98" t="str">
        <f>'Resultater - Vestdanmark'!A211</f>
        <v>Bælgsædsmark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Areal-bælgsæd</v>
      </c>
      <c r="E211" s="98" t="str">
        <f>'Resultater - Vestdanmark'!E211</f>
        <v>Hektar</v>
      </c>
      <c r="F211" s="98" t="str">
        <f>'Resultater - Vestdanmark'!F211</f>
        <v>CO2 - atmosfære</v>
      </c>
      <c r="G211" s="98" t="str">
        <f>'Resultater - Vestdanmark'!G211</f>
        <v>t CO2-ækvivalenter</v>
      </c>
      <c r="H211" s="280" t="e">
        <f>'Resultater - Vestdanmark'!H211+'Resultater - Østdanmark'!H211</f>
        <v>#REF!</v>
      </c>
      <c r="I211" s="281" t="e">
        <f>'Resultater - Vestdanmark'!I211+'Resultater - Østdanmark'!I211</f>
        <v>#REF!</v>
      </c>
      <c r="J211" s="282" t="e">
        <f>'Resultater - Vestdanmark'!J211+'Resultater - Østdanmark'!J211</f>
        <v>#REF!</v>
      </c>
    </row>
    <row r="212" spans="1:10" x14ac:dyDescent="0.25">
      <c r="A212" s="98" t="str">
        <f>'Resultater - Vestdanmark'!A212</f>
        <v>Bælgsædsmark</v>
      </c>
      <c r="B212" s="98" t="str">
        <f>'Resultater - Vestdanmark'!B212</f>
        <v>Konventionel</v>
      </c>
      <c r="C212" s="98" t="str">
        <f>'Resultater - Vestdanmark'!C212</f>
        <v>OC12</v>
      </c>
      <c r="D212" s="98" t="str">
        <f>'Resultater - Vestdanmark'!D212</f>
        <v>Areal-bælgsæd</v>
      </c>
      <c r="E212" s="98" t="str">
        <f>'Resultater - Vestdanmark'!E212</f>
        <v>Hektar</v>
      </c>
      <c r="F212" s="98" t="str">
        <f>'Resultater - Vestdanmark'!F212</f>
        <v>Bælgsæd</v>
      </c>
      <c r="G212" s="98" t="str">
        <f>'Resultater - Vestdanmark'!G212</f>
        <v>Ton</v>
      </c>
      <c r="H212" s="280" t="e">
        <f>'Resultater - Vestdanmark'!H212+'Resultater - Østdanmark'!H212</f>
        <v>#REF!</v>
      </c>
      <c r="I212" s="281" t="e">
        <f>'Resultater - Vestdanmark'!I212+'Resultater - Østdanmark'!I212</f>
        <v>#REF!</v>
      </c>
      <c r="J212" s="282" t="e">
        <f>'Resultater - Vestdanmark'!J212+'Resultater - Østdanmark'!J212</f>
        <v>#REF!</v>
      </c>
    </row>
    <row r="213" spans="1:10" x14ac:dyDescent="0.25">
      <c r="A213" s="98" t="str">
        <f>'Resultater - Vestdanmark'!A213</f>
        <v>Bælgsædsmark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Areal-bælgsæd</v>
      </c>
      <c r="E213" s="98" t="str">
        <f>'Resultater - Vestdanmark'!E213</f>
        <v>Hektar</v>
      </c>
      <c r="F213" s="98" t="str">
        <f>'Resultater - Vestdanmark'!F213</f>
        <v>Halm</v>
      </c>
      <c r="G213" s="98" t="str">
        <f>'Resultater - Vestdanmark'!G213</f>
        <v>Ton</v>
      </c>
      <c r="H213" s="280" t="e">
        <f>'Resultater - Vestdanmark'!H213+'Resultater - Østdanmark'!H213</f>
        <v>#REF!</v>
      </c>
      <c r="I213" s="281" t="e">
        <f>'Resultater - Vestdanmark'!I213+'Resultater - Østdanmark'!I213</f>
        <v>#REF!</v>
      </c>
      <c r="J213" s="282" t="e">
        <f>'Resultater - Vestdanmark'!J213+'Resultater - Østdanmark'!J213</f>
        <v>#REF!</v>
      </c>
    </row>
    <row r="214" spans="1:10" x14ac:dyDescent="0.25">
      <c r="A214" s="98" t="str">
        <f>'Resultater - Vestdanmark'!A214</f>
        <v>Bælgsædsmark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Areal-bælgsæd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80" t="e">
        <f>'Resultater - Vestdanmark'!H214+'Resultater - Østdanmark'!H214</f>
        <v>#REF!</v>
      </c>
      <c r="I214" s="281" t="e">
        <f>'Resultater - Vestdanmark'!I214+'Resultater - Østdanmark'!I214</f>
        <v>#REF!</v>
      </c>
      <c r="J214" s="282" t="e">
        <f>'Resultater - Vestdanmark'!J214+'Resultater - Østdanmark'!J214</f>
        <v>#REF!</v>
      </c>
    </row>
    <row r="215" spans="1:10" x14ac:dyDescent="0.25">
      <c r="A215" s="98" t="str">
        <f>'Resultater - Vestdanmark'!A215</f>
        <v>Bælgsædsmark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Areal-bælgsæd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80" t="e">
        <f>'Resultater - Vestdanmark'!H215+'Resultater - Østdanmark'!H215</f>
        <v>#REF!</v>
      </c>
      <c r="I215" s="281" t="e">
        <f>'Resultater - Vestdanmark'!I215+'Resultater - Østdanmark'!I215</f>
        <v>#REF!</v>
      </c>
      <c r="J215" s="282" t="e">
        <f>'Resultater - Vestdanmark'!J215+'Resultater - Østdanmark'!J215</f>
        <v>#REF!</v>
      </c>
    </row>
    <row r="216" spans="1:10" x14ac:dyDescent="0.25">
      <c r="A216" s="98" t="str">
        <f>'Resultater - Vestdanmark'!A216</f>
        <v>Bælgsædsmark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Areal-bælgsæd</v>
      </c>
      <c r="E216" s="98" t="str">
        <f>'Resultater - Vestdanmark'!E216</f>
        <v>Hektar</v>
      </c>
      <c r="F216" s="98" t="str">
        <f>'Resultater - Vestdanmark'!F216</f>
        <v>Bælgsæd</v>
      </c>
      <c r="G216" s="98" t="str">
        <f>'Resultater - Vestdanmark'!G216</f>
        <v>Ton</v>
      </c>
      <c r="H216" s="280" t="e">
        <f>'Resultater - Vestdanmark'!H216+'Resultater - Østdanmark'!H216</f>
        <v>#REF!</v>
      </c>
      <c r="I216" s="281" t="e">
        <f>'Resultater - Vestdanmark'!I216+'Resultater - Østdanmark'!I216</f>
        <v>#REF!</v>
      </c>
      <c r="J216" s="282" t="e">
        <f>'Resultater - Vestdanmark'!J216+'Resultater - Østdanmark'!J216</f>
        <v>#REF!</v>
      </c>
    </row>
    <row r="217" spans="1:10" x14ac:dyDescent="0.25">
      <c r="A217" s="98" t="str">
        <f>'Resultater - Vestdanmark'!A217</f>
        <v>Bælgsædsmark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Areal-bælgsæd</v>
      </c>
      <c r="E217" s="98" t="str">
        <f>'Resultater - Vestdanmark'!E217</f>
        <v>Hektar</v>
      </c>
      <c r="F217" s="98" t="str">
        <f>'Resultater - Vestdanmark'!F217</f>
        <v>Halm</v>
      </c>
      <c r="G217" s="98" t="str">
        <f>'Resultater - Vestdanmark'!G217</f>
        <v>Ton</v>
      </c>
      <c r="H217" s="280" t="e">
        <f>'Resultater - Vestdanmark'!H217+'Resultater - Østdanmark'!H217</f>
        <v>#REF!</v>
      </c>
      <c r="I217" s="281" t="e">
        <f>'Resultater - Vestdanmark'!I217+'Resultater - Østdanmark'!I217</f>
        <v>#REF!</v>
      </c>
      <c r="J217" s="282" t="e">
        <f>'Resultater - Vestdanmark'!J217+'Resultater - Østdanmark'!J217</f>
        <v>#REF!</v>
      </c>
    </row>
    <row r="218" spans="1:10" x14ac:dyDescent="0.25">
      <c r="A218" s="98" t="str">
        <f>'Resultater - Vestdanmark'!A218</f>
        <v>Bælgsædsmark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Areal-bælgsæd</v>
      </c>
      <c r="E218" s="98" t="str">
        <f>'Resultater - Vestdanmark'!E218</f>
        <v>Hektar</v>
      </c>
      <c r="F218" s="98" t="str">
        <f>'Resultater - Vestdanmark'!F218</f>
        <v>Gødning</v>
      </c>
      <c r="G218" s="98" t="str">
        <f>'Resultater - Vestdanmark'!G218</f>
        <v>kg N</v>
      </c>
      <c r="H218" s="280" t="e">
        <f>'Resultater - Vestdanmark'!H218+'Resultater - Østdanmark'!H218</f>
        <v>#REF!</v>
      </c>
      <c r="I218" s="281" t="e">
        <f>'Resultater - Vestdanmark'!I218+'Resultater - Østdanmark'!I218</f>
        <v>#REF!</v>
      </c>
      <c r="J218" s="282" t="e">
        <f>'Resultater - Vestdanmark'!J218+'Resultater - Østdanmark'!J218</f>
        <v>#REF!</v>
      </c>
    </row>
    <row r="219" spans="1:10" x14ac:dyDescent="0.25">
      <c r="A219" s="98" t="str">
        <f>'Resultater - Vestdanmark'!A219</f>
        <v>Bælgsædsmark</v>
      </c>
      <c r="B219" s="98" t="str">
        <f>'Resultater - Vestdanmark'!B219</f>
        <v>Økologisk</v>
      </c>
      <c r="C219" s="98" t="str">
        <f>'Resultater - Vestdanmark'!C219</f>
        <v>JB1-10</v>
      </c>
      <c r="D219" s="98" t="str">
        <f>'Resultater - Vestdanmark'!D219</f>
        <v>Areal-bælgsæd</v>
      </c>
      <c r="E219" s="98" t="str">
        <f>'Resultater - Vestdanmark'!E219</f>
        <v>Hektar</v>
      </c>
      <c r="F219" s="98" t="str">
        <f>'Resultater - Vestdanmark'!F219</f>
        <v>CO2 - atmosfære</v>
      </c>
      <c r="G219" s="98" t="str">
        <f>'Resultater - Vestdanmark'!G219</f>
        <v>t CO2-ækvivalenter</v>
      </c>
      <c r="H219" s="280" t="e">
        <f>'Resultater - Vestdanmark'!H219+'Resultater - Østdanmark'!H219</f>
        <v>#REF!</v>
      </c>
      <c r="I219" s="281" t="e">
        <f>'Resultater - Vestdanmark'!I219+'Resultater - Østdanmark'!I219</f>
        <v>#REF!</v>
      </c>
      <c r="J219" s="282" t="e">
        <f>'Resultater - Vestdanmark'!J219+'Resultater - Østdanmark'!J219</f>
        <v>#REF!</v>
      </c>
    </row>
    <row r="220" spans="1:10" x14ac:dyDescent="0.25">
      <c r="A220" s="98" t="str">
        <f>'Resultater - Vestdanmark'!A220</f>
        <v>Bælgsædsmark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Areal-bælgsæd</v>
      </c>
      <c r="E220" s="98" t="str">
        <f>'Resultater - Vestdanmark'!E220</f>
        <v>Hektar</v>
      </c>
      <c r="F220" s="98" t="str">
        <f>'Resultater - Vestdanmark'!F220</f>
        <v>Bælgsæd</v>
      </c>
      <c r="G220" s="98" t="str">
        <f>'Resultater - Vestdanmark'!G220</f>
        <v>Ton</v>
      </c>
      <c r="H220" s="280" t="e">
        <f>'Resultater - Vestdanmark'!H220+'Resultater - Østdanmark'!H220</f>
        <v>#REF!</v>
      </c>
      <c r="I220" s="281" t="e">
        <f>'Resultater - Vestdanmark'!I220+'Resultater - Østdanmark'!I220</f>
        <v>#REF!</v>
      </c>
      <c r="J220" s="282" t="e">
        <f>'Resultater - Vestdanmark'!J220+'Resultater - Østdanmark'!J220</f>
        <v>#REF!</v>
      </c>
    </row>
    <row r="221" spans="1:10" x14ac:dyDescent="0.25">
      <c r="A221" s="98" t="str">
        <f>'Resultater - Vestdanmark'!A221</f>
        <v>Bælgsædsmark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Areal-bælgsæd</v>
      </c>
      <c r="E221" s="98" t="str">
        <f>'Resultater - Vestdanmark'!E221</f>
        <v>Hektar</v>
      </c>
      <c r="F221" s="98" t="str">
        <f>'Resultater - Vestdanmark'!F221</f>
        <v>Halm</v>
      </c>
      <c r="G221" s="98" t="str">
        <f>'Resultater - Vestdanmark'!G221</f>
        <v>Ton</v>
      </c>
      <c r="H221" s="280" t="e">
        <f>'Resultater - Vestdanmark'!H221+'Resultater - Østdanmark'!H221</f>
        <v>#REF!</v>
      </c>
      <c r="I221" s="281" t="e">
        <f>'Resultater - Vestdanmark'!I221+'Resultater - Østdanmark'!I221</f>
        <v>#REF!</v>
      </c>
      <c r="J221" s="282" t="e">
        <f>'Resultater - Vestdanmark'!J221+'Resultater - Østdanmark'!J221</f>
        <v>#REF!</v>
      </c>
    </row>
    <row r="222" spans="1:10" x14ac:dyDescent="0.25">
      <c r="A222" s="98" t="str">
        <f>'Resultater - Vestdanmark'!A222</f>
        <v>Bælgsædsmark</v>
      </c>
      <c r="B222" s="98" t="str">
        <f>'Resultater - Vestdanmark'!B222</f>
        <v>Økologisk</v>
      </c>
      <c r="C222" s="98" t="str">
        <f>'Resultater - Vestdanmark'!C222</f>
        <v>OC6</v>
      </c>
      <c r="D222" s="98" t="str">
        <f>'Resultater - Vestdanmark'!D222</f>
        <v>Areal-bælgsæd</v>
      </c>
      <c r="E222" s="98" t="str">
        <f>'Resultater - Vestdanmark'!E222</f>
        <v>Hektar</v>
      </c>
      <c r="F222" s="98" t="str">
        <f>'Resultater - Vestdanmark'!F222</f>
        <v>Gødning</v>
      </c>
      <c r="G222" s="98" t="str">
        <f>'Resultater - Vestdanmark'!G222</f>
        <v>kg N</v>
      </c>
      <c r="H222" s="280" t="e">
        <f>'Resultater - Vestdanmark'!H222+'Resultater - Østdanmark'!H222</f>
        <v>#REF!</v>
      </c>
      <c r="I222" s="281" t="e">
        <f>'Resultater - Vestdanmark'!I222+'Resultater - Østdanmark'!I222</f>
        <v>#REF!</v>
      </c>
      <c r="J222" s="282" t="e">
        <f>'Resultater - Vestdanmark'!J222+'Resultater - Østdanmark'!J222</f>
        <v>#REF!</v>
      </c>
    </row>
    <row r="223" spans="1:10" x14ac:dyDescent="0.25">
      <c r="A223" s="98" t="str">
        <f>'Resultater - Vestdanmark'!A223</f>
        <v>Bælgsædsmark</v>
      </c>
      <c r="B223" s="98" t="str">
        <f>'Resultater - Vestdanmark'!B223</f>
        <v>Økologisk</v>
      </c>
      <c r="C223" s="98" t="str">
        <f>'Resultater - Vestdanmark'!C223</f>
        <v>OC6</v>
      </c>
      <c r="D223" s="98" t="str">
        <f>'Resultater - Vestdanmark'!D223</f>
        <v>Areal-bælgsæd</v>
      </c>
      <c r="E223" s="98" t="str">
        <f>'Resultater - Vestdanmark'!E223</f>
        <v>Hektar</v>
      </c>
      <c r="F223" s="98" t="str">
        <f>'Resultater - Vestdanmark'!F223</f>
        <v>CO2 - atmosfære</v>
      </c>
      <c r="G223" s="98" t="str">
        <f>'Resultater - Vestdanmark'!G223</f>
        <v>t CO2-ækvivalenter</v>
      </c>
      <c r="H223" s="280" t="e">
        <f>'Resultater - Vestdanmark'!H223+'Resultater - Østdanmark'!H223</f>
        <v>#REF!</v>
      </c>
      <c r="I223" s="281" t="e">
        <f>'Resultater - Vestdanmark'!I223+'Resultater - Østdanmark'!I223</f>
        <v>#REF!</v>
      </c>
      <c r="J223" s="282" t="e">
        <f>'Resultater - Vestdanmark'!J223+'Resultater - Østdanmark'!J223</f>
        <v>#REF!</v>
      </c>
    </row>
    <row r="224" spans="1:10" x14ac:dyDescent="0.25">
      <c r="A224" s="98" t="str">
        <f>'Resultater - Vestdanmark'!A224</f>
        <v>Bælgsædsmark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Areal-bælgsæd</v>
      </c>
      <c r="E224" s="98" t="str">
        <f>'Resultater - Vestdanmark'!E224</f>
        <v>Hektar</v>
      </c>
      <c r="F224" s="98" t="str">
        <f>'Resultater - Vestdanmark'!F224</f>
        <v>Bælgsæd</v>
      </c>
      <c r="G224" s="98" t="str">
        <f>'Resultater - Vestdanmark'!G224</f>
        <v>Ton</v>
      </c>
      <c r="H224" s="280" t="e">
        <f>'Resultater - Vestdanmark'!H224+'Resultater - Østdanmark'!H224</f>
        <v>#REF!</v>
      </c>
      <c r="I224" s="281" t="e">
        <f>'Resultater - Vestdanmark'!I224+'Resultater - Østdanmark'!I224</f>
        <v>#REF!</v>
      </c>
      <c r="J224" s="282" t="e">
        <f>'Resultater - Vestdanmark'!J224+'Resultater - Østdanmark'!J224</f>
        <v>#REF!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Økologisk</v>
      </c>
      <c r="C225" s="98" t="str">
        <f>'Resultater - Vestdanmark'!C225</f>
        <v>OC12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Halm</v>
      </c>
      <c r="G225" s="98" t="str">
        <f>'Resultater - Vestdanmark'!G225</f>
        <v>Ton</v>
      </c>
      <c r="H225" s="280" t="e">
        <f>'Resultater - Vestdanmark'!H225+'Resultater - Østdanmark'!H225</f>
        <v>#REF!</v>
      </c>
      <c r="I225" s="281" t="e">
        <f>'Resultater - Vestdanmark'!I225+'Resultater - Østdanmark'!I225</f>
        <v>#REF!</v>
      </c>
      <c r="J225" s="282" t="e">
        <f>'Resultater - Vestdanmark'!J225+'Resultater - Østdanmark'!J225</f>
        <v>#REF!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Økologisk</v>
      </c>
      <c r="C226" s="98" t="str">
        <f>'Resultater - Vestdanmark'!C226</f>
        <v>OC12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Gødning</v>
      </c>
      <c r="G226" s="98" t="str">
        <f>'Resultater - Vestdanmark'!G226</f>
        <v>kg N</v>
      </c>
      <c r="H226" s="280" t="e">
        <f>'Resultater - Vestdanmark'!H226+'Resultater - Østdanmark'!H226</f>
        <v>#REF!</v>
      </c>
      <c r="I226" s="281" t="e">
        <f>'Resultater - Vestdanmark'!I226+'Resultater - Østdanmark'!I226</f>
        <v>#REF!</v>
      </c>
      <c r="J226" s="282" t="e">
        <f>'Resultater - Vestdanmark'!J226+'Resultater - Østdanmark'!J226</f>
        <v>#REF!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Økologisk</v>
      </c>
      <c r="C227" s="98" t="str">
        <f>'Resultater - Vestdanmark'!C227</f>
        <v>OC12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CO2 - atmosfære</v>
      </c>
      <c r="G227" s="98" t="str">
        <f>'Resultater - Vestdanmark'!G227</f>
        <v>t CO2-ækvivalenter</v>
      </c>
      <c r="H227" s="280" t="e">
        <f>'Resultater - Vestdanmark'!H227+'Resultater - Østdanmark'!H227</f>
        <v>#REF!</v>
      </c>
      <c r="I227" s="281" t="e">
        <f>'Resultater - Vestdanmark'!I227+'Resultater - Østdanmark'!I227</f>
        <v>#REF!</v>
      </c>
      <c r="J227" s="282" t="e">
        <f>'Resultater - Vestdanmark'!J227+'Resultater - Østdanmark'!J227</f>
        <v>#REF!</v>
      </c>
    </row>
    <row r="228" spans="1:10" x14ac:dyDescent="0.25">
      <c r="A228" s="98" t="str">
        <f>'Resultater - Vestdanmark'!A228</f>
        <v>Roemark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Areal-roer</v>
      </c>
      <c r="E228" s="98" t="str">
        <f>'Resultater - Vestdanmark'!E228</f>
        <v>Hektar</v>
      </c>
      <c r="F228" s="98" t="str">
        <f>'Resultater - Vestdanmark'!F228</f>
        <v>Roer</v>
      </c>
      <c r="G228" s="98" t="str">
        <f>'Resultater - Vestdanmark'!G228</f>
        <v>Ton</v>
      </c>
      <c r="H228" s="280" t="e">
        <f>'Resultater - Vestdanmark'!H228+'Resultater - Østdanmark'!H228</f>
        <v>#REF!</v>
      </c>
      <c r="I228" s="281" t="e">
        <f>'Resultater - Vestdanmark'!I228+'Resultater - Østdanmark'!I228</f>
        <v>#REF!</v>
      </c>
      <c r="J228" s="282" t="e">
        <f>'Resultater - Vestdanmark'!J228+'Resultater - Østdanmark'!J228</f>
        <v>#REF!</v>
      </c>
    </row>
    <row r="229" spans="1:10" x14ac:dyDescent="0.25">
      <c r="A229" s="98" t="str">
        <f>'Resultater - Vestdanmark'!A229</f>
        <v>Roemark</v>
      </c>
      <c r="B229" s="98" t="str">
        <f>'Resultater - Vestdanmark'!B229</f>
        <v>Konventionel</v>
      </c>
      <c r="C229" s="98" t="str">
        <f>'Resultater - Vestdanmark'!C229</f>
        <v>JB1-10</v>
      </c>
      <c r="D229" s="98" t="str">
        <f>'Resultater - Vestdanmark'!D229</f>
        <v>Areal-roer</v>
      </c>
      <c r="E229" s="98" t="str">
        <f>'Resultater - Vestdanmark'!E229</f>
        <v>Hektar</v>
      </c>
      <c r="F229" s="98" t="str">
        <f>'Resultater - Vestdanmark'!F229</f>
        <v>Gødning</v>
      </c>
      <c r="G229" s="98" t="str">
        <f>'Resultater - Vestdanmark'!G229</f>
        <v>kg N</v>
      </c>
      <c r="H229" s="280" t="e">
        <f>'Resultater - Vestdanmark'!H229+'Resultater - Østdanmark'!H229</f>
        <v>#REF!</v>
      </c>
      <c r="I229" s="281" t="e">
        <f>'Resultater - Vestdanmark'!I229+'Resultater - Østdanmark'!I229</f>
        <v>#REF!</v>
      </c>
      <c r="J229" s="282" t="e">
        <f>'Resultater - Vestdanmark'!J229+'Resultater - Østdanmark'!J229</f>
        <v>#REF!</v>
      </c>
    </row>
    <row r="230" spans="1:10" x14ac:dyDescent="0.25">
      <c r="A230" s="98" t="str">
        <f>'Resultater - Vestdanmark'!A230</f>
        <v>Roemark</v>
      </c>
      <c r="B230" s="98" t="str">
        <f>'Resultater - Vestdanmark'!B230</f>
        <v>Konventionel</v>
      </c>
      <c r="C230" s="98" t="str">
        <f>'Resultater - Vestdanmark'!C230</f>
        <v>JB1-10</v>
      </c>
      <c r="D230" s="98" t="str">
        <f>'Resultater - Vestdanmark'!D230</f>
        <v>Areal-roer</v>
      </c>
      <c r="E230" s="98" t="str">
        <f>'Resultater - Vestdanmark'!E230</f>
        <v>Hektar</v>
      </c>
      <c r="F230" s="98" t="str">
        <f>'Resultater - Vestdanmark'!F230</f>
        <v>CO2 - atmosfære</v>
      </c>
      <c r="G230" s="98" t="str">
        <f>'Resultater - Vestdanmark'!G230</f>
        <v>t CO2-ækvivalenter</v>
      </c>
      <c r="H230" s="280" t="e">
        <f>'Resultater - Vestdanmark'!H230+'Resultater - Østdanmark'!H230</f>
        <v>#REF!</v>
      </c>
      <c r="I230" s="281" t="e">
        <f>'Resultater - Vestdanmark'!I230+'Resultater - Østdanmark'!I230</f>
        <v>#REF!</v>
      </c>
      <c r="J230" s="282" t="e">
        <f>'Resultater - Vestdanmark'!J230+'Resultater - Østdanmark'!J230</f>
        <v>#REF!</v>
      </c>
    </row>
    <row r="231" spans="1:10" x14ac:dyDescent="0.25">
      <c r="A231" s="98" t="str">
        <f>'Resultater - Vestdanmark'!A231</f>
        <v>Roemark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Areal-roer</v>
      </c>
      <c r="E231" s="98" t="str">
        <f>'Resultater - Vestdanmark'!E231</f>
        <v>Hektar</v>
      </c>
      <c r="F231" s="98" t="str">
        <f>'Resultater - Vestdanmark'!F231</f>
        <v>Roer</v>
      </c>
      <c r="G231" s="98" t="str">
        <f>'Resultater - Vestdanmark'!G231</f>
        <v>Ton</v>
      </c>
      <c r="H231" s="280" t="e">
        <f>'Resultater - Vestdanmark'!H231+'Resultater - Østdanmark'!H231</f>
        <v>#REF!</v>
      </c>
      <c r="I231" s="281" t="e">
        <f>'Resultater - Vestdanmark'!I231+'Resultater - Østdanmark'!I231</f>
        <v>#REF!</v>
      </c>
      <c r="J231" s="282" t="e">
        <f>'Resultater - Vestdanmark'!J231+'Resultater - Østdanmark'!J231</f>
        <v>#REF!</v>
      </c>
    </row>
    <row r="232" spans="1:10" x14ac:dyDescent="0.25">
      <c r="A232" s="98" t="str">
        <f>'Resultater - Vestdanmark'!A232</f>
        <v>Roemark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Areal-roer</v>
      </c>
      <c r="E232" s="98" t="str">
        <f>'Resultater - Vestdanmark'!E232</f>
        <v>Hektar</v>
      </c>
      <c r="F232" s="98" t="str">
        <f>'Resultater - Vestdanmark'!F232</f>
        <v>Gødning</v>
      </c>
      <c r="G232" s="98" t="str">
        <f>'Resultater - Vestdanmark'!G232</f>
        <v>kg N</v>
      </c>
      <c r="H232" s="280" t="e">
        <f>'Resultater - Vestdanmark'!H232+'Resultater - Østdanmark'!H232</f>
        <v>#REF!</v>
      </c>
      <c r="I232" s="281" t="e">
        <f>'Resultater - Vestdanmark'!I232+'Resultater - Østdanmark'!I232</f>
        <v>#REF!</v>
      </c>
      <c r="J232" s="282" t="e">
        <f>'Resultater - Vestdanmark'!J232+'Resultater - Østdanmark'!J232</f>
        <v>#REF!</v>
      </c>
    </row>
    <row r="233" spans="1:10" x14ac:dyDescent="0.25">
      <c r="A233" s="98" t="str">
        <f>'Resultater - Vestdanmark'!A233</f>
        <v>Roemark</v>
      </c>
      <c r="B233" s="98" t="str">
        <f>'Resultater - Vestdanmark'!B233</f>
        <v>Konventionel</v>
      </c>
      <c r="C233" s="98" t="str">
        <f>'Resultater - Vestdanmark'!C233</f>
        <v>OC6</v>
      </c>
      <c r="D233" s="98" t="str">
        <f>'Resultater - Vestdanmark'!D233</f>
        <v>Areal-roer</v>
      </c>
      <c r="E233" s="98" t="str">
        <f>'Resultater - Vestdanmark'!E233</f>
        <v>Hektar</v>
      </c>
      <c r="F233" s="98" t="str">
        <f>'Resultater - Vestdanmark'!F233</f>
        <v>CO2 - atmosfære</v>
      </c>
      <c r="G233" s="98" t="str">
        <f>'Resultater - Vestdanmark'!G233</f>
        <v>t CO2-ækvivalenter</v>
      </c>
      <c r="H233" s="280" t="e">
        <f>'Resultater - Vestdanmark'!H233+'Resultater - Østdanmark'!H233</f>
        <v>#REF!</v>
      </c>
      <c r="I233" s="281" t="e">
        <f>'Resultater - Vestdanmark'!I233+'Resultater - Østdanmark'!I233</f>
        <v>#REF!</v>
      </c>
      <c r="J233" s="282" t="e">
        <f>'Resultater - Vestdanmark'!J233+'Resultater - Østdanmark'!J233</f>
        <v>#REF!</v>
      </c>
    </row>
    <row r="234" spans="1:10" x14ac:dyDescent="0.25">
      <c r="A234" s="98" t="str">
        <f>'Resultater - Vestdanmark'!A234</f>
        <v>Roemark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Areal-roer</v>
      </c>
      <c r="E234" s="98" t="str">
        <f>'Resultater - Vestdanmark'!E234</f>
        <v>Hektar</v>
      </c>
      <c r="F234" s="98" t="str">
        <f>'Resultater - Vestdanmark'!F234</f>
        <v>Roer</v>
      </c>
      <c r="G234" s="98" t="str">
        <f>'Resultater - Vestdanmark'!G234</f>
        <v>Ton</v>
      </c>
      <c r="H234" s="280" t="e">
        <f>'Resultater - Vestdanmark'!H234+'Resultater - Østdanmark'!H234</f>
        <v>#REF!</v>
      </c>
      <c r="I234" s="281" t="e">
        <f>'Resultater - Vestdanmark'!I234+'Resultater - Østdanmark'!I234</f>
        <v>#REF!</v>
      </c>
      <c r="J234" s="282" t="e">
        <f>'Resultater - Vestdanmark'!J234+'Resultater - Østdanmark'!J234</f>
        <v>#REF!</v>
      </c>
    </row>
    <row r="235" spans="1:10" x14ac:dyDescent="0.25">
      <c r="A235" s="98" t="str">
        <f>'Resultater - Vestdanmark'!A235</f>
        <v>Roemark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Areal-roer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80" t="e">
        <f>'Resultater - Vestdanmark'!H235+'Resultater - Østdanmark'!H235</f>
        <v>#REF!</v>
      </c>
      <c r="I235" s="281" t="e">
        <f>'Resultater - Vestdanmark'!I235+'Resultater - Østdanmark'!I235</f>
        <v>#REF!</v>
      </c>
      <c r="J235" s="282" t="e">
        <f>'Resultater - Vestdanmark'!J235+'Resultater - Østdanmark'!J235</f>
        <v>#REF!</v>
      </c>
    </row>
    <row r="236" spans="1:10" x14ac:dyDescent="0.25">
      <c r="A236" s="98" t="str">
        <f>'Resultater - Vestdanmark'!A236</f>
        <v>Roemark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Areal-roer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80" t="e">
        <f>'Resultater - Vestdanmark'!H236+'Resultater - Østdanmark'!H236</f>
        <v>#REF!</v>
      </c>
      <c r="I236" s="281" t="e">
        <f>'Resultater - Vestdanmark'!I236+'Resultater - Østdanmark'!I236</f>
        <v>#REF!</v>
      </c>
      <c r="J236" s="282" t="e">
        <f>'Resultater - Vestdanmark'!J236+'Resultater - Østdanmark'!J236</f>
        <v>#REF!</v>
      </c>
    </row>
    <row r="237" spans="1:10" x14ac:dyDescent="0.25">
      <c r="A237" s="98" t="str">
        <f>'Resultater - Vestdanmark'!A237</f>
        <v>Roemark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Areal-roer</v>
      </c>
      <c r="E237" s="98" t="str">
        <f>'Resultater - Vestdanmark'!E237</f>
        <v>Hektar</v>
      </c>
      <c r="F237" s="98" t="str">
        <f>'Resultater - Vestdanmark'!F237</f>
        <v>Roer</v>
      </c>
      <c r="G237" s="98" t="str">
        <f>'Resultater - Vestdanmark'!G237</f>
        <v>Ton</v>
      </c>
      <c r="H237" s="280" t="e">
        <f>'Resultater - Vestdanmark'!H237+'Resultater - Østdanmark'!H237</f>
        <v>#REF!</v>
      </c>
      <c r="I237" s="281" t="e">
        <f>'Resultater - Vestdanmark'!I237+'Resultater - Østdanmark'!I237</f>
        <v>#REF!</v>
      </c>
      <c r="J237" s="282" t="e">
        <f>'Resultater - Vestdanmark'!J237+'Resultater - Østdanmark'!J237</f>
        <v>#REF!</v>
      </c>
    </row>
    <row r="238" spans="1:10" x14ac:dyDescent="0.25">
      <c r="A238" s="98" t="str">
        <f>'Resultater - Vestdanmark'!A238</f>
        <v>Roemark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Areal-roer</v>
      </c>
      <c r="E238" s="98" t="str">
        <f>'Resultater - Vestdanmark'!E238</f>
        <v>Hektar</v>
      </c>
      <c r="F238" s="98" t="str">
        <f>'Resultater - Vestdanmark'!F238</f>
        <v>Gødning</v>
      </c>
      <c r="G238" s="98" t="str">
        <f>'Resultater - Vestdanmark'!G238</f>
        <v>kg N</v>
      </c>
      <c r="H238" s="280" t="e">
        <f>'Resultater - Vestdanmark'!H238+'Resultater - Østdanmark'!H238</f>
        <v>#REF!</v>
      </c>
      <c r="I238" s="281" t="e">
        <f>'Resultater - Vestdanmark'!I238+'Resultater - Østdanmark'!I238</f>
        <v>#REF!</v>
      </c>
      <c r="J238" s="282" t="e">
        <f>'Resultater - Vestdanmark'!J238+'Resultater - Østdanmark'!J238</f>
        <v>#REF!</v>
      </c>
    </row>
    <row r="239" spans="1:10" x14ac:dyDescent="0.25">
      <c r="A239" s="98" t="str">
        <f>'Resultater - Vestdanmark'!A239</f>
        <v>Roemark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Areal-roer</v>
      </c>
      <c r="E239" s="98" t="str">
        <f>'Resultater - Vestdanmark'!E239</f>
        <v>Hektar</v>
      </c>
      <c r="F239" s="98" t="str">
        <f>'Resultater - Vestdanmark'!F239</f>
        <v>CO2 - atmosfære</v>
      </c>
      <c r="G239" s="98" t="str">
        <f>'Resultater - Vestdanmark'!G239</f>
        <v>t CO2-ækvivalenter</v>
      </c>
      <c r="H239" s="280" t="e">
        <f>'Resultater - Vestdanmark'!H239+'Resultater - Østdanmark'!H239</f>
        <v>#REF!</v>
      </c>
      <c r="I239" s="281" t="e">
        <f>'Resultater - Vestdanmark'!I239+'Resultater - Østdanmark'!I239</f>
        <v>#REF!</v>
      </c>
      <c r="J239" s="282" t="e">
        <f>'Resultater - Vestdanmark'!J239+'Resultater - Østdanmark'!J239</f>
        <v>#REF!</v>
      </c>
    </row>
    <row r="240" spans="1:10" x14ac:dyDescent="0.25">
      <c r="A240" s="98" t="str">
        <f>'Resultater - Vestdanmark'!A240</f>
        <v>Roemark</v>
      </c>
      <c r="B240" s="98" t="str">
        <f>'Resultater - Vestdanmark'!B240</f>
        <v>Økologisk</v>
      </c>
      <c r="C240" s="98" t="str">
        <f>'Resultater - Vestdanmark'!C240</f>
        <v>OC6</v>
      </c>
      <c r="D240" s="98" t="str">
        <f>'Resultater - Vestdanmark'!D240</f>
        <v>Areal-roer</v>
      </c>
      <c r="E240" s="98" t="str">
        <f>'Resultater - Vestdanmark'!E240</f>
        <v>Hektar</v>
      </c>
      <c r="F240" s="98" t="str">
        <f>'Resultater - Vestdanmark'!F240</f>
        <v>Roer</v>
      </c>
      <c r="G240" s="98" t="str">
        <f>'Resultater - Vestdanmark'!G240</f>
        <v>Ton</v>
      </c>
      <c r="H240" s="280" t="e">
        <f>'Resultater - Vestdanmark'!H240+'Resultater - Østdanmark'!H240</f>
        <v>#REF!</v>
      </c>
      <c r="I240" s="281" t="e">
        <f>'Resultater - Vestdanmark'!I240+'Resultater - Østdanmark'!I240</f>
        <v>#REF!</v>
      </c>
      <c r="J240" s="282" t="e">
        <f>'Resultater - Vestdanmark'!J240+'Resultater - Østdanmark'!J240</f>
        <v>#REF!</v>
      </c>
    </row>
    <row r="241" spans="1:10" x14ac:dyDescent="0.25">
      <c r="A241" s="98" t="str">
        <f>'Resultater - Vestdanmark'!A241</f>
        <v>Roemark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Areal-roer</v>
      </c>
      <c r="E241" s="98" t="str">
        <f>'Resultater - Vestdanmark'!E241</f>
        <v>Hektar</v>
      </c>
      <c r="F241" s="98" t="str">
        <f>'Resultater - Vestdanmark'!F241</f>
        <v>Gødning</v>
      </c>
      <c r="G241" s="98" t="str">
        <f>'Resultater - Vestdanmark'!G241</f>
        <v>kg N</v>
      </c>
      <c r="H241" s="280" t="e">
        <f>'Resultater - Vestdanmark'!H241+'Resultater - Østdanmark'!H241</f>
        <v>#REF!</v>
      </c>
      <c r="I241" s="281" t="e">
        <f>'Resultater - Vestdanmark'!I241+'Resultater - Østdanmark'!I241</f>
        <v>#REF!</v>
      </c>
      <c r="J241" s="282" t="e">
        <f>'Resultater - Vestdanmark'!J241+'Resultater - Østdanmark'!J241</f>
        <v>#REF!</v>
      </c>
    </row>
    <row r="242" spans="1:10" x14ac:dyDescent="0.25">
      <c r="A242" s="98" t="str">
        <f>'Resultater - Vestdanmark'!A242</f>
        <v>Roemark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Areal-roer</v>
      </c>
      <c r="E242" s="98" t="str">
        <f>'Resultater - Vestdanmark'!E242</f>
        <v>Hektar</v>
      </c>
      <c r="F242" s="98" t="str">
        <f>'Resultater - Vestdanmark'!F242</f>
        <v>CO2 - atmosfære</v>
      </c>
      <c r="G242" s="98" t="str">
        <f>'Resultater - Vestdanmark'!G242</f>
        <v>t CO2-ækvivalenter</v>
      </c>
      <c r="H242" s="280" t="e">
        <f>'Resultater - Vestdanmark'!H242+'Resultater - Østdanmark'!H242</f>
        <v>#REF!</v>
      </c>
      <c r="I242" s="281" t="e">
        <f>'Resultater - Vestdanmark'!I242+'Resultater - Østdanmark'!I242</f>
        <v>#REF!</v>
      </c>
      <c r="J242" s="282" t="e">
        <f>'Resultater - Vestdanmark'!J242+'Resultater - Østdanmark'!J242</f>
        <v>#REF!</v>
      </c>
    </row>
    <row r="243" spans="1:10" x14ac:dyDescent="0.25">
      <c r="A243" s="98" t="str">
        <f>'Resultater - Vestdanmark'!A243</f>
        <v>Roemark</v>
      </c>
      <c r="B243" s="98" t="str">
        <f>'Resultater - Vestdanmark'!B243</f>
        <v>Økologisk</v>
      </c>
      <c r="C243" s="98" t="str">
        <f>'Resultater - Vestdanmark'!C243</f>
        <v>OC12</v>
      </c>
      <c r="D243" s="98" t="str">
        <f>'Resultater - Vestdanmark'!D243</f>
        <v>Areal-roer</v>
      </c>
      <c r="E243" s="98" t="str">
        <f>'Resultater - Vestdanmark'!E243</f>
        <v>Hektar</v>
      </c>
      <c r="F243" s="98" t="str">
        <f>'Resultater - Vestdanmark'!F243</f>
        <v>Roer</v>
      </c>
      <c r="G243" s="98" t="str">
        <f>'Resultater - Vestdanmark'!G243</f>
        <v>Ton</v>
      </c>
      <c r="H243" s="280" t="e">
        <f>'Resultater - Vestdanmark'!H243+'Resultater - Østdanmark'!H243</f>
        <v>#REF!</v>
      </c>
      <c r="I243" s="281" t="e">
        <f>'Resultater - Vestdanmark'!I243+'Resultater - Østdanmark'!I243</f>
        <v>#REF!</v>
      </c>
      <c r="J243" s="282" t="e">
        <f>'Resultater - Vestdanmark'!J243+'Resultater - Østdanmark'!J243</f>
        <v>#REF!</v>
      </c>
    </row>
    <row r="244" spans="1:10" x14ac:dyDescent="0.25">
      <c r="A244" s="98" t="str">
        <f>'Resultater - Vestdanmark'!A244</f>
        <v>Roemark</v>
      </c>
      <c r="B244" s="98" t="str">
        <f>'Resultater - Vestdanmark'!B244</f>
        <v>Økologisk</v>
      </c>
      <c r="C244" s="98" t="str">
        <f>'Resultater - Vestdanmark'!C244</f>
        <v>OC12</v>
      </c>
      <c r="D244" s="98" t="str">
        <f>'Resultater - Vestdanmark'!D244</f>
        <v>Areal-roer</v>
      </c>
      <c r="E244" s="98" t="str">
        <f>'Resultater - Vestdanmark'!E244</f>
        <v>Hektar</v>
      </c>
      <c r="F244" s="98" t="str">
        <f>'Resultater - Vestdanmark'!F244</f>
        <v>Gødning</v>
      </c>
      <c r="G244" s="98" t="str">
        <f>'Resultater - Vestdanmark'!G244</f>
        <v>kg N</v>
      </c>
      <c r="H244" s="280" t="e">
        <f>'Resultater - Vestdanmark'!H244+'Resultater - Østdanmark'!H244</f>
        <v>#REF!</v>
      </c>
      <c r="I244" s="281" t="e">
        <f>'Resultater - Vestdanmark'!I244+'Resultater - Østdanmark'!I244</f>
        <v>#REF!</v>
      </c>
      <c r="J244" s="282" t="e">
        <f>'Resultater - Vestdanmark'!J244+'Resultater - Østdanmark'!J244</f>
        <v>#REF!</v>
      </c>
    </row>
    <row r="245" spans="1:10" x14ac:dyDescent="0.25">
      <c r="A245" s="98" t="str">
        <f>'Resultater - Vestdanmark'!A245</f>
        <v>Roemark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Areal-roer</v>
      </c>
      <c r="E245" s="98" t="str">
        <f>'Resultater - Vestdanmark'!E245</f>
        <v>Hektar</v>
      </c>
      <c r="F245" s="98" t="str">
        <f>'Resultater - Vestdanmark'!F245</f>
        <v>CO2 - atmosfære</v>
      </c>
      <c r="G245" s="98" t="str">
        <f>'Resultater - Vestdanmark'!G245</f>
        <v>t CO2-ækvivalenter</v>
      </c>
      <c r="H245" s="280" t="e">
        <f>'Resultater - Vestdanmark'!H245+'Resultater - Østdanmark'!H245</f>
        <v>#REF!</v>
      </c>
      <c r="I245" s="281" t="e">
        <f>'Resultater - Vestdanmark'!I245+'Resultater - Østdanmark'!I245</f>
        <v>#REF!</v>
      </c>
      <c r="J245" s="282" t="e">
        <f>'Resultater - Vestdanmark'!J245+'Resultater - Østdanmark'!J245</f>
        <v>#REF!</v>
      </c>
    </row>
    <row r="246" spans="1:10" x14ac:dyDescent="0.25">
      <c r="A246" s="98" t="str">
        <f>'Resultater - Vestdanmark'!A246</f>
        <v>Frugtmark</v>
      </c>
      <c r="B246" s="98" t="str">
        <f>'Resultater - Vestdanmark'!B246</f>
        <v>Konventionel</v>
      </c>
      <c r="C246" s="98" t="str">
        <f>'Resultater - Vestdanmark'!C246</f>
        <v>JB1-10</v>
      </c>
      <c r="D246" s="98" t="str">
        <f>'Resultater - Vestdanmark'!D246</f>
        <v>Areal-frugt</v>
      </c>
      <c r="E246" s="98" t="str">
        <f>'Resultater - Vestdanmark'!E246</f>
        <v>Hektar</v>
      </c>
      <c r="F246" s="98" t="str">
        <f>'Resultater - Vestdanmark'!F246</f>
        <v>Frugt</v>
      </c>
      <c r="G246" s="98" t="str">
        <f>'Resultater - Vestdanmark'!G246</f>
        <v>Ton</v>
      </c>
      <c r="H246" s="280" t="e">
        <f>'Resultater - Vestdanmark'!H246+'Resultater - Østdanmark'!H246</f>
        <v>#REF!</v>
      </c>
      <c r="I246" s="281" t="e">
        <f>'Resultater - Vestdanmark'!I246+'Resultater - Østdanmark'!I246</f>
        <v>#REF!</v>
      </c>
      <c r="J246" s="282" t="e">
        <f>'Resultater - Vestdanmark'!J246+'Resultater - Østdanmark'!J246</f>
        <v>#REF!</v>
      </c>
    </row>
    <row r="247" spans="1:10" x14ac:dyDescent="0.25">
      <c r="A247" s="98" t="str">
        <f>'Resultater - Vestdanmark'!A247</f>
        <v>Frugtmark</v>
      </c>
      <c r="B247" s="98" t="str">
        <f>'Resultater - Vestdanmark'!B247</f>
        <v>Konventionel</v>
      </c>
      <c r="C247" s="98" t="str">
        <f>'Resultater - Vestdanmark'!C247</f>
        <v>JB1-10</v>
      </c>
      <c r="D247" s="98" t="str">
        <f>'Resultater - Vestdanmark'!D247</f>
        <v>Areal-frugt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80" t="e">
        <f>'Resultater - Vestdanmark'!H247+'Resultater - Østdanmark'!H247</f>
        <v>#REF!</v>
      </c>
      <c r="I247" s="281" t="e">
        <f>'Resultater - Vestdanmark'!I247+'Resultater - Østdanmark'!I247</f>
        <v>#REF!</v>
      </c>
      <c r="J247" s="282" t="e">
        <f>'Resultater - Vestdanmark'!J247+'Resultater - Østdanmark'!J247</f>
        <v>#REF!</v>
      </c>
    </row>
    <row r="248" spans="1:10" x14ac:dyDescent="0.25">
      <c r="A248" s="98" t="str">
        <f>'Resultater - Vestdanmark'!A248</f>
        <v>Frugtmark</v>
      </c>
      <c r="B248" s="98" t="str">
        <f>'Resultater - Vestdanmark'!B248</f>
        <v>Konventionel</v>
      </c>
      <c r="C248" s="98" t="str">
        <f>'Resultater - Vestdanmark'!C248</f>
        <v>JB1-10</v>
      </c>
      <c r="D248" s="98" t="str">
        <f>'Resultater - Vestdanmark'!D248</f>
        <v>Areal-frugt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80" t="e">
        <f>'Resultater - Vestdanmark'!H248+'Resultater - Østdanmark'!H248</f>
        <v>#REF!</v>
      </c>
      <c r="I248" s="281" t="e">
        <f>'Resultater - Vestdanmark'!I248+'Resultater - Østdanmark'!I248</f>
        <v>#REF!</v>
      </c>
      <c r="J248" s="282" t="e">
        <f>'Resultater - Vestdanmark'!J248+'Resultater - Østdanmark'!J248</f>
        <v>#REF!</v>
      </c>
    </row>
    <row r="249" spans="1:10" x14ac:dyDescent="0.25">
      <c r="A249" s="98" t="str">
        <f>'Resultater - Vestdanmark'!A249</f>
        <v>Frugtmark</v>
      </c>
      <c r="B249" s="98" t="str">
        <f>'Resultater - Vestdanmark'!B249</f>
        <v>Konventionel</v>
      </c>
      <c r="C249" s="98" t="str">
        <f>'Resultater - Vestdanmark'!C249</f>
        <v>OC6</v>
      </c>
      <c r="D249" s="98" t="str">
        <f>'Resultater - Vestdanmark'!D249</f>
        <v>Areal-frugt</v>
      </c>
      <c r="E249" s="98" t="str">
        <f>'Resultater - Vestdanmark'!E249</f>
        <v>Hektar</v>
      </c>
      <c r="F249" s="98" t="str">
        <f>'Resultater - Vestdanmark'!F249</f>
        <v>Frugt</v>
      </c>
      <c r="G249" s="98" t="str">
        <f>'Resultater - Vestdanmark'!G249</f>
        <v>Ton</v>
      </c>
      <c r="H249" s="280" t="e">
        <f>'Resultater - Vestdanmark'!H249+'Resultater - Østdanmark'!H249</f>
        <v>#REF!</v>
      </c>
      <c r="I249" s="281" t="e">
        <f>'Resultater - Vestdanmark'!I249+'Resultater - Østdanmark'!I249</f>
        <v>#REF!</v>
      </c>
      <c r="J249" s="282" t="e">
        <f>'Resultater - Vestdanmark'!J249+'Resultater - Østdanmark'!J249</f>
        <v>#REF!</v>
      </c>
    </row>
    <row r="250" spans="1:10" x14ac:dyDescent="0.25">
      <c r="A250" s="98" t="str">
        <f>'Resultater - Vestdanmark'!A250</f>
        <v>Frugtmark</v>
      </c>
      <c r="B250" s="98" t="str">
        <f>'Resultater - Vestdanmark'!B250</f>
        <v>Konventionel</v>
      </c>
      <c r="C250" s="98" t="str">
        <f>'Resultater - Vestdanmark'!C250</f>
        <v>OC6</v>
      </c>
      <c r="D250" s="98" t="str">
        <f>'Resultater - Vestdanmark'!D250</f>
        <v>Areal-frugt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80" t="e">
        <f>'Resultater - Vestdanmark'!H250+'Resultater - Østdanmark'!H250</f>
        <v>#REF!</v>
      </c>
      <c r="I250" s="281" t="e">
        <f>'Resultater - Vestdanmark'!I250+'Resultater - Østdanmark'!I250</f>
        <v>#REF!</v>
      </c>
      <c r="J250" s="282" t="e">
        <f>'Resultater - Vestdanmark'!J250+'Resultater - Østdanmark'!J250</f>
        <v>#REF!</v>
      </c>
    </row>
    <row r="251" spans="1:10" x14ac:dyDescent="0.25">
      <c r="A251" s="98" t="str">
        <f>'Resultater - Vestdanmark'!A251</f>
        <v>Frugtmark</v>
      </c>
      <c r="B251" s="98" t="str">
        <f>'Resultater - Vestdanmark'!B251</f>
        <v>Konventionel</v>
      </c>
      <c r="C251" s="98" t="str">
        <f>'Resultater - Vestdanmark'!C251</f>
        <v>OC6</v>
      </c>
      <c r="D251" s="98" t="str">
        <f>'Resultater - Vestdanmark'!D251</f>
        <v>Areal-frugt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80" t="e">
        <f>'Resultater - Vestdanmark'!H251+'Resultater - Østdanmark'!H251</f>
        <v>#REF!</v>
      </c>
      <c r="I251" s="281" t="e">
        <f>'Resultater - Vestdanmark'!I251+'Resultater - Østdanmark'!I251</f>
        <v>#REF!</v>
      </c>
      <c r="J251" s="282" t="e">
        <f>'Resultater - Vestdanmark'!J251+'Resultater - Østdanmark'!J251</f>
        <v>#REF!</v>
      </c>
    </row>
    <row r="252" spans="1:10" x14ac:dyDescent="0.25">
      <c r="A252" s="98" t="str">
        <f>'Resultater - Vestdanmark'!A252</f>
        <v>Frugtmark</v>
      </c>
      <c r="B252" s="98" t="str">
        <f>'Resultater - Vestdanmark'!B252</f>
        <v>Konventionel</v>
      </c>
      <c r="C252" s="98" t="str">
        <f>'Resultater - Vestdanmark'!C252</f>
        <v>OC12</v>
      </c>
      <c r="D252" s="98" t="str">
        <f>'Resultater - Vestdanmark'!D252</f>
        <v>Areal-frugt</v>
      </c>
      <c r="E252" s="98" t="str">
        <f>'Resultater - Vestdanmark'!E252</f>
        <v>Hektar</v>
      </c>
      <c r="F252" s="98" t="str">
        <f>'Resultater - Vestdanmark'!F252</f>
        <v>Frugt</v>
      </c>
      <c r="G252" s="98" t="str">
        <f>'Resultater - Vestdanmark'!G252</f>
        <v>Ton</v>
      </c>
      <c r="H252" s="280" t="e">
        <f>'Resultater - Vestdanmark'!H252+'Resultater - Østdanmark'!H252</f>
        <v>#REF!</v>
      </c>
      <c r="I252" s="281" t="e">
        <f>'Resultater - Vestdanmark'!I252+'Resultater - Østdanmark'!I252</f>
        <v>#REF!</v>
      </c>
      <c r="J252" s="282" t="e">
        <f>'Resultater - Vestdanmark'!J252+'Resultater - Østdanmark'!J252</f>
        <v>#REF!</v>
      </c>
    </row>
    <row r="253" spans="1:10" x14ac:dyDescent="0.25">
      <c r="A253" s="98" t="str">
        <f>'Resultater - Vestdanmark'!A253</f>
        <v>Frugtmark</v>
      </c>
      <c r="B253" s="98" t="str">
        <f>'Resultater - Vestdanmark'!B253</f>
        <v>Konventionel</v>
      </c>
      <c r="C253" s="98" t="str">
        <f>'Resultater - Vestdanmark'!C253</f>
        <v>OC12</v>
      </c>
      <c r="D253" s="98" t="str">
        <f>'Resultater - Vestdanmark'!D253</f>
        <v>Areal-frugt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80" t="e">
        <f>'Resultater - Vestdanmark'!H253+'Resultater - Østdanmark'!H253</f>
        <v>#REF!</v>
      </c>
      <c r="I253" s="281" t="e">
        <f>'Resultater - Vestdanmark'!I253+'Resultater - Østdanmark'!I253</f>
        <v>#REF!</v>
      </c>
      <c r="J253" s="282" t="e">
        <f>'Resultater - Vestdanmark'!J253+'Resultater - Østdanmark'!J253</f>
        <v>#REF!</v>
      </c>
    </row>
    <row r="254" spans="1:10" x14ac:dyDescent="0.25">
      <c r="A254" s="98" t="str">
        <f>'Resultater - Vestdanmark'!A254</f>
        <v>Frugtmark</v>
      </c>
      <c r="B254" s="98" t="str">
        <f>'Resultater - Vestdanmark'!B254</f>
        <v>Konventionel</v>
      </c>
      <c r="C254" s="98" t="str">
        <f>'Resultater - Vestdanmark'!C254</f>
        <v>OC12</v>
      </c>
      <c r="D254" s="98" t="str">
        <f>'Resultater - Vestdanmark'!D254</f>
        <v>Areal-frugt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80" t="e">
        <f>'Resultater - Vestdanmark'!H254+'Resultater - Østdanmark'!H254</f>
        <v>#REF!</v>
      </c>
      <c r="I254" s="281" t="e">
        <f>'Resultater - Vestdanmark'!I254+'Resultater - Østdanmark'!I254</f>
        <v>#REF!</v>
      </c>
      <c r="J254" s="282" t="e">
        <f>'Resultater - Vestdanmark'!J254+'Resultater - Østdanmark'!J254</f>
        <v>#REF!</v>
      </c>
    </row>
    <row r="255" spans="1:10" x14ac:dyDescent="0.25">
      <c r="A255" s="98" t="str">
        <f>'Resultater - Vestdanmark'!A255</f>
        <v>Frugtmark</v>
      </c>
      <c r="B255" s="98" t="str">
        <f>'Resultater - Vestdanmark'!B255</f>
        <v>Økologisk</v>
      </c>
      <c r="C255" s="98" t="str">
        <f>'Resultater - Vestdanmark'!C255</f>
        <v>JB1-10</v>
      </c>
      <c r="D255" s="98" t="str">
        <f>'Resultater - Vestdanmark'!D255</f>
        <v>Areal-frugt</v>
      </c>
      <c r="E255" s="98" t="str">
        <f>'Resultater - Vestdanmark'!E255</f>
        <v>Hektar</v>
      </c>
      <c r="F255" s="98" t="str">
        <f>'Resultater - Vestdanmark'!F255</f>
        <v>Frugt</v>
      </c>
      <c r="G255" s="98" t="str">
        <f>'Resultater - Vestdanmark'!G255</f>
        <v>Ton</v>
      </c>
      <c r="H255" s="280" t="e">
        <f>'Resultater - Vestdanmark'!H255+'Resultater - Østdanmark'!H255</f>
        <v>#REF!</v>
      </c>
      <c r="I255" s="281" t="e">
        <f>'Resultater - Vestdanmark'!I255+'Resultater - Østdanmark'!I255</f>
        <v>#REF!</v>
      </c>
      <c r="J255" s="282" t="e">
        <f>'Resultater - Vestdanmark'!J255+'Resultater - Østdanmark'!J255</f>
        <v>#REF!</v>
      </c>
    </row>
    <row r="256" spans="1:10" x14ac:dyDescent="0.25">
      <c r="A256" s="98" t="str">
        <f>'Resultater - Vestdanmark'!A256</f>
        <v>Frugtmark</v>
      </c>
      <c r="B256" s="98" t="str">
        <f>'Resultater - Vestdanmark'!B256</f>
        <v>Økologisk</v>
      </c>
      <c r="C256" s="98" t="str">
        <f>'Resultater - Vestdanmark'!C256</f>
        <v>JB1-10</v>
      </c>
      <c r="D256" s="98" t="str">
        <f>'Resultater - Vestdanmark'!D256</f>
        <v>Areal-frugt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80" t="e">
        <f>'Resultater - Vestdanmark'!H256+'Resultater - Østdanmark'!H256</f>
        <v>#REF!</v>
      </c>
      <c r="I256" s="281" t="e">
        <f>'Resultater - Vestdanmark'!I256+'Resultater - Østdanmark'!I256</f>
        <v>#REF!</v>
      </c>
      <c r="J256" s="282" t="e">
        <f>'Resultater - Vestdanmark'!J256+'Resultater - Østdanmark'!J256</f>
        <v>#REF!</v>
      </c>
    </row>
    <row r="257" spans="1:10" x14ac:dyDescent="0.25">
      <c r="A257" s="98" t="str">
        <f>'Resultater - Vestdanmark'!A257</f>
        <v>Frugtmark</v>
      </c>
      <c r="B257" s="98" t="str">
        <f>'Resultater - Vestdanmark'!B257</f>
        <v>Økologisk</v>
      </c>
      <c r="C257" s="98" t="str">
        <f>'Resultater - Vestdanmark'!C257</f>
        <v>JB1-10</v>
      </c>
      <c r="D257" s="98" t="str">
        <f>'Resultater - Vestdanmark'!D257</f>
        <v>Areal-frugt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80" t="e">
        <f>'Resultater - Vestdanmark'!H257+'Resultater - Østdanmark'!H257</f>
        <v>#REF!</v>
      </c>
      <c r="I257" s="281" t="e">
        <f>'Resultater - Vestdanmark'!I257+'Resultater - Østdanmark'!I257</f>
        <v>#REF!</v>
      </c>
      <c r="J257" s="282" t="e">
        <f>'Resultater - Vestdanmark'!J257+'Resultater - Østdanmark'!J257</f>
        <v>#REF!</v>
      </c>
    </row>
    <row r="258" spans="1:10" x14ac:dyDescent="0.25">
      <c r="A258" s="98" t="str">
        <f>'Resultater - Vestdanmark'!A258</f>
        <v>Frugtmark</v>
      </c>
      <c r="B258" s="98" t="str">
        <f>'Resultater - Vestdanmark'!B258</f>
        <v>Økologisk</v>
      </c>
      <c r="C258" s="98" t="str">
        <f>'Resultater - Vestdanmark'!C258</f>
        <v>OC6</v>
      </c>
      <c r="D258" s="98" t="str">
        <f>'Resultater - Vestdanmark'!D258</f>
        <v>Areal-frugt</v>
      </c>
      <c r="E258" s="98" t="str">
        <f>'Resultater - Vestdanmark'!E258</f>
        <v>Hektar</v>
      </c>
      <c r="F258" s="98" t="str">
        <f>'Resultater - Vestdanmark'!F258</f>
        <v>Frugt</v>
      </c>
      <c r="G258" s="98" t="str">
        <f>'Resultater - Vestdanmark'!G258</f>
        <v>Ton</v>
      </c>
      <c r="H258" s="280" t="e">
        <f>'Resultater - Vestdanmark'!H258+'Resultater - Østdanmark'!H258</f>
        <v>#REF!</v>
      </c>
      <c r="I258" s="281" t="e">
        <f>'Resultater - Vestdanmark'!I258+'Resultater - Østdanmark'!I258</f>
        <v>#REF!</v>
      </c>
      <c r="J258" s="282" t="e">
        <f>'Resultater - Vestdanmark'!J258+'Resultater - Østdanmark'!J258</f>
        <v>#REF!</v>
      </c>
    </row>
    <row r="259" spans="1:10" x14ac:dyDescent="0.25">
      <c r="A259" s="98" t="str">
        <f>'Resultater - Vestdanmark'!A259</f>
        <v>Frugtmark</v>
      </c>
      <c r="B259" s="98" t="str">
        <f>'Resultater - Vestdanmark'!B259</f>
        <v>Økologisk</v>
      </c>
      <c r="C259" s="98" t="str">
        <f>'Resultater - Vestdanmark'!C259</f>
        <v>OC6</v>
      </c>
      <c r="D259" s="98" t="str">
        <f>'Resultater - Vestdanmark'!D259</f>
        <v>Areal-frugt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80" t="e">
        <f>'Resultater - Vestdanmark'!H259+'Resultater - Østdanmark'!H259</f>
        <v>#REF!</v>
      </c>
      <c r="I259" s="281" t="e">
        <f>'Resultater - Vestdanmark'!I259+'Resultater - Østdanmark'!I259</f>
        <v>#REF!</v>
      </c>
      <c r="J259" s="282" t="e">
        <f>'Resultater - Vestdanmark'!J259+'Resultater - Østdanmark'!J259</f>
        <v>#REF!</v>
      </c>
    </row>
    <row r="260" spans="1:10" x14ac:dyDescent="0.25">
      <c r="A260" s="98" t="str">
        <f>'Resultater - Vestdanmark'!A260</f>
        <v>Frugtmark</v>
      </c>
      <c r="B260" s="98" t="str">
        <f>'Resultater - Vestdanmark'!B260</f>
        <v>Økologisk</v>
      </c>
      <c r="C260" s="98" t="str">
        <f>'Resultater - Vestdanmark'!C260</f>
        <v>OC6</v>
      </c>
      <c r="D260" s="98" t="str">
        <f>'Resultater - Vestdanmark'!D260</f>
        <v>Areal-frugt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80" t="e">
        <f>'Resultater - Vestdanmark'!H260+'Resultater - Østdanmark'!H260</f>
        <v>#REF!</v>
      </c>
      <c r="I260" s="281" t="e">
        <f>'Resultater - Vestdanmark'!I260+'Resultater - Østdanmark'!I260</f>
        <v>#REF!</v>
      </c>
      <c r="J260" s="282" t="e">
        <f>'Resultater - Vestdanmark'!J260+'Resultater - Østdanmark'!J260</f>
        <v>#REF!</v>
      </c>
    </row>
    <row r="261" spans="1:10" x14ac:dyDescent="0.25">
      <c r="A261" s="98" t="str">
        <f>'Resultater - Vestdanmark'!A261</f>
        <v>Frugtmark</v>
      </c>
      <c r="B261" s="98" t="str">
        <f>'Resultater - Vestdanmark'!B261</f>
        <v>Økologisk</v>
      </c>
      <c r="C261" s="98" t="str">
        <f>'Resultater - Vestdanmark'!C261</f>
        <v>OC12</v>
      </c>
      <c r="D261" s="98" t="str">
        <f>'Resultater - Vestdanmark'!D261</f>
        <v>Areal-frugt</v>
      </c>
      <c r="E261" s="98" t="str">
        <f>'Resultater - Vestdanmark'!E261</f>
        <v>Hektar</v>
      </c>
      <c r="F261" s="98" t="str">
        <f>'Resultater - Vestdanmark'!F261</f>
        <v>Frugt</v>
      </c>
      <c r="G261" s="98" t="str">
        <f>'Resultater - Vestdanmark'!G261</f>
        <v>Ton</v>
      </c>
      <c r="H261" s="280" t="e">
        <f>'Resultater - Vestdanmark'!H261+'Resultater - Østdanmark'!H261</f>
        <v>#REF!</v>
      </c>
      <c r="I261" s="281" t="e">
        <f>'Resultater - Vestdanmark'!I261+'Resultater - Østdanmark'!I261</f>
        <v>#REF!</v>
      </c>
      <c r="J261" s="282" t="e">
        <f>'Resultater - Vestdanmark'!J261+'Resultater - Østdanmark'!J261</f>
        <v>#REF!</v>
      </c>
    </row>
    <row r="262" spans="1:10" x14ac:dyDescent="0.25">
      <c r="A262" s="98" t="str">
        <f>'Resultater - Vestdanmark'!A262</f>
        <v>Frugtmark</v>
      </c>
      <c r="B262" s="98" t="str">
        <f>'Resultater - Vestdanmark'!B262</f>
        <v>Økologisk</v>
      </c>
      <c r="C262" s="98" t="str">
        <f>'Resultater - Vestdanmark'!C262</f>
        <v>OC12</v>
      </c>
      <c r="D262" s="98" t="str">
        <f>'Resultater - Vestdanmark'!D262</f>
        <v>Areal-frugt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80" t="e">
        <f>'Resultater - Vestdanmark'!H262+'Resultater - Østdanmark'!H262</f>
        <v>#REF!</v>
      </c>
      <c r="I262" s="281" t="e">
        <f>'Resultater - Vestdanmark'!I262+'Resultater - Østdanmark'!I262</f>
        <v>#REF!</v>
      </c>
      <c r="J262" s="282" t="e">
        <f>'Resultater - Vestdanmark'!J262+'Resultater - Østdanmark'!J262</f>
        <v>#REF!</v>
      </c>
    </row>
    <row r="263" spans="1:10" x14ac:dyDescent="0.25">
      <c r="A263" s="98" t="str">
        <f>'Resultater - Vestdanmark'!A263</f>
        <v>Frugtmark</v>
      </c>
      <c r="B263" s="98" t="str">
        <f>'Resultater - Vestdanmark'!B263</f>
        <v>Økologisk</v>
      </c>
      <c r="C263" s="98" t="str">
        <f>'Resultater - Vestdanmark'!C263</f>
        <v>OC12</v>
      </c>
      <c r="D263" s="98" t="str">
        <f>'Resultater - Vestdanmark'!D263</f>
        <v>Areal-frugt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80" t="e">
        <f>'Resultater - Vestdanmark'!H263+'Resultater - Østdanmark'!H263</f>
        <v>#REF!</v>
      </c>
      <c r="I263" s="281" t="e">
        <f>'Resultater - Vestdanmark'!I263+'Resultater - Østdanmark'!I263</f>
        <v>#REF!</v>
      </c>
      <c r="J263" s="282" t="e">
        <f>'Resultater - Vestdanmark'!J263+'Resultater - Østdanmark'!J263</f>
        <v>#REF!</v>
      </c>
    </row>
    <row r="264" spans="1:10" x14ac:dyDescent="0.25">
      <c r="A264" s="98" t="str">
        <f>'Resultater - Vestdanmark'!A264</f>
        <v>Øvrig mark</v>
      </c>
      <c r="B264" s="98" t="str">
        <f>'Resultater - Vestdanmark'!B264</f>
        <v>Konventionel</v>
      </c>
      <c r="C264" s="98" t="str">
        <f>'Resultater - Vestdanmark'!C264</f>
        <v>JB1-10</v>
      </c>
      <c r="D264" s="98" t="str">
        <f>'Resultater - Vestdanmark'!D264</f>
        <v>Areal-øvrige</v>
      </c>
      <c r="E264" s="98" t="str">
        <f>'Resultater - Vestdanmark'!E264</f>
        <v>Hektar</v>
      </c>
      <c r="F264" s="98" t="str">
        <f>'Resultater - Vestdanmark'!F264</f>
        <v>Øvrige</v>
      </c>
      <c r="G264" s="98" t="str">
        <f>'Resultater - Vestdanmark'!G264</f>
        <v>Ton</v>
      </c>
      <c r="H264" s="280" t="e">
        <f>'Resultater - Vestdanmark'!H264+'Resultater - Østdanmark'!H264</f>
        <v>#REF!</v>
      </c>
      <c r="I264" s="281" t="e">
        <f>'Resultater - Vestdanmark'!I264+'Resultater - Østdanmark'!I264</f>
        <v>#REF!</v>
      </c>
      <c r="J264" s="282" t="e">
        <f>'Resultater - Vestdanmark'!J264+'Resultater - Østdanmark'!J264</f>
        <v>#REF!</v>
      </c>
    </row>
    <row r="265" spans="1:10" x14ac:dyDescent="0.25">
      <c r="A265" s="98" t="str">
        <f>'Resultater - Vestdanmark'!A265</f>
        <v>Øvrig mark</v>
      </c>
      <c r="B265" s="98" t="str">
        <f>'Resultater - Vestdanmark'!B265</f>
        <v>Konventionel</v>
      </c>
      <c r="C265" s="98" t="str">
        <f>'Resultater - Vestdanmark'!C265</f>
        <v>JB1-10</v>
      </c>
      <c r="D265" s="98" t="str">
        <f>'Resultater - Vestdanmark'!D265</f>
        <v>Areal-øvrige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80" t="e">
        <f>'Resultater - Vestdanmark'!H265+'Resultater - Østdanmark'!H265</f>
        <v>#REF!</v>
      </c>
      <c r="I265" s="281" t="e">
        <f>'Resultater - Vestdanmark'!I265+'Resultater - Østdanmark'!I265</f>
        <v>#REF!</v>
      </c>
      <c r="J265" s="282" t="e">
        <f>'Resultater - Vestdanmark'!J265+'Resultater - Østdanmark'!J265</f>
        <v>#REF!</v>
      </c>
    </row>
    <row r="266" spans="1:10" x14ac:dyDescent="0.25">
      <c r="A266" s="98" t="str">
        <f>'Resultater - Vestdanmark'!A266</f>
        <v>Øvrig mark</v>
      </c>
      <c r="B266" s="98" t="str">
        <f>'Resultater - Vestdanmark'!B266</f>
        <v>Konventionel</v>
      </c>
      <c r="C266" s="98" t="str">
        <f>'Resultater - Vestdanmark'!C266</f>
        <v>JB1-10</v>
      </c>
      <c r="D266" s="98" t="str">
        <f>'Resultater - Vestdanmark'!D266</f>
        <v>Areal-øvrige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80" t="e">
        <f>'Resultater - Vestdanmark'!H266+'Resultater - Østdanmark'!H266</f>
        <v>#REF!</v>
      </c>
      <c r="I266" s="281" t="e">
        <f>'Resultater - Vestdanmark'!I266+'Resultater - Østdanmark'!I266</f>
        <v>#REF!</v>
      </c>
      <c r="J266" s="282" t="e">
        <f>'Resultater - Vestdanmark'!J266+'Resultater - Østdanmark'!J266</f>
        <v>#REF!</v>
      </c>
    </row>
    <row r="267" spans="1:10" x14ac:dyDescent="0.25">
      <c r="A267" s="98" t="str">
        <f>'Resultater - Vestdanmark'!A267</f>
        <v>Øvrig mark</v>
      </c>
      <c r="B267" s="98" t="str">
        <f>'Resultater - Vestdanmark'!B267</f>
        <v>Konventionel</v>
      </c>
      <c r="C267" s="98" t="str">
        <f>'Resultater - Vestdanmark'!C267</f>
        <v>OC6</v>
      </c>
      <c r="D267" s="98" t="str">
        <f>'Resultater - Vestdanmark'!D267</f>
        <v>Areal-øvrige</v>
      </c>
      <c r="E267" s="98" t="str">
        <f>'Resultater - Vestdanmark'!E267</f>
        <v>Hektar</v>
      </c>
      <c r="F267" s="98" t="str">
        <f>'Resultater - Vestdanmark'!F267</f>
        <v>Øvrige</v>
      </c>
      <c r="G267" s="98" t="str">
        <f>'Resultater - Vestdanmark'!G267</f>
        <v>Ton</v>
      </c>
      <c r="H267" s="280" t="e">
        <f>'Resultater - Vestdanmark'!H267+'Resultater - Østdanmark'!H267</f>
        <v>#REF!</v>
      </c>
      <c r="I267" s="281" t="e">
        <f>'Resultater - Vestdanmark'!I267+'Resultater - Østdanmark'!I267</f>
        <v>#REF!</v>
      </c>
      <c r="J267" s="282" t="e">
        <f>'Resultater - Vestdanmark'!J267+'Resultater - Østdanmark'!J267</f>
        <v>#REF!</v>
      </c>
    </row>
    <row r="268" spans="1:10" x14ac:dyDescent="0.25">
      <c r="A268" s="98" t="str">
        <f>'Resultater - Vestdanmark'!A268</f>
        <v>Øvrig mark</v>
      </c>
      <c r="B268" s="98" t="str">
        <f>'Resultater - Vestdanmark'!B268</f>
        <v>Konventionel</v>
      </c>
      <c r="C268" s="98" t="str">
        <f>'Resultater - Vestdanmark'!C268</f>
        <v>OC6</v>
      </c>
      <c r="D268" s="98" t="str">
        <f>'Resultater - Vestdanmark'!D268</f>
        <v>Areal-øvrige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80" t="e">
        <f>'Resultater - Vestdanmark'!H268+'Resultater - Østdanmark'!H268</f>
        <v>#REF!</v>
      </c>
      <c r="I268" s="281" t="e">
        <f>'Resultater - Vestdanmark'!I268+'Resultater - Østdanmark'!I268</f>
        <v>#REF!</v>
      </c>
      <c r="J268" s="282" t="e">
        <f>'Resultater - Vestdanmark'!J268+'Resultater - Østdanmark'!J268</f>
        <v>#REF!</v>
      </c>
    </row>
    <row r="269" spans="1:10" x14ac:dyDescent="0.25">
      <c r="A269" s="98" t="str">
        <f>'Resultater - Vestdanmark'!A269</f>
        <v>Øvrig mark</v>
      </c>
      <c r="B269" s="98" t="str">
        <f>'Resultater - Vestdanmark'!B269</f>
        <v>Konventionel</v>
      </c>
      <c r="C269" s="98" t="str">
        <f>'Resultater - Vestdanmark'!C269</f>
        <v>OC6</v>
      </c>
      <c r="D269" s="98" t="str">
        <f>'Resultater - Vestdanmark'!D269</f>
        <v>Areal-øvrige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80" t="e">
        <f>'Resultater - Vestdanmark'!H269+'Resultater - Østdanmark'!H269</f>
        <v>#REF!</v>
      </c>
      <c r="I269" s="281" t="e">
        <f>'Resultater - Vestdanmark'!I269+'Resultater - Østdanmark'!I269</f>
        <v>#REF!</v>
      </c>
      <c r="J269" s="282" t="e">
        <f>'Resultater - Vestdanmark'!J269+'Resultater - Østdanmark'!J269</f>
        <v>#REF!</v>
      </c>
    </row>
    <row r="270" spans="1:10" x14ac:dyDescent="0.25">
      <c r="A270" s="98" t="str">
        <f>'Resultater - Vestdanmark'!A270</f>
        <v>Øvrig mark</v>
      </c>
      <c r="B270" s="98" t="str">
        <f>'Resultater - Vestdanmark'!B270</f>
        <v>Konventionel</v>
      </c>
      <c r="C270" s="98" t="str">
        <f>'Resultater - Vestdanmark'!C270</f>
        <v>OC12</v>
      </c>
      <c r="D270" s="98" t="str">
        <f>'Resultater - Vestdanmark'!D270</f>
        <v>Areal-øvrige</v>
      </c>
      <c r="E270" s="98" t="str">
        <f>'Resultater - Vestdanmark'!E270</f>
        <v>Hektar</v>
      </c>
      <c r="F270" s="98" t="str">
        <f>'Resultater - Vestdanmark'!F270</f>
        <v>Øvrige</v>
      </c>
      <c r="G270" s="98" t="str">
        <f>'Resultater - Vestdanmark'!G270</f>
        <v>Ton</v>
      </c>
      <c r="H270" s="280" t="e">
        <f>'Resultater - Vestdanmark'!H270+'Resultater - Østdanmark'!H270</f>
        <v>#REF!</v>
      </c>
      <c r="I270" s="281" t="e">
        <f>'Resultater - Vestdanmark'!I270+'Resultater - Østdanmark'!I270</f>
        <v>#REF!</v>
      </c>
      <c r="J270" s="282" t="e">
        <f>'Resultater - Vestdanmark'!J270+'Resultater - Østdanmark'!J270</f>
        <v>#REF!</v>
      </c>
    </row>
    <row r="271" spans="1:10" x14ac:dyDescent="0.25">
      <c r="A271" s="98" t="str">
        <f>'Resultater - Vestdanmark'!A271</f>
        <v>Øvrig mark</v>
      </c>
      <c r="B271" s="98" t="str">
        <f>'Resultater - Vestdanmark'!B271</f>
        <v>Konventionel</v>
      </c>
      <c r="C271" s="98" t="str">
        <f>'Resultater - Vestdanmark'!C271</f>
        <v>OC12</v>
      </c>
      <c r="D271" s="98" t="str">
        <f>'Resultater - Vestdanmark'!D271</f>
        <v>Areal-øvrige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80" t="e">
        <f>'Resultater - Vestdanmark'!H271+'Resultater - Østdanmark'!H271</f>
        <v>#REF!</v>
      </c>
      <c r="I271" s="281" t="e">
        <f>'Resultater - Vestdanmark'!I271+'Resultater - Østdanmark'!I271</f>
        <v>#REF!</v>
      </c>
      <c r="J271" s="282" t="e">
        <f>'Resultater - Vestdanmark'!J271+'Resultater - Østdanmark'!J271</f>
        <v>#REF!</v>
      </c>
    </row>
    <row r="272" spans="1:10" x14ac:dyDescent="0.25">
      <c r="A272" s="98" t="str">
        <f>'Resultater - Vestdanmark'!A272</f>
        <v>Øvrig mark</v>
      </c>
      <c r="B272" s="98" t="str">
        <f>'Resultater - Vestdanmark'!B272</f>
        <v>Konventionel</v>
      </c>
      <c r="C272" s="98" t="str">
        <f>'Resultater - Vestdanmark'!C272</f>
        <v>OC12</v>
      </c>
      <c r="D272" s="98" t="str">
        <f>'Resultater - Vestdanmark'!D272</f>
        <v>Areal-øvrige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80" t="e">
        <f>'Resultater - Vestdanmark'!H272+'Resultater - Østdanmark'!H272</f>
        <v>#REF!</v>
      </c>
      <c r="I272" s="281" t="e">
        <f>'Resultater - Vestdanmark'!I272+'Resultater - Østdanmark'!I272</f>
        <v>#REF!</v>
      </c>
      <c r="J272" s="282" t="e">
        <f>'Resultater - Vestdanmark'!J272+'Resultater - Østdanmark'!J272</f>
        <v>#REF!</v>
      </c>
    </row>
    <row r="273" spans="1:10" x14ac:dyDescent="0.25">
      <c r="A273" s="98" t="str">
        <f>'Resultater - Vestdanmark'!A273</f>
        <v>Øvrig mark</v>
      </c>
      <c r="B273" s="98" t="str">
        <f>'Resultater - Vestdanmark'!B273</f>
        <v>Økologisk</v>
      </c>
      <c r="C273" s="98" t="str">
        <f>'Resultater - Vestdanmark'!C273</f>
        <v>JB1-10</v>
      </c>
      <c r="D273" s="98" t="str">
        <f>'Resultater - Vestdanmark'!D273</f>
        <v>Areal-øvrige</v>
      </c>
      <c r="E273" s="98" t="str">
        <f>'Resultater - Vestdanmark'!E273</f>
        <v>Hektar</v>
      </c>
      <c r="F273" s="98" t="str">
        <f>'Resultater - Vestdanmark'!F273</f>
        <v>Øvrige</v>
      </c>
      <c r="G273" s="98" t="str">
        <f>'Resultater - Vestdanmark'!G273</f>
        <v>Ton</v>
      </c>
      <c r="H273" s="280" t="e">
        <f>'Resultater - Vestdanmark'!H273+'Resultater - Østdanmark'!H273</f>
        <v>#REF!</v>
      </c>
      <c r="I273" s="281" t="e">
        <f>'Resultater - Vestdanmark'!I273+'Resultater - Østdanmark'!I273</f>
        <v>#REF!</v>
      </c>
      <c r="J273" s="282" t="e">
        <f>'Resultater - Vestdanmark'!J273+'Resultater - Østdanmark'!J273</f>
        <v>#REF!</v>
      </c>
    </row>
    <row r="274" spans="1:10" x14ac:dyDescent="0.25">
      <c r="A274" s="98" t="str">
        <f>'Resultater - Vestdanmark'!A274</f>
        <v>Øvrig mark</v>
      </c>
      <c r="B274" s="98" t="str">
        <f>'Resultater - Vestdanmark'!B274</f>
        <v>Økologisk</v>
      </c>
      <c r="C274" s="98" t="str">
        <f>'Resultater - Vestdanmark'!C274</f>
        <v>JB1-10</v>
      </c>
      <c r="D274" s="98" t="str">
        <f>'Resultater - Vestdanmark'!D274</f>
        <v>Areal-øvrige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80" t="e">
        <f>'Resultater - Vestdanmark'!H274+'Resultater - Østdanmark'!H274</f>
        <v>#REF!</v>
      </c>
      <c r="I274" s="281" t="e">
        <f>'Resultater - Vestdanmark'!I274+'Resultater - Østdanmark'!I274</f>
        <v>#REF!</v>
      </c>
      <c r="J274" s="282" t="e">
        <f>'Resultater - Vestdanmark'!J274+'Resultater - Østdanmark'!J274</f>
        <v>#REF!</v>
      </c>
    </row>
    <row r="275" spans="1:10" x14ac:dyDescent="0.25">
      <c r="A275" s="98" t="str">
        <f>'Resultater - Vestdanmark'!A275</f>
        <v>Øvrig mark</v>
      </c>
      <c r="B275" s="98" t="str">
        <f>'Resultater - Vestdanmark'!B275</f>
        <v>Økologisk</v>
      </c>
      <c r="C275" s="98" t="str">
        <f>'Resultater - Vestdanmark'!C275</f>
        <v>JB1-10</v>
      </c>
      <c r="D275" s="98" t="str">
        <f>'Resultater - Vestdanmark'!D275</f>
        <v>Areal-øvrige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80" t="e">
        <f>'Resultater - Vestdanmark'!H275+'Resultater - Østdanmark'!H275</f>
        <v>#REF!</v>
      </c>
      <c r="I275" s="281" t="e">
        <f>'Resultater - Vestdanmark'!I275+'Resultater - Østdanmark'!I275</f>
        <v>#REF!</v>
      </c>
      <c r="J275" s="282" t="e">
        <f>'Resultater - Vestdanmark'!J275+'Resultater - Østdanmark'!J275</f>
        <v>#REF!</v>
      </c>
    </row>
    <row r="276" spans="1:10" x14ac:dyDescent="0.25">
      <c r="A276" s="98" t="str">
        <f>'Resultater - Vestdanmark'!A276</f>
        <v>Øvrig mark</v>
      </c>
      <c r="B276" s="98" t="str">
        <f>'Resultater - Vestdanmark'!B276</f>
        <v>Økologisk</v>
      </c>
      <c r="C276" s="98" t="str">
        <f>'Resultater - Vestdanmark'!C276</f>
        <v>OC6</v>
      </c>
      <c r="D276" s="98" t="str">
        <f>'Resultater - Vestdanmark'!D276</f>
        <v>Areal-øvrige</v>
      </c>
      <c r="E276" s="98" t="str">
        <f>'Resultater - Vestdanmark'!E276</f>
        <v>Hektar</v>
      </c>
      <c r="F276" s="98" t="str">
        <f>'Resultater - Vestdanmark'!F276</f>
        <v>Øvrige</v>
      </c>
      <c r="G276" s="98" t="str">
        <f>'Resultater - Vestdanmark'!G276</f>
        <v>Ton</v>
      </c>
      <c r="H276" s="280" t="e">
        <f>'Resultater - Vestdanmark'!H276+'Resultater - Østdanmark'!H276</f>
        <v>#REF!</v>
      </c>
      <c r="I276" s="281" t="e">
        <f>'Resultater - Vestdanmark'!I276+'Resultater - Østdanmark'!I276</f>
        <v>#REF!</v>
      </c>
      <c r="J276" s="282" t="e">
        <f>'Resultater - Vestdanmark'!J276+'Resultater - Østdanmark'!J276</f>
        <v>#REF!</v>
      </c>
    </row>
    <row r="277" spans="1:10" x14ac:dyDescent="0.25">
      <c r="A277" s="98" t="str">
        <f>'Resultater - Vestdanmark'!A277</f>
        <v>Øvrig mark</v>
      </c>
      <c r="B277" s="98" t="str">
        <f>'Resultater - Vestdanmark'!B277</f>
        <v>Økologisk</v>
      </c>
      <c r="C277" s="98" t="str">
        <f>'Resultater - Vestdanmark'!C277</f>
        <v>OC6</v>
      </c>
      <c r="D277" s="98" t="str">
        <f>'Resultater - Vestdanmark'!D277</f>
        <v>Areal-øvrige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80" t="e">
        <f>'Resultater - Vestdanmark'!H277+'Resultater - Østdanmark'!H277</f>
        <v>#REF!</v>
      </c>
      <c r="I277" s="281" t="e">
        <f>'Resultater - Vestdanmark'!I277+'Resultater - Østdanmark'!I277</f>
        <v>#REF!</v>
      </c>
      <c r="J277" s="282" t="e">
        <f>'Resultater - Vestdanmark'!J277+'Resultater - Østdanmark'!J277</f>
        <v>#REF!</v>
      </c>
    </row>
    <row r="278" spans="1:10" x14ac:dyDescent="0.25">
      <c r="A278" s="98" t="str">
        <f>'Resultater - Vestdanmark'!A278</f>
        <v>Øvrig mark</v>
      </c>
      <c r="B278" s="98" t="str">
        <f>'Resultater - Vestdanmark'!B278</f>
        <v>Økologisk</v>
      </c>
      <c r="C278" s="98" t="str">
        <f>'Resultater - Vestdanmark'!C278</f>
        <v>OC6</v>
      </c>
      <c r="D278" s="98" t="str">
        <f>'Resultater - Vestdanmark'!D278</f>
        <v>Areal-øvrige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80" t="e">
        <f>'Resultater - Vestdanmark'!H278+'Resultater - Østdanmark'!H278</f>
        <v>#REF!</v>
      </c>
      <c r="I278" s="281" t="e">
        <f>'Resultater - Vestdanmark'!I278+'Resultater - Østdanmark'!I278</f>
        <v>#REF!</v>
      </c>
      <c r="J278" s="282" t="e">
        <f>'Resultater - Vestdanmark'!J278+'Resultater - Østdanmark'!J278</f>
        <v>#REF!</v>
      </c>
    </row>
    <row r="279" spans="1:10" x14ac:dyDescent="0.25">
      <c r="A279" s="98" t="str">
        <f>'Resultater - Vestdanmark'!A279</f>
        <v>Øvrig mark</v>
      </c>
      <c r="B279" s="98" t="str">
        <f>'Resultater - Vestdanmark'!B279</f>
        <v>Økologisk</v>
      </c>
      <c r="C279" s="98" t="str">
        <f>'Resultater - Vestdanmark'!C279</f>
        <v>OC12</v>
      </c>
      <c r="D279" s="98" t="str">
        <f>'Resultater - Vestdanmark'!D279</f>
        <v>Areal-øvrige</v>
      </c>
      <c r="E279" s="98" t="str">
        <f>'Resultater - Vestdanmark'!E279</f>
        <v>Hektar</v>
      </c>
      <c r="F279" s="98" t="str">
        <f>'Resultater - Vestdanmark'!F279</f>
        <v>Øvrige</v>
      </c>
      <c r="G279" s="98" t="str">
        <f>'Resultater - Vestdanmark'!G279</f>
        <v>Ton</v>
      </c>
      <c r="H279" s="280" t="e">
        <f>'Resultater - Vestdanmark'!H279+'Resultater - Østdanmark'!H279</f>
        <v>#REF!</v>
      </c>
      <c r="I279" s="281" t="e">
        <f>'Resultater - Vestdanmark'!I279+'Resultater - Østdanmark'!I279</f>
        <v>#REF!</v>
      </c>
      <c r="J279" s="282" t="e">
        <f>'Resultater - Vestdanmark'!J279+'Resultater - Østdanmark'!J279</f>
        <v>#REF!</v>
      </c>
    </row>
    <row r="280" spans="1:10" x14ac:dyDescent="0.25">
      <c r="A280" s="98" t="str">
        <f>'Resultater - Vestdanmark'!A280</f>
        <v>Øvrig mark</v>
      </c>
      <c r="B280" s="98" t="str">
        <f>'Resultater - Vestdanmark'!B280</f>
        <v>Økologisk</v>
      </c>
      <c r="C280" s="98" t="str">
        <f>'Resultater - Vestdanmark'!C280</f>
        <v>OC12</v>
      </c>
      <c r="D280" s="98" t="str">
        <f>'Resultater - Vestdanmark'!D280</f>
        <v>Areal-øvrige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80" t="e">
        <f>'Resultater - Vestdanmark'!H280+'Resultater - Østdanmark'!H280</f>
        <v>#REF!</v>
      </c>
      <c r="I280" s="281" t="e">
        <f>'Resultater - Vestdanmark'!I280+'Resultater - Østdanmark'!I280</f>
        <v>#REF!</v>
      </c>
      <c r="J280" s="282" t="e">
        <f>'Resultater - Vestdanmark'!J280+'Resultater - Østdanmark'!J280</f>
        <v>#REF!</v>
      </c>
    </row>
    <row r="281" spans="1:10" x14ac:dyDescent="0.25">
      <c r="A281" s="98" t="str">
        <f>'Resultater - Vestdanmark'!A281</f>
        <v>Øvrig mark</v>
      </c>
      <c r="B281" s="98" t="str">
        <f>'Resultater - Vestdanmark'!B281</f>
        <v>Økologisk</v>
      </c>
      <c r="C281" s="98" t="str">
        <f>'Resultater - Vestdanmark'!C281</f>
        <v>OC12</v>
      </c>
      <c r="D281" s="98" t="str">
        <f>'Resultater - Vestdanmark'!D281</f>
        <v>Areal-øvrige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80" t="e">
        <f>'Resultater - Vestdanmark'!H281+'Resultater - Østdanmark'!H281</f>
        <v>#REF!</v>
      </c>
      <c r="I281" s="281" t="e">
        <f>'Resultater - Vestdanmark'!I281+'Resultater - Østdanmark'!I281</f>
        <v>#REF!</v>
      </c>
      <c r="J281" s="282" t="e">
        <f>'Resultater - Vestdanmark'!J281+'Resultater - Østdanmark'!J281</f>
        <v>#REF!</v>
      </c>
    </row>
    <row r="282" spans="1:10" x14ac:dyDescent="0.25">
      <c r="A282" s="98" t="str">
        <f>'Resultater - Vestdanmark'!A282</f>
        <v>Majsmark</v>
      </c>
      <c r="B282" s="98" t="str">
        <f>'Resultater - Vestdanmark'!B282</f>
        <v>Konventionel</v>
      </c>
      <c r="C282" s="98" t="str">
        <f>'Resultater - Vestdanmark'!C282</f>
        <v>JB1-10</v>
      </c>
      <c r="D282" s="98" t="str">
        <f>'Resultater - Vestdanmark'!D282</f>
        <v>Areal-majs</v>
      </c>
      <c r="E282" s="98" t="str">
        <f>'Resultater - Vestdanmark'!E282</f>
        <v>Hektar</v>
      </c>
      <c r="F282" s="98" t="str">
        <f>'Resultater - Vestdanmark'!F282</f>
        <v>Majs</v>
      </c>
      <c r="G282" s="98" t="str">
        <f>'Resultater - Vestdanmark'!G282</f>
        <v>Ton</v>
      </c>
      <c r="H282" s="280" t="e">
        <f>'Resultater - Vestdanmark'!H282+'Resultater - Østdanmark'!H282</f>
        <v>#REF!</v>
      </c>
      <c r="I282" s="281" t="e">
        <f>'Resultater - Vestdanmark'!I282+'Resultater - Østdanmark'!I282</f>
        <v>#REF!</v>
      </c>
      <c r="J282" s="282" t="e">
        <f>'Resultater - Vestdanmark'!J282+'Resultater - Østdanmark'!J282</f>
        <v>#REF!</v>
      </c>
    </row>
    <row r="283" spans="1:10" x14ac:dyDescent="0.25">
      <c r="A283" s="98" t="str">
        <f>'Resultater - Vestdanmark'!A283</f>
        <v>Majsmark</v>
      </c>
      <c r="B283" s="98" t="str">
        <f>'Resultater - Vestdanmark'!B283</f>
        <v>Konventionel</v>
      </c>
      <c r="C283" s="98" t="str">
        <f>'Resultater - Vestdanmark'!C283</f>
        <v>JB1-10</v>
      </c>
      <c r="D283" s="98" t="str">
        <f>'Resultater - Vestdanmark'!D283</f>
        <v>Areal-majs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80" t="e">
        <f>'Resultater - Vestdanmark'!H283+'Resultater - Østdanmark'!H283</f>
        <v>#REF!</v>
      </c>
      <c r="I283" s="281" t="e">
        <f>'Resultater - Vestdanmark'!I283+'Resultater - Østdanmark'!I283</f>
        <v>#REF!</v>
      </c>
      <c r="J283" s="282" t="e">
        <f>'Resultater - Vestdanmark'!J283+'Resultater - Østdanmark'!J283</f>
        <v>#REF!</v>
      </c>
    </row>
    <row r="284" spans="1:10" x14ac:dyDescent="0.25">
      <c r="A284" s="98" t="str">
        <f>'Resultater - Vestdanmark'!A284</f>
        <v>Majsmark</v>
      </c>
      <c r="B284" s="98" t="str">
        <f>'Resultater - Vestdanmark'!B284</f>
        <v>Konventionel</v>
      </c>
      <c r="C284" s="98" t="str">
        <f>'Resultater - Vestdanmark'!C284</f>
        <v>JB1-10</v>
      </c>
      <c r="D284" s="98" t="str">
        <f>'Resultater - Vestdanmark'!D284</f>
        <v>Areal-majs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80" t="e">
        <f>'Resultater - Vestdanmark'!H284+'Resultater - Østdanmark'!H284</f>
        <v>#REF!</v>
      </c>
      <c r="I284" s="281" t="e">
        <f>'Resultater - Vestdanmark'!I284+'Resultater - Østdanmark'!I284</f>
        <v>#REF!</v>
      </c>
      <c r="J284" s="282" t="e">
        <f>'Resultater - Vestdanmark'!J284+'Resultater - Østdanmark'!J284</f>
        <v>#REF!</v>
      </c>
    </row>
    <row r="285" spans="1:10" x14ac:dyDescent="0.25">
      <c r="A285" s="98" t="str">
        <f>'Resultater - Vestdanmark'!A285</f>
        <v>Majsmark</v>
      </c>
      <c r="B285" s="98" t="str">
        <f>'Resultater - Vestdanmark'!B285</f>
        <v>Konventionel</v>
      </c>
      <c r="C285" s="98" t="str">
        <f>'Resultater - Vestdanmark'!C285</f>
        <v>OC6</v>
      </c>
      <c r="D285" s="98" t="str">
        <f>'Resultater - Vestdanmark'!D285</f>
        <v>Areal-majs</v>
      </c>
      <c r="E285" s="98" t="str">
        <f>'Resultater - Vestdanmark'!E285</f>
        <v>Hektar</v>
      </c>
      <c r="F285" s="98" t="str">
        <f>'Resultater - Vestdanmark'!F285</f>
        <v>Majs</v>
      </c>
      <c r="G285" s="98" t="str">
        <f>'Resultater - Vestdanmark'!G285</f>
        <v>Ton</v>
      </c>
      <c r="H285" s="280" t="e">
        <f>'Resultater - Vestdanmark'!H285+'Resultater - Østdanmark'!H285</f>
        <v>#REF!</v>
      </c>
      <c r="I285" s="281" t="e">
        <f>'Resultater - Vestdanmark'!I285+'Resultater - Østdanmark'!I285</f>
        <v>#REF!</v>
      </c>
      <c r="J285" s="282" t="e">
        <f>'Resultater - Vestdanmark'!J285+'Resultater - Østdanmark'!J285</f>
        <v>#REF!</v>
      </c>
    </row>
    <row r="286" spans="1:10" x14ac:dyDescent="0.25">
      <c r="A286" s="98" t="str">
        <f>'Resultater - Vestdanmark'!A286</f>
        <v>Majsmark</v>
      </c>
      <c r="B286" s="98" t="str">
        <f>'Resultater - Vestdanmark'!B286</f>
        <v>Konventionel</v>
      </c>
      <c r="C286" s="98" t="str">
        <f>'Resultater - Vestdanmark'!C286</f>
        <v>OC6</v>
      </c>
      <c r="D286" s="98" t="str">
        <f>'Resultater - Vestdanmark'!D286</f>
        <v>Areal-majs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80" t="e">
        <f>'Resultater - Vestdanmark'!H286+'Resultater - Østdanmark'!H286</f>
        <v>#REF!</v>
      </c>
      <c r="I286" s="281" t="e">
        <f>'Resultater - Vestdanmark'!I286+'Resultater - Østdanmark'!I286</f>
        <v>#REF!</v>
      </c>
      <c r="J286" s="282" t="e">
        <f>'Resultater - Vestdanmark'!J286+'Resultater - Østdanmark'!J286</f>
        <v>#REF!</v>
      </c>
    </row>
    <row r="287" spans="1:10" x14ac:dyDescent="0.25">
      <c r="A287" s="98" t="str">
        <f>'Resultater - Vestdanmark'!A287</f>
        <v>Majsmark</v>
      </c>
      <c r="B287" s="98" t="str">
        <f>'Resultater - Vestdanmark'!B287</f>
        <v>Konventionel</v>
      </c>
      <c r="C287" s="98" t="str">
        <f>'Resultater - Vestdanmark'!C287</f>
        <v>OC6</v>
      </c>
      <c r="D287" s="98" t="str">
        <f>'Resultater - Vestdanmark'!D287</f>
        <v>Areal-majs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80" t="e">
        <f>'Resultater - Vestdanmark'!H287+'Resultater - Østdanmark'!H287</f>
        <v>#REF!</v>
      </c>
      <c r="I287" s="281" t="e">
        <f>'Resultater - Vestdanmark'!I287+'Resultater - Østdanmark'!I287</f>
        <v>#REF!</v>
      </c>
      <c r="J287" s="282" t="e">
        <f>'Resultater - Vestdanmark'!J287+'Resultater - Østdanmark'!J287</f>
        <v>#REF!</v>
      </c>
    </row>
    <row r="288" spans="1:10" x14ac:dyDescent="0.25">
      <c r="A288" s="98" t="str">
        <f>'Resultater - Vestdanmark'!A288</f>
        <v>Majsmark</v>
      </c>
      <c r="B288" s="98" t="str">
        <f>'Resultater - Vestdanmark'!B288</f>
        <v>Konventionel</v>
      </c>
      <c r="C288" s="98" t="str">
        <f>'Resultater - Vestdanmark'!C288</f>
        <v>OC12</v>
      </c>
      <c r="D288" s="98" t="str">
        <f>'Resultater - Vestdanmark'!D288</f>
        <v>Areal-majs</v>
      </c>
      <c r="E288" s="98" t="str">
        <f>'Resultater - Vestdanmark'!E288</f>
        <v>Hektar</v>
      </c>
      <c r="F288" s="98" t="str">
        <f>'Resultater - Vestdanmark'!F288</f>
        <v>Majs</v>
      </c>
      <c r="G288" s="98" t="str">
        <f>'Resultater - Vestdanmark'!G288</f>
        <v>Ton</v>
      </c>
      <c r="H288" s="280" t="e">
        <f>'Resultater - Vestdanmark'!H288+'Resultater - Østdanmark'!H288</f>
        <v>#REF!</v>
      </c>
      <c r="I288" s="281" t="e">
        <f>'Resultater - Vestdanmark'!I288+'Resultater - Østdanmark'!I288</f>
        <v>#REF!</v>
      </c>
      <c r="J288" s="282" t="e">
        <f>'Resultater - Vestdanmark'!J288+'Resultater - Østdanmark'!J288</f>
        <v>#REF!</v>
      </c>
    </row>
    <row r="289" spans="1:10" x14ac:dyDescent="0.25">
      <c r="A289" s="98" t="str">
        <f>'Resultater - Vestdanmark'!A289</f>
        <v>Majsmark</v>
      </c>
      <c r="B289" s="98" t="str">
        <f>'Resultater - Vestdanmark'!B289</f>
        <v>Konventionel</v>
      </c>
      <c r="C289" s="98" t="str">
        <f>'Resultater - Vestdanmark'!C289</f>
        <v>OC12</v>
      </c>
      <c r="D289" s="98" t="str">
        <f>'Resultater - Vestdanmark'!D289</f>
        <v>Areal-majs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80" t="e">
        <f>'Resultater - Vestdanmark'!H289+'Resultater - Østdanmark'!H289</f>
        <v>#REF!</v>
      </c>
      <c r="I289" s="281" t="e">
        <f>'Resultater - Vestdanmark'!I289+'Resultater - Østdanmark'!I289</f>
        <v>#REF!</v>
      </c>
      <c r="J289" s="282" t="e">
        <f>'Resultater - Vestdanmark'!J289+'Resultater - Østdanmark'!J289</f>
        <v>#REF!</v>
      </c>
    </row>
    <row r="290" spans="1:10" x14ac:dyDescent="0.25">
      <c r="A290" s="98" t="str">
        <f>'Resultater - Vestdanmark'!A290</f>
        <v>Majsmark</v>
      </c>
      <c r="B290" s="98" t="str">
        <f>'Resultater - Vestdanmark'!B290</f>
        <v>Konventionel</v>
      </c>
      <c r="C290" s="98" t="str">
        <f>'Resultater - Vestdanmark'!C290</f>
        <v>OC12</v>
      </c>
      <c r="D290" s="98" t="str">
        <f>'Resultater - Vestdanmark'!D290</f>
        <v>Areal-majs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80" t="e">
        <f>'Resultater - Vestdanmark'!H290+'Resultater - Østdanmark'!H290</f>
        <v>#REF!</v>
      </c>
      <c r="I290" s="281" t="e">
        <f>'Resultater - Vestdanmark'!I290+'Resultater - Østdanmark'!I290</f>
        <v>#REF!</v>
      </c>
      <c r="J290" s="282" t="e">
        <f>'Resultater - Vestdanmark'!J290+'Resultater - Østdanmark'!J290</f>
        <v>#REF!</v>
      </c>
    </row>
    <row r="291" spans="1:10" x14ac:dyDescent="0.25">
      <c r="A291" s="98" t="str">
        <f>'Resultater - Vestdanmark'!A291</f>
        <v>Majsmark</v>
      </c>
      <c r="B291" s="98" t="str">
        <f>'Resultater - Vestdanmark'!B291</f>
        <v>Økologisk</v>
      </c>
      <c r="C291" s="98" t="str">
        <f>'Resultater - Vestdanmark'!C291</f>
        <v>JB1-10</v>
      </c>
      <c r="D291" s="98" t="str">
        <f>'Resultater - Vestdanmark'!D291</f>
        <v>Areal-majs</v>
      </c>
      <c r="E291" s="98" t="str">
        <f>'Resultater - Vestdanmark'!E291</f>
        <v>Hektar</v>
      </c>
      <c r="F291" s="98" t="str">
        <f>'Resultater - Vestdanmark'!F291</f>
        <v>Majs</v>
      </c>
      <c r="G291" s="98" t="str">
        <f>'Resultater - Vestdanmark'!G291</f>
        <v>Ton</v>
      </c>
      <c r="H291" s="280" t="e">
        <f>'Resultater - Vestdanmark'!H291+'Resultater - Østdanmark'!H291</f>
        <v>#REF!</v>
      </c>
      <c r="I291" s="281" t="e">
        <f>'Resultater - Vestdanmark'!I291+'Resultater - Østdanmark'!I291</f>
        <v>#REF!</v>
      </c>
      <c r="J291" s="282" t="e">
        <f>'Resultater - Vestdanmark'!J291+'Resultater - Østdanmark'!J291</f>
        <v>#REF!</v>
      </c>
    </row>
    <row r="292" spans="1:10" x14ac:dyDescent="0.25">
      <c r="A292" s="98" t="str">
        <f>'Resultater - Vestdanmark'!A292</f>
        <v>Majsmark</v>
      </c>
      <c r="B292" s="98" t="str">
        <f>'Resultater - Vestdanmark'!B292</f>
        <v>Økologisk</v>
      </c>
      <c r="C292" s="98" t="str">
        <f>'Resultater - Vestdanmark'!C292</f>
        <v>JB1-10</v>
      </c>
      <c r="D292" s="98" t="str">
        <f>'Resultater - Vestdanmark'!D292</f>
        <v>Areal-majs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80" t="e">
        <f>'Resultater - Vestdanmark'!H292+'Resultater - Østdanmark'!H292</f>
        <v>#REF!</v>
      </c>
      <c r="I292" s="281" t="e">
        <f>'Resultater - Vestdanmark'!I292+'Resultater - Østdanmark'!I292</f>
        <v>#REF!</v>
      </c>
      <c r="J292" s="282" t="e">
        <f>'Resultater - Vestdanmark'!J292+'Resultater - Østdanmark'!J292</f>
        <v>#REF!</v>
      </c>
    </row>
    <row r="293" spans="1:10" x14ac:dyDescent="0.25">
      <c r="A293" s="98" t="str">
        <f>'Resultater - Vestdanmark'!A293</f>
        <v>Majsmark</v>
      </c>
      <c r="B293" s="98" t="str">
        <f>'Resultater - Vestdanmark'!B293</f>
        <v>Økologisk</v>
      </c>
      <c r="C293" s="98" t="str">
        <f>'Resultater - Vestdanmark'!C293</f>
        <v>JB1-10</v>
      </c>
      <c r="D293" s="98" t="str">
        <f>'Resultater - Vestdanmark'!D293</f>
        <v>Areal-majs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80" t="e">
        <f>'Resultater - Vestdanmark'!H293+'Resultater - Østdanmark'!H293</f>
        <v>#REF!</v>
      </c>
      <c r="I293" s="281" t="e">
        <f>'Resultater - Vestdanmark'!I293+'Resultater - Østdanmark'!I293</f>
        <v>#REF!</v>
      </c>
      <c r="J293" s="282" t="e">
        <f>'Resultater - Vestdanmark'!J293+'Resultater - Østdanmark'!J293</f>
        <v>#REF!</v>
      </c>
    </row>
    <row r="294" spans="1:10" x14ac:dyDescent="0.25">
      <c r="A294" s="98" t="str">
        <f>'Resultater - Vestdanmark'!A294</f>
        <v>Majsmark</v>
      </c>
      <c r="B294" s="98" t="str">
        <f>'Resultater - Vestdanmark'!B294</f>
        <v>Økologisk</v>
      </c>
      <c r="C294" s="98" t="str">
        <f>'Resultater - Vestdanmark'!C294</f>
        <v>OC6</v>
      </c>
      <c r="D294" s="98" t="str">
        <f>'Resultater - Vestdanmark'!D294</f>
        <v>Areal-majs</v>
      </c>
      <c r="E294" s="98" t="str">
        <f>'Resultater - Vestdanmark'!E294</f>
        <v>Hektar</v>
      </c>
      <c r="F294" s="98" t="str">
        <f>'Resultater - Vestdanmark'!F294</f>
        <v>Majs</v>
      </c>
      <c r="G294" s="98" t="str">
        <f>'Resultater - Vestdanmark'!G294</f>
        <v>Ton</v>
      </c>
      <c r="H294" s="280" t="e">
        <f>'Resultater - Vestdanmark'!H294+'Resultater - Østdanmark'!H294</f>
        <v>#REF!</v>
      </c>
      <c r="I294" s="281" t="e">
        <f>'Resultater - Vestdanmark'!I294+'Resultater - Østdanmark'!I294</f>
        <v>#REF!</v>
      </c>
      <c r="J294" s="282" t="e">
        <f>'Resultater - Vestdanmark'!J294+'Resultater - Østdanmark'!J294</f>
        <v>#REF!</v>
      </c>
    </row>
    <row r="295" spans="1:10" x14ac:dyDescent="0.25">
      <c r="A295" s="98" t="str">
        <f>'Resultater - Vestdanmark'!A295</f>
        <v>Majsmark</v>
      </c>
      <c r="B295" s="98" t="str">
        <f>'Resultater - Vestdanmark'!B295</f>
        <v>Økologisk</v>
      </c>
      <c r="C295" s="98" t="str">
        <f>'Resultater - Vestdanmark'!C295</f>
        <v>OC6</v>
      </c>
      <c r="D295" s="98" t="str">
        <f>'Resultater - Vestdanmark'!D295</f>
        <v>Areal-majs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80" t="e">
        <f>'Resultater - Vestdanmark'!H295+'Resultater - Østdanmark'!H295</f>
        <v>#REF!</v>
      </c>
      <c r="I295" s="281" t="e">
        <f>'Resultater - Vestdanmark'!I295+'Resultater - Østdanmark'!I295</f>
        <v>#REF!</v>
      </c>
      <c r="J295" s="282" t="e">
        <f>'Resultater - Vestdanmark'!J295+'Resultater - Østdanmark'!J295</f>
        <v>#REF!</v>
      </c>
    </row>
    <row r="296" spans="1:10" x14ac:dyDescent="0.25">
      <c r="A296" s="98" t="str">
        <f>'Resultater - Vestdanmark'!A296</f>
        <v>Majsmark</v>
      </c>
      <c r="B296" s="98" t="str">
        <f>'Resultater - Vestdanmark'!B296</f>
        <v>Økologisk</v>
      </c>
      <c r="C296" s="98" t="str">
        <f>'Resultater - Vestdanmark'!C296</f>
        <v>OC6</v>
      </c>
      <c r="D296" s="98" t="str">
        <f>'Resultater - Vestdanmark'!D296</f>
        <v>Areal-majs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80" t="e">
        <f>'Resultater - Vestdanmark'!H296+'Resultater - Østdanmark'!H296</f>
        <v>#REF!</v>
      </c>
      <c r="I296" s="281" t="e">
        <f>'Resultater - Vestdanmark'!I296+'Resultater - Østdanmark'!I296</f>
        <v>#REF!</v>
      </c>
      <c r="J296" s="282" t="e">
        <f>'Resultater - Vestdanmark'!J296+'Resultater - Østdanmark'!J296</f>
        <v>#REF!</v>
      </c>
    </row>
    <row r="297" spans="1:10" x14ac:dyDescent="0.25">
      <c r="A297" s="98" t="str">
        <f>'Resultater - Vestdanmark'!A297</f>
        <v>Majsmark</v>
      </c>
      <c r="B297" s="98" t="str">
        <f>'Resultater - Vestdanmark'!B297</f>
        <v>Økologisk</v>
      </c>
      <c r="C297" s="98" t="str">
        <f>'Resultater - Vestdanmark'!C297</f>
        <v>OC12</v>
      </c>
      <c r="D297" s="98" t="str">
        <f>'Resultater - Vestdanmark'!D297</f>
        <v>Areal-majs</v>
      </c>
      <c r="E297" s="98" t="str">
        <f>'Resultater - Vestdanmark'!E297</f>
        <v>Hektar</v>
      </c>
      <c r="F297" s="98" t="str">
        <f>'Resultater - Vestdanmark'!F297</f>
        <v>Majs</v>
      </c>
      <c r="G297" s="98" t="str">
        <f>'Resultater - Vestdanmark'!G297</f>
        <v>Ton</v>
      </c>
      <c r="H297" s="280" t="e">
        <f>'Resultater - Vestdanmark'!H297+'Resultater - Østdanmark'!H297</f>
        <v>#REF!</v>
      </c>
      <c r="I297" s="281" t="e">
        <f>'Resultater - Vestdanmark'!I297+'Resultater - Østdanmark'!I297</f>
        <v>#REF!</v>
      </c>
      <c r="J297" s="282" t="e">
        <f>'Resultater - Vestdanmark'!J297+'Resultater - Østdanmark'!J297</f>
        <v>#REF!</v>
      </c>
    </row>
    <row r="298" spans="1:10" x14ac:dyDescent="0.25">
      <c r="A298" s="98" t="str">
        <f>'Resultater - Vestdanmark'!A298</f>
        <v>Majsmark</v>
      </c>
      <c r="B298" s="98" t="str">
        <f>'Resultater - Vestdanmark'!B298</f>
        <v>Økologisk</v>
      </c>
      <c r="C298" s="98" t="str">
        <f>'Resultater - Vestdanmark'!C298</f>
        <v>OC12</v>
      </c>
      <c r="D298" s="98" t="str">
        <f>'Resultater - Vestdanmark'!D298</f>
        <v>Areal-majs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80" t="e">
        <f>'Resultater - Vestdanmark'!H298+'Resultater - Østdanmark'!H298</f>
        <v>#REF!</v>
      </c>
      <c r="I298" s="281" t="e">
        <f>'Resultater - Vestdanmark'!I298+'Resultater - Østdanmark'!I298</f>
        <v>#REF!</v>
      </c>
      <c r="J298" s="282" t="e">
        <f>'Resultater - Vestdanmark'!J298+'Resultater - Østdanmark'!J298</f>
        <v>#REF!</v>
      </c>
    </row>
    <row r="299" spans="1:10" x14ac:dyDescent="0.25">
      <c r="A299" s="98" t="str">
        <f>'Resultater - Vestdanmark'!A299</f>
        <v>Majsmark</v>
      </c>
      <c r="B299" s="98" t="str">
        <f>'Resultater - Vestdanmark'!B299</f>
        <v>Økologisk</v>
      </c>
      <c r="C299" s="98" t="str">
        <f>'Resultater - Vestdanmark'!C299</f>
        <v>OC12</v>
      </c>
      <c r="D299" s="98" t="str">
        <f>'Resultater - Vestdanmark'!D299</f>
        <v>Areal-majs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80" t="e">
        <f>'Resultater - Vestdanmark'!H299+'Resultater - Østdanmark'!H299</f>
        <v>#REF!</v>
      </c>
      <c r="I299" s="281" t="e">
        <f>'Resultater - Vestdanmark'!I299+'Resultater - Østdanmark'!I299</f>
        <v>#REF!</v>
      </c>
      <c r="J299" s="282" t="e">
        <f>'Resultater - Vestdanmark'!J299+'Resultater - Østdanmark'!J299</f>
        <v>#REF!</v>
      </c>
    </row>
    <row r="300" spans="1:10" x14ac:dyDescent="0.25">
      <c r="A300" s="98" t="str">
        <f>'Resultater - Vestdanmark'!A300</f>
        <v>Rapsmark</v>
      </c>
      <c r="B300" s="98" t="str">
        <f>'Resultater - Vestdanmark'!B300</f>
        <v>Konventionel</v>
      </c>
      <c r="C300" s="98" t="str">
        <f>'Resultater - Vestdanmark'!C300</f>
        <v>JB1-10</v>
      </c>
      <c r="D300" s="98" t="str">
        <f>'Resultater - Vestdanmark'!D300</f>
        <v>Areal-raps</v>
      </c>
      <c r="E300" s="98" t="str">
        <f>'Resultater - Vestdanmark'!E300</f>
        <v>Hektar</v>
      </c>
      <c r="F300" s="98" t="str">
        <f>'Resultater - Vestdanmark'!F300</f>
        <v>Raps</v>
      </c>
      <c r="G300" s="98" t="str">
        <f>'Resultater - Vestdanmark'!G300</f>
        <v>Ton</v>
      </c>
      <c r="H300" s="280" t="e">
        <f>'Resultater - Vestdanmark'!H300+'Resultater - Østdanmark'!H300</f>
        <v>#REF!</v>
      </c>
      <c r="I300" s="281" t="e">
        <f>'Resultater - Vestdanmark'!I300+'Resultater - Østdanmark'!I300</f>
        <v>#REF!</v>
      </c>
      <c r="J300" s="282" t="e">
        <f>'Resultater - Vestdanmark'!J300+'Resultater - Østdanmark'!J300</f>
        <v>#REF!</v>
      </c>
    </row>
    <row r="301" spans="1:10" x14ac:dyDescent="0.25">
      <c r="A301" s="98" t="str">
        <f>'Resultater - Vestdanmark'!A301</f>
        <v>Rapsmark</v>
      </c>
      <c r="B301" s="98" t="str">
        <f>'Resultater - Vestdanmark'!B301</f>
        <v>Konventionel</v>
      </c>
      <c r="C301" s="98" t="str">
        <f>'Resultater - Vestdanmark'!C301</f>
        <v>JB1-10</v>
      </c>
      <c r="D301" s="98" t="str">
        <f>'Resultater - Vestdanmark'!D301</f>
        <v>Areal-raps</v>
      </c>
      <c r="E301" s="98" t="str">
        <f>'Resultater - Vestdanmark'!E301</f>
        <v>Hektar</v>
      </c>
      <c r="F301" s="98" t="str">
        <f>'Resultater - Vestdanmark'!F301</f>
        <v>Halm</v>
      </c>
      <c r="G301" s="98" t="str">
        <f>'Resultater - Vestdanmark'!G301</f>
        <v>Ton</v>
      </c>
      <c r="H301" s="280" t="e">
        <f>'Resultater - Vestdanmark'!H301+'Resultater - Østdanmark'!H301</f>
        <v>#REF!</v>
      </c>
      <c r="I301" s="281" t="e">
        <f>'Resultater - Vestdanmark'!I301+'Resultater - Østdanmark'!I301</f>
        <v>#REF!</v>
      </c>
      <c r="J301" s="282" t="e">
        <f>'Resultater - Vestdanmark'!J301+'Resultater - Østdanmark'!J301</f>
        <v>#REF!</v>
      </c>
    </row>
    <row r="302" spans="1:10" x14ac:dyDescent="0.25">
      <c r="A302" s="98" t="str">
        <f>'Resultater - Vestdanmark'!A302</f>
        <v>Rapsmark</v>
      </c>
      <c r="B302" s="98" t="str">
        <f>'Resultater - Vestdanmark'!B302</f>
        <v>Konventionel</v>
      </c>
      <c r="C302" s="98" t="str">
        <f>'Resultater - Vestdanmark'!C302</f>
        <v>JB1-10</v>
      </c>
      <c r="D302" s="98" t="str">
        <f>'Resultater - Vestdanmark'!D302</f>
        <v>Areal-raps</v>
      </c>
      <c r="E302" s="98" t="str">
        <f>'Resultater - Vestdanmark'!E302</f>
        <v>Hektar</v>
      </c>
      <c r="F302" s="98" t="str">
        <f>'Resultater - Vestdanmark'!F302</f>
        <v>Gødning</v>
      </c>
      <c r="G302" s="98" t="str">
        <f>'Resultater - Vestdanmark'!G302</f>
        <v>kg N</v>
      </c>
      <c r="H302" s="280" t="e">
        <f>'Resultater - Vestdanmark'!H302+'Resultater - Østdanmark'!H302</f>
        <v>#REF!</v>
      </c>
      <c r="I302" s="281" t="e">
        <f>'Resultater - Vestdanmark'!I302+'Resultater - Østdanmark'!I302</f>
        <v>#REF!</v>
      </c>
      <c r="J302" s="282" t="e">
        <f>'Resultater - Vestdanmark'!J302+'Resultater - Østdanmark'!J302</f>
        <v>#REF!</v>
      </c>
    </row>
    <row r="303" spans="1:10" x14ac:dyDescent="0.25">
      <c r="A303" s="98" t="str">
        <f>'Resultater - Vestdanmark'!A303</f>
        <v>Rapsmark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Areal-raps</v>
      </c>
      <c r="E303" s="98" t="str">
        <f>'Resultater - Vestdanmark'!E303</f>
        <v>Hektar</v>
      </c>
      <c r="F303" s="98" t="str">
        <f>'Resultater - Vestdanmark'!F303</f>
        <v>CO2 - atmosfære</v>
      </c>
      <c r="G303" s="98" t="str">
        <f>'Resultater - Vestdanmark'!G303</f>
        <v>t CO2-ækvivalenter</v>
      </c>
      <c r="H303" s="280" t="e">
        <f>'Resultater - Vestdanmark'!H303+'Resultater - Østdanmark'!H303</f>
        <v>#REF!</v>
      </c>
      <c r="I303" s="281" t="e">
        <f>'Resultater - Vestdanmark'!I303+'Resultater - Østdanmark'!I303</f>
        <v>#REF!</v>
      </c>
      <c r="J303" s="282" t="e">
        <f>'Resultater - Vestdanmark'!J303+'Resultater - Østdanmark'!J303</f>
        <v>#REF!</v>
      </c>
    </row>
    <row r="304" spans="1:10" x14ac:dyDescent="0.25">
      <c r="A304" s="98" t="str">
        <f>'Resultater - Vestdanmark'!A304</f>
        <v>Rapsmark</v>
      </c>
      <c r="B304" s="98" t="str">
        <f>'Resultater - Vestdanmark'!B304</f>
        <v>Konventionel</v>
      </c>
      <c r="C304" s="98" t="str">
        <f>'Resultater - Vestdanmark'!C304</f>
        <v>OC6</v>
      </c>
      <c r="D304" s="98" t="str">
        <f>'Resultater - Vestdanmark'!D304</f>
        <v>Areal-raps</v>
      </c>
      <c r="E304" s="98" t="str">
        <f>'Resultater - Vestdanmark'!E304</f>
        <v>Hektar</v>
      </c>
      <c r="F304" s="98" t="str">
        <f>'Resultater - Vestdanmark'!F304</f>
        <v>Raps</v>
      </c>
      <c r="G304" s="98" t="str">
        <f>'Resultater - Vestdanmark'!G304</f>
        <v>Ton</v>
      </c>
      <c r="H304" s="280" t="e">
        <f>'Resultater - Vestdanmark'!H304+'Resultater - Østdanmark'!H304</f>
        <v>#REF!</v>
      </c>
      <c r="I304" s="281" t="e">
        <f>'Resultater - Vestdanmark'!I304+'Resultater - Østdanmark'!I304</f>
        <v>#REF!</v>
      </c>
      <c r="J304" s="282" t="e">
        <f>'Resultater - Vestdanmark'!J304+'Resultater - Østdanmark'!J304</f>
        <v>#REF!</v>
      </c>
    </row>
    <row r="305" spans="1:10" x14ac:dyDescent="0.25">
      <c r="A305" s="98" t="str">
        <f>'Resultater - Vestdanmark'!A305</f>
        <v>Rapsmark</v>
      </c>
      <c r="B305" s="98" t="str">
        <f>'Resultater - Vestdanmark'!B305</f>
        <v>Konventionel</v>
      </c>
      <c r="C305" s="98" t="str">
        <f>'Resultater - Vestdanmark'!C305</f>
        <v>OC6</v>
      </c>
      <c r="D305" s="98" t="str">
        <f>'Resultater - Vestdanmark'!D305</f>
        <v>Areal-raps</v>
      </c>
      <c r="E305" s="98" t="str">
        <f>'Resultater - Vestdanmark'!E305</f>
        <v>Hektar</v>
      </c>
      <c r="F305" s="98" t="str">
        <f>'Resultater - Vestdanmark'!F305</f>
        <v>Halm</v>
      </c>
      <c r="G305" s="98" t="str">
        <f>'Resultater - Vestdanmark'!G305</f>
        <v>Ton</v>
      </c>
      <c r="H305" s="280" t="e">
        <f>'Resultater - Vestdanmark'!H305+'Resultater - Østdanmark'!H305</f>
        <v>#REF!</v>
      </c>
      <c r="I305" s="281" t="e">
        <f>'Resultater - Vestdanmark'!I305+'Resultater - Østdanmark'!I305</f>
        <v>#REF!</v>
      </c>
      <c r="J305" s="282" t="e">
        <f>'Resultater - Vestdanmark'!J305+'Resultater - Østdanmark'!J305</f>
        <v>#REF!</v>
      </c>
    </row>
    <row r="306" spans="1:10" x14ac:dyDescent="0.25">
      <c r="A306" s="98" t="str">
        <f>'Resultater - Vestdanmark'!A306</f>
        <v>Rapsmark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Areal-raps</v>
      </c>
      <c r="E306" s="98" t="str">
        <f>'Resultater - Vestdanmark'!E306</f>
        <v>Hektar</v>
      </c>
      <c r="F306" s="98" t="str">
        <f>'Resultater - Vestdanmark'!F306</f>
        <v>Gødning</v>
      </c>
      <c r="G306" s="98" t="str">
        <f>'Resultater - Vestdanmark'!G306</f>
        <v>kg N</v>
      </c>
      <c r="H306" s="280" t="e">
        <f>'Resultater - Vestdanmark'!H306+'Resultater - Østdanmark'!H306</f>
        <v>#REF!</v>
      </c>
      <c r="I306" s="281" t="e">
        <f>'Resultater - Vestdanmark'!I306+'Resultater - Østdanmark'!I306</f>
        <v>#REF!</v>
      </c>
      <c r="J306" s="282" t="e">
        <f>'Resultater - Vestdanmark'!J306+'Resultater - Østdanmark'!J306</f>
        <v>#REF!</v>
      </c>
    </row>
    <row r="307" spans="1:10" x14ac:dyDescent="0.25">
      <c r="A307" s="98" t="str">
        <f>'Resultater - Vestdanmark'!A307</f>
        <v>Rapsmark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Areal-raps</v>
      </c>
      <c r="E307" s="98" t="str">
        <f>'Resultater - Vestdanmark'!E307</f>
        <v>Hektar</v>
      </c>
      <c r="F307" s="98" t="str">
        <f>'Resultater - Vestdanmark'!F307</f>
        <v>CO2 - atmosfære</v>
      </c>
      <c r="G307" s="98" t="str">
        <f>'Resultater - Vestdanmark'!G307</f>
        <v>t CO2-ækvivalenter</v>
      </c>
      <c r="H307" s="280" t="e">
        <f>'Resultater - Vestdanmark'!H307+'Resultater - Østdanmark'!H307</f>
        <v>#REF!</v>
      </c>
      <c r="I307" s="281" t="e">
        <f>'Resultater - Vestdanmark'!I307+'Resultater - Østdanmark'!I307</f>
        <v>#REF!</v>
      </c>
      <c r="J307" s="282" t="e">
        <f>'Resultater - Vestdanmark'!J307+'Resultater - Østdanmark'!J307</f>
        <v>#REF!</v>
      </c>
    </row>
    <row r="308" spans="1:10" x14ac:dyDescent="0.25">
      <c r="A308" s="98" t="str">
        <f>'Resultater - Vestdanmark'!A308</f>
        <v>Rapsmark</v>
      </c>
      <c r="B308" s="98" t="str">
        <f>'Resultater - Vestdanmark'!B308</f>
        <v>Konventionel</v>
      </c>
      <c r="C308" s="98" t="str">
        <f>'Resultater - Vestdanmark'!C308</f>
        <v>OC12</v>
      </c>
      <c r="D308" s="98" t="str">
        <f>'Resultater - Vestdanmark'!D308</f>
        <v>Areal-raps</v>
      </c>
      <c r="E308" s="98" t="str">
        <f>'Resultater - Vestdanmark'!E308</f>
        <v>Hektar</v>
      </c>
      <c r="F308" s="98" t="str">
        <f>'Resultater - Vestdanmark'!F308</f>
        <v>Raps</v>
      </c>
      <c r="G308" s="98" t="str">
        <f>'Resultater - Vestdanmark'!G308</f>
        <v>Ton</v>
      </c>
      <c r="H308" s="280" t="e">
        <f>'Resultater - Vestdanmark'!H308+'Resultater - Østdanmark'!H308</f>
        <v>#REF!</v>
      </c>
      <c r="I308" s="281" t="e">
        <f>'Resultater - Vestdanmark'!I308+'Resultater - Østdanmark'!I308</f>
        <v>#REF!</v>
      </c>
      <c r="J308" s="282" t="e">
        <f>'Resultater - Vestdanmark'!J308+'Resultater - Østdanmark'!J308</f>
        <v>#REF!</v>
      </c>
    </row>
    <row r="309" spans="1:10" x14ac:dyDescent="0.25">
      <c r="A309" s="98" t="str">
        <f>'Resultater - Vestdanmark'!A309</f>
        <v>Rapsmark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Areal-raps</v>
      </c>
      <c r="E309" s="98" t="str">
        <f>'Resultater - Vestdanmark'!E309</f>
        <v>Hektar</v>
      </c>
      <c r="F309" s="98" t="str">
        <f>'Resultater - Vestdanmark'!F309</f>
        <v>Halm</v>
      </c>
      <c r="G309" s="98" t="str">
        <f>'Resultater - Vestdanmark'!G309</f>
        <v>Ton</v>
      </c>
      <c r="H309" s="280" t="e">
        <f>'Resultater - Vestdanmark'!H309+'Resultater - Østdanmark'!H309</f>
        <v>#REF!</v>
      </c>
      <c r="I309" s="281" t="e">
        <f>'Resultater - Vestdanmark'!I309+'Resultater - Østdanmark'!I309</f>
        <v>#REF!</v>
      </c>
      <c r="J309" s="282" t="e">
        <f>'Resultater - Vestdanmark'!J309+'Resultater - Østdanmark'!J309</f>
        <v>#REF!</v>
      </c>
    </row>
    <row r="310" spans="1:10" x14ac:dyDescent="0.25">
      <c r="A310" s="98" t="str">
        <f>'Resultater - Vestdanmark'!A310</f>
        <v>Rapsmark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Areal-raps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80" t="e">
        <f>'Resultater - Vestdanmark'!H310+'Resultater - Østdanmark'!H310</f>
        <v>#REF!</v>
      </c>
      <c r="I310" s="281" t="e">
        <f>'Resultater - Vestdanmark'!I310+'Resultater - Østdanmark'!I310</f>
        <v>#REF!</v>
      </c>
      <c r="J310" s="282" t="e">
        <f>'Resultater - Vestdanmark'!J310+'Resultater - Østdanmark'!J310</f>
        <v>#REF!</v>
      </c>
    </row>
    <row r="311" spans="1:10" x14ac:dyDescent="0.25">
      <c r="A311" s="98" t="str">
        <f>'Resultater - Vestdanmark'!A311</f>
        <v>Rapsmark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Areal-raps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80" t="e">
        <f>'Resultater - Vestdanmark'!H311+'Resultater - Østdanmark'!H311</f>
        <v>#REF!</v>
      </c>
      <c r="I311" s="281" t="e">
        <f>'Resultater - Vestdanmark'!I311+'Resultater - Østdanmark'!I311</f>
        <v>#REF!</v>
      </c>
      <c r="J311" s="282" t="e">
        <f>'Resultater - Vestdanmark'!J311+'Resultater - Østdanmark'!J311</f>
        <v>#REF!</v>
      </c>
    </row>
    <row r="312" spans="1:10" x14ac:dyDescent="0.25">
      <c r="A312" s="98" t="str">
        <f>'Resultater - Vestdanmark'!A312</f>
        <v>Rapsmark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Areal-raps</v>
      </c>
      <c r="E312" s="98" t="str">
        <f>'Resultater - Vestdanmark'!E312</f>
        <v>Hektar</v>
      </c>
      <c r="F312" s="98" t="str">
        <f>'Resultater - Vestdanmark'!F312</f>
        <v>Raps</v>
      </c>
      <c r="G312" s="98" t="str">
        <f>'Resultater - Vestdanmark'!G312</f>
        <v>Ton</v>
      </c>
      <c r="H312" s="280" t="e">
        <f>'Resultater - Vestdanmark'!H312+'Resultater - Østdanmark'!H312</f>
        <v>#REF!</v>
      </c>
      <c r="I312" s="281" t="e">
        <f>'Resultater - Vestdanmark'!I312+'Resultater - Østdanmark'!I312</f>
        <v>#REF!</v>
      </c>
      <c r="J312" s="282" t="e">
        <f>'Resultater - Vestdanmark'!J312+'Resultater - Østdanmark'!J312</f>
        <v>#REF!</v>
      </c>
    </row>
    <row r="313" spans="1:10" x14ac:dyDescent="0.25">
      <c r="A313" s="98" t="str">
        <f>'Resultater - Vestdanmark'!A313</f>
        <v>Rapsmark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Areal-raps</v>
      </c>
      <c r="E313" s="98" t="str">
        <f>'Resultater - Vestdanmark'!E313</f>
        <v>Hektar</v>
      </c>
      <c r="F313" s="98" t="str">
        <f>'Resultater - Vestdanmark'!F313</f>
        <v>Halm</v>
      </c>
      <c r="G313" s="98" t="str">
        <f>'Resultater - Vestdanmark'!G313</f>
        <v>Ton</v>
      </c>
      <c r="H313" s="280" t="e">
        <f>'Resultater - Vestdanmark'!H313+'Resultater - Østdanmark'!H313</f>
        <v>#REF!</v>
      </c>
      <c r="I313" s="281" t="e">
        <f>'Resultater - Vestdanmark'!I313+'Resultater - Østdanmark'!I313</f>
        <v>#REF!</v>
      </c>
      <c r="J313" s="282" t="e">
        <f>'Resultater - Vestdanmark'!J313+'Resultater - Østdanmark'!J313</f>
        <v>#REF!</v>
      </c>
    </row>
    <row r="314" spans="1:10" x14ac:dyDescent="0.25">
      <c r="A314" s="98" t="str">
        <f>'Resultater - Vestdanmark'!A314</f>
        <v>Rapsmark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Areal-raps</v>
      </c>
      <c r="E314" s="98" t="str">
        <f>'Resultater - Vestdanmark'!E314</f>
        <v>Hektar</v>
      </c>
      <c r="F314" s="98" t="str">
        <f>'Resultater - Vestdanmark'!F314</f>
        <v>Gødning</v>
      </c>
      <c r="G314" s="98" t="str">
        <f>'Resultater - Vestdanmark'!G314</f>
        <v>kg N</v>
      </c>
      <c r="H314" s="280" t="e">
        <f>'Resultater - Vestdanmark'!H314+'Resultater - Østdanmark'!H314</f>
        <v>#REF!</v>
      </c>
      <c r="I314" s="281" t="e">
        <f>'Resultater - Vestdanmark'!I314+'Resultater - Østdanmark'!I314</f>
        <v>#REF!</v>
      </c>
      <c r="J314" s="282" t="e">
        <f>'Resultater - Vestdanmark'!J314+'Resultater - Østdanmark'!J314</f>
        <v>#REF!</v>
      </c>
    </row>
    <row r="315" spans="1:10" x14ac:dyDescent="0.25">
      <c r="A315" s="98" t="str">
        <f>'Resultater - Vestdanmark'!A315</f>
        <v>Rapsmark</v>
      </c>
      <c r="B315" s="98" t="str">
        <f>'Resultater - Vestdanmark'!B315</f>
        <v>Økologisk</v>
      </c>
      <c r="C315" s="98" t="str">
        <f>'Resultater - Vestdanmark'!C315</f>
        <v>JB1-10</v>
      </c>
      <c r="D315" s="98" t="str">
        <f>'Resultater - Vestdanmark'!D315</f>
        <v>Areal-raps</v>
      </c>
      <c r="E315" s="98" t="str">
        <f>'Resultater - Vestdanmark'!E315</f>
        <v>Hektar</v>
      </c>
      <c r="F315" s="98" t="str">
        <f>'Resultater - Vestdanmark'!F315</f>
        <v>CO2 - atmosfære</v>
      </c>
      <c r="G315" s="98" t="str">
        <f>'Resultater - Vestdanmark'!G315</f>
        <v>t CO2-ækvivalenter</v>
      </c>
      <c r="H315" s="280" t="e">
        <f>'Resultater - Vestdanmark'!H315+'Resultater - Østdanmark'!H315</f>
        <v>#REF!</v>
      </c>
      <c r="I315" s="281" t="e">
        <f>'Resultater - Vestdanmark'!I315+'Resultater - Østdanmark'!I315</f>
        <v>#REF!</v>
      </c>
      <c r="J315" s="282" t="e">
        <f>'Resultater - Vestdanmark'!J315+'Resultater - Østdanmark'!J315</f>
        <v>#REF!</v>
      </c>
    </row>
    <row r="316" spans="1:10" x14ac:dyDescent="0.25">
      <c r="A316" s="98" t="str">
        <f>'Resultater - Vestdanmark'!A316</f>
        <v>Rapsmark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Areal-raps</v>
      </c>
      <c r="E316" s="98" t="str">
        <f>'Resultater - Vestdanmark'!E316</f>
        <v>Hektar</v>
      </c>
      <c r="F316" s="98" t="str">
        <f>'Resultater - Vestdanmark'!F316</f>
        <v>Raps</v>
      </c>
      <c r="G316" s="98" t="str">
        <f>'Resultater - Vestdanmark'!G316</f>
        <v>Ton</v>
      </c>
      <c r="H316" s="280" t="e">
        <f>'Resultater - Vestdanmark'!H316+'Resultater - Østdanmark'!H316</f>
        <v>#REF!</v>
      </c>
      <c r="I316" s="281" t="e">
        <f>'Resultater - Vestdanmark'!I316+'Resultater - Østdanmark'!I316</f>
        <v>#REF!</v>
      </c>
      <c r="J316" s="282" t="e">
        <f>'Resultater - Vestdanmark'!J316+'Resultater - Østdanmark'!J316</f>
        <v>#REF!</v>
      </c>
    </row>
    <row r="317" spans="1:10" x14ac:dyDescent="0.25">
      <c r="A317" s="98" t="str">
        <f>'Resultater - Vestdanmark'!A317</f>
        <v>Rapsmark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Areal-raps</v>
      </c>
      <c r="E317" s="98" t="str">
        <f>'Resultater - Vestdanmark'!E317</f>
        <v>Hektar</v>
      </c>
      <c r="F317" s="98" t="str">
        <f>'Resultater - Vestdanmark'!F317</f>
        <v>Halm</v>
      </c>
      <c r="G317" s="98" t="str">
        <f>'Resultater - Vestdanmark'!G317</f>
        <v>Ton</v>
      </c>
      <c r="H317" s="280" t="e">
        <f>'Resultater - Vestdanmark'!H317+'Resultater - Østdanmark'!H317</f>
        <v>#REF!</v>
      </c>
      <c r="I317" s="281" t="e">
        <f>'Resultater - Vestdanmark'!I317+'Resultater - Østdanmark'!I317</f>
        <v>#REF!</v>
      </c>
      <c r="J317" s="282" t="e">
        <f>'Resultater - Vestdanmark'!J317+'Resultater - Østdanmark'!J317</f>
        <v>#REF!</v>
      </c>
    </row>
    <row r="318" spans="1:10" x14ac:dyDescent="0.25">
      <c r="A318" s="98" t="str">
        <f>'Resultater - Vestdanmark'!A318</f>
        <v>Rapsmark</v>
      </c>
      <c r="B318" s="98" t="str">
        <f>'Resultater - Vestdanmark'!B318</f>
        <v>Økologisk</v>
      </c>
      <c r="C318" s="98" t="str">
        <f>'Resultater - Vestdanmark'!C318</f>
        <v>OC6</v>
      </c>
      <c r="D318" s="98" t="str">
        <f>'Resultater - Vestdanmark'!D318</f>
        <v>Areal-raps</v>
      </c>
      <c r="E318" s="98" t="str">
        <f>'Resultater - Vestdanmark'!E318</f>
        <v>Hektar</v>
      </c>
      <c r="F318" s="98" t="str">
        <f>'Resultater - Vestdanmark'!F318</f>
        <v>Gødning</v>
      </c>
      <c r="G318" s="98" t="str">
        <f>'Resultater - Vestdanmark'!G318</f>
        <v>kg N</v>
      </c>
      <c r="H318" s="280" t="e">
        <f>'Resultater - Vestdanmark'!H318+'Resultater - Østdanmark'!H318</f>
        <v>#REF!</v>
      </c>
      <c r="I318" s="281" t="e">
        <f>'Resultater - Vestdanmark'!I318+'Resultater - Østdanmark'!I318</f>
        <v>#REF!</v>
      </c>
      <c r="J318" s="282" t="e">
        <f>'Resultater - Vestdanmark'!J318+'Resultater - Østdanmark'!J318</f>
        <v>#REF!</v>
      </c>
    </row>
    <row r="319" spans="1:10" x14ac:dyDescent="0.25">
      <c r="A319" s="98" t="str">
        <f>'Resultater - Vestdanmark'!A319</f>
        <v>Rapsmark</v>
      </c>
      <c r="B319" s="98" t="str">
        <f>'Resultater - Vestdanmark'!B319</f>
        <v>Økologisk</v>
      </c>
      <c r="C319" s="98" t="str">
        <f>'Resultater - Vestdanmark'!C319</f>
        <v>OC6</v>
      </c>
      <c r="D319" s="98" t="str">
        <f>'Resultater - Vestdanmark'!D319</f>
        <v>Areal-raps</v>
      </c>
      <c r="E319" s="98" t="str">
        <f>'Resultater - Vestdanmark'!E319</f>
        <v>Hektar</v>
      </c>
      <c r="F319" s="98" t="str">
        <f>'Resultater - Vestdanmark'!F319</f>
        <v>CO2 - atmosfære</v>
      </c>
      <c r="G319" s="98" t="str">
        <f>'Resultater - Vestdanmark'!G319</f>
        <v>t CO2-ækvivalenter</v>
      </c>
      <c r="H319" s="280" t="e">
        <f>'Resultater - Vestdanmark'!H319+'Resultater - Østdanmark'!H319</f>
        <v>#REF!</v>
      </c>
      <c r="I319" s="281" t="e">
        <f>'Resultater - Vestdanmark'!I319+'Resultater - Østdanmark'!I319</f>
        <v>#REF!</v>
      </c>
      <c r="J319" s="282" t="e">
        <f>'Resultater - Vestdanmark'!J319+'Resultater - Østdanmark'!J319</f>
        <v>#REF!</v>
      </c>
    </row>
    <row r="320" spans="1:10" x14ac:dyDescent="0.25">
      <c r="A320" s="98" t="str">
        <f>'Resultater - Vestdanmark'!A320</f>
        <v>Rapsmark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Areal-raps</v>
      </c>
      <c r="E320" s="98" t="str">
        <f>'Resultater - Vestdanmark'!E320</f>
        <v>Hektar</v>
      </c>
      <c r="F320" s="98" t="str">
        <f>'Resultater - Vestdanmark'!F320</f>
        <v>Raps</v>
      </c>
      <c r="G320" s="98" t="str">
        <f>'Resultater - Vestdanmark'!G320</f>
        <v>Ton</v>
      </c>
      <c r="H320" s="280" t="e">
        <f>'Resultater - Vestdanmark'!H320+'Resultater - Østdanmark'!H320</f>
        <v>#REF!</v>
      </c>
      <c r="I320" s="281" t="e">
        <f>'Resultater - Vestdanmark'!I320+'Resultater - Østdanmark'!I320</f>
        <v>#REF!</v>
      </c>
      <c r="J320" s="282" t="e">
        <f>'Resultater - Vestdanmark'!J320+'Resultater - Østdanmark'!J320</f>
        <v>#REF!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Økologisk</v>
      </c>
      <c r="C321" s="98" t="str">
        <f>'Resultater - Vestdanmark'!C321</f>
        <v>OC12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Halm</v>
      </c>
      <c r="G321" s="98" t="str">
        <f>'Resultater - Vestdanmark'!G321</f>
        <v>Ton</v>
      </c>
      <c r="H321" s="280" t="e">
        <f>'Resultater - Vestdanmark'!H321+'Resultater - Østdanmark'!H321</f>
        <v>#REF!</v>
      </c>
      <c r="I321" s="281" t="e">
        <f>'Resultater - Vestdanmark'!I321+'Resultater - Østdanmark'!I321</f>
        <v>#REF!</v>
      </c>
      <c r="J321" s="282" t="e">
        <f>'Resultater - Vestdanmark'!J321+'Resultater - Østdanmark'!J321</f>
        <v>#REF!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Økologisk</v>
      </c>
      <c r="C322" s="98" t="str">
        <f>'Resultater - Vestdanmark'!C322</f>
        <v>OC12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Gødning</v>
      </c>
      <c r="G322" s="98" t="str">
        <f>'Resultater - Vestdanmark'!G322</f>
        <v>kg N</v>
      </c>
      <c r="H322" s="280" t="e">
        <f>'Resultater - Vestdanmark'!H322+'Resultater - Østdanmark'!H322</f>
        <v>#REF!</v>
      </c>
      <c r="I322" s="281" t="e">
        <f>'Resultater - Vestdanmark'!I322+'Resultater - Østdanmark'!I322</f>
        <v>#REF!</v>
      </c>
      <c r="J322" s="282" t="e">
        <f>'Resultater - Vestdanmark'!J322+'Resultater - Østdanmark'!J322</f>
        <v>#REF!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Økologisk</v>
      </c>
      <c r="C323" s="98" t="str">
        <f>'Resultater - Vestdanmark'!C323</f>
        <v>OC12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CO2 - atmosfære</v>
      </c>
      <c r="G323" s="98" t="str">
        <f>'Resultater - Vestdanmark'!G323</f>
        <v>t CO2-ækvivalenter</v>
      </c>
      <c r="H323" s="280" t="e">
        <f>'Resultater - Vestdanmark'!H323+'Resultater - Østdanmark'!H323</f>
        <v>#REF!</v>
      </c>
      <c r="I323" s="281" t="e">
        <f>'Resultater - Vestdanmark'!I323+'Resultater - Østdanmark'!I323</f>
        <v>#REF!</v>
      </c>
      <c r="J323" s="282" t="e">
        <f>'Resultater - Vestdanmark'!J323+'Resultater - Østdanmark'!J323</f>
        <v>#REF!</v>
      </c>
    </row>
    <row r="324" spans="1:10" x14ac:dyDescent="0.25">
      <c r="A324" s="98" t="str">
        <f>'Resultater - Vestdanmark'!A324</f>
        <v>Frøgræsmark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Areal-frøgræs</v>
      </c>
      <c r="E324" s="98" t="str">
        <f>'Resultater - Vestdanmark'!E324</f>
        <v>Hektar</v>
      </c>
      <c r="F324" s="98" t="str">
        <f>'Resultater - Vestdanmark'!F324</f>
        <v>Frø</v>
      </c>
      <c r="G324" s="98" t="str">
        <f>'Resultater - Vestdanmark'!G324</f>
        <v>Ton</v>
      </c>
      <c r="H324" s="280" t="e">
        <f>'Resultater - Vestdanmark'!H324+'Resultater - Østdanmark'!H324</f>
        <v>#REF!</v>
      </c>
      <c r="I324" s="281" t="e">
        <f>'Resultater - Vestdanmark'!I324+'Resultater - Østdanmark'!I324</f>
        <v>#REF!</v>
      </c>
      <c r="J324" s="282" t="e">
        <f>'Resultater - Vestdanmark'!J324+'Resultater - Østdanmark'!J324</f>
        <v>#REF!</v>
      </c>
    </row>
    <row r="325" spans="1:10" x14ac:dyDescent="0.25">
      <c r="A325" s="98" t="str">
        <f>'Resultater - Vestdanmark'!A325</f>
        <v>Frøgræsmark</v>
      </c>
      <c r="B325" s="98" t="str">
        <f>'Resultater - Vestdanmark'!B325</f>
        <v>Konventionel</v>
      </c>
      <c r="C325" s="98" t="str">
        <f>'Resultater - Vestdanmark'!C325</f>
        <v>JB1-10</v>
      </c>
      <c r="D325" s="98" t="str">
        <f>'Resultater - Vestdanmark'!D325</f>
        <v>Areal-frøgræs</v>
      </c>
      <c r="E325" s="98" t="str">
        <f>'Resultater - Vestdanmark'!E325</f>
        <v>Hektar</v>
      </c>
      <c r="F325" s="98" t="str">
        <f>'Resultater - Vestdanmark'!F325</f>
        <v>Halm</v>
      </c>
      <c r="G325" s="98" t="str">
        <f>'Resultater - Vestdanmark'!G325</f>
        <v>Ton</v>
      </c>
      <c r="H325" s="280" t="e">
        <f>'Resultater - Vestdanmark'!H325+'Resultater - Østdanmark'!H325</f>
        <v>#REF!</v>
      </c>
      <c r="I325" s="281" t="e">
        <f>'Resultater - Vestdanmark'!I325+'Resultater - Østdanmark'!I325</f>
        <v>#REF!</v>
      </c>
      <c r="J325" s="282" t="e">
        <f>'Resultater - Vestdanmark'!J325+'Resultater - Østdanmark'!J325</f>
        <v>#REF!</v>
      </c>
    </row>
    <row r="326" spans="1:10" x14ac:dyDescent="0.25">
      <c r="A326" s="98" t="str">
        <f>'Resultater - Vestdanmark'!A326</f>
        <v>Frøgræsmark</v>
      </c>
      <c r="B326" s="98" t="str">
        <f>'Resultater - Vestdanmark'!B326</f>
        <v>Konventionel</v>
      </c>
      <c r="C326" s="98" t="str">
        <f>'Resultater - Vestdanmark'!C326</f>
        <v>JB1-10</v>
      </c>
      <c r="D326" s="98" t="str">
        <f>'Resultater - Vestdanmark'!D326</f>
        <v>Areal-frøgræs</v>
      </c>
      <c r="E326" s="98" t="str">
        <f>'Resultater - Vestdanmark'!E326</f>
        <v>Hektar</v>
      </c>
      <c r="F326" s="98" t="str">
        <f>'Resultater - Vestdanmark'!F326</f>
        <v>Gødning</v>
      </c>
      <c r="G326" s="98" t="str">
        <f>'Resultater - Vestdanmark'!G326</f>
        <v>kg N</v>
      </c>
      <c r="H326" s="280" t="e">
        <f>'Resultater - Vestdanmark'!H326+'Resultater - Østdanmark'!H326</f>
        <v>#REF!</v>
      </c>
      <c r="I326" s="281" t="e">
        <f>'Resultater - Vestdanmark'!I326+'Resultater - Østdanmark'!I326</f>
        <v>#REF!</v>
      </c>
      <c r="J326" s="282" t="e">
        <f>'Resultater - Vestdanmark'!J326+'Resultater - Østdanmark'!J326</f>
        <v>#REF!</v>
      </c>
    </row>
    <row r="327" spans="1:10" x14ac:dyDescent="0.25">
      <c r="A327" s="98" t="str">
        <f>'Resultater - Vestdanmark'!A327</f>
        <v>Frøgræsmark</v>
      </c>
      <c r="B327" s="98" t="str">
        <f>'Resultater - Vestdanmark'!B327</f>
        <v>Konventionel</v>
      </c>
      <c r="C327" s="98" t="str">
        <f>'Resultater - Vestdanmark'!C327</f>
        <v>JB1-10</v>
      </c>
      <c r="D327" s="98" t="str">
        <f>'Resultater - Vestdanmark'!D327</f>
        <v>Areal-frøgræs</v>
      </c>
      <c r="E327" s="98" t="str">
        <f>'Resultater - Vestdanmark'!E327</f>
        <v>Hektar</v>
      </c>
      <c r="F327" s="98" t="str">
        <f>'Resultater - Vestdanmark'!F327</f>
        <v>CO2 - atmosfære</v>
      </c>
      <c r="G327" s="98" t="str">
        <f>'Resultater - Vestdanmark'!G327</f>
        <v>t CO2-ækvivalenter</v>
      </c>
      <c r="H327" s="280" t="e">
        <f>'Resultater - Vestdanmark'!H327+'Resultater - Østdanmark'!H327</f>
        <v>#REF!</v>
      </c>
      <c r="I327" s="281" t="e">
        <f>'Resultater - Vestdanmark'!I327+'Resultater - Østdanmark'!I327</f>
        <v>#REF!</v>
      </c>
      <c r="J327" s="282" t="e">
        <f>'Resultater - Vestdanmark'!J327+'Resultater - Østdanmark'!J327</f>
        <v>#REF!</v>
      </c>
    </row>
    <row r="328" spans="1:10" x14ac:dyDescent="0.25">
      <c r="A328" s="98" t="str">
        <f>'Resultater - Vestdanmark'!A328</f>
        <v>Frøgræsmark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Areal-frøgræs</v>
      </c>
      <c r="E328" s="98" t="str">
        <f>'Resultater - Vestdanmark'!E328</f>
        <v>Hektar</v>
      </c>
      <c r="F328" s="98" t="str">
        <f>'Resultater - Vestdanmark'!F328</f>
        <v>Frø</v>
      </c>
      <c r="G328" s="98" t="str">
        <f>'Resultater - Vestdanmark'!G328</f>
        <v>Ton</v>
      </c>
      <c r="H328" s="280" t="e">
        <f>'Resultater - Vestdanmark'!H328+'Resultater - Østdanmark'!H328</f>
        <v>#REF!</v>
      </c>
      <c r="I328" s="281" t="e">
        <f>'Resultater - Vestdanmark'!I328+'Resultater - Østdanmark'!I328</f>
        <v>#REF!</v>
      </c>
      <c r="J328" s="282" t="e">
        <f>'Resultater - Vestdanmark'!J328+'Resultater - Østdanmark'!J328</f>
        <v>#REF!</v>
      </c>
    </row>
    <row r="329" spans="1:10" x14ac:dyDescent="0.25">
      <c r="A329" s="98" t="str">
        <f>'Resultater - Vestdanmark'!A329</f>
        <v>Frøgræsmark</v>
      </c>
      <c r="B329" s="98" t="str">
        <f>'Resultater - Vestdanmark'!B329</f>
        <v>Konventionel</v>
      </c>
      <c r="C329" s="98" t="str">
        <f>'Resultater - Vestdanmark'!C329</f>
        <v>OC6</v>
      </c>
      <c r="D329" s="98" t="str">
        <f>'Resultater - Vestdanmark'!D329</f>
        <v>Areal-frøgræs</v>
      </c>
      <c r="E329" s="98" t="str">
        <f>'Resultater - Vestdanmark'!E329</f>
        <v>Hektar</v>
      </c>
      <c r="F329" s="98" t="str">
        <f>'Resultater - Vestdanmark'!F329</f>
        <v>Halm</v>
      </c>
      <c r="G329" s="98" t="str">
        <f>'Resultater - Vestdanmark'!G329</f>
        <v>Ton</v>
      </c>
      <c r="H329" s="280" t="e">
        <f>'Resultater - Vestdanmark'!H329+'Resultater - Østdanmark'!H329</f>
        <v>#REF!</v>
      </c>
      <c r="I329" s="281" t="e">
        <f>'Resultater - Vestdanmark'!I329+'Resultater - Østdanmark'!I329</f>
        <v>#REF!</v>
      </c>
      <c r="J329" s="282" t="e">
        <f>'Resultater - Vestdanmark'!J329+'Resultater - Østdanmark'!J329</f>
        <v>#REF!</v>
      </c>
    </row>
    <row r="330" spans="1:10" x14ac:dyDescent="0.25">
      <c r="A330" s="98" t="str">
        <f>'Resultater - Vestdanmark'!A330</f>
        <v>Frøgræsmark</v>
      </c>
      <c r="B330" s="98" t="str">
        <f>'Resultater - Vestdanmark'!B330</f>
        <v>Konventionel</v>
      </c>
      <c r="C330" s="98" t="str">
        <f>'Resultater - Vestdanmark'!C330</f>
        <v>OC6</v>
      </c>
      <c r="D330" s="98" t="str">
        <f>'Resultater - Vestdanmark'!D330</f>
        <v>Areal-frøgræs</v>
      </c>
      <c r="E330" s="98" t="str">
        <f>'Resultater - Vestdanmark'!E330</f>
        <v>Hektar</v>
      </c>
      <c r="F330" s="98" t="str">
        <f>'Resultater - Vestdanmark'!F330</f>
        <v>Gødning</v>
      </c>
      <c r="G330" s="98" t="str">
        <f>'Resultater - Vestdanmark'!G330</f>
        <v>kg N</v>
      </c>
      <c r="H330" s="280" t="e">
        <f>'Resultater - Vestdanmark'!H330+'Resultater - Østdanmark'!H330</f>
        <v>#REF!</v>
      </c>
      <c r="I330" s="281" t="e">
        <f>'Resultater - Vestdanmark'!I330+'Resultater - Østdanmark'!I330</f>
        <v>#REF!</v>
      </c>
      <c r="J330" s="282" t="e">
        <f>'Resultater - Vestdanmark'!J330+'Resultater - Østdanmark'!J330</f>
        <v>#REF!</v>
      </c>
    </row>
    <row r="331" spans="1:10" x14ac:dyDescent="0.25">
      <c r="A331" s="98" t="str">
        <f>'Resultater - Vestdanmark'!A331</f>
        <v>Frøgræsmark</v>
      </c>
      <c r="B331" s="98" t="str">
        <f>'Resultater - Vestdanmark'!B331</f>
        <v>Konventionel</v>
      </c>
      <c r="C331" s="98" t="str">
        <f>'Resultater - Vestdanmark'!C331</f>
        <v>OC6</v>
      </c>
      <c r="D331" s="98" t="str">
        <f>'Resultater - Vestdanmark'!D331</f>
        <v>Areal-frøgræs</v>
      </c>
      <c r="E331" s="98" t="str">
        <f>'Resultater - Vestdanmark'!E331</f>
        <v>Hektar</v>
      </c>
      <c r="F331" s="98" t="str">
        <f>'Resultater - Vestdanmark'!F331</f>
        <v>CO2 - atmosfære</v>
      </c>
      <c r="G331" s="98" t="str">
        <f>'Resultater - Vestdanmark'!G331</f>
        <v>t CO2-ækvivalenter</v>
      </c>
      <c r="H331" s="280" t="e">
        <f>'Resultater - Vestdanmark'!H331+'Resultater - Østdanmark'!H331</f>
        <v>#REF!</v>
      </c>
      <c r="I331" s="281" t="e">
        <f>'Resultater - Vestdanmark'!I331+'Resultater - Østdanmark'!I331</f>
        <v>#REF!</v>
      </c>
      <c r="J331" s="282" t="e">
        <f>'Resultater - Vestdanmark'!J331+'Resultater - Østdanmark'!J331</f>
        <v>#REF!</v>
      </c>
    </row>
    <row r="332" spans="1:10" x14ac:dyDescent="0.25">
      <c r="A332" s="98" t="str">
        <f>'Resultater - Vestdanmark'!A332</f>
        <v>Frøgræsmark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Areal-frøgræs</v>
      </c>
      <c r="E332" s="98" t="str">
        <f>'Resultater - Vestdanmark'!E332</f>
        <v>Hektar</v>
      </c>
      <c r="F332" s="98" t="str">
        <f>'Resultater - Vestdanmark'!F332</f>
        <v>Frø</v>
      </c>
      <c r="G332" s="98" t="str">
        <f>'Resultater - Vestdanmark'!G332</f>
        <v>Ton</v>
      </c>
      <c r="H332" s="280" t="e">
        <f>'Resultater - Vestdanmark'!H332+'Resultater - Østdanmark'!H332</f>
        <v>#REF!</v>
      </c>
      <c r="I332" s="281" t="e">
        <f>'Resultater - Vestdanmark'!I332+'Resultater - Østdanmark'!I332</f>
        <v>#REF!</v>
      </c>
      <c r="J332" s="282" t="e">
        <f>'Resultater - Vestdanmark'!J332+'Resultater - Østdanmark'!J332</f>
        <v>#REF!</v>
      </c>
    </row>
    <row r="333" spans="1:10" x14ac:dyDescent="0.25">
      <c r="A333" s="98" t="str">
        <f>'Resultater - Vestdanmark'!A333</f>
        <v>Frøgræsmark</v>
      </c>
      <c r="B333" s="98" t="str">
        <f>'Resultater - Vestdanmark'!B333</f>
        <v>Konventionel</v>
      </c>
      <c r="C333" s="98" t="str">
        <f>'Resultater - Vestdanmark'!C333</f>
        <v>OC12</v>
      </c>
      <c r="D333" s="98" t="str">
        <f>'Resultater - Vestdanmark'!D333</f>
        <v>Areal-frøgræs</v>
      </c>
      <c r="E333" s="98" t="str">
        <f>'Resultater - Vestdanmark'!E333</f>
        <v>Hektar</v>
      </c>
      <c r="F333" s="98" t="str">
        <f>'Resultater - Vestdanmark'!F333</f>
        <v>Halm</v>
      </c>
      <c r="G333" s="98" t="str">
        <f>'Resultater - Vestdanmark'!G333</f>
        <v>Ton</v>
      </c>
      <c r="H333" s="280" t="e">
        <f>'Resultater - Vestdanmark'!H333+'Resultater - Østdanmark'!H333</f>
        <v>#REF!</v>
      </c>
      <c r="I333" s="281" t="e">
        <f>'Resultater - Vestdanmark'!I333+'Resultater - Østdanmark'!I333</f>
        <v>#REF!</v>
      </c>
      <c r="J333" s="282" t="e">
        <f>'Resultater - Vestdanmark'!J333+'Resultater - Østdanmark'!J333</f>
        <v>#REF!</v>
      </c>
    </row>
    <row r="334" spans="1:10" x14ac:dyDescent="0.25">
      <c r="A334" s="98" t="str">
        <f>'Resultater - Vestdanmark'!A334</f>
        <v>Frøgræsmark</v>
      </c>
      <c r="B334" s="98" t="str">
        <f>'Resultater - Vestdanmark'!B334</f>
        <v>Konventionel</v>
      </c>
      <c r="C334" s="98" t="str">
        <f>'Resultater - Vestdanmark'!C334</f>
        <v>OC12</v>
      </c>
      <c r="D334" s="98" t="str">
        <f>'Resultater - Vestdanmark'!D334</f>
        <v>Areal-frøgræs</v>
      </c>
      <c r="E334" s="98" t="str">
        <f>'Resultater - Vestdanmark'!E334</f>
        <v>Hektar</v>
      </c>
      <c r="F334" s="98" t="str">
        <f>'Resultater - Vestdanmark'!F334</f>
        <v>Gødning</v>
      </c>
      <c r="G334" s="98" t="str">
        <f>'Resultater - Vestdanmark'!G334</f>
        <v>kg N</v>
      </c>
      <c r="H334" s="280" t="e">
        <f>'Resultater - Vestdanmark'!H334+'Resultater - Østdanmark'!H334</f>
        <v>#REF!</v>
      </c>
      <c r="I334" s="281" t="e">
        <f>'Resultater - Vestdanmark'!I334+'Resultater - Østdanmark'!I334</f>
        <v>#REF!</v>
      </c>
      <c r="J334" s="282" t="e">
        <f>'Resultater - Vestdanmark'!J334+'Resultater - Østdanmark'!J334</f>
        <v>#REF!</v>
      </c>
    </row>
    <row r="335" spans="1:10" x14ac:dyDescent="0.25">
      <c r="A335" s="98" t="str">
        <f>'Resultater - Vestdanmark'!A335</f>
        <v>Frøgræsmark</v>
      </c>
      <c r="B335" s="98" t="str">
        <f>'Resultater - Vestdanmark'!B335</f>
        <v>Konventionel</v>
      </c>
      <c r="C335" s="98" t="str">
        <f>'Resultater - Vestdanmark'!C335</f>
        <v>OC12</v>
      </c>
      <c r="D335" s="98" t="str">
        <f>'Resultater - Vestdanmark'!D335</f>
        <v>Areal-frøgræs</v>
      </c>
      <c r="E335" s="98" t="str">
        <f>'Resultater - Vestdanmark'!E335</f>
        <v>Hektar</v>
      </c>
      <c r="F335" s="98" t="str">
        <f>'Resultater - Vestdanmark'!F335</f>
        <v>CO2 - atmosfære</v>
      </c>
      <c r="G335" s="98" t="str">
        <f>'Resultater - Vestdanmark'!G335</f>
        <v>t CO2-ækvivalenter</v>
      </c>
      <c r="H335" s="280" t="e">
        <f>'Resultater - Vestdanmark'!H335+'Resultater - Østdanmark'!H335</f>
        <v>#REF!</v>
      </c>
      <c r="I335" s="281" t="e">
        <f>'Resultater - Vestdanmark'!I335+'Resultater - Østdanmark'!I335</f>
        <v>#REF!</v>
      </c>
      <c r="J335" s="282" t="e">
        <f>'Resultater - Vestdanmark'!J335+'Resultater - Østdanmark'!J335</f>
        <v>#REF!</v>
      </c>
    </row>
    <row r="336" spans="1:10" x14ac:dyDescent="0.25">
      <c r="A336" s="98" t="str">
        <f>'Resultater - Vestdanmark'!A336</f>
        <v>Frøgræsmark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Areal-frøgræs</v>
      </c>
      <c r="E336" s="98" t="str">
        <f>'Resultater - Vestdanmark'!E336</f>
        <v>Hektar</v>
      </c>
      <c r="F336" s="98" t="str">
        <f>'Resultater - Vestdanmark'!F336</f>
        <v>Frø</v>
      </c>
      <c r="G336" s="98" t="str">
        <f>'Resultater - Vestdanmark'!G336</f>
        <v>Ton</v>
      </c>
      <c r="H336" s="280" t="e">
        <f>'Resultater - Vestdanmark'!H336+'Resultater - Østdanmark'!H336</f>
        <v>#REF!</v>
      </c>
      <c r="I336" s="281" t="e">
        <f>'Resultater - Vestdanmark'!I336+'Resultater - Østdanmark'!I336</f>
        <v>#REF!</v>
      </c>
      <c r="J336" s="282" t="e">
        <f>'Resultater - Vestdanmark'!J336+'Resultater - Østdanmark'!J336</f>
        <v>#REF!</v>
      </c>
    </row>
    <row r="337" spans="1:10" x14ac:dyDescent="0.25">
      <c r="A337" s="98" t="str">
        <f>'Resultater - Vestdanmark'!A337</f>
        <v>Frøgræsmark</v>
      </c>
      <c r="B337" s="98" t="str">
        <f>'Resultater - Vestdanmark'!B337</f>
        <v>Økologisk</v>
      </c>
      <c r="C337" s="98" t="str">
        <f>'Resultater - Vestdanmark'!C337</f>
        <v>JB1-10</v>
      </c>
      <c r="D337" s="98" t="str">
        <f>'Resultater - Vestdanmark'!D337</f>
        <v>Areal-frøgræs</v>
      </c>
      <c r="E337" s="98" t="str">
        <f>'Resultater - Vestdanmark'!E337</f>
        <v>Hektar</v>
      </c>
      <c r="F337" s="98" t="str">
        <f>'Resultater - Vestdanmark'!F337</f>
        <v>Halm</v>
      </c>
      <c r="G337" s="98" t="str">
        <f>'Resultater - Vestdanmark'!G337</f>
        <v>Ton</v>
      </c>
      <c r="H337" s="280" t="e">
        <f>'Resultater - Vestdanmark'!H337+'Resultater - Østdanmark'!H337</f>
        <v>#REF!</v>
      </c>
      <c r="I337" s="281" t="e">
        <f>'Resultater - Vestdanmark'!I337+'Resultater - Østdanmark'!I337</f>
        <v>#REF!</v>
      </c>
      <c r="J337" s="282" t="e">
        <f>'Resultater - Vestdanmark'!J337+'Resultater - Østdanmark'!J337</f>
        <v>#REF!</v>
      </c>
    </row>
    <row r="338" spans="1:10" x14ac:dyDescent="0.25">
      <c r="A338" s="98" t="str">
        <f>'Resultater - Vestdanmark'!A338</f>
        <v>Frøgræsmark</v>
      </c>
      <c r="B338" s="98" t="str">
        <f>'Resultater - Vestdanmark'!B338</f>
        <v>Økologisk</v>
      </c>
      <c r="C338" s="98" t="str">
        <f>'Resultater - Vestdanmark'!C338</f>
        <v>JB1-10</v>
      </c>
      <c r="D338" s="98" t="str">
        <f>'Resultater - Vestdanmark'!D338</f>
        <v>Areal-frøgræs</v>
      </c>
      <c r="E338" s="98" t="str">
        <f>'Resultater - Vestdanmark'!E338</f>
        <v>Hektar</v>
      </c>
      <c r="F338" s="98" t="str">
        <f>'Resultater - Vestdanmark'!F338</f>
        <v>Gødning</v>
      </c>
      <c r="G338" s="98" t="str">
        <f>'Resultater - Vestdanmark'!G338</f>
        <v>kg N</v>
      </c>
      <c r="H338" s="280" t="e">
        <f>'Resultater - Vestdanmark'!H338+'Resultater - Østdanmark'!H338</f>
        <v>#REF!</v>
      </c>
      <c r="I338" s="281" t="e">
        <f>'Resultater - Vestdanmark'!I338+'Resultater - Østdanmark'!I338</f>
        <v>#REF!</v>
      </c>
      <c r="J338" s="282" t="e">
        <f>'Resultater - Vestdanmark'!J338+'Resultater - Østdanmark'!J338</f>
        <v>#REF!</v>
      </c>
    </row>
    <row r="339" spans="1:10" x14ac:dyDescent="0.25">
      <c r="A339" s="98" t="str">
        <f>'Resultater - Vestdanmark'!A339</f>
        <v>Frøgræsmark</v>
      </c>
      <c r="B339" s="98" t="str">
        <f>'Resultater - Vestdanmark'!B339</f>
        <v>Økologisk</v>
      </c>
      <c r="C339" s="98" t="str">
        <f>'Resultater - Vestdanmark'!C339</f>
        <v>JB1-10</v>
      </c>
      <c r="D339" s="98" t="str">
        <f>'Resultater - Vestdanmark'!D339</f>
        <v>Areal-frøgræs</v>
      </c>
      <c r="E339" s="98" t="str">
        <f>'Resultater - Vestdanmark'!E339</f>
        <v>Hektar</v>
      </c>
      <c r="F339" s="98" t="str">
        <f>'Resultater - Vestdanmark'!F339</f>
        <v>CO2 - atmosfære</v>
      </c>
      <c r="G339" s="98" t="str">
        <f>'Resultater - Vestdanmark'!G339</f>
        <v>t CO2-ækvivalenter</v>
      </c>
      <c r="H339" s="280" t="e">
        <f>'Resultater - Vestdanmark'!H339+'Resultater - Østdanmark'!H339</f>
        <v>#REF!</v>
      </c>
      <c r="I339" s="281" t="e">
        <f>'Resultater - Vestdanmark'!I339+'Resultater - Østdanmark'!I339</f>
        <v>#REF!</v>
      </c>
      <c r="J339" s="282" t="e">
        <f>'Resultater - Vestdanmark'!J339+'Resultater - Østdanmark'!J339</f>
        <v>#REF!</v>
      </c>
    </row>
    <row r="340" spans="1:10" x14ac:dyDescent="0.25">
      <c r="A340" s="98" t="str">
        <f>'Resultater - Vestdanmark'!A340</f>
        <v>Frøgræsmark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Areal-frøgræs</v>
      </c>
      <c r="E340" s="98" t="str">
        <f>'Resultater - Vestdanmark'!E340</f>
        <v>Hektar</v>
      </c>
      <c r="F340" s="98" t="str">
        <f>'Resultater - Vestdanmark'!F340</f>
        <v>Frø</v>
      </c>
      <c r="G340" s="98" t="str">
        <f>'Resultater - Vestdanmark'!G340</f>
        <v>Ton</v>
      </c>
      <c r="H340" s="280" t="e">
        <f>'Resultater - Vestdanmark'!H340+'Resultater - Østdanmark'!H340</f>
        <v>#REF!</v>
      </c>
      <c r="I340" s="281" t="e">
        <f>'Resultater - Vestdanmark'!I340+'Resultater - Østdanmark'!I340</f>
        <v>#REF!</v>
      </c>
      <c r="J340" s="282" t="e">
        <f>'Resultater - Vestdanmark'!J340+'Resultater - Østdanmark'!J340</f>
        <v>#REF!</v>
      </c>
    </row>
    <row r="341" spans="1:10" x14ac:dyDescent="0.25">
      <c r="A341" s="98" t="str">
        <f>'Resultater - Vestdanmark'!A341</f>
        <v>Frøgræsmark</v>
      </c>
      <c r="B341" s="98" t="str">
        <f>'Resultater - Vestdanmark'!B341</f>
        <v>Økologisk</v>
      </c>
      <c r="C341" s="98" t="str">
        <f>'Resultater - Vestdanmark'!C341</f>
        <v>OC6</v>
      </c>
      <c r="D341" s="98" t="str">
        <f>'Resultater - Vestdanmark'!D341</f>
        <v>Areal-frøgræs</v>
      </c>
      <c r="E341" s="98" t="str">
        <f>'Resultater - Vestdanmark'!E341</f>
        <v>Hektar</v>
      </c>
      <c r="F341" s="98" t="str">
        <f>'Resultater - Vestdanmark'!F341</f>
        <v>Halm</v>
      </c>
      <c r="G341" s="98" t="str">
        <f>'Resultater - Vestdanmark'!G341</f>
        <v>Ton</v>
      </c>
      <c r="H341" s="280" t="e">
        <f>'Resultater - Vestdanmark'!H341+'Resultater - Østdanmark'!H341</f>
        <v>#REF!</v>
      </c>
      <c r="I341" s="281" t="e">
        <f>'Resultater - Vestdanmark'!I341+'Resultater - Østdanmark'!I341</f>
        <v>#REF!</v>
      </c>
      <c r="J341" s="282" t="e">
        <f>'Resultater - Vestdanmark'!J341+'Resultater - Østdanmark'!J341</f>
        <v>#REF!</v>
      </c>
    </row>
    <row r="342" spans="1:10" x14ac:dyDescent="0.25">
      <c r="A342" s="98" t="str">
        <f>'Resultater - Vestdanmark'!A342</f>
        <v>Frøgræsmark</v>
      </c>
      <c r="B342" s="98" t="str">
        <f>'Resultater - Vestdanmark'!B342</f>
        <v>Økologisk</v>
      </c>
      <c r="C342" s="98" t="str">
        <f>'Resultater - Vestdanmark'!C342</f>
        <v>OC6</v>
      </c>
      <c r="D342" s="98" t="str">
        <f>'Resultater - Vestdanmark'!D342</f>
        <v>Areal-frøgræs</v>
      </c>
      <c r="E342" s="98" t="str">
        <f>'Resultater - Vestdanmark'!E342</f>
        <v>Hektar</v>
      </c>
      <c r="F342" s="98" t="str">
        <f>'Resultater - Vestdanmark'!F342</f>
        <v>Gødning</v>
      </c>
      <c r="G342" s="98" t="str">
        <f>'Resultater - Vestdanmark'!G342</f>
        <v>kg N</v>
      </c>
      <c r="H342" s="280" t="e">
        <f>'Resultater - Vestdanmark'!H342+'Resultater - Østdanmark'!H342</f>
        <v>#REF!</v>
      </c>
      <c r="I342" s="281" t="e">
        <f>'Resultater - Vestdanmark'!I342+'Resultater - Østdanmark'!I342</f>
        <v>#REF!</v>
      </c>
      <c r="J342" s="282" t="e">
        <f>'Resultater - Vestdanmark'!J342+'Resultater - Østdanmark'!J342</f>
        <v>#REF!</v>
      </c>
    </row>
    <row r="343" spans="1:10" x14ac:dyDescent="0.25">
      <c r="A343" s="98" t="str">
        <f>'Resultater - Vestdanmark'!A343</f>
        <v>Frøgræsmark</v>
      </c>
      <c r="B343" s="98" t="str">
        <f>'Resultater - Vestdanmark'!B343</f>
        <v>Økologisk</v>
      </c>
      <c r="C343" s="98" t="str">
        <f>'Resultater - Vestdanmark'!C343</f>
        <v>OC6</v>
      </c>
      <c r="D343" s="98" t="str">
        <f>'Resultater - Vestdanmark'!D343</f>
        <v>Areal-frøgræs</v>
      </c>
      <c r="E343" s="98" t="str">
        <f>'Resultater - Vestdanmark'!E343</f>
        <v>Hektar</v>
      </c>
      <c r="F343" s="98" t="str">
        <f>'Resultater - Vestdanmark'!F343</f>
        <v>CO2 - atmosfære</v>
      </c>
      <c r="G343" s="98" t="str">
        <f>'Resultater - Vestdanmark'!G343</f>
        <v>t CO2-ækvivalenter</v>
      </c>
      <c r="H343" s="280" t="e">
        <f>'Resultater - Vestdanmark'!H343+'Resultater - Østdanmark'!H343</f>
        <v>#REF!</v>
      </c>
      <c r="I343" s="281" t="e">
        <f>'Resultater - Vestdanmark'!I343+'Resultater - Østdanmark'!I343</f>
        <v>#REF!</v>
      </c>
      <c r="J343" s="282" t="e">
        <f>'Resultater - Vestdanmark'!J343+'Resultater - Østdanmark'!J343</f>
        <v>#REF!</v>
      </c>
    </row>
    <row r="344" spans="1:10" x14ac:dyDescent="0.25">
      <c r="A344" s="98" t="str">
        <f>'Resultater - Vestdanmark'!A344</f>
        <v>Frøgræsmark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Areal-frøgræs</v>
      </c>
      <c r="E344" s="98" t="str">
        <f>'Resultater - Vestdanmark'!E344</f>
        <v>Hektar</v>
      </c>
      <c r="F344" s="98" t="str">
        <f>'Resultater - Vestdanmark'!F344</f>
        <v>Frø</v>
      </c>
      <c r="G344" s="98" t="str">
        <f>'Resultater - Vestdanmark'!G344</f>
        <v>Ton</v>
      </c>
      <c r="H344" s="280" t="e">
        <f>'Resultater - Vestdanmark'!H344+'Resultater - Østdanmark'!H344</f>
        <v>#REF!</v>
      </c>
      <c r="I344" s="281" t="e">
        <f>'Resultater - Vestdanmark'!I344+'Resultater - Østdanmark'!I344</f>
        <v>#REF!</v>
      </c>
      <c r="J344" s="282" t="e">
        <f>'Resultater - Vestdanmark'!J344+'Resultater - Østdanmark'!J344</f>
        <v>#REF!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Økologisk</v>
      </c>
      <c r="C345" s="98" t="str">
        <f>'Resultater - Vestdanmark'!C345</f>
        <v>OC12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Halm</v>
      </c>
      <c r="G345" s="98" t="str">
        <f>'Resultater - Vestdanmark'!G345</f>
        <v>Ton</v>
      </c>
      <c r="H345" s="280" t="e">
        <f>'Resultater - Vestdanmark'!H345+'Resultater - Østdanmark'!H345</f>
        <v>#REF!</v>
      </c>
      <c r="I345" s="281" t="e">
        <f>'Resultater - Vestdanmark'!I345+'Resultater - Østdanmark'!I345</f>
        <v>#REF!</v>
      </c>
      <c r="J345" s="282" t="e">
        <f>'Resultater - Vestdanmark'!J345+'Resultater - Østdanmark'!J345</f>
        <v>#REF!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Økologisk</v>
      </c>
      <c r="C346" s="98" t="str">
        <f>'Resultater - Vestdanmark'!C346</f>
        <v>OC12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Gødning</v>
      </c>
      <c r="G346" s="98" t="str">
        <f>'Resultater - Vestdanmark'!G346</f>
        <v>kg N</v>
      </c>
      <c r="H346" s="280" t="e">
        <f>'Resultater - Vestdanmark'!H346+'Resultater - Østdanmark'!H346</f>
        <v>#REF!</v>
      </c>
      <c r="I346" s="281" t="e">
        <f>'Resultater - Vestdanmark'!I346+'Resultater - Østdanmark'!I346</f>
        <v>#REF!</v>
      </c>
      <c r="J346" s="282" t="e">
        <f>'Resultater - Vestdanmark'!J346+'Resultater - Østdanmark'!J346</f>
        <v>#REF!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Økologisk</v>
      </c>
      <c r="C347" s="98" t="str">
        <f>'Resultater - Vestdanmark'!C347</f>
        <v>OC12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CO2 - atmosfære</v>
      </c>
      <c r="G347" s="98" t="str">
        <f>'Resultater - Vestdanmark'!G347</f>
        <v>t CO2-ækvivalenter</v>
      </c>
      <c r="H347" s="280" t="e">
        <f>'Resultater - Vestdanmark'!H347+'Resultater - Østdanmark'!H347</f>
        <v>#REF!</v>
      </c>
      <c r="I347" s="281" t="e">
        <f>'Resultater - Vestdanmark'!I347+'Resultater - Østdanmark'!I347</f>
        <v>#REF!</v>
      </c>
      <c r="J347" s="282" t="e">
        <f>'Resultater - Vestdanmark'!J347+'Resultater - Østdanmark'!J347</f>
        <v>#REF!</v>
      </c>
    </row>
    <row r="348" spans="1:10" x14ac:dyDescent="0.25">
      <c r="A348" s="98" t="str">
        <f>'Resultater - Vestdanmark'!A348</f>
        <v>Juletræsmark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Areal-juletræer</v>
      </c>
      <c r="E348" s="98" t="str">
        <f>'Resultater - Vestdanmark'!E348</f>
        <v>Hektar</v>
      </c>
      <c r="F348" s="98" t="str">
        <f>'Resultater - Vestdanmark'!F348</f>
        <v>Juletræer</v>
      </c>
      <c r="G348" s="98" t="str">
        <f>'Resultater - Vestdanmark'!G348</f>
        <v>Ton</v>
      </c>
      <c r="H348" s="280" t="e">
        <f>'Resultater - Vestdanmark'!H348+'Resultater - Østdanmark'!H348</f>
        <v>#REF!</v>
      </c>
      <c r="I348" s="281" t="e">
        <f>'Resultater - Vestdanmark'!I348+'Resultater - Østdanmark'!I348</f>
        <v>#REF!</v>
      </c>
      <c r="J348" s="282" t="e">
        <f>'Resultater - Vestdanmark'!J348+'Resultater - Østdanmark'!J348</f>
        <v>#REF!</v>
      </c>
    </row>
    <row r="349" spans="1:10" x14ac:dyDescent="0.25">
      <c r="A349" s="98" t="str">
        <f>'Resultater - Vestdanmark'!A349</f>
        <v>Juletræsmark</v>
      </c>
      <c r="B349" s="98" t="str">
        <f>'Resultater - Vestdanmark'!B349</f>
        <v>Konventionel</v>
      </c>
      <c r="C349" s="98" t="str">
        <f>'Resultater - Vestdanmark'!C349</f>
        <v>JB1-10</v>
      </c>
      <c r="D349" s="98" t="str">
        <f>'Resultater - Vestdanmark'!D349</f>
        <v>Areal-juletræer</v>
      </c>
      <c r="E349" s="98" t="str">
        <f>'Resultater - Vestdanmark'!E349</f>
        <v>Hektar</v>
      </c>
      <c r="F349" s="98" t="str">
        <f>'Resultater - Vestdanmark'!F349</f>
        <v>Gødning</v>
      </c>
      <c r="G349" s="98" t="str">
        <f>'Resultater - Vestdanmark'!G349</f>
        <v>kg N</v>
      </c>
      <c r="H349" s="280" t="e">
        <f>'Resultater - Vestdanmark'!H349+'Resultater - Østdanmark'!H349</f>
        <v>#REF!</v>
      </c>
      <c r="I349" s="281" t="e">
        <f>'Resultater - Vestdanmark'!I349+'Resultater - Østdanmark'!I349</f>
        <v>#REF!</v>
      </c>
      <c r="J349" s="282" t="e">
        <f>'Resultater - Vestdanmark'!J349+'Resultater - Østdanmark'!J349</f>
        <v>#REF!</v>
      </c>
    </row>
    <row r="350" spans="1:10" x14ac:dyDescent="0.25">
      <c r="A350" s="98" t="str">
        <f>'Resultater - Vestdanmark'!A350</f>
        <v>Juletræsmark</v>
      </c>
      <c r="B350" s="98" t="str">
        <f>'Resultater - Vestdanmark'!B350</f>
        <v>Konventionel</v>
      </c>
      <c r="C350" s="98" t="str">
        <f>'Resultater - Vestdanmark'!C350</f>
        <v>JB1-10</v>
      </c>
      <c r="D350" s="98" t="str">
        <f>'Resultater - Vestdanmark'!D350</f>
        <v>Areal-juletræer</v>
      </c>
      <c r="E350" s="98" t="str">
        <f>'Resultater - Vestdanmark'!E350</f>
        <v>Hektar</v>
      </c>
      <c r="F350" s="98" t="str">
        <f>'Resultater - Vestdanmark'!F350</f>
        <v>CO2 - atmosfære</v>
      </c>
      <c r="G350" s="98" t="str">
        <f>'Resultater - Vestdanmark'!G350</f>
        <v>t CO2-ækvivalenter</v>
      </c>
      <c r="H350" s="280" t="e">
        <f>'Resultater - Vestdanmark'!H350+'Resultater - Østdanmark'!H350</f>
        <v>#REF!</v>
      </c>
      <c r="I350" s="281" t="e">
        <f>'Resultater - Vestdanmark'!I350+'Resultater - Østdanmark'!I350</f>
        <v>#REF!</v>
      </c>
      <c r="J350" s="282" t="e">
        <f>'Resultater - Vestdanmark'!J350+'Resultater - Østdanmark'!J350</f>
        <v>#REF!</v>
      </c>
    </row>
    <row r="351" spans="1:10" x14ac:dyDescent="0.25">
      <c r="A351" s="98" t="str">
        <f>'Resultater - Vestdanmark'!A351</f>
        <v>Juletræsmark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Areal-juletræer</v>
      </c>
      <c r="E351" s="98" t="str">
        <f>'Resultater - Vestdanmark'!E351</f>
        <v>Hektar</v>
      </c>
      <c r="F351" s="98" t="str">
        <f>'Resultater - Vestdanmark'!F351</f>
        <v>Juletræer</v>
      </c>
      <c r="G351" s="98" t="str">
        <f>'Resultater - Vestdanmark'!G351</f>
        <v>Ton</v>
      </c>
      <c r="H351" s="280" t="e">
        <f>'Resultater - Vestdanmark'!H351+'Resultater - Østdanmark'!H351</f>
        <v>#REF!</v>
      </c>
      <c r="I351" s="281" t="e">
        <f>'Resultater - Vestdanmark'!I351+'Resultater - Østdanmark'!I351</f>
        <v>#REF!</v>
      </c>
      <c r="J351" s="282" t="e">
        <f>'Resultater - Vestdanmark'!J351+'Resultater - Østdanmark'!J351</f>
        <v>#REF!</v>
      </c>
    </row>
    <row r="352" spans="1:10" x14ac:dyDescent="0.25">
      <c r="A352" s="98" t="str">
        <f>'Resultater - Vestdanmark'!A352</f>
        <v>Juletræsmark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Areal-juletræer</v>
      </c>
      <c r="E352" s="98" t="str">
        <f>'Resultater - Vestdanmark'!E352</f>
        <v>Hektar</v>
      </c>
      <c r="F352" s="98" t="str">
        <f>'Resultater - Vestdanmark'!F352</f>
        <v>Gødning</v>
      </c>
      <c r="G352" s="98" t="str">
        <f>'Resultater - Vestdanmark'!G352</f>
        <v>kg N</v>
      </c>
      <c r="H352" s="280" t="e">
        <f>'Resultater - Vestdanmark'!H352+'Resultater - Østdanmark'!H352</f>
        <v>#REF!</v>
      </c>
      <c r="I352" s="281" t="e">
        <f>'Resultater - Vestdanmark'!I352+'Resultater - Østdanmark'!I352</f>
        <v>#REF!</v>
      </c>
      <c r="J352" s="282" t="e">
        <f>'Resultater - Vestdanmark'!J352+'Resultater - Østdanmark'!J352</f>
        <v>#REF!</v>
      </c>
    </row>
    <row r="353" spans="1:10" x14ac:dyDescent="0.25">
      <c r="A353" s="98" t="str">
        <f>'Resultater - Vestdanmark'!A353</f>
        <v>Juletræsmark</v>
      </c>
      <c r="B353" s="98" t="str">
        <f>'Resultater - Vestdanmark'!B353</f>
        <v>Konventionel</v>
      </c>
      <c r="C353" s="98" t="str">
        <f>'Resultater - Vestdanmark'!C353</f>
        <v>OC6</v>
      </c>
      <c r="D353" s="98" t="str">
        <f>'Resultater - Vestdanmark'!D353</f>
        <v>Areal-juletræer</v>
      </c>
      <c r="E353" s="98" t="str">
        <f>'Resultater - Vestdanmark'!E353</f>
        <v>Hektar</v>
      </c>
      <c r="F353" s="98" t="str">
        <f>'Resultater - Vestdanmark'!F353</f>
        <v>CO2 - atmosfære</v>
      </c>
      <c r="G353" s="98" t="str">
        <f>'Resultater - Vestdanmark'!G353</f>
        <v>t CO2-ækvivalenter</v>
      </c>
      <c r="H353" s="280" t="e">
        <f>'Resultater - Vestdanmark'!H353+'Resultater - Østdanmark'!H353</f>
        <v>#REF!</v>
      </c>
      <c r="I353" s="281" t="e">
        <f>'Resultater - Vestdanmark'!I353+'Resultater - Østdanmark'!I353</f>
        <v>#REF!</v>
      </c>
      <c r="J353" s="282" t="e">
        <f>'Resultater - Vestdanmark'!J353+'Resultater - Østdanmark'!J353</f>
        <v>#REF!</v>
      </c>
    </row>
    <row r="354" spans="1:10" x14ac:dyDescent="0.25">
      <c r="A354" s="98" t="str">
        <f>'Resultater - Vestdanmark'!A354</f>
        <v>Juletræsmark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Areal-juletræer</v>
      </c>
      <c r="E354" s="98" t="str">
        <f>'Resultater - Vestdanmark'!E354</f>
        <v>Hektar</v>
      </c>
      <c r="F354" s="98" t="str">
        <f>'Resultater - Vestdanmark'!F354</f>
        <v>Juletræer</v>
      </c>
      <c r="G354" s="98" t="str">
        <f>'Resultater - Vestdanmark'!G354</f>
        <v>Ton</v>
      </c>
      <c r="H354" s="280" t="e">
        <f>'Resultater - Vestdanmark'!H354+'Resultater - Østdanmark'!H354</f>
        <v>#REF!</v>
      </c>
      <c r="I354" s="281" t="e">
        <f>'Resultater - Vestdanmark'!I354+'Resultater - Østdanmark'!I354</f>
        <v>#REF!</v>
      </c>
      <c r="J354" s="282" t="e">
        <f>'Resultater - Vestdanmark'!J354+'Resultater - Østdanmark'!J354</f>
        <v>#REF!</v>
      </c>
    </row>
    <row r="355" spans="1:10" x14ac:dyDescent="0.25">
      <c r="A355" s="98" t="str">
        <f>'Resultater - Vestdanmark'!A355</f>
        <v>Juletræsmark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Areal-juletræer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80" t="e">
        <f>'Resultater - Vestdanmark'!H355+'Resultater - Østdanmark'!H355</f>
        <v>#REF!</v>
      </c>
      <c r="I355" s="281" t="e">
        <f>'Resultater - Vestdanmark'!I355+'Resultater - Østdanmark'!I355</f>
        <v>#REF!</v>
      </c>
      <c r="J355" s="282" t="e">
        <f>'Resultater - Vestdanmark'!J355+'Resultater - Østdanmark'!J355</f>
        <v>#REF!</v>
      </c>
    </row>
    <row r="356" spans="1:10" x14ac:dyDescent="0.25">
      <c r="A356" s="98" t="str">
        <f>'Resultater - Vestdanmark'!A356</f>
        <v>Juletræsmark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Areal-juletræer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80" t="e">
        <f>'Resultater - Vestdanmark'!H356+'Resultater - Østdanmark'!H356</f>
        <v>#REF!</v>
      </c>
      <c r="I356" s="281" t="e">
        <f>'Resultater - Vestdanmark'!I356+'Resultater - Østdanmark'!I356</f>
        <v>#REF!</v>
      </c>
      <c r="J356" s="282" t="e">
        <f>'Resultater - Vestdanmark'!J356+'Resultater - Østdanmark'!J356</f>
        <v>#REF!</v>
      </c>
    </row>
    <row r="357" spans="1:10" x14ac:dyDescent="0.25">
      <c r="A357" s="98" t="str">
        <f>'Resultater - Vestdanmark'!A357</f>
        <v>Juletræsmark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Areal-juletræer</v>
      </c>
      <c r="E357" s="98" t="str">
        <f>'Resultater - Vestdanmark'!E357</f>
        <v>Hektar</v>
      </c>
      <c r="F357" s="98" t="str">
        <f>'Resultater - Vestdanmark'!F357</f>
        <v>Juletræer</v>
      </c>
      <c r="G357" s="98" t="str">
        <f>'Resultater - Vestdanmark'!G357</f>
        <v>Ton</v>
      </c>
      <c r="H357" s="280" t="e">
        <f>'Resultater - Vestdanmark'!H357+'Resultater - Østdanmark'!H357</f>
        <v>#REF!</v>
      </c>
      <c r="I357" s="281" t="e">
        <f>'Resultater - Vestdanmark'!I357+'Resultater - Østdanmark'!I357</f>
        <v>#REF!</v>
      </c>
      <c r="J357" s="282" t="e">
        <f>'Resultater - Vestdanmark'!J357+'Resultater - Østdanmark'!J357</f>
        <v>#REF!</v>
      </c>
    </row>
    <row r="358" spans="1:10" x14ac:dyDescent="0.25">
      <c r="A358" s="98" t="str">
        <f>'Resultater - Vestdanmark'!A358</f>
        <v>Juletræsmark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Areal-juletræer</v>
      </c>
      <c r="E358" s="98" t="str">
        <f>'Resultater - Vestdanmark'!E358</f>
        <v>Hektar</v>
      </c>
      <c r="F358" s="98" t="str">
        <f>'Resultater - Vestdanmark'!F358</f>
        <v>Gødning</v>
      </c>
      <c r="G358" s="98" t="str">
        <f>'Resultater - Vestdanmark'!G358</f>
        <v>kg N</v>
      </c>
      <c r="H358" s="280" t="e">
        <f>'Resultater - Vestdanmark'!H358+'Resultater - Østdanmark'!H358</f>
        <v>#REF!</v>
      </c>
      <c r="I358" s="281" t="e">
        <f>'Resultater - Vestdanmark'!I358+'Resultater - Østdanmark'!I358</f>
        <v>#REF!</v>
      </c>
      <c r="J358" s="282" t="e">
        <f>'Resultater - Vestdanmark'!J358+'Resultater - Østdanmark'!J358</f>
        <v>#REF!</v>
      </c>
    </row>
    <row r="359" spans="1:10" x14ac:dyDescent="0.25">
      <c r="A359" s="98" t="str">
        <f>'Resultater - Vestdanmark'!A359</f>
        <v>Juletræsmark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Areal-juletræer</v>
      </c>
      <c r="E359" s="98" t="str">
        <f>'Resultater - Vestdanmark'!E359</f>
        <v>Hektar</v>
      </c>
      <c r="F359" s="98" t="str">
        <f>'Resultater - Vestdanmark'!F359</f>
        <v>CO2 - atmosfære</v>
      </c>
      <c r="G359" s="98" t="str">
        <f>'Resultater - Vestdanmark'!G359</f>
        <v>t CO2-ækvivalenter</v>
      </c>
      <c r="H359" s="280" t="e">
        <f>'Resultater - Vestdanmark'!H359+'Resultater - Østdanmark'!H359</f>
        <v>#REF!</v>
      </c>
      <c r="I359" s="281" t="e">
        <f>'Resultater - Vestdanmark'!I359+'Resultater - Østdanmark'!I359</f>
        <v>#REF!</v>
      </c>
      <c r="J359" s="282" t="e">
        <f>'Resultater - Vestdanmark'!J359+'Resultater - Østdanmark'!J359</f>
        <v>#REF!</v>
      </c>
    </row>
    <row r="360" spans="1:10" x14ac:dyDescent="0.25">
      <c r="A360" s="98" t="str">
        <f>'Resultater - Vestdanmark'!A360</f>
        <v>Juletræsmark</v>
      </c>
      <c r="B360" s="98" t="str">
        <f>'Resultater - Vestdanmark'!B360</f>
        <v>Økologisk</v>
      </c>
      <c r="C360" s="98" t="str">
        <f>'Resultater - Vestdanmark'!C360</f>
        <v>OC6</v>
      </c>
      <c r="D360" s="98" t="str">
        <f>'Resultater - Vestdanmark'!D360</f>
        <v>Areal-juletræer</v>
      </c>
      <c r="E360" s="98" t="str">
        <f>'Resultater - Vestdanmark'!E360</f>
        <v>Hektar</v>
      </c>
      <c r="F360" s="98" t="str">
        <f>'Resultater - Vestdanmark'!F360</f>
        <v>Juletræer</v>
      </c>
      <c r="G360" s="98" t="str">
        <f>'Resultater - Vestdanmark'!G360</f>
        <v>Ton</v>
      </c>
      <c r="H360" s="280" t="e">
        <f>'Resultater - Vestdanmark'!H360+'Resultater - Østdanmark'!H360</f>
        <v>#REF!</v>
      </c>
      <c r="I360" s="281" t="e">
        <f>'Resultater - Vestdanmark'!I360+'Resultater - Østdanmark'!I360</f>
        <v>#REF!</v>
      </c>
      <c r="J360" s="282" t="e">
        <f>'Resultater - Vestdanmark'!J360+'Resultater - Østdanmark'!J360</f>
        <v>#REF!</v>
      </c>
    </row>
    <row r="361" spans="1:10" x14ac:dyDescent="0.25">
      <c r="A361" s="98" t="str">
        <f>'Resultater - Vestdanmark'!A361</f>
        <v>Juletræsmark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Areal-juletræer</v>
      </c>
      <c r="E361" s="98" t="str">
        <f>'Resultater - Vestdanmark'!E361</f>
        <v>Hektar</v>
      </c>
      <c r="F361" s="98" t="str">
        <f>'Resultater - Vestdanmark'!F361</f>
        <v>Gødning</v>
      </c>
      <c r="G361" s="98" t="str">
        <f>'Resultater - Vestdanmark'!G361</f>
        <v>kg N</v>
      </c>
      <c r="H361" s="280" t="e">
        <f>'Resultater - Vestdanmark'!H361+'Resultater - Østdanmark'!H361</f>
        <v>#REF!</v>
      </c>
      <c r="I361" s="281" t="e">
        <f>'Resultater - Vestdanmark'!I361+'Resultater - Østdanmark'!I361</f>
        <v>#REF!</v>
      </c>
      <c r="J361" s="282" t="e">
        <f>'Resultater - Vestdanmark'!J361+'Resultater - Østdanmark'!J361</f>
        <v>#REF!</v>
      </c>
    </row>
    <row r="362" spans="1:10" x14ac:dyDescent="0.25">
      <c r="A362" s="98" t="str">
        <f>'Resultater - Vestdanmark'!A362</f>
        <v>Juletræsmark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Areal-juletræer</v>
      </c>
      <c r="E362" s="98" t="str">
        <f>'Resultater - Vestdanmark'!E362</f>
        <v>Hektar</v>
      </c>
      <c r="F362" s="98" t="str">
        <f>'Resultater - Vestdanmark'!F362</f>
        <v>CO2 - atmosfære</v>
      </c>
      <c r="G362" s="98" t="str">
        <f>'Resultater - Vestdanmark'!G362</f>
        <v>t CO2-ækvivalenter</v>
      </c>
      <c r="H362" s="280" t="e">
        <f>'Resultater - Vestdanmark'!H362+'Resultater - Østdanmark'!H362</f>
        <v>#REF!</v>
      </c>
      <c r="I362" s="281" t="e">
        <f>'Resultater - Vestdanmark'!I362+'Resultater - Østdanmark'!I362</f>
        <v>#REF!</v>
      </c>
      <c r="J362" s="282" t="e">
        <f>'Resultater - Vestdanmark'!J362+'Resultater - Østdanmark'!J362</f>
        <v>#REF!</v>
      </c>
    </row>
    <row r="363" spans="1:10" x14ac:dyDescent="0.25">
      <c r="A363" s="98" t="str">
        <f>'Resultater - Vestdanmark'!A363</f>
        <v>Juletræsmark</v>
      </c>
      <c r="B363" s="98" t="str">
        <f>'Resultater - Vestdanmark'!B363</f>
        <v>Økologisk</v>
      </c>
      <c r="C363" s="98" t="str">
        <f>'Resultater - Vestdanmark'!C363</f>
        <v>OC12</v>
      </c>
      <c r="D363" s="98" t="str">
        <f>'Resultater - Vestdanmark'!D363</f>
        <v>Areal-juletræer</v>
      </c>
      <c r="E363" s="98" t="str">
        <f>'Resultater - Vestdanmark'!E363</f>
        <v>Hektar</v>
      </c>
      <c r="F363" s="98" t="str">
        <f>'Resultater - Vestdanmark'!F363</f>
        <v>Juletræer</v>
      </c>
      <c r="G363" s="98" t="str">
        <f>'Resultater - Vestdanmark'!G363</f>
        <v>Ton</v>
      </c>
      <c r="H363" s="280" t="e">
        <f>'Resultater - Vestdanmark'!H363+'Resultater - Østdanmark'!H363</f>
        <v>#REF!</v>
      </c>
      <c r="I363" s="281" t="e">
        <f>'Resultater - Vestdanmark'!I363+'Resultater - Østdanmark'!I363</f>
        <v>#REF!</v>
      </c>
      <c r="J363" s="282" t="e">
        <f>'Resultater - Vestdanmark'!J363+'Resultater - Østdanmark'!J363</f>
        <v>#REF!</v>
      </c>
    </row>
    <row r="364" spans="1:10" x14ac:dyDescent="0.25">
      <c r="A364" s="98" t="str">
        <f>'Resultater - Vestdanmark'!A364</f>
        <v>Juletræsmark</v>
      </c>
      <c r="B364" s="98" t="str">
        <f>'Resultater - Vestdanmark'!B364</f>
        <v>Økologisk</v>
      </c>
      <c r="C364" s="98" t="str">
        <f>'Resultater - Vestdanmark'!C364</f>
        <v>OC12</v>
      </c>
      <c r="D364" s="98" t="str">
        <f>'Resultater - Vestdanmark'!D364</f>
        <v>Areal-juletræer</v>
      </c>
      <c r="E364" s="98" t="str">
        <f>'Resultater - Vestdanmark'!E364</f>
        <v>Hektar</v>
      </c>
      <c r="F364" s="98" t="str">
        <f>'Resultater - Vestdanmark'!F364</f>
        <v>Gødning</v>
      </c>
      <c r="G364" s="98" t="str">
        <f>'Resultater - Vestdanmark'!G364</f>
        <v>kg N</v>
      </c>
      <c r="H364" s="280" t="e">
        <f>'Resultater - Vestdanmark'!H364+'Resultater - Østdanmark'!H364</f>
        <v>#REF!</v>
      </c>
      <c r="I364" s="281" t="e">
        <f>'Resultater - Vestdanmark'!I364+'Resultater - Østdanmark'!I364</f>
        <v>#REF!</v>
      </c>
      <c r="J364" s="282" t="e">
        <f>'Resultater - Vestdanmark'!J364+'Resultater - Østdanmark'!J364</f>
        <v>#REF!</v>
      </c>
    </row>
    <row r="365" spans="1:10" x14ac:dyDescent="0.25">
      <c r="A365" s="98" t="str">
        <f>'Resultater - Vestdanmark'!A365</f>
        <v>Juletræsmark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Areal-juletræer</v>
      </c>
      <c r="E365" s="98" t="str">
        <f>'Resultater - Vestdanmark'!E365</f>
        <v>Hektar</v>
      </c>
      <c r="F365" s="98" t="str">
        <f>'Resultater - Vestdanmark'!F365</f>
        <v>CO2 - atmosfære</v>
      </c>
      <c r="G365" s="98" t="str">
        <f>'Resultater - Vestdanmark'!G365</f>
        <v>t CO2-ækvivalenter</v>
      </c>
      <c r="H365" s="280" t="e">
        <f>'Resultater - Vestdanmark'!H365+'Resultater - Østdanmark'!H365</f>
        <v>#REF!</v>
      </c>
      <c r="I365" s="281" t="e">
        <f>'Resultater - Vestdanmark'!I365+'Resultater - Østdanmark'!I365</f>
        <v>#REF!</v>
      </c>
      <c r="J365" s="282" t="e">
        <f>'Resultater - Vestdanmark'!J365+'Resultater - Østdanmark'!J365</f>
        <v>#REF!</v>
      </c>
    </row>
    <row r="366" spans="1:10" x14ac:dyDescent="0.25">
      <c r="A366" s="98" t="str">
        <f>'Resultater - Vestdanmark'!A366</f>
        <v>Pil- og poppeldyrkning</v>
      </c>
      <c r="B366" s="98" t="str">
        <f>'Resultater - Vestdanmark'!B366</f>
        <v>Konventionel</v>
      </c>
      <c r="C366" s="98" t="str">
        <f>'Resultater - Vestdanmark'!C366</f>
        <v>JB1-10</v>
      </c>
      <c r="D366" s="98" t="str">
        <f>'Resultater - Vestdanmark'!D366</f>
        <v>Areal-pil-poppel</v>
      </c>
      <c r="E366" s="98" t="str">
        <f>'Resultater - Vestdanmark'!E366</f>
        <v>Hektar</v>
      </c>
      <c r="F366" s="98" t="str">
        <f>'Resultater - Vestdanmark'!F366</f>
        <v>Pil &amp; poppel</v>
      </c>
      <c r="G366" s="98" t="str">
        <f>'Resultater - Vestdanmark'!G366</f>
        <v>Ton</v>
      </c>
      <c r="H366" s="280" t="e">
        <f>'Resultater - Vestdanmark'!H366+'Resultater - Østdanmark'!H366</f>
        <v>#REF!</v>
      </c>
      <c r="I366" s="281" t="e">
        <f>'Resultater - Vestdanmark'!I366+'Resultater - Østdanmark'!I366</f>
        <v>#REF!</v>
      </c>
      <c r="J366" s="282" t="e">
        <f>'Resultater - Vestdanmark'!J366+'Resultater - Østdanmark'!J366</f>
        <v>#REF!</v>
      </c>
    </row>
    <row r="367" spans="1:10" x14ac:dyDescent="0.25">
      <c r="A367" s="98" t="str">
        <f>'Resultater - Vestdanmark'!A367</f>
        <v>Pil- og poppeldyrkning</v>
      </c>
      <c r="B367" s="98" t="str">
        <f>'Resultater - Vestdanmark'!B367</f>
        <v>Konventionel</v>
      </c>
      <c r="C367" s="98" t="str">
        <f>'Resultater - Vestdanmark'!C367</f>
        <v>JB1-10</v>
      </c>
      <c r="D367" s="98" t="str">
        <f>'Resultater - Vestdanmark'!D367</f>
        <v>Areal-pil-poppel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80" t="e">
        <f>'Resultater - Vestdanmark'!H367+'Resultater - Østdanmark'!H367</f>
        <v>#REF!</v>
      </c>
      <c r="I367" s="281" t="e">
        <f>'Resultater - Vestdanmark'!I367+'Resultater - Østdanmark'!I367</f>
        <v>#REF!</v>
      </c>
      <c r="J367" s="282" t="e">
        <f>'Resultater - Vestdanmark'!J367+'Resultater - Østdanmark'!J367</f>
        <v>#REF!</v>
      </c>
    </row>
    <row r="368" spans="1:10" x14ac:dyDescent="0.25">
      <c r="A368" s="98" t="str">
        <f>'Resultater - Vestdanmark'!A368</f>
        <v>Pil- og poppeldyrkning</v>
      </c>
      <c r="B368" s="98" t="str">
        <f>'Resultater - Vestdanmark'!B368</f>
        <v>Konventionel</v>
      </c>
      <c r="C368" s="98" t="str">
        <f>'Resultater - Vestdanmark'!C368</f>
        <v>JB1-10</v>
      </c>
      <c r="D368" s="98" t="str">
        <f>'Resultater - Vestdanmark'!D368</f>
        <v>Areal-pil-poppel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80" t="e">
        <f>'Resultater - Vestdanmark'!H368+'Resultater - Østdanmark'!H368</f>
        <v>#REF!</v>
      </c>
      <c r="I368" s="281" t="e">
        <f>'Resultater - Vestdanmark'!I368+'Resultater - Østdanmark'!I368</f>
        <v>#REF!</v>
      </c>
      <c r="J368" s="282" t="e">
        <f>'Resultater - Vestdanmark'!J368+'Resultater - Østdanmark'!J368</f>
        <v>#REF!</v>
      </c>
    </row>
    <row r="369" spans="1:10" x14ac:dyDescent="0.25">
      <c r="A369" s="98" t="str">
        <f>'Resultater - Vestdanmark'!A369</f>
        <v>Pil- og poppeldyrkning</v>
      </c>
      <c r="B369" s="98" t="str">
        <f>'Resultater - Vestdanmark'!B369</f>
        <v>Konventionel</v>
      </c>
      <c r="C369" s="98" t="str">
        <f>'Resultater - Vestdanmark'!C369</f>
        <v>OC6</v>
      </c>
      <c r="D369" s="98" t="str">
        <f>'Resultater - Vestdanmark'!D369</f>
        <v>Areal-pil-poppel</v>
      </c>
      <c r="E369" s="98" t="str">
        <f>'Resultater - Vestdanmark'!E369</f>
        <v>Hektar</v>
      </c>
      <c r="F369" s="98" t="str">
        <f>'Resultater - Vestdanmark'!F369</f>
        <v>Pil &amp; poppel</v>
      </c>
      <c r="G369" s="98" t="str">
        <f>'Resultater - Vestdanmark'!G369</f>
        <v>Ton</v>
      </c>
      <c r="H369" s="280" t="e">
        <f>'Resultater - Vestdanmark'!H369+'Resultater - Østdanmark'!H369</f>
        <v>#REF!</v>
      </c>
      <c r="I369" s="281" t="e">
        <f>'Resultater - Vestdanmark'!I369+'Resultater - Østdanmark'!I369</f>
        <v>#REF!</v>
      </c>
      <c r="J369" s="282" t="e">
        <f>'Resultater - Vestdanmark'!J369+'Resultater - Østdanmark'!J369</f>
        <v>#REF!</v>
      </c>
    </row>
    <row r="370" spans="1:10" x14ac:dyDescent="0.25">
      <c r="A370" s="98" t="str">
        <f>'Resultater - Vestdanmark'!A370</f>
        <v>Pil- og poppeldyrkning</v>
      </c>
      <c r="B370" s="98" t="str">
        <f>'Resultater - Vestdanmark'!B370</f>
        <v>Konventionel</v>
      </c>
      <c r="C370" s="98" t="str">
        <f>'Resultater - Vestdanmark'!C370</f>
        <v>OC6</v>
      </c>
      <c r="D370" s="98" t="str">
        <f>'Resultater - Vestdanmark'!D370</f>
        <v>Areal-pil-poppel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80" t="e">
        <f>'Resultater - Vestdanmark'!H370+'Resultater - Østdanmark'!H370</f>
        <v>#REF!</v>
      </c>
      <c r="I370" s="281" t="e">
        <f>'Resultater - Vestdanmark'!I370+'Resultater - Østdanmark'!I370</f>
        <v>#REF!</v>
      </c>
      <c r="J370" s="282" t="e">
        <f>'Resultater - Vestdanmark'!J370+'Resultater - Østdanmark'!J370</f>
        <v>#REF!</v>
      </c>
    </row>
    <row r="371" spans="1:10" x14ac:dyDescent="0.25">
      <c r="A371" s="98" t="str">
        <f>'Resultater - Vestdanmark'!A371</f>
        <v>Pil- og poppeldyrkning</v>
      </c>
      <c r="B371" s="98" t="str">
        <f>'Resultater - Vestdanmark'!B371</f>
        <v>Konventionel</v>
      </c>
      <c r="C371" s="98" t="str">
        <f>'Resultater - Vestdanmark'!C371</f>
        <v>OC6</v>
      </c>
      <c r="D371" s="98" t="str">
        <f>'Resultater - Vestdanmark'!D371</f>
        <v>Areal-pil-poppel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80" t="e">
        <f>'Resultater - Vestdanmark'!H371+'Resultater - Østdanmark'!H371</f>
        <v>#REF!</v>
      </c>
      <c r="I371" s="281" t="e">
        <f>'Resultater - Vestdanmark'!I371+'Resultater - Østdanmark'!I371</f>
        <v>#REF!</v>
      </c>
      <c r="J371" s="282" t="e">
        <f>'Resultater - Vestdanmark'!J371+'Resultater - Østdanmark'!J371</f>
        <v>#REF!</v>
      </c>
    </row>
    <row r="372" spans="1:10" x14ac:dyDescent="0.25">
      <c r="A372" s="98" t="str">
        <f>'Resultater - Vestdanmark'!A372</f>
        <v>Pil- og poppeldyrkning</v>
      </c>
      <c r="B372" s="98" t="str">
        <f>'Resultater - Vestdanmark'!B372</f>
        <v>Konventionel</v>
      </c>
      <c r="C372" s="98" t="str">
        <f>'Resultater - Vestdanmark'!C372</f>
        <v>OC12</v>
      </c>
      <c r="D372" s="98" t="str">
        <f>'Resultater - Vestdanmark'!D372</f>
        <v>Areal-pil-poppel</v>
      </c>
      <c r="E372" s="98" t="str">
        <f>'Resultater - Vestdanmark'!E372</f>
        <v>Hektar</v>
      </c>
      <c r="F372" s="98" t="str">
        <f>'Resultater - Vestdanmark'!F372</f>
        <v>Pil &amp; poppel</v>
      </c>
      <c r="G372" s="98" t="str">
        <f>'Resultater - Vestdanmark'!G372</f>
        <v>Ton</v>
      </c>
      <c r="H372" s="280" t="e">
        <f>'Resultater - Vestdanmark'!H372+'Resultater - Østdanmark'!H372</f>
        <v>#REF!</v>
      </c>
      <c r="I372" s="281" t="e">
        <f>'Resultater - Vestdanmark'!I372+'Resultater - Østdanmark'!I372</f>
        <v>#REF!</v>
      </c>
      <c r="J372" s="282" t="e">
        <f>'Resultater - Vestdanmark'!J372+'Resultater - Østdanmark'!J372</f>
        <v>#REF!</v>
      </c>
    </row>
    <row r="373" spans="1:10" x14ac:dyDescent="0.25">
      <c r="A373" s="98" t="str">
        <f>'Resultater - Vestdanmark'!A373</f>
        <v>Pil- og poppeldyrkning</v>
      </c>
      <c r="B373" s="98" t="str">
        <f>'Resultater - Vestdanmark'!B373</f>
        <v>Konventionel</v>
      </c>
      <c r="C373" s="98" t="str">
        <f>'Resultater - Vestdanmark'!C373</f>
        <v>OC12</v>
      </c>
      <c r="D373" s="98" t="str">
        <f>'Resultater - Vestdanmark'!D373</f>
        <v>Areal-pil-poppel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80" t="e">
        <f>'Resultater - Vestdanmark'!H373+'Resultater - Østdanmark'!H373</f>
        <v>#REF!</v>
      </c>
      <c r="I373" s="281" t="e">
        <f>'Resultater - Vestdanmark'!I373+'Resultater - Østdanmark'!I373</f>
        <v>#REF!</v>
      </c>
      <c r="J373" s="282" t="e">
        <f>'Resultater - Vestdanmark'!J373+'Resultater - Østdanmark'!J373</f>
        <v>#REF!</v>
      </c>
    </row>
    <row r="374" spans="1:10" x14ac:dyDescent="0.25">
      <c r="A374" s="98" t="str">
        <f>'Resultater - Vestdanmark'!A374</f>
        <v>Pil- og poppeldyrkning</v>
      </c>
      <c r="B374" s="98" t="str">
        <f>'Resultater - Vestdanmark'!B374</f>
        <v>Konventionel</v>
      </c>
      <c r="C374" s="98" t="str">
        <f>'Resultater - Vestdanmark'!C374</f>
        <v>OC12</v>
      </c>
      <c r="D374" s="98" t="str">
        <f>'Resultater - Vestdanmark'!D374</f>
        <v>Areal-pil-poppel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80" t="e">
        <f>'Resultater - Vestdanmark'!H374+'Resultater - Østdanmark'!H374</f>
        <v>#REF!</v>
      </c>
      <c r="I374" s="281" t="e">
        <f>'Resultater - Vestdanmark'!I374+'Resultater - Østdanmark'!I374</f>
        <v>#REF!</v>
      </c>
      <c r="J374" s="282" t="e">
        <f>'Resultater - Vestdanmark'!J374+'Resultater - Østdanmark'!J374</f>
        <v>#REF!</v>
      </c>
    </row>
    <row r="375" spans="1:10" x14ac:dyDescent="0.25">
      <c r="A375" s="98" t="str">
        <f>'Resultater - Vestdanmark'!A375</f>
        <v>Pil- og poppeldyrkning</v>
      </c>
      <c r="B375" s="98" t="str">
        <f>'Resultater - Vestdanmark'!B375</f>
        <v>Økologisk</v>
      </c>
      <c r="C375" s="98" t="str">
        <f>'Resultater - Vestdanmark'!C375</f>
        <v>JB1-10</v>
      </c>
      <c r="D375" s="98" t="str">
        <f>'Resultater - Vestdanmark'!D375</f>
        <v>Areal-pil-poppel</v>
      </c>
      <c r="E375" s="98" t="str">
        <f>'Resultater - Vestdanmark'!E375</f>
        <v>Hektar</v>
      </c>
      <c r="F375" s="98" t="str">
        <f>'Resultater - Vestdanmark'!F375</f>
        <v>Pil &amp; poppel</v>
      </c>
      <c r="G375" s="98" t="str">
        <f>'Resultater - Vestdanmark'!G375</f>
        <v>Ton</v>
      </c>
      <c r="H375" s="280" t="e">
        <f>'Resultater - Vestdanmark'!H375+'Resultater - Østdanmark'!H375</f>
        <v>#REF!</v>
      </c>
      <c r="I375" s="281" t="e">
        <f>'Resultater - Vestdanmark'!I375+'Resultater - Østdanmark'!I375</f>
        <v>#REF!</v>
      </c>
      <c r="J375" s="282" t="e">
        <f>'Resultater - Vestdanmark'!J375+'Resultater - Østdanmark'!J375</f>
        <v>#REF!</v>
      </c>
    </row>
    <row r="376" spans="1:10" x14ac:dyDescent="0.25">
      <c r="A376" s="98" t="str">
        <f>'Resultater - Vestdanmark'!A376</f>
        <v>Pil- og poppeldyrkning</v>
      </c>
      <c r="B376" s="98" t="str">
        <f>'Resultater - Vestdanmark'!B376</f>
        <v>Økologisk</v>
      </c>
      <c r="C376" s="98" t="str">
        <f>'Resultater - Vestdanmark'!C376</f>
        <v>JB1-10</v>
      </c>
      <c r="D376" s="98" t="str">
        <f>'Resultater - Vestdanmark'!D376</f>
        <v>Areal-pil-poppel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80" t="e">
        <f>'Resultater - Vestdanmark'!H376+'Resultater - Østdanmark'!H376</f>
        <v>#REF!</v>
      </c>
      <c r="I376" s="281" t="e">
        <f>'Resultater - Vestdanmark'!I376+'Resultater - Østdanmark'!I376</f>
        <v>#REF!</v>
      </c>
      <c r="J376" s="282" t="e">
        <f>'Resultater - Vestdanmark'!J376+'Resultater - Østdanmark'!J376</f>
        <v>#REF!</v>
      </c>
    </row>
    <row r="377" spans="1:10" x14ac:dyDescent="0.25">
      <c r="A377" s="98" t="str">
        <f>'Resultater - Vestdanmark'!A377</f>
        <v>Pil- og poppeldyrkning</v>
      </c>
      <c r="B377" s="98" t="str">
        <f>'Resultater - Vestdanmark'!B377</f>
        <v>Økologisk</v>
      </c>
      <c r="C377" s="98" t="str">
        <f>'Resultater - Vestdanmark'!C377</f>
        <v>JB1-10</v>
      </c>
      <c r="D377" s="98" t="str">
        <f>'Resultater - Vestdanmark'!D377</f>
        <v>Areal-pil-poppel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80" t="e">
        <f>'Resultater - Vestdanmark'!H377+'Resultater - Østdanmark'!H377</f>
        <v>#REF!</v>
      </c>
      <c r="I377" s="281" t="e">
        <f>'Resultater - Vestdanmark'!I377+'Resultater - Østdanmark'!I377</f>
        <v>#REF!</v>
      </c>
      <c r="J377" s="282" t="e">
        <f>'Resultater - Vestdanmark'!J377+'Resultater - Østdanmark'!J377</f>
        <v>#REF!</v>
      </c>
    </row>
    <row r="378" spans="1:10" x14ac:dyDescent="0.25">
      <c r="A378" s="98" t="str">
        <f>'Resultater - Vestdanmark'!A378</f>
        <v>Pil- og poppeldyrkning</v>
      </c>
      <c r="B378" s="98" t="str">
        <f>'Resultater - Vestdanmark'!B378</f>
        <v>Økologisk</v>
      </c>
      <c r="C378" s="98" t="str">
        <f>'Resultater - Vestdanmark'!C378</f>
        <v>OC6</v>
      </c>
      <c r="D378" s="98" t="str">
        <f>'Resultater - Vestdanmark'!D378</f>
        <v>Areal-pil-poppel</v>
      </c>
      <c r="E378" s="98" t="str">
        <f>'Resultater - Vestdanmark'!E378</f>
        <v>Hektar</v>
      </c>
      <c r="F378" s="98" t="str">
        <f>'Resultater - Vestdanmark'!F378</f>
        <v>Pil &amp; poppel</v>
      </c>
      <c r="G378" s="98" t="str">
        <f>'Resultater - Vestdanmark'!G378</f>
        <v>Ton</v>
      </c>
      <c r="H378" s="280" t="e">
        <f>'Resultater - Vestdanmark'!H378+'Resultater - Østdanmark'!H378</f>
        <v>#REF!</v>
      </c>
      <c r="I378" s="281" t="e">
        <f>'Resultater - Vestdanmark'!I378+'Resultater - Østdanmark'!I378</f>
        <v>#REF!</v>
      </c>
      <c r="J378" s="282" t="e">
        <f>'Resultater - Vestdanmark'!J378+'Resultater - Østdanmark'!J378</f>
        <v>#REF!</v>
      </c>
    </row>
    <row r="379" spans="1:10" x14ac:dyDescent="0.25">
      <c r="A379" s="98" t="str">
        <f>'Resultater - Vestdanmark'!A379</f>
        <v>Pil- og poppeldyrkning</v>
      </c>
      <c r="B379" s="98" t="str">
        <f>'Resultater - Vestdanmark'!B379</f>
        <v>Økologisk</v>
      </c>
      <c r="C379" s="98" t="str">
        <f>'Resultater - Vestdanmark'!C379</f>
        <v>OC6</v>
      </c>
      <c r="D379" s="98" t="str">
        <f>'Resultater - Vestdanmark'!D379</f>
        <v>Areal-pil-poppel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80" t="e">
        <f>'Resultater - Vestdanmark'!H379+'Resultater - Østdanmark'!H379</f>
        <v>#REF!</v>
      </c>
      <c r="I379" s="281" t="e">
        <f>'Resultater - Vestdanmark'!I379+'Resultater - Østdanmark'!I379</f>
        <v>#REF!</v>
      </c>
      <c r="J379" s="282" t="e">
        <f>'Resultater - Vestdanmark'!J379+'Resultater - Østdanmark'!J379</f>
        <v>#REF!</v>
      </c>
    </row>
    <row r="380" spans="1:10" x14ac:dyDescent="0.25">
      <c r="A380" s="98" t="str">
        <f>'Resultater - Vestdanmark'!A380</f>
        <v>Pil- og poppeldyrkning</v>
      </c>
      <c r="B380" s="98" t="str">
        <f>'Resultater - Vestdanmark'!B380</f>
        <v>Økologisk</v>
      </c>
      <c r="C380" s="98" t="str">
        <f>'Resultater - Vestdanmark'!C380</f>
        <v>OC6</v>
      </c>
      <c r="D380" s="98" t="str">
        <f>'Resultater - Vestdanmark'!D380</f>
        <v>Areal-pil-poppel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80" t="e">
        <f>'Resultater - Vestdanmark'!H380+'Resultater - Østdanmark'!H380</f>
        <v>#REF!</v>
      </c>
      <c r="I380" s="281" t="e">
        <f>'Resultater - Vestdanmark'!I380+'Resultater - Østdanmark'!I380</f>
        <v>#REF!</v>
      </c>
      <c r="J380" s="282" t="e">
        <f>'Resultater - Vestdanmark'!J380+'Resultater - Østdanmark'!J380</f>
        <v>#REF!</v>
      </c>
    </row>
    <row r="381" spans="1:10" x14ac:dyDescent="0.25">
      <c r="A381" s="98" t="str">
        <f>'Resultater - Vestdanmark'!A381</f>
        <v>Pil- og poppeldyrkning</v>
      </c>
      <c r="B381" s="98" t="str">
        <f>'Resultater - Vestdanmark'!B381</f>
        <v>Økologisk</v>
      </c>
      <c r="C381" s="98" t="str">
        <f>'Resultater - Vestdanmark'!C381</f>
        <v>OC12</v>
      </c>
      <c r="D381" s="98" t="str">
        <f>'Resultater - Vestdanmark'!D381</f>
        <v>Areal-pil-poppel</v>
      </c>
      <c r="E381" s="98" t="str">
        <f>'Resultater - Vestdanmark'!E381</f>
        <v>Hektar</v>
      </c>
      <c r="F381" s="98" t="str">
        <f>'Resultater - Vestdanmark'!F381</f>
        <v>Pil &amp; poppel</v>
      </c>
      <c r="G381" s="98" t="str">
        <f>'Resultater - Vestdanmark'!G381</f>
        <v>Ton</v>
      </c>
      <c r="H381" s="280" t="e">
        <f>'Resultater - Vestdanmark'!H381+'Resultater - Østdanmark'!H381</f>
        <v>#REF!</v>
      </c>
      <c r="I381" s="281" t="e">
        <f>'Resultater - Vestdanmark'!I381+'Resultater - Østdanmark'!I381</f>
        <v>#REF!</v>
      </c>
      <c r="J381" s="282" t="e">
        <f>'Resultater - Vestdanmark'!J381+'Resultater - Østdanmark'!J381</f>
        <v>#REF!</v>
      </c>
    </row>
    <row r="382" spans="1:10" x14ac:dyDescent="0.25">
      <c r="A382" s="98" t="str">
        <f>'Resultater - Vestdanmark'!A382</f>
        <v>Pil- og poppeldyrkning</v>
      </c>
      <c r="B382" s="98" t="str">
        <f>'Resultater - Vestdanmark'!B382</f>
        <v>Økologisk</v>
      </c>
      <c r="C382" s="98" t="str">
        <f>'Resultater - Vestdanmark'!C382</f>
        <v>OC12</v>
      </c>
      <c r="D382" s="98" t="str">
        <f>'Resultater - Vestdanmark'!D382</f>
        <v>Areal-pil-poppel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80" t="e">
        <f>'Resultater - Vestdanmark'!H382+'Resultater - Østdanmark'!H382</f>
        <v>#REF!</v>
      </c>
      <c r="I382" s="281" t="e">
        <f>'Resultater - Vestdanmark'!I382+'Resultater - Østdanmark'!I382</f>
        <v>#REF!</v>
      </c>
      <c r="J382" s="282" t="e">
        <f>'Resultater - Vestdanmark'!J382+'Resultater - Østdanmark'!J382</f>
        <v>#REF!</v>
      </c>
    </row>
    <row r="383" spans="1:10" x14ac:dyDescent="0.25">
      <c r="A383" s="98" t="str">
        <f>'Resultater - Vestdanmark'!A383</f>
        <v>Pil- og poppeldyrkning</v>
      </c>
      <c r="B383" s="98" t="str">
        <f>'Resultater - Vestdanmark'!B383</f>
        <v>Økologisk</v>
      </c>
      <c r="C383" s="98" t="str">
        <f>'Resultater - Vestdanmark'!C383</f>
        <v>OC12</v>
      </c>
      <c r="D383" s="98" t="str">
        <f>'Resultater - Vestdanmark'!D383</f>
        <v>Areal-pil-poppel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80" t="e">
        <f>'Resultater - Vestdanmark'!H383+'Resultater - Østdanmark'!H383</f>
        <v>#REF!</v>
      </c>
      <c r="I383" s="281" t="e">
        <f>'Resultater - Vestdanmark'!I383+'Resultater - Østdanmark'!I383</f>
        <v>#REF!</v>
      </c>
      <c r="J383" s="282" t="e">
        <f>'Resultater - Vestdanmark'!J383+'Resultater - Østdanmark'!J383</f>
        <v>#REF!</v>
      </c>
    </row>
    <row r="384" spans="1:10" x14ac:dyDescent="0.25">
      <c r="A384" s="98" t="str">
        <f>'Resultater - Vestdanmark'!A384</f>
        <v>Permanent græs</v>
      </c>
      <c r="B384" s="98" t="str">
        <f>'Resultater - Vestdanmark'!B384</f>
        <v>Konventionel</v>
      </c>
      <c r="C384" s="98" t="str">
        <f>'Resultater - Vestdanmark'!C384</f>
        <v>JB1-10</v>
      </c>
      <c r="D384" s="98" t="str">
        <f>'Resultater - Vestdanmark'!D384</f>
        <v>Areal-permanent græs</v>
      </c>
      <c r="E384" s="98" t="str">
        <f>'Resultater - Vestdanmark'!E384</f>
        <v>Hektar</v>
      </c>
      <c r="F384" s="98" t="str">
        <f>'Resultater - Vestdanmark'!F384</f>
        <v>Græs</v>
      </c>
      <c r="G384" s="98" t="str">
        <f>'Resultater - Vestdanmark'!G384</f>
        <v>Ton</v>
      </c>
      <c r="H384" s="280" t="e">
        <f>'Resultater - Vestdanmark'!H384+'Resultater - Østdanmark'!H384</f>
        <v>#REF!</v>
      </c>
      <c r="I384" s="281" t="e">
        <f>'Resultater - Vestdanmark'!I384+'Resultater - Østdanmark'!I384</f>
        <v>#REF!</v>
      </c>
      <c r="J384" s="282" t="e">
        <f>'Resultater - Vestdanmark'!J384+'Resultater - Østdanmark'!J384</f>
        <v>#REF!</v>
      </c>
    </row>
    <row r="385" spans="1:10" x14ac:dyDescent="0.25">
      <c r="A385" s="98" t="str">
        <f>'Resultater - Vestdanmark'!A385</f>
        <v>Permanent græs</v>
      </c>
      <c r="B385" s="98" t="str">
        <f>'Resultater - Vestdanmark'!B385</f>
        <v>Konventionel</v>
      </c>
      <c r="C385" s="98" t="str">
        <f>'Resultater - Vestdanmark'!C385</f>
        <v>JB1-10</v>
      </c>
      <c r="D385" s="98" t="str">
        <f>'Resultater - Vestdanmark'!D385</f>
        <v>Areal-permanent græs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80" t="e">
        <f>'Resultater - Vestdanmark'!H385+'Resultater - Østdanmark'!H385</f>
        <v>#REF!</v>
      </c>
      <c r="I385" s="281" t="e">
        <f>'Resultater - Vestdanmark'!I385+'Resultater - Østdanmark'!I385</f>
        <v>#REF!</v>
      </c>
      <c r="J385" s="282" t="e">
        <f>'Resultater - Vestdanmark'!J385+'Resultater - Østdanmark'!J385</f>
        <v>#REF!</v>
      </c>
    </row>
    <row r="386" spans="1:10" x14ac:dyDescent="0.25">
      <c r="A386" s="98" t="str">
        <f>'Resultater - Vestdanmark'!A386</f>
        <v>Permanent græs</v>
      </c>
      <c r="B386" s="98" t="str">
        <f>'Resultater - Vestdanmark'!B386</f>
        <v>Konventionel</v>
      </c>
      <c r="C386" s="98" t="str">
        <f>'Resultater - Vestdanmark'!C386</f>
        <v>JB1-10</v>
      </c>
      <c r="D386" s="98" t="str">
        <f>'Resultater - Vestdanmark'!D386</f>
        <v>Areal-permanent græs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80" t="e">
        <f>'Resultater - Vestdanmark'!H386+'Resultater - Østdanmark'!H386</f>
        <v>#REF!</v>
      </c>
      <c r="I386" s="281" t="e">
        <f>'Resultater - Vestdanmark'!I386+'Resultater - Østdanmark'!I386</f>
        <v>#REF!</v>
      </c>
      <c r="J386" s="282" t="e">
        <f>'Resultater - Vestdanmark'!J386+'Resultater - Østdanmark'!J386</f>
        <v>#REF!</v>
      </c>
    </row>
    <row r="387" spans="1:10" x14ac:dyDescent="0.25">
      <c r="A387" s="98" t="str">
        <f>'Resultater - Vestdanmark'!A387</f>
        <v>Permanent græs</v>
      </c>
      <c r="B387" s="98" t="str">
        <f>'Resultater - Vestdanmark'!B387</f>
        <v>Konventionel</v>
      </c>
      <c r="C387" s="98" t="str">
        <f>'Resultater - Vestdanmark'!C387</f>
        <v>OC6</v>
      </c>
      <c r="D387" s="98" t="str">
        <f>'Resultater - Vestdanmark'!D387</f>
        <v>Areal-permanent græs</v>
      </c>
      <c r="E387" s="98" t="str">
        <f>'Resultater - Vestdanmark'!E387</f>
        <v>Hektar</v>
      </c>
      <c r="F387" s="98" t="str">
        <f>'Resultater - Vestdanmark'!F387</f>
        <v>Græs</v>
      </c>
      <c r="G387" s="98" t="str">
        <f>'Resultater - Vestdanmark'!G387</f>
        <v>Ton</v>
      </c>
      <c r="H387" s="280" t="e">
        <f>'Resultater - Vestdanmark'!H387+'Resultater - Østdanmark'!H387</f>
        <v>#REF!</v>
      </c>
      <c r="I387" s="281" t="e">
        <f>'Resultater - Vestdanmark'!I387+'Resultater - Østdanmark'!I387</f>
        <v>#REF!</v>
      </c>
      <c r="J387" s="282" t="e">
        <f>'Resultater - Vestdanmark'!J387+'Resultater - Østdanmark'!J387</f>
        <v>#REF!</v>
      </c>
    </row>
    <row r="388" spans="1:10" x14ac:dyDescent="0.25">
      <c r="A388" s="98" t="str">
        <f>'Resultater - Vestdanmark'!A388</f>
        <v>Permanent græs</v>
      </c>
      <c r="B388" s="98" t="str">
        <f>'Resultater - Vestdanmark'!B388</f>
        <v>Konventionel</v>
      </c>
      <c r="C388" s="98" t="str">
        <f>'Resultater - Vestdanmark'!C388</f>
        <v>OC6</v>
      </c>
      <c r="D388" s="98" t="str">
        <f>'Resultater - Vestdanmark'!D388</f>
        <v>Areal-permanent græs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80" t="e">
        <f>'Resultater - Vestdanmark'!H388+'Resultater - Østdanmark'!H388</f>
        <v>#REF!</v>
      </c>
      <c r="I388" s="281" t="e">
        <f>'Resultater - Vestdanmark'!I388+'Resultater - Østdanmark'!I388</f>
        <v>#REF!</v>
      </c>
      <c r="J388" s="282" t="e">
        <f>'Resultater - Vestdanmark'!J388+'Resultater - Østdanmark'!J388</f>
        <v>#REF!</v>
      </c>
    </row>
    <row r="389" spans="1:10" x14ac:dyDescent="0.25">
      <c r="A389" s="98" t="str">
        <f>'Resultater - Vestdanmark'!A389</f>
        <v>Permanent græs</v>
      </c>
      <c r="B389" s="98" t="str">
        <f>'Resultater - Vestdanmark'!B389</f>
        <v>Konventionel</v>
      </c>
      <c r="C389" s="98" t="str">
        <f>'Resultater - Vestdanmark'!C389</f>
        <v>OC6</v>
      </c>
      <c r="D389" s="98" t="str">
        <f>'Resultater - Vestdanmark'!D389</f>
        <v>Areal-permanent græs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80" t="e">
        <f>'Resultater - Vestdanmark'!H389+'Resultater - Østdanmark'!H389</f>
        <v>#REF!</v>
      </c>
      <c r="I389" s="281" t="e">
        <f>'Resultater - Vestdanmark'!I389+'Resultater - Østdanmark'!I389</f>
        <v>#REF!</v>
      </c>
      <c r="J389" s="282" t="e">
        <f>'Resultater - Vestdanmark'!J389+'Resultater - Østdanmark'!J389</f>
        <v>#REF!</v>
      </c>
    </row>
    <row r="390" spans="1:10" x14ac:dyDescent="0.25">
      <c r="A390" s="98" t="str">
        <f>'Resultater - Vestdanmark'!A390</f>
        <v>Permanent græs</v>
      </c>
      <c r="B390" s="98" t="str">
        <f>'Resultater - Vestdanmark'!B390</f>
        <v>Konventionel</v>
      </c>
      <c r="C390" s="98" t="str">
        <f>'Resultater - Vestdanmark'!C390</f>
        <v>OC12</v>
      </c>
      <c r="D390" s="98" t="str">
        <f>'Resultater - Vestdanmark'!D390</f>
        <v>Areal-permanent græs</v>
      </c>
      <c r="E390" s="98" t="str">
        <f>'Resultater - Vestdanmark'!E390</f>
        <v>Hektar</v>
      </c>
      <c r="F390" s="98" t="str">
        <f>'Resultater - Vestdanmark'!F390</f>
        <v>Græs</v>
      </c>
      <c r="G390" s="98" t="str">
        <f>'Resultater - Vestdanmark'!G390</f>
        <v>Ton</v>
      </c>
      <c r="H390" s="280" t="e">
        <f>'Resultater - Vestdanmark'!H390+'Resultater - Østdanmark'!H390</f>
        <v>#REF!</v>
      </c>
      <c r="I390" s="281" t="e">
        <f>'Resultater - Vestdanmark'!I390+'Resultater - Østdanmark'!I390</f>
        <v>#REF!</v>
      </c>
      <c r="J390" s="282" t="e">
        <f>'Resultater - Vestdanmark'!J390+'Resultater - Østdanmark'!J390</f>
        <v>#REF!</v>
      </c>
    </row>
    <row r="391" spans="1:10" x14ac:dyDescent="0.25">
      <c r="A391" s="98" t="str">
        <f>'Resultater - Vestdanmark'!A391</f>
        <v>Permanent græs</v>
      </c>
      <c r="B391" s="98" t="str">
        <f>'Resultater - Vestdanmark'!B391</f>
        <v>Konventionel</v>
      </c>
      <c r="C391" s="98" t="str">
        <f>'Resultater - Vestdanmark'!C391</f>
        <v>OC12</v>
      </c>
      <c r="D391" s="98" t="str">
        <f>'Resultater - Vestdanmark'!D391</f>
        <v>Areal-permanent græs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80" t="e">
        <f>'Resultater - Vestdanmark'!H391+'Resultater - Østdanmark'!H391</f>
        <v>#REF!</v>
      </c>
      <c r="I391" s="281" t="e">
        <f>'Resultater - Vestdanmark'!I391+'Resultater - Østdanmark'!I391</f>
        <v>#REF!</v>
      </c>
      <c r="J391" s="282" t="e">
        <f>'Resultater - Vestdanmark'!J391+'Resultater - Østdanmark'!J391</f>
        <v>#REF!</v>
      </c>
    </row>
    <row r="392" spans="1:10" x14ac:dyDescent="0.25">
      <c r="A392" s="98" t="str">
        <f>'Resultater - Vestdanmark'!A392</f>
        <v>Permanent græs</v>
      </c>
      <c r="B392" s="98" t="str">
        <f>'Resultater - Vestdanmark'!B392</f>
        <v>Konventionel</v>
      </c>
      <c r="C392" s="98" t="str">
        <f>'Resultater - Vestdanmark'!C392</f>
        <v>OC12</v>
      </c>
      <c r="D392" s="98" t="str">
        <f>'Resultater - Vestdanmark'!D392</f>
        <v>Areal-permanent græs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80" t="e">
        <f>'Resultater - Vestdanmark'!H392+'Resultater - Østdanmark'!H392</f>
        <v>#REF!</v>
      </c>
      <c r="I392" s="281" t="e">
        <f>'Resultater - Vestdanmark'!I392+'Resultater - Østdanmark'!I392</f>
        <v>#REF!</v>
      </c>
      <c r="J392" s="282" t="e">
        <f>'Resultater - Vestdanmark'!J392+'Resultater - Østdanmark'!J392</f>
        <v>#REF!</v>
      </c>
    </row>
    <row r="393" spans="1:10" x14ac:dyDescent="0.25">
      <c r="A393" s="98" t="str">
        <f>'Resultater - Vestdanmark'!A393</f>
        <v>Permanent græs</v>
      </c>
      <c r="B393" s="98" t="str">
        <f>'Resultater - Vestdanmark'!B393</f>
        <v>Økologisk</v>
      </c>
      <c r="C393" s="98" t="str">
        <f>'Resultater - Vestdanmark'!C393</f>
        <v>JB1-10</v>
      </c>
      <c r="D393" s="98" t="str">
        <f>'Resultater - Vestdanmark'!D393</f>
        <v>Areal-permanent græs</v>
      </c>
      <c r="E393" s="98" t="str">
        <f>'Resultater - Vestdanmark'!E393</f>
        <v>Hektar</v>
      </c>
      <c r="F393" s="98" t="str">
        <f>'Resultater - Vestdanmark'!F393</f>
        <v>Græs</v>
      </c>
      <c r="G393" s="98" t="str">
        <f>'Resultater - Vestdanmark'!G393</f>
        <v>Ton</v>
      </c>
      <c r="H393" s="280" t="e">
        <f>'Resultater - Vestdanmark'!H393+'Resultater - Østdanmark'!H393</f>
        <v>#REF!</v>
      </c>
      <c r="I393" s="281" t="e">
        <f>'Resultater - Vestdanmark'!I393+'Resultater - Østdanmark'!I393</f>
        <v>#REF!</v>
      </c>
      <c r="J393" s="282" t="e">
        <f>'Resultater - Vestdanmark'!J393+'Resultater - Østdanmark'!J393</f>
        <v>#REF!</v>
      </c>
    </row>
    <row r="394" spans="1:10" x14ac:dyDescent="0.25">
      <c r="A394" s="98" t="str">
        <f>'Resultater - Vestdanmark'!A394</f>
        <v>Permanent græs</v>
      </c>
      <c r="B394" s="98" t="str">
        <f>'Resultater - Vestdanmark'!B394</f>
        <v>Økologisk</v>
      </c>
      <c r="C394" s="98" t="str">
        <f>'Resultater - Vestdanmark'!C394</f>
        <v>JB1-10</v>
      </c>
      <c r="D394" s="98" t="str">
        <f>'Resultater - Vestdanmark'!D394</f>
        <v>Areal-permanent græs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80" t="e">
        <f>'Resultater - Vestdanmark'!H394+'Resultater - Østdanmark'!H394</f>
        <v>#REF!</v>
      </c>
      <c r="I394" s="281" t="e">
        <f>'Resultater - Vestdanmark'!I394+'Resultater - Østdanmark'!I394</f>
        <v>#REF!</v>
      </c>
      <c r="J394" s="282" t="e">
        <f>'Resultater - Vestdanmark'!J394+'Resultater - Østdanmark'!J394</f>
        <v>#REF!</v>
      </c>
    </row>
    <row r="395" spans="1:10" x14ac:dyDescent="0.25">
      <c r="A395" s="98" t="str">
        <f>'Resultater - Vestdanmark'!A395</f>
        <v>Permanent græs</v>
      </c>
      <c r="B395" s="98" t="str">
        <f>'Resultater - Vestdanmark'!B395</f>
        <v>Økologisk</v>
      </c>
      <c r="C395" s="98" t="str">
        <f>'Resultater - Vestdanmark'!C395</f>
        <v>JB1-10</v>
      </c>
      <c r="D395" s="98" t="str">
        <f>'Resultater - Vestdanmark'!D395</f>
        <v>Areal-permanent græs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80" t="e">
        <f>'Resultater - Vestdanmark'!H395+'Resultater - Østdanmark'!H395</f>
        <v>#REF!</v>
      </c>
      <c r="I395" s="281" t="e">
        <f>'Resultater - Vestdanmark'!I395+'Resultater - Østdanmark'!I395</f>
        <v>#REF!</v>
      </c>
      <c r="J395" s="282" t="e">
        <f>'Resultater - Vestdanmark'!J395+'Resultater - Østdanmark'!J395</f>
        <v>#REF!</v>
      </c>
    </row>
    <row r="396" spans="1:10" x14ac:dyDescent="0.25">
      <c r="A396" s="98" t="str">
        <f>'Resultater - Vestdanmark'!A396</f>
        <v>Permanent græs</v>
      </c>
      <c r="B396" s="98" t="str">
        <f>'Resultater - Vestdanmark'!B396</f>
        <v>Økologisk</v>
      </c>
      <c r="C396" s="98" t="str">
        <f>'Resultater - Vestdanmark'!C396</f>
        <v>OC6</v>
      </c>
      <c r="D396" s="98" t="str">
        <f>'Resultater - Vestdanmark'!D396</f>
        <v>Areal-permanent græs</v>
      </c>
      <c r="E396" s="98" t="str">
        <f>'Resultater - Vestdanmark'!E396</f>
        <v>Hektar</v>
      </c>
      <c r="F396" s="98" t="str">
        <f>'Resultater - Vestdanmark'!F396</f>
        <v>Græs</v>
      </c>
      <c r="G396" s="98" t="str">
        <f>'Resultater - Vestdanmark'!G396</f>
        <v>Ton</v>
      </c>
      <c r="H396" s="280" t="e">
        <f>'Resultater - Vestdanmark'!H396+'Resultater - Østdanmark'!H396</f>
        <v>#REF!</v>
      </c>
      <c r="I396" s="281" t="e">
        <f>'Resultater - Vestdanmark'!I396+'Resultater - Østdanmark'!I396</f>
        <v>#REF!</v>
      </c>
      <c r="J396" s="282" t="e">
        <f>'Resultater - Vestdanmark'!J396+'Resultater - Østdanmark'!J396</f>
        <v>#REF!</v>
      </c>
    </row>
    <row r="397" spans="1:10" x14ac:dyDescent="0.25">
      <c r="A397" s="98" t="str">
        <f>'Resultater - Vestdanmark'!A397</f>
        <v>Permanent græs</v>
      </c>
      <c r="B397" s="98" t="str">
        <f>'Resultater - Vestdanmark'!B397</f>
        <v>Økologisk</v>
      </c>
      <c r="C397" s="98" t="str">
        <f>'Resultater - Vestdanmark'!C397</f>
        <v>OC6</v>
      </c>
      <c r="D397" s="98" t="str">
        <f>'Resultater - Vestdanmark'!D397</f>
        <v>Areal-permanent græs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80" t="e">
        <f>'Resultater - Vestdanmark'!H397+'Resultater - Østdanmark'!H397</f>
        <v>#REF!</v>
      </c>
      <c r="I397" s="281" t="e">
        <f>'Resultater - Vestdanmark'!I397+'Resultater - Østdanmark'!I397</f>
        <v>#REF!</v>
      </c>
      <c r="J397" s="282" t="e">
        <f>'Resultater - Vestdanmark'!J397+'Resultater - Østdanmark'!J397</f>
        <v>#REF!</v>
      </c>
    </row>
    <row r="398" spans="1:10" x14ac:dyDescent="0.25">
      <c r="A398" s="98" t="str">
        <f>'Resultater - Vestdanmark'!A398</f>
        <v>Permanent græs</v>
      </c>
      <c r="B398" s="98" t="str">
        <f>'Resultater - Vestdanmark'!B398</f>
        <v>Økologisk</v>
      </c>
      <c r="C398" s="98" t="str">
        <f>'Resultater - Vestdanmark'!C398</f>
        <v>OC6</v>
      </c>
      <c r="D398" s="98" t="str">
        <f>'Resultater - Vestdanmark'!D398</f>
        <v>Areal-permanent græs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80" t="e">
        <f>'Resultater - Vestdanmark'!H398+'Resultater - Østdanmark'!H398</f>
        <v>#REF!</v>
      </c>
      <c r="I398" s="281" t="e">
        <f>'Resultater - Vestdanmark'!I398+'Resultater - Østdanmark'!I398</f>
        <v>#REF!</v>
      </c>
      <c r="J398" s="282" t="e">
        <f>'Resultater - Vestdanmark'!J398+'Resultater - Østdanmark'!J398</f>
        <v>#REF!</v>
      </c>
    </row>
    <row r="399" spans="1:10" x14ac:dyDescent="0.25">
      <c r="A399" s="98" t="str">
        <f>'Resultater - Vestdanmark'!A399</f>
        <v>Permanent græs</v>
      </c>
      <c r="B399" s="98" t="str">
        <f>'Resultater - Vestdanmark'!B399</f>
        <v>Økologisk</v>
      </c>
      <c r="C399" s="98" t="str">
        <f>'Resultater - Vestdanmark'!C399</f>
        <v>OC12</v>
      </c>
      <c r="D399" s="98" t="str">
        <f>'Resultater - Vestdanmark'!D399</f>
        <v>Areal-permanent græs</v>
      </c>
      <c r="E399" s="98" t="str">
        <f>'Resultater - Vestdanmark'!E399</f>
        <v>Hektar</v>
      </c>
      <c r="F399" s="98" t="str">
        <f>'Resultater - Vestdanmark'!F399</f>
        <v>Græs</v>
      </c>
      <c r="G399" s="98" t="str">
        <f>'Resultater - Vestdanmark'!G399</f>
        <v>Ton</v>
      </c>
      <c r="H399" s="280" t="e">
        <f>'Resultater - Vestdanmark'!H399+'Resultater - Østdanmark'!H399</f>
        <v>#REF!</v>
      </c>
      <c r="I399" s="281" t="e">
        <f>'Resultater - Vestdanmark'!I399+'Resultater - Østdanmark'!I399</f>
        <v>#REF!</v>
      </c>
      <c r="J399" s="282" t="e">
        <f>'Resultater - Vestdanmark'!J399+'Resultater - Østdanmark'!J399</f>
        <v>#REF!</v>
      </c>
    </row>
    <row r="400" spans="1:10" x14ac:dyDescent="0.25">
      <c r="A400" s="98" t="str">
        <f>'Resultater - Vestdanmark'!A400</f>
        <v>Permanent græs</v>
      </c>
      <c r="B400" s="98" t="str">
        <f>'Resultater - Vestdanmark'!B400</f>
        <v>Økologisk</v>
      </c>
      <c r="C400" s="98" t="str">
        <f>'Resultater - Vestdanmark'!C400</f>
        <v>OC12</v>
      </c>
      <c r="D400" s="98" t="str">
        <f>'Resultater - Vestdanmark'!D400</f>
        <v>Areal-permanent græs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80" t="e">
        <f>'Resultater - Vestdanmark'!H400+'Resultater - Østdanmark'!H400</f>
        <v>#REF!</v>
      </c>
      <c r="I400" s="281" t="e">
        <f>'Resultater - Vestdanmark'!I400+'Resultater - Østdanmark'!I400</f>
        <v>#REF!</v>
      </c>
      <c r="J400" s="282" t="e">
        <f>'Resultater - Vestdanmark'!J400+'Resultater - Østdanmark'!J400</f>
        <v>#REF!</v>
      </c>
    </row>
    <row r="401" spans="1:10" x14ac:dyDescent="0.25">
      <c r="A401" s="98" t="str">
        <f>'Resultater - Vestdanmark'!A401</f>
        <v>Permanent græs</v>
      </c>
      <c r="B401" s="98" t="str">
        <f>'Resultater - Vestdanmark'!B401</f>
        <v>Økologisk</v>
      </c>
      <c r="C401" s="98" t="str">
        <f>'Resultater - Vestdanmark'!C401</f>
        <v>OC12</v>
      </c>
      <c r="D401" s="98" t="str">
        <f>'Resultater - Vestdanmark'!D401</f>
        <v>Areal-permanent græs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80" t="e">
        <f>'Resultater - Vestdanmark'!H401+'Resultater - Østdanmark'!H401</f>
        <v>#REF!</v>
      </c>
      <c r="I401" s="281" t="e">
        <f>'Resultater - Vestdanmark'!I401+'Resultater - Østdanmark'!I401</f>
        <v>#REF!</v>
      </c>
      <c r="J401" s="282" t="e">
        <f>'Resultater - Vestdanmark'!J401+'Resultater - Østdanmark'!J401</f>
        <v>#REF!</v>
      </c>
    </row>
    <row r="402" spans="1:10" x14ac:dyDescent="0.25">
      <c r="A402" s="98" t="str">
        <f>'Resultater - Vestdanmark'!A402</f>
        <v>Tømmerproduktion</v>
      </c>
      <c r="B402" s="98" t="str">
        <f>'Resultater - Vestdanmark'!B402</f>
        <v/>
      </c>
      <c r="C402" s="98" t="str">
        <f>'Resultater - Vestdanmark'!C402</f>
        <v/>
      </c>
      <c r="D402" s="98" t="str">
        <f>'Resultater - Vestdanmark'!D402</f>
        <v>Træer</v>
      </c>
      <c r="E402" s="98" t="str">
        <f>'Resultater - Vestdanmark'!E402</f>
        <v>m3</v>
      </c>
      <c r="F402" s="98" t="str">
        <f>'Resultater - Vestdanmark'!F402</f>
        <v>Træmaterialer</v>
      </c>
      <c r="G402" s="98" t="str">
        <f>'Resultater - Vestdanmark'!G402</f>
        <v>m3</v>
      </c>
      <c r="H402" s="280" t="e">
        <f>'Resultater - Vestdanmark'!H402+'Resultater - Østdanmark'!H402</f>
        <v>#REF!</v>
      </c>
      <c r="I402" s="281" t="e">
        <f>'Resultater - Vestdanmark'!I402+'Resultater - Østdanmark'!I402</f>
        <v>#REF!</v>
      </c>
      <c r="J402" s="282" t="e">
        <f>'Resultater - Vestdanmark'!J402+'Resultater - Østdanmark'!J402</f>
        <v>#REF!</v>
      </c>
    </row>
    <row r="403" spans="1:10" x14ac:dyDescent="0.25">
      <c r="A403" s="98" t="str">
        <f>'Resultater - Vestdanmark'!A403</f>
        <v>Tømmerproduktion</v>
      </c>
      <c r="B403" s="98" t="str">
        <f>'Resultater - Vestdanmark'!B403</f>
        <v/>
      </c>
      <c r="C403" s="98" t="str">
        <f>'Resultater - Vestdanmark'!C403</f>
        <v/>
      </c>
      <c r="D403" s="98" t="str">
        <f>'Resultater - Vestdanmark'!D403</f>
        <v>Træer</v>
      </c>
      <c r="E403" s="98" t="str">
        <f>'Resultater - Vestdanmark'!E403</f>
        <v>m3</v>
      </c>
      <c r="F403" s="98" t="str">
        <f>'Resultater - Vestdanmark'!F403</f>
        <v>Træ til energi</v>
      </c>
      <c r="G403" s="98" t="str">
        <f>'Resultater - Vestdanmark'!G403</f>
        <v>m3</v>
      </c>
      <c r="H403" s="280" t="e">
        <f>'Resultater - Vestdanmark'!H403+'Resultater - Østdanmark'!H403</f>
        <v>#REF!</v>
      </c>
      <c r="I403" s="281" t="e">
        <f>'Resultater - Vestdanmark'!I403+'Resultater - Østdanmark'!I403</f>
        <v>#REF!</v>
      </c>
      <c r="J403" s="282" t="e">
        <f>'Resultater - Vestdanmark'!J403+'Resultater - Østdanmark'!J403</f>
        <v>#REF!</v>
      </c>
    </row>
    <row r="404" spans="1:10" x14ac:dyDescent="0.25">
      <c r="A404" s="98" t="str">
        <f>'Resultater - Vestdanmark'!A404</f>
        <v>Mejeri</v>
      </c>
      <c r="B404" s="98" t="str">
        <f>'Resultater - Vestdanmark'!B404</f>
        <v/>
      </c>
      <c r="C404" s="98" t="str">
        <f>'Resultater - Vestdanmark'!C404</f>
        <v/>
      </c>
      <c r="D404" s="98" t="str">
        <f>'Resultater - Vestdanmark'!D404</f>
        <v>Råmælk</v>
      </c>
      <c r="E404" s="98" t="str">
        <f>'Resultater - Vestdanmark'!E404</f>
        <v>Ton</v>
      </c>
      <c r="F404" s="98" t="str">
        <f>'Resultater - Vestdanmark'!F404</f>
        <v>Mejeriprodukter</v>
      </c>
      <c r="G404" s="98" t="str">
        <f>'Resultater - Vestdanmark'!G404</f>
        <v>Ton</v>
      </c>
      <c r="H404" s="280" t="e">
        <f>'Resultater - Vestdanmark'!H404+'Resultater - Østdanmark'!H404</f>
        <v>#REF!</v>
      </c>
      <c r="I404" s="281" t="e">
        <f>'Resultater - Vestdanmark'!I404+'Resultater - Østdanmark'!I404</f>
        <v>#REF!</v>
      </c>
      <c r="J404" s="282" t="e">
        <f>'Resultater - Vestdanmark'!J404+'Resultater - Østdanmark'!J404</f>
        <v>#REF!</v>
      </c>
    </row>
    <row r="405" spans="1:10" x14ac:dyDescent="0.25">
      <c r="A405" s="98" t="str">
        <f>'Resultater - Vestdanmark'!A405</f>
        <v>Mejeri</v>
      </c>
      <c r="B405" s="98" t="str">
        <f>'Resultater - Vestdanmark'!B405</f>
        <v/>
      </c>
      <c r="C405" s="98" t="str">
        <f>'Resultater - Vestdanmark'!C405</f>
        <v/>
      </c>
      <c r="D405" s="98" t="str">
        <f>'Resultater - Vestdanmark'!D405</f>
        <v>Råmælk</v>
      </c>
      <c r="E405" s="98" t="str">
        <f>'Resultater - Vestdanmark'!E405</f>
        <v>Ton</v>
      </c>
      <c r="F405" s="98" t="str">
        <f>'Resultater - Vestdanmark'!F405</f>
        <v>Spildevandsslam</v>
      </c>
      <c r="G405" s="98" t="str">
        <f>'Resultater - Vestdanmark'!G405</f>
        <v>Ton</v>
      </c>
      <c r="H405" s="280" t="e">
        <f>'Resultater - Vestdanmark'!H405+'Resultater - Østdanmark'!H405</f>
        <v>#REF!</v>
      </c>
      <c r="I405" s="281" t="e">
        <f>'Resultater - Vestdanmark'!I405+'Resultater - Østdanmark'!I405</f>
        <v>#REF!</v>
      </c>
      <c r="J405" s="282" t="e">
        <f>'Resultater - Vestdanmark'!J405+'Resultater - Østdanmark'!J405</f>
        <v>#REF!</v>
      </c>
    </row>
    <row r="406" spans="1:10" s="171" customFormat="1" x14ac:dyDescent="0.25">
      <c r="A406" s="98" t="str">
        <f>'Resultater - Vestdanmark'!A406</f>
        <v>Mejeri</v>
      </c>
      <c r="B406" s="98" t="str">
        <f>'Resultater - Vestdanmark'!B406</f>
        <v/>
      </c>
      <c r="C406" s="98" t="str">
        <f>'Resultater - Vestdanmark'!C406</f>
        <v/>
      </c>
      <c r="D406" s="98" t="str">
        <f>'Resultater - Vestdanmark'!D406</f>
        <v>Råmælk</v>
      </c>
      <c r="E406" s="98" t="str">
        <f>'Resultater - Vestdanmark'!E406</f>
        <v>Ton</v>
      </c>
      <c r="F406" s="98" t="str">
        <f>'Resultater - Vestdanmark'!F406</f>
        <v>Industriaffald</v>
      </c>
      <c r="G406" s="98" t="str">
        <f>'Resultater - Vestdanmark'!G406</f>
        <v>Ton</v>
      </c>
      <c r="H406" s="280" t="e">
        <f>'Resultater - Vestdanmark'!H406+'Resultater - Østdanmark'!H406</f>
        <v>#REF!</v>
      </c>
      <c r="I406" s="281" t="e">
        <f>'Resultater - Vestdanmark'!I406+'Resultater - Østdanmark'!I406</f>
        <v>#REF!</v>
      </c>
      <c r="J406" s="282" t="e">
        <f>'Resultater - Vestdanmark'!J406+'Resultater - Østdanmark'!J406</f>
        <v>#REF!</v>
      </c>
    </row>
    <row r="407" spans="1:10" x14ac:dyDescent="0.25">
      <c r="A407" s="98" t="str">
        <f>'Resultater - Vestdanmark'!A407</f>
        <v>Mejeri</v>
      </c>
      <c r="B407" s="98" t="str">
        <f>'Resultater - Vestdanmark'!B407</f>
        <v/>
      </c>
      <c r="C407" s="98" t="str">
        <f>'Resultater - Vestdanmark'!C407</f>
        <v/>
      </c>
      <c r="D407" s="98" t="str">
        <f>'Resultater - Vestdanmark'!D407</f>
        <v>Råmælk</v>
      </c>
      <c r="E407" s="98" t="str">
        <f>'Resultater - Vestdanmark'!E407</f>
        <v>Ton</v>
      </c>
      <c r="F407" s="98" t="str">
        <f>'Resultater - Vestdanmark'!F407</f>
        <v>Mælk til foder</v>
      </c>
      <c r="G407" s="98" t="str">
        <f>'Resultater - Vestdanmark'!G407</f>
        <v>Ton</v>
      </c>
      <c r="H407" s="280" t="e">
        <f>'Resultater - Vestdanmark'!H407+'Resultater - Østdanmark'!H407</f>
        <v>#REF!</v>
      </c>
      <c r="I407" s="281" t="e">
        <f>'Resultater - Vestdanmark'!I407+'Resultater - Østdanmark'!I407</f>
        <v>#REF!</v>
      </c>
      <c r="J407" s="282" t="e">
        <f>'Resultater - Vestdanmark'!J407+'Resultater - Østdanmark'!J407</f>
        <v>#REF!</v>
      </c>
    </row>
    <row r="408" spans="1:10" x14ac:dyDescent="0.25">
      <c r="A408" s="98" t="str">
        <f>'Resultater - Vestdanmark'!A408</f>
        <v>Slagteri</v>
      </c>
      <c r="B408" s="98" t="str">
        <f>'Resultater - Vestdanmark'!B408</f>
        <v/>
      </c>
      <c r="C408" s="98" t="str">
        <f>'Resultater - Vestdanmark'!C408</f>
        <v/>
      </c>
      <c r="D408" s="98" t="str">
        <f>'Resultater - Vestdanmark'!D408</f>
        <v>Slagtesvin</v>
      </c>
      <c r="E408" s="98" t="str">
        <f>'Resultater - Vestdanmark'!E408</f>
        <v>Antal</v>
      </c>
      <c r="F408" s="98" t="str">
        <f>'Resultater - Vestdanmark'!F408</f>
        <v>Svinekød</v>
      </c>
      <c r="G408" s="98" t="str">
        <f>'Resultater - Vestdanmark'!G408</f>
        <v>Ton</v>
      </c>
      <c r="H408" s="280" t="e">
        <f>'Resultater - Vestdanmark'!H408+'Resultater - Østdanmark'!H408</f>
        <v>#REF!</v>
      </c>
      <c r="I408" s="281" t="e">
        <f>'Resultater - Vestdanmark'!I408+'Resultater - Østdanmark'!I408</f>
        <v>#REF!</v>
      </c>
      <c r="J408" s="282" t="e">
        <f>'Resultater - Vestdanmark'!J408+'Resultater - Østdanmark'!J408</f>
        <v>#REF!</v>
      </c>
    </row>
    <row r="409" spans="1:10" x14ac:dyDescent="0.25">
      <c r="A409" s="98" t="str">
        <f>'Resultater - Vestdanmark'!A409</f>
        <v>Slagteri</v>
      </c>
      <c r="B409" s="98" t="str">
        <f>'Resultater - Vestdanmark'!B409</f>
        <v/>
      </c>
      <c r="C409" s="98" t="str">
        <f>'Resultater - Vestdanmark'!C409</f>
        <v/>
      </c>
      <c r="D409" s="98" t="str">
        <f>'Resultater - Vestdanmark'!D409</f>
        <v>Slagtesvin</v>
      </c>
      <c r="E409" s="98" t="str">
        <f>'Resultater - Vestdanmark'!E409</f>
        <v>Antal</v>
      </c>
      <c r="F409" s="98" t="str">
        <f>'Resultater - Vestdanmark'!F409</f>
        <v>Industriaffald</v>
      </c>
      <c r="G409" s="98" t="str">
        <f>'Resultater - Vestdanmark'!G409</f>
        <v>Ton</v>
      </c>
      <c r="H409" s="280" t="e">
        <f>'Resultater - Vestdanmark'!H409+'Resultater - Østdanmark'!H409</f>
        <v>#REF!</v>
      </c>
      <c r="I409" s="281" t="e">
        <f>'Resultater - Vestdanmark'!I409+'Resultater - Østdanmark'!I409</f>
        <v>#REF!</v>
      </c>
      <c r="J409" s="282" t="e">
        <f>'Resultater - Vestdanmark'!J409+'Resultater - Østdanmark'!J409</f>
        <v>#REF!</v>
      </c>
    </row>
    <row r="410" spans="1:10" x14ac:dyDescent="0.25">
      <c r="A410" s="98" t="str">
        <f>'Resultater - Vestdanmark'!A410</f>
        <v>Slagteri</v>
      </c>
      <c r="B410" s="98" t="str">
        <f>'Resultater - Vestdanmark'!B410</f>
        <v/>
      </c>
      <c r="C410" s="98" t="str">
        <f>'Resultater - Vestdanmark'!C410</f>
        <v/>
      </c>
      <c r="D410" s="98" t="str">
        <f>'Resultater - Vestdanmark'!D410</f>
        <v>Slagtesvin</v>
      </c>
      <c r="E410" s="98" t="str">
        <f>'Resultater - Vestdanmark'!E410</f>
        <v>Antal</v>
      </c>
      <c r="F410" s="98" t="str">
        <f>'Resultater - Vestdanmark'!F410</f>
        <v>Slagteriaffald til foder</v>
      </c>
      <c r="G410" s="98" t="str">
        <f>'Resultater - Vestdanmark'!G410</f>
        <v>Ton</v>
      </c>
      <c r="H410" s="280" t="e">
        <f>'Resultater - Vestdanmark'!H410+'Resultater - Østdanmark'!H410</f>
        <v>#REF!</v>
      </c>
      <c r="I410" s="281" t="e">
        <f>'Resultater - Vestdanmark'!I410+'Resultater - Østdanmark'!I410</f>
        <v>#REF!</v>
      </c>
      <c r="J410" s="282" t="e">
        <f>'Resultater - Vestdanmark'!J410+'Resultater - Østdanmark'!J410</f>
        <v>#REF!</v>
      </c>
    </row>
    <row r="411" spans="1:10" x14ac:dyDescent="0.25">
      <c r="A411" s="98" t="str">
        <f>'Resultater - Vestdanmark'!A411</f>
        <v>Slagteri</v>
      </c>
      <c r="B411" s="98" t="str">
        <f>'Resultater - Vestdanmark'!B411</f>
        <v/>
      </c>
      <c r="C411" s="98" t="str">
        <f>'Resultater - Vestdanmark'!C411</f>
        <v/>
      </c>
      <c r="D411" s="98" t="str">
        <f>'Resultater - Vestdanmark'!D411</f>
        <v>Slagtesvin</v>
      </c>
      <c r="E411" s="98" t="str">
        <f>'Resultater - Vestdanmark'!E411</f>
        <v>Antal</v>
      </c>
      <c r="F411" s="98" t="str">
        <f>'Resultater - Vestdanmark'!F411</f>
        <v>Slagteriaffald til andet</v>
      </c>
      <c r="G411" s="98" t="str">
        <f>'Resultater - Vestdanmark'!G411</f>
        <v>Ton</v>
      </c>
      <c r="H411" s="280" t="e">
        <f>'Resultater - Vestdanmark'!H411+'Resultater - Østdanmark'!H411</f>
        <v>#REF!</v>
      </c>
      <c r="I411" s="281" t="e">
        <f>'Resultater - Vestdanmark'!I411+'Resultater - Østdanmark'!I411</f>
        <v>#REF!</v>
      </c>
      <c r="J411" s="282" t="e">
        <f>'Resultater - Vestdanmark'!J411+'Resultater - Østdanmark'!J411</f>
        <v>#REF!</v>
      </c>
    </row>
    <row r="412" spans="1:10" x14ac:dyDescent="0.25">
      <c r="A412" s="98" t="str">
        <f>'Resultater - Vestdanmark'!A412</f>
        <v>Slagteri</v>
      </c>
      <c r="B412" s="98" t="str">
        <f>'Resultater - Vestdanmark'!B412</f>
        <v/>
      </c>
      <c r="C412" s="98" t="str">
        <f>'Resultater - Vestdanmark'!C412</f>
        <v/>
      </c>
      <c r="D412" s="98" t="str">
        <f>'Resultater - Vestdanmark'!D412</f>
        <v>Slagtekøer</v>
      </c>
      <c r="E412" s="98" t="str">
        <f>'Resultater - Vestdanmark'!E412</f>
        <v>Antal</v>
      </c>
      <c r="F412" s="98" t="str">
        <f>'Resultater - Vestdanmark'!F412</f>
        <v>Oksekød</v>
      </c>
      <c r="G412" s="98" t="str">
        <f>'Resultater - Vestdanmark'!G412</f>
        <v>Ton</v>
      </c>
      <c r="H412" s="280" t="e">
        <f>'Resultater - Vestdanmark'!H412+'Resultater - Østdanmark'!H412</f>
        <v>#REF!</v>
      </c>
      <c r="I412" s="281" t="e">
        <f>'Resultater - Vestdanmark'!I412+'Resultater - Østdanmark'!I412</f>
        <v>#REF!</v>
      </c>
      <c r="J412" s="282" t="e">
        <f>'Resultater - Vestdanmark'!J412+'Resultater - Østdanmark'!J412</f>
        <v>#REF!</v>
      </c>
    </row>
    <row r="413" spans="1:10" x14ac:dyDescent="0.25">
      <c r="A413" s="98" t="str">
        <f>'Resultater - Vestdanmark'!A413</f>
        <v>Slagteri</v>
      </c>
      <c r="B413" s="98" t="str">
        <f>'Resultater - Vestdanmark'!B413</f>
        <v/>
      </c>
      <c r="C413" s="98" t="str">
        <f>'Resultater - Vestdanmark'!C413</f>
        <v/>
      </c>
      <c r="D413" s="98" t="str">
        <f>'Resultater - Vestdanmark'!D413</f>
        <v>Slagtekøer</v>
      </c>
      <c r="E413" s="98" t="str">
        <f>'Resultater - Vestdanmark'!E413</f>
        <v>Antal</v>
      </c>
      <c r="F413" s="98" t="str">
        <f>'Resultater - Vestdanmark'!F413</f>
        <v>Industriaffald</v>
      </c>
      <c r="G413" s="98" t="str">
        <f>'Resultater - Vestdanmark'!G413</f>
        <v>Ton</v>
      </c>
      <c r="H413" s="280" t="e">
        <f>'Resultater - Vestdanmark'!H413+'Resultater - Østdanmark'!H413</f>
        <v>#REF!</v>
      </c>
      <c r="I413" s="281" t="e">
        <f>'Resultater - Vestdanmark'!I413+'Resultater - Østdanmark'!I413</f>
        <v>#REF!</v>
      </c>
      <c r="J413" s="282" t="e">
        <f>'Resultater - Vestdanmark'!J413+'Resultater - Østdanmark'!J413</f>
        <v>#REF!</v>
      </c>
    </row>
    <row r="414" spans="1:10" x14ac:dyDescent="0.25">
      <c r="A414" s="98" t="str">
        <f>'Resultater - Vestdanmark'!A414</f>
        <v>Slagteri</v>
      </c>
      <c r="B414" s="98" t="str">
        <f>'Resultater - Vestdanmark'!B414</f>
        <v/>
      </c>
      <c r="C414" s="98" t="str">
        <f>'Resultater - Vestdanmark'!C414</f>
        <v/>
      </c>
      <c r="D414" s="98" t="str">
        <f>'Resultater - Vestdanmark'!D414</f>
        <v>Slagtekøer</v>
      </c>
      <c r="E414" s="98" t="str">
        <f>'Resultater - Vestdanmark'!E414</f>
        <v>Antal</v>
      </c>
      <c r="F414" s="98" t="str">
        <f>'Resultater - Vestdanmark'!F414</f>
        <v>Slagteriaffald til foder</v>
      </c>
      <c r="G414" s="98" t="str">
        <f>'Resultater - Vestdanmark'!G414</f>
        <v>Ton</v>
      </c>
      <c r="H414" s="280" t="e">
        <f>'Resultater - Vestdanmark'!H414+'Resultater - Østdanmark'!H414</f>
        <v>#REF!</v>
      </c>
      <c r="I414" s="281" t="e">
        <f>'Resultater - Vestdanmark'!I414+'Resultater - Østdanmark'!I414</f>
        <v>#REF!</v>
      </c>
      <c r="J414" s="282" t="e">
        <f>'Resultater - Vestdanmark'!J414+'Resultater - Østdanmark'!J414</f>
        <v>#REF!</v>
      </c>
    </row>
    <row r="415" spans="1:10" x14ac:dyDescent="0.25">
      <c r="A415" s="98" t="str">
        <f>'Resultater - Vestdanmark'!A415</f>
        <v>Slagteri</v>
      </c>
      <c r="B415" s="98" t="str">
        <f>'Resultater - Vestdanmark'!B415</f>
        <v/>
      </c>
      <c r="C415" s="98" t="str">
        <f>'Resultater - Vestdanmark'!C415</f>
        <v/>
      </c>
      <c r="D415" s="98" t="str">
        <f>'Resultater - Vestdanmark'!D415</f>
        <v>Slagtekøer</v>
      </c>
      <c r="E415" s="98" t="str">
        <f>'Resultater - Vestdanmark'!E415</f>
        <v>Antal</v>
      </c>
      <c r="F415" s="98" t="str">
        <f>'Resultater - Vestdanmark'!F415</f>
        <v>Slagteriaffald til andet</v>
      </c>
      <c r="G415" s="98" t="str">
        <f>'Resultater - Vestdanmark'!G415</f>
        <v>Ton</v>
      </c>
      <c r="H415" s="280" t="e">
        <f>'Resultater - Vestdanmark'!H415+'Resultater - Østdanmark'!H415</f>
        <v>#REF!</v>
      </c>
      <c r="I415" s="281" t="e">
        <f>'Resultater - Vestdanmark'!I415+'Resultater - Østdanmark'!I415</f>
        <v>#REF!</v>
      </c>
      <c r="J415" s="282" t="e">
        <f>'Resultater - Vestdanmark'!J415+'Resultater - Østdanmark'!J415</f>
        <v>#REF!</v>
      </c>
    </row>
    <row r="416" spans="1:10" x14ac:dyDescent="0.25">
      <c r="A416" s="98" t="str">
        <f>'Resultater - Vestdanmark'!A416</f>
        <v>Slagteri</v>
      </c>
      <c r="B416" s="98" t="str">
        <f>'Resultater - Vestdanmark'!B416</f>
        <v/>
      </c>
      <c r="C416" s="98" t="str">
        <f>'Resultater - Vestdanmark'!C416</f>
        <v/>
      </c>
      <c r="D416" s="98" t="str">
        <f>'Resultater - Vestdanmark'!D416</f>
        <v>Slagtefjerkræ</v>
      </c>
      <c r="E416" s="98" t="str">
        <f>'Resultater - Vestdanmark'!E416</f>
        <v>Antal</v>
      </c>
      <c r="F416" s="98" t="str">
        <f>'Resultater - Vestdanmark'!F416</f>
        <v>Fjerkrækød</v>
      </c>
      <c r="G416" s="98" t="str">
        <f>'Resultater - Vestdanmark'!G416</f>
        <v>Ton</v>
      </c>
      <c r="H416" s="280" t="e">
        <f>'Resultater - Vestdanmark'!H416+'Resultater - Østdanmark'!H416</f>
        <v>#REF!</v>
      </c>
      <c r="I416" s="281" t="e">
        <f>'Resultater - Vestdanmark'!I416+'Resultater - Østdanmark'!I416</f>
        <v>#REF!</v>
      </c>
      <c r="J416" s="282" t="e">
        <f>'Resultater - Vestdanmark'!J416+'Resultater - Østdanmark'!J416</f>
        <v>#REF!</v>
      </c>
    </row>
    <row r="417" spans="1:10" ht="15.75" thickBot="1" x14ac:dyDescent="0.3">
      <c r="A417" s="98" t="str">
        <f>'Resultater - Vestdanmark'!A417</f>
        <v>Slagteri</v>
      </c>
      <c r="B417" s="98" t="str">
        <f>'Resultater - Vestdanmark'!B417</f>
        <v/>
      </c>
      <c r="C417" s="98" t="str">
        <f>'Resultater - Vestdanmark'!C417</f>
        <v/>
      </c>
      <c r="D417" s="98" t="str">
        <f>'Resultater - Vestdanmark'!D417</f>
        <v>Slagtefjerkræ</v>
      </c>
      <c r="E417" s="98" t="str">
        <f>'Resultater - Vestdanmark'!E417</f>
        <v>Antal</v>
      </c>
      <c r="F417" s="98" t="str">
        <f>'Resultater - Vestdanmark'!F417</f>
        <v>Industriaffald</v>
      </c>
      <c r="G417" s="98" t="str">
        <f>'Resultater - Vestdanmark'!G417</f>
        <v>Ton</v>
      </c>
      <c r="H417" s="283" t="e">
        <f>'Resultater - Vestdanmark'!H417+'Resultater - Østdanmark'!H417</f>
        <v>#REF!</v>
      </c>
      <c r="I417" s="284" t="e">
        <f>'Resultater - Vestdanmark'!I417+'Resultater - Østdanmark'!I417</f>
        <v>#REF!</v>
      </c>
      <c r="J417" s="285" t="e">
        <f>'Resultater - Vestdanmark'!J417+'Resultater - Østdanmark'!J417</f>
        <v>#REF!</v>
      </c>
    </row>
    <row r="418" spans="1:10" x14ac:dyDescent="0.25">
      <c r="A418" s="98" t="str">
        <f>'Resultater - Vestdanmark'!A418</f>
        <v>Foderproduktion</v>
      </c>
      <c r="B418" s="98" t="str">
        <f>'Resultater - Vestdanmark'!B418</f>
        <v/>
      </c>
      <c r="C418" s="98" t="str">
        <f>'Resultater - Vestdanmark'!C418</f>
        <v/>
      </c>
      <c r="D418" s="98" t="str">
        <f>'Resultater - Vestdanmark'!D418</f>
        <v>Korn</v>
      </c>
      <c r="E418" s="98" t="str">
        <f>'Resultater - Vestdanmark'!E418</f>
        <v>Ton</v>
      </c>
      <c r="F418" s="98" t="str">
        <f>'Resultater - Vestdanmark'!F418</f>
        <v>Foder</v>
      </c>
      <c r="G418" s="98" t="str">
        <f>'Resultater - Vestdanmark'!G418</f>
        <v>FE</v>
      </c>
      <c r="H418" s="277" t="e">
        <f>'Resultater - Vestdanmark'!H418+'Resultater - Østdanmark'!H418</f>
        <v>#REF!</v>
      </c>
      <c r="I418" s="278" t="e">
        <f>'Resultater - Vestdanmark'!I418+'Resultater - Østdanmark'!I418</f>
        <v>#REF!</v>
      </c>
      <c r="J418" s="279" t="e">
        <f>'Resultater - Vestdanmark'!J418+'Resultater - Østdanmark'!J418</f>
        <v>#REF!</v>
      </c>
    </row>
    <row r="419" spans="1:10" x14ac:dyDescent="0.25">
      <c r="A419" s="98" t="str">
        <f>'Resultater - Vestdanmark'!A419</f>
        <v>Foderproduktion</v>
      </c>
      <c r="B419" s="98" t="str">
        <f>'Resultater - Vestdanmark'!B419</f>
        <v/>
      </c>
      <c r="C419" s="98" t="str">
        <f>'Resultater - Vestdanmark'!C419</f>
        <v/>
      </c>
      <c r="D419" s="98" t="str">
        <f>'Resultater - Vestdanmark'!D419</f>
        <v>Halm</v>
      </c>
      <c r="E419" s="98" t="str">
        <f>'Resultater - Vestdanmark'!E419</f>
        <v>Ton</v>
      </c>
      <c r="F419" s="98" t="str">
        <f>'Resultater - Vestdanmark'!F419</f>
        <v>Foder</v>
      </c>
      <c r="G419" s="98" t="str">
        <f>'Resultater - Vestdanmark'!G419</f>
        <v>FE</v>
      </c>
      <c r="H419" s="280" t="e">
        <f>'Resultater - Vestdanmark'!H419+'Resultater - Østdanmark'!H419</f>
        <v>#REF!</v>
      </c>
      <c r="I419" s="281" t="e">
        <f>'Resultater - Vestdanmark'!I419+'Resultater - Østdanmark'!I419</f>
        <v>#REF!</v>
      </c>
      <c r="J419" s="282" t="e">
        <f>'Resultater - Vestdanmark'!J419+'Resultater - Østdanmark'!J419</f>
        <v>#REF!</v>
      </c>
    </row>
    <row r="420" spans="1:10" x14ac:dyDescent="0.25">
      <c r="A420" s="98" t="str">
        <f>'Resultater - Vestdanmark'!A420</f>
        <v>Foderproduktion</v>
      </c>
      <c r="B420" s="98" t="str">
        <f>'Resultater - Vestdanmark'!B420</f>
        <v/>
      </c>
      <c r="C420" s="98" t="str">
        <f>'Resultater - Vestdanmark'!C420</f>
        <v/>
      </c>
      <c r="D420" s="98" t="str">
        <f>'Resultater - Vestdanmark'!D420</f>
        <v>Kartofler</v>
      </c>
      <c r="E420" s="98" t="str">
        <f>'Resultater - Vestdanmark'!E420</f>
        <v>Ton</v>
      </c>
      <c r="F420" s="98" t="str">
        <f>'Resultater - Vestdanmark'!F420</f>
        <v>Foder</v>
      </c>
      <c r="G420" s="98" t="str">
        <f>'Resultater - Vestdanmark'!G420</f>
        <v>FE</v>
      </c>
      <c r="H420" s="280" t="e">
        <f>'Resultater - Vestdanmark'!H420+'Resultater - Østdanmark'!H420</f>
        <v>#REF!</v>
      </c>
      <c r="I420" s="281" t="e">
        <f>'Resultater - Vestdanmark'!I420+'Resultater - Østdanmark'!I420</f>
        <v>#REF!</v>
      </c>
      <c r="J420" s="282" t="e">
        <f>'Resultater - Vestdanmark'!J420+'Resultater - Østdanmark'!J420</f>
        <v>#REF!</v>
      </c>
    </row>
    <row r="421" spans="1:10" x14ac:dyDescent="0.25">
      <c r="A421" s="98" t="str">
        <f>'Resultater - Vestdanmark'!A421</f>
        <v>Foderproduktion</v>
      </c>
      <c r="B421" s="98" t="str">
        <f>'Resultater - Vestdanmark'!B421</f>
        <v/>
      </c>
      <c r="C421" s="98" t="str">
        <f>'Resultater - Vestdanmark'!C421</f>
        <v/>
      </c>
      <c r="D421" s="98" t="str">
        <f>'Resultater - Vestdanmark'!D421</f>
        <v>Bælgsæd</v>
      </c>
      <c r="E421" s="98" t="str">
        <f>'Resultater - Vestdanmark'!E421</f>
        <v>Ton</v>
      </c>
      <c r="F421" s="98" t="str">
        <f>'Resultater - Vestdanmark'!F421</f>
        <v>Foder</v>
      </c>
      <c r="G421" s="98" t="str">
        <f>'Resultater - Vestdanmark'!G421</f>
        <v>FE</v>
      </c>
      <c r="H421" s="280" t="e">
        <f>'Resultater - Vestdanmark'!H421+'Resultater - Østdanmark'!H421</f>
        <v>#REF!</v>
      </c>
      <c r="I421" s="281" t="e">
        <f>'Resultater - Vestdanmark'!I421+'Resultater - Østdanmark'!I421</f>
        <v>#REF!</v>
      </c>
      <c r="J421" s="282" t="e">
        <f>'Resultater - Vestdanmark'!J421+'Resultater - Østdanmark'!J421</f>
        <v>#REF!</v>
      </c>
    </row>
    <row r="422" spans="1:10" x14ac:dyDescent="0.25">
      <c r="A422" s="98" t="str">
        <f>'Resultater - Vestdanmark'!A422</f>
        <v>Foderproduktion</v>
      </c>
      <c r="B422" s="98" t="str">
        <f>'Resultater - Vestdanmark'!B422</f>
        <v/>
      </c>
      <c r="C422" s="98" t="str">
        <f>'Resultater - Vestdanmark'!C422</f>
        <v/>
      </c>
      <c r="D422" s="98" t="str">
        <f>'Resultater - Vestdanmark'!D422</f>
        <v>Roer</v>
      </c>
      <c r="E422" s="98" t="str">
        <f>'Resultater - Vestdanmark'!E422</f>
        <v>Ton</v>
      </c>
      <c r="F422" s="98" t="str">
        <f>'Resultater - Vestdanmark'!F422</f>
        <v>Foder</v>
      </c>
      <c r="G422" s="98" t="str">
        <f>'Resultater - Vestdanmark'!G422</f>
        <v>FE</v>
      </c>
      <c r="H422" s="280" t="e">
        <f>'Resultater - Vestdanmark'!H422+'Resultater - Østdanmark'!H422</f>
        <v>#REF!</v>
      </c>
      <c r="I422" s="281" t="e">
        <f>'Resultater - Vestdanmark'!I422+'Resultater - Østdanmark'!I422</f>
        <v>#REF!</v>
      </c>
      <c r="J422" s="282" t="e">
        <f>'Resultater - Vestdanmark'!J422+'Resultater - Østdanmark'!J422</f>
        <v>#REF!</v>
      </c>
    </row>
    <row r="423" spans="1:10" x14ac:dyDescent="0.25">
      <c r="A423" s="98" t="str">
        <f>'Resultater - Vestdanmark'!A423</f>
        <v>Foderproduktion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Majs</v>
      </c>
      <c r="E423" s="98" t="str">
        <f>'Resultater - Vestdanmark'!E423</f>
        <v>Ton</v>
      </c>
      <c r="F423" s="98" t="str">
        <f>'Resultater - Vestdanmark'!F423</f>
        <v>Foder</v>
      </c>
      <c r="G423" s="98" t="str">
        <f>'Resultater - Vestdanmark'!G423</f>
        <v>FE</v>
      </c>
      <c r="H423" s="280" t="e">
        <f>'Resultater - Vestdanmark'!H423+'Resultater - Østdanmark'!H423</f>
        <v>#REF!</v>
      </c>
      <c r="I423" s="281" t="e">
        <f>'Resultater - Vestdanmark'!I423+'Resultater - Østdanmark'!I423</f>
        <v>#REF!</v>
      </c>
      <c r="J423" s="282" t="e">
        <f>'Resultater - Vestdanmark'!J423+'Resultater - Østdanmark'!J423</f>
        <v>#REF!</v>
      </c>
    </row>
    <row r="424" spans="1:10" x14ac:dyDescent="0.25">
      <c r="A424" s="98" t="str">
        <f>'Resultater - Vestdanmark'!A424</f>
        <v>Foderproduktion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Rapskage</v>
      </c>
      <c r="E424" s="98" t="str">
        <f>'Resultater - Vestdanmark'!E424</f>
        <v>Ton</v>
      </c>
      <c r="F424" s="98" t="str">
        <f>'Resultater - Vestdanmark'!F424</f>
        <v>Foder</v>
      </c>
      <c r="G424" s="98" t="str">
        <f>'Resultater - Vestdanmark'!G424</f>
        <v>FE</v>
      </c>
      <c r="H424" s="280" t="e">
        <f>'Resultater - Vestdanmark'!H424+'Resultater - Østdanmark'!H424</f>
        <v>#REF!</v>
      </c>
      <c r="I424" s="281" t="e">
        <f>'Resultater - Vestdanmark'!I424+'Resultater - Østdanmark'!I424</f>
        <v>#REF!</v>
      </c>
      <c r="J424" s="282" t="e">
        <f>'Resultater - Vestdanmark'!J424+'Resultater - Østdanmark'!J424</f>
        <v>#REF!</v>
      </c>
    </row>
    <row r="425" spans="1:10" x14ac:dyDescent="0.25">
      <c r="A425" s="98" t="str">
        <f>'Resultater - Vestdanmark'!A425</f>
        <v>Foderproduktion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Tang</v>
      </c>
      <c r="E425" s="98" t="str">
        <f>'Resultater - Vestdanmark'!E425</f>
        <v>Ton</v>
      </c>
      <c r="F425" s="98" t="str">
        <f>'Resultater - Vestdanmark'!F425</f>
        <v>Foder</v>
      </c>
      <c r="G425" s="98" t="str">
        <f>'Resultater - Vestdanmark'!G425</f>
        <v>FE</v>
      </c>
      <c r="H425" s="280" t="e">
        <f>'Resultater - Vestdanmark'!H425+'Resultater - Østdanmark'!H425</f>
        <v>#REF!</v>
      </c>
      <c r="I425" s="281" t="e">
        <f>'Resultater - Vestdanmark'!I425+'Resultater - Østdanmark'!I425</f>
        <v>#REF!</v>
      </c>
      <c r="J425" s="282" t="e">
        <f>'Resultater - Vestdanmark'!J425+'Resultater - Østdanmark'!J425</f>
        <v>#REF!</v>
      </c>
    </row>
    <row r="426" spans="1:10" x14ac:dyDescent="0.25">
      <c r="A426" s="98" t="str">
        <f>'Resultater - Vestdanmark'!A426</f>
        <v>Foderproduktion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Muslinger</v>
      </c>
      <c r="E426" s="98" t="str">
        <f>'Resultater - Vestdanmark'!E426</f>
        <v>Ton</v>
      </c>
      <c r="F426" s="98" t="str">
        <f>'Resultater - Vestdanmark'!F426</f>
        <v>Foder</v>
      </c>
      <c r="G426" s="98" t="str">
        <f>'Resultater - Vestdanmark'!G426</f>
        <v>FE</v>
      </c>
      <c r="H426" s="280" t="e">
        <f>'Resultater - Vestdanmark'!H426+'Resultater - Østdanmark'!H426</f>
        <v>#REF!</v>
      </c>
      <c r="I426" s="281" t="e">
        <f>'Resultater - Vestdanmark'!I426+'Resultater - Østdanmark'!I426</f>
        <v>#REF!</v>
      </c>
      <c r="J426" s="282" t="e">
        <f>'Resultater - Vestdanmark'!J426+'Resultater - Østdanmark'!J426</f>
        <v>#REF!</v>
      </c>
    </row>
    <row r="427" spans="1:10" x14ac:dyDescent="0.25">
      <c r="A427" s="98" t="str">
        <f>'Resultater - Vestdanmark'!A427</f>
        <v>Foderproduktion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Græs</v>
      </c>
      <c r="E427" s="98" t="str">
        <f>'Resultater - Vestdanmark'!E427</f>
        <v>Ton</v>
      </c>
      <c r="F427" s="98" t="str">
        <f>'Resultater - Vestdanmark'!F427</f>
        <v>Foder</v>
      </c>
      <c r="G427" s="98" t="str">
        <f>'Resultater - Vestdanmark'!G427</f>
        <v>FE</v>
      </c>
      <c r="H427" s="280" t="e">
        <f>'Resultater - Vestdanmark'!H427+'Resultater - Østdanmark'!H427</f>
        <v>#REF!</v>
      </c>
      <c r="I427" s="281" t="e">
        <f>'Resultater - Vestdanmark'!I427+'Resultater - Østdanmark'!I427</f>
        <v>#REF!</v>
      </c>
      <c r="J427" s="282" t="e">
        <f>'Resultater - Vestdanmark'!J427+'Resultater - Østdanmark'!J427</f>
        <v>#REF!</v>
      </c>
    </row>
    <row r="428" spans="1:10" x14ac:dyDescent="0.25">
      <c r="A428" s="98" t="str">
        <f>'Resultater - Vestdanmark'!A428</f>
        <v>Foderproduktion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Mælk til foder</v>
      </c>
      <c r="E428" s="98" t="str">
        <f>'Resultater - Vestdanmark'!E428</f>
        <v>Ton</v>
      </c>
      <c r="F428" s="98" t="str">
        <f>'Resultater - Vestdanmark'!F428</f>
        <v>Foder</v>
      </c>
      <c r="G428" s="98" t="str">
        <f>'Resultater - Vestdanmark'!G428</f>
        <v>FE</v>
      </c>
      <c r="H428" s="280" t="e">
        <f>'Resultater - Vestdanmark'!H428+'Resultater - Østdanmark'!H428</f>
        <v>#REF!</v>
      </c>
      <c r="I428" s="281" t="e">
        <f>'Resultater - Vestdanmark'!I428+'Resultater - Østdanmark'!I428</f>
        <v>#REF!</v>
      </c>
      <c r="J428" s="282" t="e">
        <f>'Resultater - Vestdanmark'!J428+'Resultater - Østdanmark'!J428</f>
        <v>#REF!</v>
      </c>
    </row>
    <row r="429" spans="1:10" x14ac:dyDescent="0.25">
      <c r="A429" s="98" t="str">
        <f>'Resultater - Vestdanmark'!A429</f>
        <v>Foderproduktion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Fiberfraktion</v>
      </c>
      <c r="E429" s="98" t="str">
        <f>'Resultater - Vestdanmark'!E429</f>
        <v>Ton</v>
      </c>
      <c r="F429" s="98" t="str">
        <f>'Resultater - Vestdanmark'!F429</f>
        <v>Foder</v>
      </c>
      <c r="G429" s="98" t="str">
        <f>'Resultater - Vestdanmark'!G429</f>
        <v>FE</v>
      </c>
      <c r="H429" s="280" t="e">
        <f>'Resultater - Vestdanmark'!H429+'Resultater - Østdanmark'!H429</f>
        <v>#REF!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 t="e">
        <f>'Resultater - Vestdanmark'!J429+'Resultater - Østdanmark'!J429</f>
        <v>#REF!</v>
      </c>
    </row>
    <row r="430" spans="1:10" x14ac:dyDescent="0.25">
      <c r="A430" s="98" t="str">
        <f>'Resultater - Vestdanmark'!A430</f>
        <v>Foderproduktion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Græsprotein</v>
      </c>
      <c r="E430" s="98" t="str">
        <f>'Resultater - Vestdanmark'!E430</f>
        <v>Ton</v>
      </c>
      <c r="F430" s="98" t="str">
        <f>'Resultater - Vestdanmark'!F430</f>
        <v>Foder</v>
      </c>
      <c r="G430" s="98" t="str">
        <f>'Resultater - Vestdanmark'!G430</f>
        <v>FE</v>
      </c>
      <c r="H430" s="280" t="e">
        <f>'Resultater - Vestdanmark'!H430+'Resultater - Østdanmark'!H430</f>
        <v>#REF!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 t="e">
        <f>'Resultater - Vestdanmark'!J430+'Resultater - Østdanmark'!J430</f>
        <v>#REF!</v>
      </c>
    </row>
    <row r="431" spans="1:10" x14ac:dyDescent="0.25">
      <c r="A431" s="98" t="str">
        <f>'Resultater - Vestdanmark'!A431</f>
        <v>Foderproduktion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Slagteriaffald til foder</v>
      </c>
      <c r="E431" s="98" t="str">
        <f>'Resultater - Vestdanmark'!E431</f>
        <v>Ton</v>
      </c>
      <c r="F431" s="98" t="str">
        <f>'Resultater - Vestdanmark'!F431</f>
        <v>Foder</v>
      </c>
      <c r="G431" s="98" t="str">
        <f>'Resultater - Vestdanmark'!G431</f>
        <v>FE</v>
      </c>
      <c r="H431" s="280" t="e">
        <f>'Resultater - Vestdanmark'!H431+'Resultater - Østdanmark'!H431</f>
        <v>#REF!</v>
      </c>
      <c r="I431" s="281" t="e">
        <f>'Resultater - Vestdanmark'!I431+'Resultater - Østdanmark'!I431</f>
        <v>#REF!</v>
      </c>
      <c r="J431" s="282" t="e">
        <f>'Resultater - Vestdanmark'!J431+'Resultater - Østdanmark'!J431</f>
        <v>#REF!</v>
      </c>
    </row>
    <row r="432" spans="1:10" x14ac:dyDescent="0.25">
      <c r="A432" s="98" t="str">
        <f>'Resultater - Vestdanmark'!A432</f>
        <v>Foderproduktion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Import af foder</v>
      </c>
      <c r="E432" s="98" t="str">
        <f>'Resultater - Vestdanmark'!E432</f>
        <v>Ton</v>
      </c>
      <c r="F432" s="98" t="str">
        <f>'Resultater - Vestdanmark'!F432</f>
        <v>Foder</v>
      </c>
      <c r="G432" s="98" t="str">
        <f>'Resultater - Vestdanmark'!G432</f>
        <v>FE</v>
      </c>
      <c r="H432" s="280" t="e">
        <f>'Resultater - Vestdanmark'!H432+'Resultater - Østdanmark'!H432</f>
        <v>#REF!</v>
      </c>
      <c r="I432" s="281" t="e">
        <f>'Resultater - Vestdanmark'!I432+'Resultater - Østdanmark'!I432</f>
        <v>#REF!</v>
      </c>
      <c r="J432" s="282" t="e">
        <f>'Resultater - Vestdanmark'!J432+'Resultater - Østdanmark'!J432</f>
        <v>#REF!</v>
      </c>
    </row>
    <row r="433" spans="1:10" x14ac:dyDescent="0.25">
      <c r="A433" s="98" t="str">
        <f>'Resultater - Vestdanmark'!A433</f>
        <v>Biogasanlæg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Halm</v>
      </c>
      <c r="E433" s="98" t="str">
        <f>'Resultater - Vestdanmark'!E433</f>
        <v>Ton</v>
      </c>
      <c r="F433" s="98" t="str">
        <f>'Resultater - Vestdanmark'!F433</f>
        <v>Biogas</v>
      </c>
      <c r="G433" s="98" t="str">
        <f>'Resultater - Vestdanmark'!G433</f>
        <v>Nm3 CH4</v>
      </c>
      <c r="H433" s="280" t="e">
        <f>'Resultater - Vestdanmark'!H433+'Resultater - Østdanmark'!H433</f>
        <v>#REF!</v>
      </c>
      <c r="I433" s="281" t="e">
        <f>'Resultater - Vestdanmark'!I433+'Resultater - Østdanmark'!I433</f>
        <v>#REF!</v>
      </c>
      <c r="J433" s="282" t="e">
        <f>'Resultater - Vestdanmark'!J433+'Resultater - Østdanmark'!J433</f>
        <v>#REF!</v>
      </c>
    </row>
    <row r="434" spans="1:10" x14ac:dyDescent="0.25">
      <c r="A434" s="98" t="str">
        <f>'Resultater - Vestdanmark'!A434</f>
        <v>Biogasanlæg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Korn</v>
      </c>
      <c r="E434" s="98" t="str">
        <f>'Resultater - Vestdanmark'!E434</f>
        <v>Ton</v>
      </c>
      <c r="F434" s="98" t="str">
        <f>'Resultater - Vestdanmark'!F434</f>
        <v>Biogas</v>
      </c>
      <c r="G434" s="98" t="str">
        <f>'Resultater - Vestdanmark'!G434</f>
        <v>Nm3 CH4</v>
      </c>
      <c r="H434" s="280" t="e">
        <f>'Resultater - Vestdanmark'!H434+'Resultater - Østdanmark'!H434</f>
        <v>#REF!</v>
      </c>
      <c r="I434" s="281" t="e">
        <f>'Resultater - Vestdanmark'!I434+'Resultater - Østdanmark'!I434</f>
        <v>#REF!</v>
      </c>
      <c r="J434" s="282" t="e">
        <f>'Resultater - Vestdanmark'!J434+'Resultater - Østdanmark'!J434</f>
        <v>#REF!</v>
      </c>
    </row>
    <row r="435" spans="1:10" x14ac:dyDescent="0.25">
      <c r="A435" s="98" t="str">
        <f>'Resultater - Vestdanmark'!A435</f>
        <v>Biogasanlæg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Græs</v>
      </c>
      <c r="E435" s="98" t="str">
        <f>'Resultater - Vestdanmark'!E435</f>
        <v>Ton</v>
      </c>
      <c r="F435" s="98" t="str">
        <f>'Resultater - Vestdanmark'!F435</f>
        <v>Biogas</v>
      </c>
      <c r="G435" s="98" t="str">
        <f>'Resultater - Vestdanmark'!G435</f>
        <v>Nm3 CH4</v>
      </c>
      <c r="H435" s="280" t="e">
        <f>'Resultater - Vestdanmark'!H435+'Resultater - Østdanmark'!H435</f>
        <v>#REF!</v>
      </c>
      <c r="I435" s="281" t="e">
        <f>'Resultater - Vestdanmark'!I435+'Resultater - Østdanmark'!I435</f>
        <v>#REF!</v>
      </c>
      <c r="J435" s="282" t="e">
        <f>'Resultater - Vestdanmark'!J435+'Resultater - Østdanmark'!J435</f>
        <v>#REF!</v>
      </c>
    </row>
    <row r="436" spans="1:10" x14ac:dyDescent="0.25">
      <c r="A436" s="98" t="str">
        <f>'Resultater - Vestdanmark'!A436</f>
        <v>Biogasanlæg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Svinegylle</v>
      </c>
      <c r="E436" s="98" t="str">
        <f>'Resultater - Vestdanmark'!E436</f>
        <v>Ton</v>
      </c>
      <c r="F436" s="98" t="str">
        <f>'Resultater - Vestdanmark'!F436</f>
        <v>Biogas</v>
      </c>
      <c r="G436" s="98" t="str">
        <f>'Resultater - Vestdanmark'!G436</f>
        <v>Nm3 CH4</v>
      </c>
      <c r="H436" s="280" t="e">
        <f>'Resultater - Vestdanmark'!H436+'Resultater - Østdanmark'!H436</f>
        <v>#REF!</v>
      </c>
      <c r="I436" s="281" t="e">
        <f>'Resultater - Vestdanmark'!I436+'Resultater - Østdanmark'!I436</f>
        <v>#REF!</v>
      </c>
      <c r="J436" s="282" t="e">
        <f>'Resultater - Vestdanmark'!J436+'Resultater - Østdanmark'!J436</f>
        <v>#REF!</v>
      </c>
    </row>
    <row r="437" spans="1:10" s="171" customFormat="1" x14ac:dyDescent="0.25">
      <c r="A437" s="98" t="str">
        <f>'Resultater - Vestdanmark'!A437</f>
        <v>Biogasanlæg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Svinegylle</v>
      </c>
      <c r="E437" s="98" t="str">
        <f>'Resultater - Vestdanmark'!E437</f>
        <v>Ton</v>
      </c>
      <c r="F437" s="98" t="str">
        <f>'Resultater - Vestdanmark'!F437</f>
        <v>CO2 - atmosfære</v>
      </c>
      <c r="G437" s="98" t="str">
        <f>'Resultater - Vestdanmark'!G437</f>
        <v>t CO2-ækvivalenter</v>
      </c>
      <c r="H437" s="286" t="e">
        <f>'Resultater - Vestdanmark'!H437+'Resultater - Østdanmark'!H437</f>
        <v>#REF!</v>
      </c>
      <c r="I437" s="287" t="e">
        <f>'Resultater - Vestdanmark'!I437+'Resultater - Østdanmark'!I437</f>
        <v>#REF!</v>
      </c>
      <c r="J437" s="288" t="e">
        <f>'Resultater - Vestdanmark'!J437+'Resultater - Østdanmark'!J437</f>
        <v>#REF!</v>
      </c>
    </row>
    <row r="438" spans="1:10" x14ac:dyDescent="0.25">
      <c r="A438" s="98" t="str">
        <f>'Resultater - Vestdanmark'!A438</f>
        <v>Biogasanlæg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Kvæggylle</v>
      </c>
      <c r="E438" s="98" t="str">
        <f>'Resultater - Vestdanmark'!E438</f>
        <v>Ton</v>
      </c>
      <c r="F438" s="98" t="str">
        <f>'Resultater - Vestdanmark'!F438</f>
        <v>Biogas</v>
      </c>
      <c r="G438" s="98" t="str">
        <f>'Resultater - Vestdanmark'!G438</f>
        <v>Nm3 CH4</v>
      </c>
      <c r="H438" s="280" t="e">
        <f>'Resultater - Vestdanmark'!H438+'Resultater - Østdanmark'!H438</f>
        <v>#REF!</v>
      </c>
      <c r="I438" s="281" t="e">
        <f>'Resultater - Vestdanmark'!I438+'Resultater - Østdanmark'!I438</f>
        <v>#REF!</v>
      </c>
      <c r="J438" s="282" t="e">
        <f>'Resultater - Vestdanmark'!J438+'Resultater - Østdanmark'!J438</f>
        <v>#REF!</v>
      </c>
    </row>
    <row r="439" spans="1:10" s="171" customFormat="1" x14ac:dyDescent="0.25">
      <c r="A439" s="98" t="str">
        <f>'Resultater - Vestdanmark'!A439</f>
        <v>Biogasanlæg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Kvæggylle</v>
      </c>
      <c r="E439" s="98" t="str">
        <f>'Resultater - Vestdanmark'!E439</f>
        <v>Ton</v>
      </c>
      <c r="F439" s="98" t="str">
        <f>'Resultater - Vestdanmark'!F439</f>
        <v>CO2 - atmosfære</v>
      </c>
      <c r="G439" s="98" t="str">
        <f>'Resultater - Vestdanmark'!G439</f>
        <v>t CO2-ækvivalenter</v>
      </c>
      <c r="H439" s="286" t="e">
        <f>'Resultater - Vestdanmark'!H439+'Resultater - Østdanmark'!H439</f>
        <v>#REF!</v>
      </c>
      <c r="I439" s="287" t="e">
        <f>'Resultater - Vestdanmark'!I439+'Resultater - Østdanmark'!I439</f>
        <v>#REF!</v>
      </c>
      <c r="J439" s="288" t="e">
        <f>'Resultater - Vestdanmark'!J439+'Resultater - Østdanmark'!J439</f>
        <v>#REF!</v>
      </c>
    </row>
    <row r="440" spans="1:10" x14ac:dyDescent="0.25">
      <c r="A440" s="98" t="str">
        <f>'Resultater - Vestdanmark'!A440</f>
        <v>Biogasanlæg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Fjerkrægylle</v>
      </c>
      <c r="E440" s="98" t="str">
        <f>'Resultater - Vestdanmark'!E440</f>
        <v>Ton</v>
      </c>
      <c r="F440" s="98" t="str">
        <f>'Resultater - Vestdanmark'!F440</f>
        <v>Biogas</v>
      </c>
      <c r="G440" s="98" t="str">
        <f>'Resultater - Vestdanmark'!G440</f>
        <v>Nm3 CH4</v>
      </c>
      <c r="H440" s="280" t="e">
        <f>'Resultater - Vestdanmark'!H440+'Resultater - Østdanmark'!H440</f>
        <v>#REF!</v>
      </c>
      <c r="I440" s="281" t="e">
        <f>'Resultater - Vestdanmark'!I440+'Resultater - Østdanmark'!I440</f>
        <v>#REF!</v>
      </c>
      <c r="J440" s="282" t="e">
        <f>'Resultater - Vestdanmark'!J440+'Resultater - Østdanmark'!J440</f>
        <v>#REF!</v>
      </c>
    </row>
    <row r="441" spans="1:10" x14ac:dyDescent="0.25">
      <c r="A441" s="98" t="str">
        <f>'Resultater - Vestdanmark'!A441</f>
        <v>Biogasanlæg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Dybstrøelse</v>
      </c>
      <c r="E441" s="98" t="str">
        <f>'Resultater - Vestdanmark'!E441</f>
        <v>Ton</v>
      </c>
      <c r="F441" s="98" t="str">
        <f>'Resultater - Vestdanmark'!F441</f>
        <v>Biogas</v>
      </c>
      <c r="G441" s="98" t="str">
        <f>'Resultater - Vestdanmark'!G441</f>
        <v>Nm3 CH4</v>
      </c>
      <c r="H441" s="280" t="e">
        <f>'Resultater - Vestdanmark'!H441+'Resultater - Østdanmark'!H441</f>
        <v>#REF!</v>
      </c>
      <c r="I441" s="281" t="e">
        <f>'Resultater - Vestdanmark'!I441+'Resultater - Østdanmark'!I441</f>
        <v>#REF!</v>
      </c>
      <c r="J441" s="282" t="e">
        <f>'Resultater - Vestdanmark'!J441+'Resultater - Østdanmark'!J441</f>
        <v>#REF!</v>
      </c>
    </row>
    <row r="442" spans="1:10" x14ac:dyDescent="0.25">
      <c r="A442" s="98" t="str">
        <f>'Resultater - Vestdanmark'!A442</f>
        <v>Biogasanlæg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Majs</v>
      </c>
      <c r="E442" s="98" t="str">
        <f>'Resultater - Vestdanmark'!E442</f>
        <v>Ton</v>
      </c>
      <c r="F442" s="98" t="str">
        <f>'Resultater - Vestdanmark'!F442</f>
        <v>Biogas</v>
      </c>
      <c r="G442" s="98" t="str">
        <f>'Resultater - Vestdanmark'!G442</f>
        <v>Nm3 CH4</v>
      </c>
      <c r="H442" s="280" t="e">
        <f>'Resultater - Vestdanmark'!H442+'Resultater - Østdanmark'!H442</f>
        <v>#REF!</v>
      </c>
      <c r="I442" s="281" t="e">
        <f>'Resultater - Vestdanmark'!I442+'Resultater - Østdanmark'!I442</f>
        <v>#REF!</v>
      </c>
      <c r="J442" s="282" t="e">
        <f>'Resultater - Vestdanmark'!J442+'Resultater - Østdanmark'!J442</f>
        <v>#REF!</v>
      </c>
    </row>
    <row r="443" spans="1:10" x14ac:dyDescent="0.25">
      <c r="A443" s="98" t="str">
        <f>'Resultater - Vestdanmark'!A443</f>
        <v>Biogasanlæg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Roer</v>
      </c>
      <c r="E443" s="98" t="str">
        <f>'Resultater - Vestdanmark'!E443</f>
        <v>Ton</v>
      </c>
      <c r="F443" s="98" t="str">
        <f>'Resultater - Vestdanmark'!F443</f>
        <v>Biogas</v>
      </c>
      <c r="G443" s="98" t="str">
        <f>'Resultater - Vestdanmark'!G443</f>
        <v>Nm3 CH4</v>
      </c>
      <c r="H443" s="280" t="e">
        <f>'Resultater - Vestdanmark'!H443+'Resultater - Østdanmark'!H443</f>
        <v>#REF!</v>
      </c>
      <c r="I443" s="281" t="e">
        <f>'Resultater - Vestdanmark'!I443+'Resultater - Østdanmark'!I443</f>
        <v>#REF!</v>
      </c>
      <c r="J443" s="282" t="e">
        <f>'Resultater - Vestdanmark'!J443+'Resultater - Østdanmark'!J443</f>
        <v>#REF!</v>
      </c>
    </row>
    <row r="444" spans="1:10" x14ac:dyDescent="0.25">
      <c r="A444" s="98" t="str">
        <f>'Resultater - Vestdanmark'!A444</f>
        <v>Biogasanlæg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Bioaffald</v>
      </c>
      <c r="E444" s="98" t="str">
        <f>'Resultater - Vestdanmark'!E444</f>
        <v>Ton</v>
      </c>
      <c r="F444" s="98" t="str">
        <f>'Resultater - Vestdanmark'!F444</f>
        <v>Biogas</v>
      </c>
      <c r="G444" s="98" t="str">
        <f>'Resultater - Vestdanmark'!G444</f>
        <v>Nm3 CH4</v>
      </c>
      <c r="H444" s="280" t="e">
        <f>'Resultater - Vestdanmark'!H444+'Resultater - Østdanmark'!H444</f>
        <v>#REF!</v>
      </c>
      <c r="I444" s="281" t="e">
        <f>'Resultater - Vestdanmark'!I444+'Resultater - Østdanmark'!I444</f>
        <v>#REF!</v>
      </c>
      <c r="J444" s="282" t="e">
        <f>'Resultater - Vestdanmark'!J444+'Resultater - Østdanmark'!J444</f>
        <v>#REF!</v>
      </c>
    </row>
    <row r="445" spans="1:10" x14ac:dyDescent="0.25">
      <c r="A445" s="98" t="str">
        <f>'Resultater - Vestdanmark'!A445</f>
        <v>Biogasanlæg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Industriaffald</v>
      </c>
      <c r="E445" s="98" t="str">
        <f>'Resultater - Vestdanmark'!E445</f>
        <v>Ton</v>
      </c>
      <c r="F445" s="98" t="str">
        <f>'Resultater - Vestdanmark'!F445</f>
        <v>Biogas</v>
      </c>
      <c r="G445" s="98" t="str">
        <f>'Resultater - Vestdanmark'!G445</f>
        <v>Nm3 CH4</v>
      </c>
      <c r="H445" s="280" t="e">
        <f>'Resultater - Vestdanmark'!H445+'Resultater - Østdanmark'!H445</f>
        <v>#REF!</v>
      </c>
      <c r="I445" s="281" t="e">
        <f>'Resultater - Vestdanmark'!I445+'Resultater - Østdanmark'!I445</f>
        <v>#REF!</v>
      </c>
      <c r="J445" s="282" t="e">
        <f>'Resultater - Vestdanmark'!J445+'Resultater - Østdanmark'!J445</f>
        <v>#REF!</v>
      </c>
    </row>
    <row r="446" spans="1:10" x14ac:dyDescent="0.25">
      <c r="A446" s="98" t="str">
        <f>'Resultater - Vestdanmark'!A446</f>
        <v>Biogasanlæg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Muslinger</v>
      </c>
      <c r="E446" s="98" t="str">
        <f>'Resultater - Vestdanmark'!E446</f>
        <v>Ton</v>
      </c>
      <c r="F446" s="98" t="str">
        <f>'Resultater - Vestdanmark'!F446</f>
        <v>Biogas</v>
      </c>
      <c r="G446" s="98" t="str">
        <f>'Resultater - Vestdanmark'!G446</f>
        <v>Nm3 CH4</v>
      </c>
      <c r="H446" s="280" t="e">
        <f>'Resultater - Vestdanmark'!H446+'Resultater - Østdanmark'!H446</f>
        <v>#REF!</v>
      </c>
      <c r="I446" s="281" t="e">
        <f>'Resultater - Vestdanmark'!I446+'Resultater - Østdanmark'!I446</f>
        <v>#REF!</v>
      </c>
      <c r="J446" s="282" t="e">
        <f>'Resultater - Vestdanmark'!J446+'Resultater - Østdanmark'!J446</f>
        <v>#REF!</v>
      </c>
    </row>
    <row r="447" spans="1:10" x14ac:dyDescent="0.25">
      <c r="A447" s="98" t="str">
        <f>'Resultater - Vestdanmark'!A447</f>
        <v>Biogasanlæg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Biogas</v>
      </c>
      <c r="G447" s="98" t="str">
        <f>'Resultater - Vestdanmark'!G447</f>
        <v>Nm3 CH4</v>
      </c>
      <c r="H447" s="280" t="e">
        <f>'Resultater - Vestdanmark'!H447+'Resultater - Østdanmark'!H447</f>
        <v>#REF!</v>
      </c>
      <c r="I447" s="281" t="e">
        <f>'Resultater - Vestdanmark'!I447+'Resultater - Østdanmark'!I447</f>
        <v>#REF!</v>
      </c>
      <c r="J447" s="282" t="e">
        <f>'Resultater - Vestdanmark'!J447+'Resultater - Østdanmark'!J447</f>
        <v>#REF!</v>
      </c>
    </row>
    <row r="448" spans="1:10" x14ac:dyDescent="0.25">
      <c r="A448" s="98" t="str">
        <f>'Resultater - Vestdanmark'!A448</f>
        <v>Biogasanlæg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Have/parkaffald</v>
      </c>
      <c r="E448" s="98" t="str">
        <f>'Resultater - Vestdanmark'!E448</f>
        <v>Ton</v>
      </c>
      <c r="F448" s="98" t="str">
        <f>'Resultater - Vestdanmark'!F448</f>
        <v>Biogas</v>
      </c>
      <c r="G448" s="98" t="str">
        <f>'Resultater - Vestdanmark'!G448</f>
        <v>Nm3 CH4</v>
      </c>
      <c r="H448" s="280" t="e">
        <f>'Resultater - Vestdanmark'!H448+'Resultater - Østdanmark'!H448</f>
        <v>#REF!</v>
      </c>
      <c r="I448" s="281" t="e">
        <f>'Resultater - Vestdanmark'!I448+'Resultater - Østdanmark'!I448</f>
        <v>#REF!</v>
      </c>
      <c r="J448" s="282" t="e">
        <f>'Resultater - Vestdanmark'!J448+'Resultater - Østdanmark'!J448</f>
        <v>#REF!</v>
      </c>
    </row>
    <row r="449" spans="1:13" x14ac:dyDescent="0.25">
      <c r="A449" s="98" t="str">
        <f>'Resultater - Vestdanmark'!A449</f>
        <v>Biogasanlæg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Brun saft</v>
      </c>
      <c r="E449" s="98" t="str">
        <f>'Resultater - Vestdanmark'!E449</f>
        <v>PJ</v>
      </c>
      <c r="F449" s="98" t="str">
        <f>'Resultater - Vestdanmark'!F449</f>
        <v>Biogas</v>
      </c>
      <c r="G449" s="98" t="str">
        <f>'Resultater - Vestdanmark'!G449</f>
        <v>Nm3 CH4</v>
      </c>
      <c r="H449" s="280" t="e">
        <f>'Resultater - Vestdanmark'!H449+'Resultater - Østdanmark'!H449</f>
        <v>#REF!</v>
      </c>
      <c r="I449" s="281" t="e">
        <f>'Resultater - Vestdanmark'!I449+'Resultater - Østdanmark'!I449</f>
        <v>#REF!</v>
      </c>
      <c r="J449" s="282" t="e">
        <f>'Resultater - Vestdanmark'!J449+'Resultater - Østdanmark'!J449</f>
        <v>#REF!</v>
      </c>
    </row>
    <row r="450" spans="1:13" x14ac:dyDescent="0.25">
      <c r="A450" s="98" t="str">
        <f>'Resultater - Vestdanmark'!A450</f>
        <v>Biogasanlæg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Glycerin</v>
      </c>
      <c r="E450" s="98" t="str">
        <f>'Resultater - Vestdanmark'!E450</f>
        <v>Ton</v>
      </c>
      <c r="F450" s="98" t="str">
        <f>'Resultater - Vestdanmark'!F450</f>
        <v>Biogas</v>
      </c>
      <c r="G450" s="98" t="str">
        <f>'Resultater - Vestdanmark'!G450</f>
        <v>Nm3 CH4</v>
      </c>
      <c r="H450" s="280">
        <f>'Resultater - Vestdanmark'!H450+'Resultater - Østdanmark'!H450</f>
        <v>60431253.120000005</v>
      </c>
      <c r="I450" s="281">
        <f>'Resultater - Vestdanmark'!I450+'Resultater - Østdanmark'!I450</f>
        <v>60431253.120000005</v>
      </c>
      <c r="J450" s="282">
        <f>'Resultater - Vestdanmark'!J450+'Resultater - Østdanmark'!J450</f>
        <v>60431253.120000005</v>
      </c>
    </row>
    <row r="451" spans="1:13" x14ac:dyDescent="0.25">
      <c r="A451" s="98" t="str">
        <f>'Resultater - Vestdanmark'!A451</f>
        <v>Biogasanlæg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Spildevandsslam</v>
      </c>
      <c r="E451" s="98" t="str">
        <f>'Resultater - Vestdanmark'!E451</f>
        <v>Ton</v>
      </c>
      <c r="F451" s="98" t="str">
        <f>'Resultater - Vestdanmark'!F451</f>
        <v>Biogas</v>
      </c>
      <c r="G451" s="98" t="str">
        <f>'Resultater - Vestdanmark'!G451</f>
        <v>Nm3 CH4</v>
      </c>
      <c r="H451" s="280" t="e">
        <f>'Resultater - Vestdanmark'!H451+'Resultater - Østdanmark'!H451</f>
        <v>#REF!</v>
      </c>
      <c r="I451" s="281" t="e">
        <f>'Resultater - Vestdanmark'!I451+'Resultater - Østdanmark'!I451</f>
        <v>#REF!</v>
      </c>
      <c r="J451" s="282" t="e">
        <f>'Resultater - Vestdanmark'!J451+'Resultater - Østdanmark'!J451</f>
        <v>#REF!</v>
      </c>
      <c r="L451" s="98"/>
    </row>
    <row r="452" spans="1:13" x14ac:dyDescent="0.25">
      <c r="A452" s="98" t="str">
        <f>'Resultater - Vestdanmark'!A452</f>
        <v>Biogasanlæg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Total til biogas</v>
      </c>
      <c r="E452" s="98" t="str">
        <f>'Resultater - Vestdanmark'!E452</f>
        <v>Ton</v>
      </c>
      <c r="F452" s="98" t="str">
        <f>'Resultater - Vestdanmark'!F452</f>
        <v>Biogasgylle</v>
      </c>
      <c r="G452" s="98" t="str">
        <f>'Resultater - Vestdanmark'!G452</f>
        <v>Ton</v>
      </c>
      <c r="H452" s="286" t="e">
        <f>'Resultater - Vestdanmark'!H452+'Resultater - Østdanmark'!H452</f>
        <v>#REF!</v>
      </c>
      <c r="I452" s="287" t="e">
        <f>'Resultater - Vestdanmark'!I452+'Resultater - Østdanmark'!I452</f>
        <v>#REF!</v>
      </c>
      <c r="J452" s="288" t="e">
        <f>'Resultater - Vestdanmark'!J452+'Resultater - Østdanmark'!J452</f>
        <v>#REF!</v>
      </c>
    </row>
    <row r="453" spans="1:13" x14ac:dyDescent="0.25">
      <c r="A453" s="98" t="str">
        <f>'Resultater - Vestdanmark'!A453</f>
        <v>Gødning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Svinegylle</v>
      </c>
      <c r="E453" s="98" t="str">
        <f>'Resultater - Vestdanmark'!E453</f>
        <v>Ton</v>
      </c>
      <c r="F453" s="98" t="str">
        <f>'Resultater - Vestdanmark'!F453</f>
        <v>Gødning</v>
      </c>
      <c r="G453" s="98" t="str">
        <f>'Resultater - Vestdanmark'!G453</f>
        <v>kg N</v>
      </c>
      <c r="H453" s="286" t="e">
        <f>'Resultater - Vestdanmark'!H453+'Resultater - Østdanmark'!H453</f>
        <v>#REF!</v>
      </c>
      <c r="I453" s="287" t="e">
        <f>'Resultater - Vestdanmark'!I453+'Resultater - Østdanmark'!I453</f>
        <v>#REF!</v>
      </c>
      <c r="J453" s="288" t="e">
        <f>'Resultater - Vestdanmark'!J453+'Resultater - Østdanmark'!J453</f>
        <v>#REF!</v>
      </c>
    </row>
    <row r="454" spans="1:13" x14ac:dyDescent="0.25">
      <c r="A454" s="98" t="str">
        <f>'Resultater - Vestdanmark'!A454</f>
        <v>Gødning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Kvæggylle</v>
      </c>
      <c r="E454" s="98" t="str">
        <f>'Resultater - Vestdanmark'!E454</f>
        <v>Ton</v>
      </c>
      <c r="F454" s="98" t="str">
        <f>'Resultater - Vestdanmark'!F454</f>
        <v>Gødning</v>
      </c>
      <c r="G454" s="98" t="str">
        <f>'Resultater - Vestdanmark'!G454</f>
        <v>kg N</v>
      </c>
      <c r="H454" s="286" t="e">
        <f>'Resultater - Vestdanmark'!H454+'Resultater - Østdanmark'!H454</f>
        <v>#REF!</v>
      </c>
      <c r="I454" s="287" t="e">
        <f>'Resultater - Vestdanmark'!I454+'Resultater - Østdanmark'!I454</f>
        <v>#REF!</v>
      </c>
      <c r="J454" s="288" t="e">
        <f>'Resultater - Vestdanmark'!J454+'Resultater - Østdanmark'!J454</f>
        <v>#REF!</v>
      </c>
    </row>
    <row r="455" spans="1:13" x14ac:dyDescent="0.25">
      <c r="A455" s="98" t="str">
        <f>'Resultater - Vestdanmark'!A455</f>
        <v>Gødning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Fjerkrægylle</v>
      </c>
      <c r="E455" s="98" t="str">
        <f>'Resultater - Vestdanmark'!E455</f>
        <v>Ton</v>
      </c>
      <c r="F455" s="98" t="str">
        <f>'Resultater - Vestdanmark'!F455</f>
        <v>Gødning</v>
      </c>
      <c r="G455" s="98" t="str">
        <f>'Resultater - Vestdanmark'!G455</f>
        <v>kg N</v>
      </c>
      <c r="H455" s="286" t="e">
        <f>'Resultater - Vestdanmark'!H455+'Resultater - Østdanmark'!H455</f>
        <v>#REF!</v>
      </c>
      <c r="I455" s="287" t="e">
        <f>'Resultater - Vestdanmark'!I455+'Resultater - Østdanmark'!I455</f>
        <v>#REF!</v>
      </c>
      <c r="J455" s="288" t="e">
        <f>'Resultater - Vestdanmark'!J455+'Resultater - Østdanmark'!J455</f>
        <v>#REF!</v>
      </c>
    </row>
    <row r="456" spans="1:13" x14ac:dyDescent="0.25">
      <c r="A456" s="98" t="str">
        <f>'Resultater - Vestdanmark'!A456</f>
        <v>Gødning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Dybstrøelse</v>
      </c>
      <c r="E456" s="98" t="str">
        <f>'Resultater - Vestdanmark'!E456</f>
        <v>Ton</v>
      </c>
      <c r="F456" s="98" t="str">
        <f>'Resultater - Vestdanmark'!F456</f>
        <v>Gødning</v>
      </c>
      <c r="G456" s="98" t="str">
        <f>'Resultater - Vestdanmark'!G456</f>
        <v>kg N</v>
      </c>
      <c r="H456" s="286" t="e">
        <f>'Resultater - Vestdanmark'!H456+'Resultater - Østdanmark'!H456</f>
        <v>#REF!</v>
      </c>
      <c r="I456" s="287" t="e">
        <f>'Resultater - Vestdanmark'!I456+'Resultater - Østdanmark'!I456</f>
        <v>#REF!</v>
      </c>
      <c r="J456" s="288" t="e">
        <f>'Resultater - Vestdanmark'!J456+'Resultater - Østdanmark'!J456</f>
        <v>#REF!</v>
      </c>
    </row>
    <row r="457" spans="1:13" x14ac:dyDescent="0.25">
      <c r="A457" s="98" t="str">
        <f>'Resultater - Vestdanmark'!A457</f>
        <v>Gødning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Biogasgylle</v>
      </c>
      <c r="E457" s="98" t="str">
        <f>'Resultater - Vestdanmark'!E457</f>
        <v>Ton</v>
      </c>
      <c r="F457" s="98" t="str">
        <f>'Resultater - Vestdanmark'!F457</f>
        <v>Gødning</v>
      </c>
      <c r="G457" s="98" t="str">
        <f>'Resultater - Vestdanmark'!G457</f>
        <v>kg N</v>
      </c>
      <c r="H457" s="286" t="e">
        <f>'Resultater - Vestdanmark'!H457+'Resultater - Østdanmark'!H457</f>
        <v>#REF!</v>
      </c>
      <c r="I457" s="287" t="e">
        <f>'Resultater - Vestdanmark'!I457+'Resultater - Østdanmark'!I457</f>
        <v>#REF!</v>
      </c>
      <c r="J457" s="288" t="e">
        <f>'Resultater - Vestdanmark'!J457+'Resultater - Østdanmark'!J457</f>
        <v>#REF!</v>
      </c>
    </row>
    <row r="458" spans="1:13" x14ac:dyDescent="0.25">
      <c r="A458" s="98" t="str">
        <f>'Resultater - Vestdanmark'!A458</f>
        <v>Gødning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Kunstgødning</v>
      </c>
      <c r="E458" s="98" t="str">
        <f>'Resultater - Vestdanmark'!E458</f>
        <v>Ton</v>
      </c>
      <c r="F458" s="98" t="str">
        <f>'Resultater - Vestdanmark'!F458</f>
        <v>Gødning</v>
      </c>
      <c r="G458" s="98" t="str">
        <f>'Resultater - Vestdanmark'!G458</f>
        <v>kg N</v>
      </c>
      <c r="H458" s="286" t="e">
        <f>'Resultater - Vestdanmark'!H458+'Resultater - Østdanmark'!H458</f>
        <v>#REF!</v>
      </c>
      <c r="I458" s="287" t="e">
        <f>'Resultater - Vestdanmark'!I458+'Resultater - Østdanmark'!I458</f>
        <v>#REF!</v>
      </c>
      <c r="J458" s="288" t="e">
        <f>'Resultater - Vestdanmark'!J458+'Resultater - Østdanmark'!J458</f>
        <v>#REF!</v>
      </c>
    </row>
    <row r="459" spans="1:13" x14ac:dyDescent="0.25">
      <c r="A459" s="98" t="str">
        <f>'Resultater - Vestdanmark'!A459</f>
        <v>Til energi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Halm</v>
      </c>
      <c r="E459" s="98" t="str">
        <f>'Resultater - Vestdanmark'!E459</f>
        <v>Ton</v>
      </c>
      <c r="F459" s="98" t="str">
        <f>'Resultater - Vestdanmark'!F459</f>
        <v>Energi</v>
      </c>
      <c r="G459" s="98" t="str">
        <f>'Resultater - Vestdanmark'!G459</f>
        <v>PJ</v>
      </c>
      <c r="H459" s="290" t="e">
        <f>'Resultater - Vestdanmark'!H459+'Resultater - Østdanmark'!H459</f>
        <v>#REF!</v>
      </c>
      <c r="I459" s="291" t="e">
        <f>'Resultater - Vestdanmark'!I459+'Resultater - Østdanmark'!I459</f>
        <v>#REF!</v>
      </c>
      <c r="J459" s="292" t="e">
        <f>'Resultater - Vestdanmark'!J459+'Resultater - Østdanmark'!J459</f>
        <v>#REF!</v>
      </c>
      <c r="L459" s="170" t="s">
        <v>217</v>
      </c>
      <c r="M459" s="168">
        <v>17963.28</v>
      </c>
    </row>
    <row r="460" spans="1:13" x14ac:dyDescent="0.25">
      <c r="A460" s="98" t="str">
        <f>'Resultater - Vestdanmark'!A460</f>
        <v>Til energi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Rapsolie</v>
      </c>
      <c r="E460" s="98" t="str">
        <f>'Resultater - Vestdanmark'!E460</f>
        <v>Ton</v>
      </c>
      <c r="F460" s="98" t="str">
        <f>'Resultater - Vestdanmark'!F460</f>
        <v>Energi</v>
      </c>
      <c r="G460" s="98" t="str">
        <f>'Resultater - Vestdanmark'!G460</f>
        <v>PJ</v>
      </c>
      <c r="H460" s="290" t="e">
        <f>'Resultater - Vestdanmark'!H460+'Resultater - Østdanmark'!H460</f>
        <v>#REF!</v>
      </c>
      <c r="I460" s="291" t="e">
        <f>'Resultater - Vestdanmark'!I460+'Resultater - Østdanmark'!I460</f>
        <v>#REF!</v>
      </c>
      <c r="J460" s="292" t="e">
        <f>'Resultater - Vestdanmark'!J460+'Resultater - Østdanmark'!J460</f>
        <v>#REF!</v>
      </c>
      <c r="L460" s="170" t="s">
        <v>221</v>
      </c>
      <c r="M460" s="168">
        <v>14758.1</v>
      </c>
    </row>
    <row r="461" spans="1:13" x14ac:dyDescent="0.25">
      <c r="A461" s="98" t="str">
        <f>'Resultater - Vestdanmark'!A461</f>
        <v>Til energi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Pil &amp; poppel</v>
      </c>
      <c r="E461" s="98" t="str">
        <f>'Resultater - Vestdanmark'!E461</f>
        <v>Ton</v>
      </c>
      <c r="F461" s="98" t="str">
        <f>'Resultater - Vestdanmark'!F461</f>
        <v>Energi</v>
      </c>
      <c r="G461" s="98" t="str">
        <f>'Resultater - Vestdanmark'!G461</f>
        <v>PJ</v>
      </c>
      <c r="H461" s="289" t="e">
        <f>'Resultater - Vestdanmark'!H461+'Resultater - Østdanmark'!H461</f>
        <v>#REF!</v>
      </c>
      <c r="I461" s="291" t="e">
        <f>'Resultater - Vestdanmark'!I461+'Resultater - Østdanmark'!I461</f>
        <v>#REF!</v>
      </c>
      <c r="J461" s="292" t="e">
        <f>'Resultater - Vestdanmark'!J461+'Resultater - Østdanmark'!J461</f>
        <v>#REF!</v>
      </c>
      <c r="L461" s="170" t="s">
        <v>218</v>
      </c>
      <c r="M461" s="168">
        <v>1988.19</v>
      </c>
    </row>
    <row r="462" spans="1:13" x14ac:dyDescent="0.25">
      <c r="A462" s="98" t="str">
        <f>'Resultater - Vestdanmark'!A462</f>
        <v>Til energi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Træ til energi</v>
      </c>
      <c r="E462" s="98" t="str">
        <f>'Resultater - Vestdanmark'!E462</f>
        <v>m3</v>
      </c>
      <c r="F462" s="98" t="str">
        <f>'Resultater - Vestdanmark'!F462</f>
        <v>Energi</v>
      </c>
      <c r="G462" s="98" t="str">
        <f>'Resultater - Vestdanmark'!G462</f>
        <v>PJ</v>
      </c>
      <c r="H462" s="289" t="e">
        <f>'Resultater - Vestdanmark'!H462+'Resultater - Østdanmark'!H462</f>
        <v>#REF!</v>
      </c>
      <c r="I462" s="291" t="e">
        <f>'Resultater - Vestdanmark'!I462+'Resultater - Østdanmark'!I462</f>
        <v>#REF!</v>
      </c>
      <c r="J462" s="292" t="e">
        <f>'Resultater - Vestdanmark'!J462+'Resultater - Østdanmark'!J462</f>
        <v>#REF!</v>
      </c>
      <c r="L462" s="170" t="s">
        <v>219</v>
      </c>
      <c r="M462" s="168">
        <v>8944.93</v>
      </c>
    </row>
    <row r="463" spans="1:13" x14ac:dyDescent="0.25">
      <c r="A463" s="98" t="str">
        <f>'Resultater - Vestdanmark'!A463</f>
        <v>Til energi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Have/parkaffald</v>
      </c>
      <c r="E463" s="98" t="str">
        <f>'Resultater - Vestdanmark'!E463</f>
        <v>Ton</v>
      </c>
      <c r="F463" s="98" t="str">
        <f>'Resultater - Vestdanmark'!F463</f>
        <v>Energi</v>
      </c>
      <c r="G463" s="98" t="str">
        <f>'Resultater - Vestdanmark'!G463</f>
        <v>PJ</v>
      </c>
      <c r="H463" s="289" t="e">
        <f>'Resultater - Vestdanmark'!H463+'Resultater - Østdanmark'!H463</f>
        <v>#REF!</v>
      </c>
      <c r="I463" s="291" t="e">
        <f>'Resultater - Vestdanmark'!I463+'Resultater - Østdanmark'!I463</f>
        <v>#REF!</v>
      </c>
      <c r="J463" s="292" t="e">
        <f>'Resultater - Vestdanmark'!J463+'Resultater - Østdanmark'!J463</f>
        <v>#REF!</v>
      </c>
      <c r="L463" s="170" t="s">
        <v>220</v>
      </c>
      <c r="M463" s="168">
        <v>18651.71</v>
      </c>
    </row>
    <row r="464" spans="1:13" x14ac:dyDescent="0.25">
      <c r="A464" s="98" t="str">
        <f>'Resultater - Vestdanmark'!A464</f>
        <v>Til energi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Bioaffald</v>
      </c>
      <c r="E464" s="98" t="str">
        <f>'Resultater - Vestdanmark'!E464</f>
        <v>Ton</v>
      </c>
      <c r="F464" s="98" t="str">
        <f>'Resultater - Vestdanmark'!F464</f>
        <v>Energi</v>
      </c>
      <c r="G464" s="98" t="str">
        <f>'Resultater - Vestdanmark'!G464</f>
        <v>PJ</v>
      </c>
      <c r="H464" s="289" t="e">
        <f>'Resultater - Vestdanmark'!H464+'Resultater - Østdanmark'!H464</f>
        <v>#REF!</v>
      </c>
      <c r="I464" s="291" t="e">
        <f>'Resultater - Vestdanmark'!I464+'Resultater - Østdanmark'!I464</f>
        <v>#REF!</v>
      </c>
      <c r="J464" s="292" t="e">
        <f>'Resultater - Vestdanmark'!J464+'Resultater - Østdanmark'!J464</f>
        <v>#REF!</v>
      </c>
      <c r="L464" s="169" t="s">
        <v>110</v>
      </c>
      <c r="M464" s="168">
        <v>16604.849999999999</v>
      </c>
    </row>
    <row r="465" spans="1:13" s="171" customFormat="1" x14ac:dyDescent="0.25">
      <c r="A465" s="98" t="str">
        <f>'Resultater - Vestdanmark'!A465</f>
        <v>Til energi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Pyrolyseolie</v>
      </c>
      <c r="E465" s="98" t="str">
        <f>'Resultater - Vestdanmark'!E465</f>
        <v>Ton</v>
      </c>
      <c r="F465" s="98" t="str">
        <f>'Resultater - Vestdanmark'!F465</f>
        <v>Energi</v>
      </c>
      <c r="G465" s="98" t="str">
        <f>'Resultater - Vestdanmark'!G465</f>
        <v>PJ</v>
      </c>
      <c r="H465" s="289" t="e">
        <f>'Resultater - Vestdanmark'!H465+'Resultater - Østdanmark'!H465</f>
        <v>#REF!</v>
      </c>
      <c r="I465" s="291" t="e">
        <f>'Resultater - Vestdanmark'!I465+'Resultater - Østdanmark'!I465</f>
        <v>#REF!</v>
      </c>
      <c r="J465" s="292" t="e">
        <f>'Resultater - Vestdanmark'!J465+'Resultater - Østdanmark'!J465</f>
        <v>#REF!</v>
      </c>
      <c r="L465" s="169"/>
      <c r="M465" s="168"/>
    </row>
    <row r="466" spans="1:13" s="171" customFormat="1" x14ac:dyDescent="0.25">
      <c r="A466" s="98" t="str">
        <f>'Resultater - Vestdanmark'!A466</f>
        <v>Til energi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Pyrolysegas</v>
      </c>
      <c r="E466" s="98" t="str">
        <f>'Resultater - Vestdanmark'!E466</f>
        <v>Ton</v>
      </c>
      <c r="F466" s="98" t="str">
        <f>'Resultater - Vestdanmark'!F466</f>
        <v>Energi</v>
      </c>
      <c r="G466" s="98" t="str">
        <f>'Resultater - Vestdanmark'!G466</f>
        <v>PJ</v>
      </c>
      <c r="H466" s="289" t="e">
        <f>'Resultater - Vestdanmark'!H466+'Resultater - Østdanmark'!H466</f>
        <v>#REF!</v>
      </c>
      <c r="I466" s="291" t="e">
        <f>'Resultater - Vestdanmark'!I466+'Resultater - Østdanmark'!I466</f>
        <v>#REF!</v>
      </c>
      <c r="J466" s="292" t="e">
        <f>'Resultater - Vestdanmark'!J466+'Resultater - Østdanmark'!J466</f>
        <v>#REF!</v>
      </c>
      <c r="L466" s="169"/>
      <c r="M466" s="168"/>
    </row>
    <row r="467" spans="1:13" x14ac:dyDescent="0.25">
      <c r="A467" s="98" t="str">
        <f>'Resultater - Vestdanmark'!A467</f>
        <v>Til energi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Biogas</v>
      </c>
      <c r="E467" s="98" t="str">
        <f>'Resultater - Vestdanmark'!E467</f>
        <v>Nm3 CH4</v>
      </c>
      <c r="F467" s="98" t="str">
        <f>'Resultater - Vestdanmark'!F467</f>
        <v>Energi</v>
      </c>
      <c r="G467" s="98" t="str">
        <f>'Resultater - Vestdanmark'!G467</f>
        <v>PJ</v>
      </c>
      <c r="H467" s="293" t="e">
        <f>'Resultater - Vestdanmark'!H467+'Resultater - Østdanmark'!H467</f>
        <v>#REF!</v>
      </c>
      <c r="I467" s="294" t="e">
        <f>'Resultater - Vestdanmark'!I467+'Resultater - Østdanmark'!I467</f>
        <v>#REF!</v>
      </c>
      <c r="J467" s="295" t="e">
        <f>'Resultater - Vestdanmark'!J467+'Resultater - Østdanmark'!J467</f>
        <v>#REF!</v>
      </c>
    </row>
    <row r="468" spans="1:13" x14ac:dyDescent="0.25">
      <c r="A468" s="157" t="str">
        <f>'Resultater - Vestdanmark'!A468</f>
        <v>Proteinproces</v>
      </c>
      <c r="B468" s="157" t="str">
        <f>'Resultater - Vestdanmark'!B468</f>
        <v/>
      </c>
      <c r="C468" s="157" t="str">
        <f>'Resultater - Vestdanmark'!C468</f>
        <v/>
      </c>
      <c r="D468" s="157" t="str">
        <f>'Resultater - Vestdanmark'!D468</f>
        <v>Græs</v>
      </c>
      <c r="E468" s="157" t="str">
        <f>'Resultater - Vestdanmark'!E468</f>
        <v>Ton</v>
      </c>
      <c r="F468" s="157" t="str">
        <f>'Resultater - Vestdanmark'!F468</f>
        <v>Græsprotein</v>
      </c>
      <c r="G468" s="157" t="str">
        <f>'Resultater - Vestdanmark'!G468</f>
        <v>Ton</v>
      </c>
      <c r="H468" s="296" t="e">
        <f>'Resultater - Vestdanmark'!H468+'Resultater - Østdanmark'!H468</f>
        <v>#REF!</v>
      </c>
      <c r="I468" s="297" t="e">
        <f>'Resultater - Vestdanmark'!I468+'Resultater - Østdanmark'!I468</f>
        <v>#REF!</v>
      </c>
      <c r="J468" s="298" t="e">
        <f>'Resultater - Vestdanmark'!J468+'Resultater - Østdanmark'!J468</f>
        <v>#REF!</v>
      </c>
    </row>
    <row r="469" spans="1:13" x14ac:dyDescent="0.25">
      <c r="A469" s="157" t="str">
        <f>'Resultater - Vestdanmark'!A469</f>
        <v>Proteinproces</v>
      </c>
      <c r="B469" s="157" t="str">
        <f>'Resultater - Vestdanmark'!B469</f>
        <v/>
      </c>
      <c r="C469" s="157" t="str">
        <f>'Resultater - Vestdanmark'!C469</f>
        <v/>
      </c>
      <c r="D469" s="157" t="str">
        <f>'Resultater - Vestdanmark'!D469</f>
        <v>Græs</v>
      </c>
      <c r="E469" s="157" t="str">
        <f>'Resultater - Vestdanmark'!E469</f>
        <v>Ton</v>
      </c>
      <c r="F469" s="157" t="str">
        <f>'Resultater - Vestdanmark'!F469</f>
        <v>Fiberfraktion</v>
      </c>
      <c r="G469" s="157" t="str">
        <f>'Resultater - Vestdanmark'!G469</f>
        <v>Ton</v>
      </c>
      <c r="H469" s="296" t="e">
        <f>'Resultater - Vestdanmark'!H469+'Resultater - Østdanmark'!H469</f>
        <v>#REF!</v>
      </c>
      <c r="I469" s="297" t="e">
        <f>'Resultater - Vestdanmark'!I469+'Resultater - Østdanmark'!I469</f>
        <v>#REF!</v>
      </c>
      <c r="J469" s="298" t="e">
        <f>'Resultater - Vestdanmark'!J469+'Resultater - Østdanmark'!J469</f>
        <v>#REF!</v>
      </c>
    </row>
    <row r="470" spans="1:13" x14ac:dyDescent="0.25">
      <c r="A470" s="157" t="str">
        <f>'Resultater - Vestdanmark'!A470</f>
        <v>Proteinproces</v>
      </c>
      <c r="B470" s="157" t="str">
        <f>'Resultater - Vestdanmark'!B470</f>
        <v/>
      </c>
      <c r="C470" s="157" t="str">
        <f>'Resultater - Vestdanmark'!C470</f>
        <v/>
      </c>
      <c r="D470" s="157" t="str">
        <f>'Resultater - Vestdanmark'!D470</f>
        <v>Græs</v>
      </c>
      <c r="E470" s="157" t="str">
        <f>'Resultater - Vestdanmark'!E470</f>
        <v>Ton</v>
      </c>
      <c r="F470" s="157" t="str">
        <f>'Resultater - Vestdanmark'!F470</f>
        <v>Brun saft</v>
      </c>
      <c r="G470" s="157" t="str">
        <f>'Resultater - Vestdanmark'!G470</f>
        <v>PJ</v>
      </c>
      <c r="H470" s="296" t="e">
        <f>'Resultater - Vestdanmark'!H470+'Resultater - Østdanmark'!H470</f>
        <v>#REF!</v>
      </c>
      <c r="I470" s="297" t="e">
        <f>'Resultater - Vestdanmark'!I470+'Resultater - Østdanmark'!I470</f>
        <v>#REF!</v>
      </c>
      <c r="J470" s="298" t="e">
        <f>'Resultater - Vestdanmark'!J470+'Resultater - Østdanmark'!J470</f>
        <v>#REF!</v>
      </c>
    </row>
    <row r="471" spans="1:13" x14ac:dyDescent="0.25">
      <c r="A471" s="157" t="str">
        <f>'Resultater - Vestdanmark'!A471</f>
        <v>Rapskageproduktion</v>
      </c>
      <c r="B471" s="157" t="str">
        <f>'Resultater - Vestdanmark'!B471</f>
        <v/>
      </c>
      <c r="C471" s="157" t="str">
        <f>'Resultater - Vestdanmark'!C471</f>
        <v/>
      </c>
      <c r="D471" s="157" t="str">
        <f>'Resultater - Vestdanmark'!D471</f>
        <v>Raps</v>
      </c>
      <c r="E471" s="157" t="str">
        <f>'Resultater - Vestdanmark'!E471</f>
        <v>Ton</v>
      </c>
      <c r="F471" s="157" t="str">
        <f>'Resultater - Vestdanmark'!F471</f>
        <v>Rapskage</v>
      </c>
      <c r="G471" s="157" t="str">
        <f>'Resultater - Vestdanmark'!G471</f>
        <v>Ton</v>
      </c>
      <c r="H471" s="296" t="e">
        <f>'Resultater - Vestdanmark'!H471+'Resultater - Østdanmark'!H471</f>
        <v>#REF!</v>
      </c>
      <c r="I471" s="297" t="e">
        <f>'Resultater - Vestdanmark'!I471+'Resultater - Østdanmark'!I471</f>
        <v>#REF!</v>
      </c>
      <c r="J471" s="298" t="e">
        <f>'Resultater - Vestdanmark'!J471+'Resultater - Østdanmark'!J471</f>
        <v>#REF!</v>
      </c>
    </row>
    <row r="472" spans="1:13" x14ac:dyDescent="0.25">
      <c r="A472" s="157" t="str">
        <f>'Resultater - Vestdanmark'!A472</f>
        <v>Rapskageproduktion</v>
      </c>
      <c r="B472" s="157" t="str">
        <f>'Resultater - Vestdanmark'!B472</f>
        <v/>
      </c>
      <c r="C472" s="157" t="str">
        <f>'Resultater - Vestdanmark'!C472</f>
        <v/>
      </c>
      <c r="D472" s="157" t="str">
        <f>'Resultater - Vestdanmark'!D472</f>
        <v>Raps</v>
      </c>
      <c r="E472" s="157" t="str">
        <f>'Resultater - Vestdanmark'!E472</f>
        <v>Ton</v>
      </c>
      <c r="F472" s="157" t="str">
        <f>'Resultater - Vestdanmark'!F472</f>
        <v>Rapsolie</v>
      </c>
      <c r="G472" s="157" t="str">
        <f>'Resultater - Vestdanmark'!G472</f>
        <v>Ton</v>
      </c>
      <c r="H472" s="296" t="e">
        <f>'Resultater - Vestdanmark'!H472+'Resultater - Østdanmark'!H472</f>
        <v>#REF!</v>
      </c>
      <c r="I472" s="297" t="e">
        <f>'Resultater - Vestdanmark'!I472+'Resultater - Østdanmark'!I472</f>
        <v>#REF!</v>
      </c>
      <c r="J472" s="298" t="e">
        <f>'Resultater - Vestdanmark'!J472+'Resultater - Østdanmark'!J472</f>
        <v>#REF!</v>
      </c>
    </row>
    <row r="473" spans="1:13" x14ac:dyDescent="0.25">
      <c r="A473" s="157" t="str">
        <f>'Resultater - Vestdanmark'!A473</f>
        <v>Pyrolyseproces</v>
      </c>
      <c r="B473" s="157" t="str">
        <f>'Resultater - Vestdanmark'!B473</f>
        <v/>
      </c>
      <c r="C473" s="157" t="str">
        <f>'Resultater - Vestdanmark'!C473</f>
        <v/>
      </c>
      <c r="D473" s="157" t="str">
        <f>'Resultater - Vestdanmark'!D473</f>
        <v>Halm</v>
      </c>
      <c r="E473" s="157" t="str">
        <f>'Resultater - Vestdanmark'!E473</f>
        <v>Ton</v>
      </c>
      <c r="F473" s="157" t="str">
        <f>'Resultater - Vestdanmark'!F473</f>
        <v>CO2 - atmosfære</v>
      </c>
      <c r="G473" s="157" t="str">
        <f>'Resultater - Vestdanmark'!G473</f>
        <v>t CO2-ækvivalenter</v>
      </c>
      <c r="H473" s="296" t="e">
        <f>'Resultater - Vestdanmark'!H473+'Resultater - Østdanmark'!H473</f>
        <v>#REF!</v>
      </c>
      <c r="I473" s="297" t="e">
        <f>'Resultater - Vestdanmark'!I473+'Resultater - Østdanmark'!I473</f>
        <v>#REF!</v>
      </c>
      <c r="J473" s="298" t="e">
        <f>'Resultater - Vestdanmark'!J473+'Resultater - Østdanmark'!J473</f>
        <v>#REF!</v>
      </c>
    </row>
    <row r="474" spans="1:13" x14ac:dyDescent="0.25">
      <c r="A474" s="157" t="str">
        <f>'Resultater - Vestdanmark'!A474</f>
        <v>Pyrolyseproces</v>
      </c>
      <c r="B474" s="157" t="str">
        <f>'Resultater - Vestdanmark'!B474</f>
        <v/>
      </c>
      <c r="C474" s="157" t="str">
        <f>'Resultater - Vestdanmark'!C474</f>
        <v/>
      </c>
      <c r="D474" s="157" t="str">
        <f>'Resultater - Vestdanmark'!D474</f>
        <v>Halm</v>
      </c>
      <c r="E474" s="157" t="str">
        <f>'Resultater - Vestdanmark'!E474</f>
        <v>Ton</v>
      </c>
      <c r="F474" s="157" t="str">
        <f>'Resultater - Vestdanmark'!F474</f>
        <v>Pyrolyseolie</v>
      </c>
      <c r="G474" s="157" t="str">
        <f>'Resultater - Vestdanmark'!G474</f>
        <v>Ton</v>
      </c>
      <c r="H474" s="296" t="e">
        <f>'Resultater - Vestdanmark'!H474+'Resultater - Østdanmark'!H474</f>
        <v>#REF!</v>
      </c>
      <c r="I474" s="297" t="e">
        <f>'Resultater - Vestdanmark'!I474+'Resultater - Østdanmark'!I474</f>
        <v>#REF!</v>
      </c>
      <c r="J474" s="298" t="e">
        <f>'Resultater - Vestdanmark'!J474+'Resultater - Østdanmark'!J474</f>
        <v>#REF!</v>
      </c>
    </row>
    <row r="475" spans="1:13" ht="15.75" thickBot="1" x14ac:dyDescent="0.3">
      <c r="A475" s="157" t="str">
        <f>'Resultater - Vestdanmark'!A475</f>
        <v>Pyrolyseproces</v>
      </c>
      <c r="B475" s="157" t="str">
        <f>'Resultater - Vestdanmark'!B475</f>
        <v/>
      </c>
      <c r="C475" s="157" t="str">
        <f>'Resultater - Vestdanmark'!C475</f>
        <v/>
      </c>
      <c r="D475" s="157" t="str">
        <f>'Resultater - Vestdanmark'!D475</f>
        <v>Halm</v>
      </c>
      <c r="E475" s="157" t="str">
        <f>'Resultater - Vestdanmark'!E475</f>
        <v>Ton</v>
      </c>
      <c r="F475" s="157" t="str">
        <f>'Resultater - Vestdanmark'!F475</f>
        <v>Pyrolysegas</v>
      </c>
      <c r="G475" s="157" t="str">
        <f>'Resultater - Vestdanmark'!G475</f>
        <v>Ton</v>
      </c>
      <c r="H475" s="299" t="e">
        <f>'Resultater - Vestdanmark'!H475+'Resultater - Østdanmark'!H475</f>
        <v>#REF!</v>
      </c>
      <c r="I475" s="300" t="e">
        <f>'Resultater - Vestdanmark'!I475+'Resultater - Østdanmark'!I475</f>
        <v>#REF!</v>
      </c>
      <c r="J475" s="301" t="e">
        <f>'Resultater - Vestdanmark'!J475+'Resultater - Østdanmark'!J475</f>
        <v>#REF!</v>
      </c>
    </row>
    <row r="476" spans="1:13" x14ac:dyDescent="0.25">
      <c r="A476" s="98"/>
      <c r="B476" s="98"/>
      <c r="C476" s="98"/>
      <c r="D476" s="98"/>
      <c r="E476" s="98"/>
      <c r="F476" s="98"/>
      <c r="G476" s="98"/>
      <c r="H476" s="97"/>
      <c r="I476" s="97"/>
      <c r="J476" s="97"/>
    </row>
    <row r="477" spans="1:13" x14ac:dyDescent="0.25">
      <c r="A477" s="98"/>
      <c r="B477" s="98"/>
      <c r="C477" s="98"/>
      <c r="D477" s="98"/>
      <c r="E477" s="98"/>
      <c r="F477" s="98"/>
      <c r="G477" s="98"/>
      <c r="H477" s="97"/>
      <c r="I477" s="97"/>
      <c r="J477" s="97"/>
    </row>
    <row r="478" spans="1:13" x14ac:dyDescent="0.25">
      <c r="A478" s="98"/>
      <c r="B478" s="98"/>
      <c r="C478" s="98"/>
      <c r="D478" s="98"/>
      <c r="E478" s="98"/>
      <c r="F478" s="98"/>
      <c r="G478" s="98"/>
      <c r="H478" s="97"/>
      <c r="I478" s="97"/>
      <c r="J478" s="97"/>
    </row>
    <row r="479" spans="1:13" x14ac:dyDescent="0.25">
      <c r="A479" s="98"/>
      <c r="B479" s="98"/>
      <c r="C479" s="98"/>
      <c r="D479" s="98"/>
      <c r="E479" s="98"/>
      <c r="F479" s="98"/>
      <c r="G479" s="98"/>
      <c r="H479" s="97"/>
      <c r="I479" s="97"/>
      <c r="J479" s="97"/>
    </row>
    <row r="480" spans="1:13" x14ac:dyDescent="0.25">
      <c r="A480" s="98"/>
      <c r="B480" s="98"/>
      <c r="C480" s="98"/>
      <c r="D480" s="98"/>
      <c r="E480" s="98"/>
      <c r="F480" s="98"/>
      <c r="G480" s="98"/>
      <c r="H480" s="97"/>
      <c r="I480" s="97"/>
      <c r="J480" s="97"/>
    </row>
    <row r="481" spans="1:10" x14ac:dyDescent="0.25">
      <c r="A481" s="98"/>
      <c r="B481" s="98"/>
      <c r="C481" s="98"/>
      <c r="D481" s="98"/>
      <c r="E481" s="98"/>
      <c r="F481" s="98"/>
      <c r="G481" s="98"/>
      <c r="H481" s="97"/>
      <c r="I481" s="97"/>
      <c r="J481" s="97"/>
    </row>
    <row r="482" spans="1:10" x14ac:dyDescent="0.25">
      <c r="A482" s="98"/>
      <c r="B482" s="98"/>
      <c r="C482" s="98"/>
      <c r="D482" s="98"/>
      <c r="E482" s="98"/>
      <c r="F482" s="98"/>
      <c r="G482" s="98"/>
      <c r="H482" s="97"/>
      <c r="I482" s="97"/>
      <c r="J482" s="97"/>
    </row>
    <row r="483" spans="1:10" x14ac:dyDescent="0.25">
      <c r="A483" s="98"/>
      <c r="B483" s="98"/>
      <c r="C483" s="98"/>
      <c r="D483" s="98"/>
      <c r="E483" s="98"/>
      <c r="F483" s="98"/>
      <c r="G483" s="98"/>
      <c r="H483" s="97"/>
      <c r="I483" s="97"/>
      <c r="J483" s="97"/>
    </row>
    <row r="484" spans="1:10" x14ac:dyDescent="0.25">
      <c r="A484" s="98"/>
      <c r="B484" s="98"/>
      <c r="C484" s="98"/>
      <c r="D484" s="98"/>
      <c r="E484" s="98"/>
      <c r="F484" s="98"/>
      <c r="G484" s="98"/>
      <c r="H484" s="97"/>
      <c r="I484" s="97"/>
      <c r="J484" s="97"/>
    </row>
    <row r="485" spans="1:10" x14ac:dyDescent="0.25">
      <c r="A485" s="98"/>
      <c r="B485" s="98"/>
      <c r="C485" s="98"/>
      <c r="D485" s="98"/>
      <c r="E485" s="98"/>
      <c r="F485" s="98"/>
      <c r="G485" s="98"/>
      <c r="H485" s="97"/>
      <c r="I485" s="97"/>
      <c r="J485" s="97"/>
    </row>
    <row r="486" spans="1:10" x14ac:dyDescent="0.25">
      <c r="A486" s="98"/>
      <c r="B486" s="98"/>
      <c r="C486" s="98"/>
      <c r="D486" s="98"/>
      <c r="E486" s="98"/>
      <c r="F486" s="98"/>
      <c r="G486" s="98"/>
      <c r="H486" s="97"/>
      <c r="I486" s="97"/>
      <c r="J486" s="97"/>
    </row>
    <row r="487" spans="1:10" x14ac:dyDescent="0.25">
      <c r="A487" s="98"/>
      <c r="B487" s="98"/>
      <c r="C487" s="98"/>
      <c r="D487" s="98"/>
      <c r="E487" s="98"/>
      <c r="F487" s="98"/>
      <c r="G487" s="98"/>
      <c r="H487" s="97"/>
      <c r="I487" s="97"/>
      <c r="J487" s="97"/>
    </row>
    <row r="488" spans="1:10" x14ac:dyDescent="0.25">
      <c r="H488" s="97"/>
      <c r="I488" s="97"/>
      <c r="J488" s="97"/>
    </row>
    <row r="489" spans="1:10" x14ac:dyDescent="0.25">
      <c r="H489" s="97"/>
      <c r="I489" s="97"/>
      <c r="J489" s="97"/>
    </row>
  </sheetData>
  <autoFilter ref="A2:O475" xr:uid="{0BA69478-A184-4362-901E-6AC334CD2ACE}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tabSelected="1" zoomScale="106" workbookViewId="0">
      <pane xSplit="5" ySplit="2" topLeftCell="Q3" activePane="bottomRight" state="frozen"/>
      <selection pane="topRight" activeCell="F1" sqref="F1"/>
      <selection pane="bottomLeft" activeCell="A3" sqref="A3"/>
      <selection pane="bottomRight" activeCell="G183" activeCellId="1" sqref="G39 G183"/>
    </sheetView>
  </sheetViews>
  <sheetFormatPr defaultColWidth="18" defaultRowHeight="15" x14ac:dyDescent="0.25"/>
  <cols>
    <col min="1" max="2" width="18.140625" style="192" bestFit="1" customWidth="1"/>
    <col min="3" max="3" width="8.140625" style="192" bestFit="1" customWidth="1"/>
    <col min="4" max="4" width="7.85546875" style="192" customWidth="1"/>
    <col min="5" max="5" width="11.140625" style="192" bestFit="1" customWidth="1"/>
    <col min="6" max="6" width="14.28515625" style="192" bestFit="1" customWidth="1"/>
    <col min="7" max="7" width="10.7109375" style="192" bestFit="1" customWidth="1"/>
    <col min="8" max="8" width="11.7109375" style="192" bestFit="1" customWidth="1"/>
    <col min="9" max="9" width="9" style="192" bestFit="1" customWidth="1"/>
    <col min="10" max="11" width="9.5703125" style="192" bestFit="1" customWidth="1"/>
    <col min="12" max="12" width="10.5703125" style="192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356" t="s">
        <v>254</v>
      </c>
      <c r="B1" s="356"/>
      <c r="C1" s="356"/>
      <c r="F1" s="357" t="s">
        <v>256</v>
      </c>
      <c r="G1" s="357"/>
      <c r="H1" s="357"/>
      <c r="I1" s="357"/>
      <c r="J1" s="357"/>
      <c r="K1" s="357"/>
      <c r="L1" s="357"/>
      <c r="M1" s="358"/>
      <c r="N1" s="359" t="s">
        <v>257</v>
      </c>
      <c r="O1" s="360"/>
      <c r="P1" s="361"/>
      <c r="Q1" s="353" t="s">
        <v>123</v>
      </c>
      <c r="R1" s="353"/>
      <c r="S1" s="353"/>
      <c r="T1" s="354"/>
      <c r="U1" s="355" t="s">
        <v>231</v>
      </c>
      <c r="V1" s="353"/>
      <c r="W1" s="353"/>
      <c r="X1" s="354"/>
    </row>
    <row r="2" spans="1:26" x14ac:dyDescent="0.25">
      <c r="A2" s="199" t="s">
        <v>129</v>
      </c>
      <c r="B2" s="199" t="s">
        <v>321</v>
      </c>
      <c r="C2" s="199" t="s">
        <v>130</v>
      </c>
      <c r="D2" s="199" t="s">
        <v>58</v>
      </c>
      <c r="E2" s="199" t="s">
        <v>64</v>
      </c>
      <c r="F2" s="199" t="s">
        <v>133</v>
      </c>
      <c r="G2" s="199" t="s">
        <v>113</v>
      </c>
      <c r="H2" s="199" t="s">
        <v>125</v>
      </c>
      <c r="I2" s="199" t="s">
        <v>128</v>
      </c>
      <c r="J2" s="199" t="s">
        <v>110</v>
      </c>
      <c r="K2" s="199" t="s">
        <v>115</v>
      </c>
      <c r="L2" s="199" t="s">
        <v>121</v>
      </c>
      <c r="M2" s="190" t="s">
        <v>225</v>
      </c>
      <c r="N2" s="202" t="s">
        <v>255</v>
      </c>
      <c r="O2" s="199" t="s">
        <v>131</v>
      </c>
      <c r="P2" s="203" t="s">
        <v>192</v>
      </c>
      <c r="Q2" s="199" t="s">
        <v>132</v>
      </c>
      <c r="R2" s="199" t="s">
        <v>234</v>
      </c>
      <c r="S2" s="199" t="s">
        <v>235</v>
      </c>
      <c r="T2" s="201" t="s">
        <v>294</v>
      </c>
      <c r="U2" s="200" t="s">
        <v>237</v>
      </c>
      <c r="V2" s="199" t="s">
        <v>236</v>
      </c>
      <c r="W2" s="199" t="s">
        <v>238</v>
      </c>
      <c r="X2" s="201" t="s">
        <v>293</v>
      </c>
      <c r="Y2" s="95" t="s">
        <v>288</v>
      </c>
      <c r="Z2" s="199" t="s">
        <v>310</v>
      </c>
    </row>
    <row r="3" spans="1:26" x14ac:dyDescent="0.25">
      <c r="A3" s="194" t="s">
        <v>15</v>
      </c>
      <c r="B3" s="194"/>
      <c r="C3" s="194">
        <f>IF(COUNTIFS('Resultater - Danmark'!$D$3:$D$482,'Resultat-Produktion &amp; forbrug'!A3,'Resultater - Danmark'!$A$3:$A$482,"Til energi")+COUNTIFS('Resultater - Danmark'!$D$3:$D$482,'Resultat-Produktion &amp; forbrug'!A3,'Resultater - Danmark'!$A$3:$A$482,"Biogasanlæg")&gt;0,1,0)</f>
        <v>0</v>
      </c>
      <c r="D3" s="194">
        <f t="shared" ref="D3:D15" si="0">År1</f>
        <v>2019</v>
      </c>
      <c r="E3" s="192" t="s">
        <v>23</v>
      </c>
      <c r="F3" s="195">
        <f>IF(E3="Vestdanmark",SUMIFS(IF(D3=År1,'Resultater - Vestdanmark'!H$3:H$482,IF(D3=År2,'Resultater - Vestdanmark'!I$3:I$482,'Resultater - Vestdanmark'!J$3:J$482)),'Resultater - Vestdanmark'!$F$3:$F$482,$A3,IF(D3=År1,'Resultater - Vestdanmark'!H$3:H$482,IF(D3=År2,'Resultater - Vestdanmark'!I$3:I$482,'Resultater - Vestdanmark'!J$3:J$482)),"&gt;0"),SUMIFS(IF(D3=År1,'Resultater - Østdanmark'!H$3:H$482,IF(D3=År2,'Resultater - Østdanmark'!I$3:I$482,'Resultater - Østdanmark'!J$3:J$482)),'Resultater - Østdanmark'!$F$3:$F$482,$A3,IF(D3=År1,'Resultater - Østdanmark'!H$3:H$482,IF(D3=År2,'Resultater - Østdanmark'!I$3:I$482,'Resultater - Østdanmark'!J$3:J$482)),"&gt;0"))</f>
        <v>0</v>
      </c>
      <c r="G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92">
        <f>IF(E3="Vestdanmark",-IF(A3="Halm",SUMIFS(IF(D3=År1,'Resultater - Vestdanmark'!H$3:H$482,IF(D3=År2,'Resultater - Vestdanmark'!I$3:I$482,'Resultater - Vestdanmark'!J$3:J$482)),'Resultater - Vestdanmark'!$F$3:$F$482,$A3,'Resultater - Vestdanmark'!H$3:H$482,"&lt;0"),0),-IF(A3="Halm",SUMIFS(IF(D3=År1,'Resultater - Østdanmark'!H$3:H$482,IF(D3=År2,'Resultater - Østdanmark'!I$3:I$482,'Resultater - Østdanmark'!J$3:J$482)),'Resultater - Østdanmark'!$F$3:$F$482,$A3,'Resultater - Østdanmark'!H$3:H$482,"&lt;0"),0))</f>
        <v>0</v>
      </c>
      <c r="I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5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7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4">
        <f>F3-SUM(G3:M3)</f>
        <v>-31522.55833067331</v>
      </c>
      <c r="O3" s="195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5">
        <f>SUM(J3,L3)</f>
        <v>0</v>
      </c>
      <c r="Q3" s="192">
        <f>IFERROR(VLOOKUP(A3,[1]Energiindhold!$A$2:$C$11,3,FALSE),IFERROR(VLOOKUP(A3,[1]Biogasudbytte!$A$2:$B$18,2,FALSE)*[1]Energiindhold!$C$10,0))*O3</f>
        <v>0</v>
      </c>
      <c r="R3" s="192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92">
        <f>IFERROR(VLOOKUP(A3,[1]Biogasudbytte!$A$2:$B$18,2,FALSE)*[1]Energiindhold!$C$10,0)*J3*IFERROR(VLOOKUP(A3,Biogasanlæg!$F$3:$G$8,2,FALSE),1)</f>
        <v>0</v>
      </c>
      <c r="T3" s="193">
        <f>R3-S3</f>
        <v>0</v>
      </c>
      <c r="U3" s="191">
        <f>O3*IFERROR(VLOOKUP(A3,[1]Tørstofindhold!A$2:B$24,2,FALSE),0)</f>
        <v>0</v>
      </c>
      <c r="V3" s="192">
        <f>IF(D3=År1,P3,SUM(O3,P3))*IFERROR(VLOOKUP(A3,[1]Tørstofindhold!A$2:B$24,2,FALSE),0)</f>
        <v>0</v>
      </c>
      <c r="W3" s="192">
        <f>J3*IFERROR(VLOOKUP(A3,[1]Tørstofindhold!A$2:B$24,2,FALSE),0)</f>
        <v>0</v>
      </c>
      <c r="X3" s="193">
        <f>V3-W3</f>
        <v>0</v>
      </c>
      <c r="Y3" s="171">
        <f t="shared" ref="Y3:Y66" si="2">IF(SUMIFS($N$3:$N$290,$A$3:$A$290,A3,$D$3:$D$290,D3)&lt;0,1,0)</f>
        <v>1</v>
      </c>
      <c r="Z3" s="103">
        <f t="shared" ref="Z3:Z66" si="3">IF(SUMIFS($N$3:$N$290,$A$3:$A$290,A3,$D$3:$D$290,D3)&gt;0,1,0)</f>
        <v>0</v>
      </c>
    </row>
    <row r="4" spans="1:26" x14ac:dyDescent="0.25">
      <c r="A4" s="194" t="s">
        <v>49</v>
      </c>
      <c r="B4" s="194"/>
      <c r="C4" s="194">
        <f>IF(COUNTIFS('Resultater - Danmark'!$D$3:$D$482,'Resultat-Produktion &amp; forbrug'!A4,'Resultater - Danmark'!$A$3:$A$482,"Til energi")+COUNTIFS('Resultater - Danmark'!$D$3:$D$482,'Resultat-Produktion &amp; forbrug'!A4,'Resultater - Danmark'!$A$3:$A$482,"Biogasanlæg")&gt;0,1,0)</f>
        <v>0</v>
      </c>
      <c r="D4" s="194">
        <f t="shared" si="0"/>
        <v>2019</v>
      </c>
      <c r="E4" s="192" t="s">
        <v>23</v>
      </c>
      <c r="F4" s="195">
        <f>IF(E4="Vestdanmark",SUMIFS(IF(D4=År1,'Resultater - Vestdanmark'!H$3:H$482,IF(D4=År2,'Resultater - Vestdanmark'!I$3:I$482,'Resultater - Vestdanmark'!J$3:J$482)),'Resultater - Vestdanmark'!$F$3:$F$482,$A4,IF(D4=År1,'Resultater - Vestdanmark'!H$3:H$482,IF(D4=År2,'Resultater - Vestdanmark'!I$3:I$482,'Resultater - Vestdanmark'!J$3:J$482)),"&gt;0"),SUMIFS(IF(D4=År1,'Resultater - Østdanmark'!H$3:H$482,IF(D4=År2,'Resultater - Østdanmark'!I$3:I$482,'Resultater - Østdanmark'!J$3:J$482)),'Resultater - Østdanmark'!$F$3:$F$482,$A4,IF(D4=År1,'Resultater - Østdanmark'!H$3:H$482,IF(D4=År2,'Resultater - Østdanmark'!I$3:I$482,'Resultater - Østdanmark'!J$3:J$482)),"&gt;0"))</f>
        <v>0</v>
      </c>
      <c r="G4" s="195" t="e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#REF!</v>
      </c>
      <c r="H4" s="192">
        <f>IF(E4="Vestdanmark",-IF(A4="Halm",SUMIFS(IF(D4=År1,'Resultater - Vestdanmark'!H$3:H$482,IF(D4=År2,'Resultater - Vestdanmark'!I$3:I$482,'Resultater - Vestdanmark'!J$3:J$482)),'Resultater - Vestdanmark'!$F$3:$F$482,$A4,'Resultater - Vestdanmark'!H$3:H$482,"&lt;0"),0),-IF(A4="Halm",SUMIFS(IF(D4=År1,'Resultater - Østdanmark'!H$3:H$482,IF(D4=År2,'Resultater - Østdanmark'!I$3:I$482,'Resultater - Østdanmark'!J$3:J$482)),'Resultater - Østdanmark'!$F$3:$F$482,$A4,'Resultater - Østdanmark'!H$3:H$482,"&lt;0"),0))</f>
        <v>0</v>
      </c>
      <c r="I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5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7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4" t="e">
        <f t="shared" ref="N4:N15" si="4">F4-SUM(G4:M4)</f>
        <v>#REF!</v>
      </c>
      <c r="O4" s="195">
        <f t="shared" si="1"/>
        <v>0</v>
      </c>
      <c r="P4" s="205">
        <f t="shared" ref="P4:P15" si="5">SUM(J4,L4)</f>
        <v>0</v>
      </c>
      <c r="Q4" s="192">
        <f>IFERROR(VLOOKUP(A4,[1]Energiindhold!$A$2:$C$11,3,FALSE),IFERROR(VLOOKUP(A4,[1]Biogasudbytte!$A$2:$B$18,2,FALSE)*[1]Energiindhold!$C$10,0))*O4</f>
        <v>0</v>
      </c>
      <c r="R4" s="192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92">
        <f>IFERROR(VLOOKUP(A4,[1]Biogasudbytte!$A$2:$B$18,2,FALSE)*[1]Energiindhold!$C$10,0)*J4*IFERROR(VLOOKUP(A4,Biogasanlæg!$F$3:$G$8,2,FALSE),1)</f>
        <v>0</v>
      </c>
      <c r="T4" s="193">
        <f t="shared" ref="T4:T15" si="6">R4-S4</f>
        <v>0</v>
      </c>
      <c r="U4" s="191">
        <f>O4*IFERROR(VLOOKUP(A4,[1]Tørstofindhold!A$2:B$24,2,FALSE),0)</f>
        <v>0</v>
      </c>
      <c r="V4" s="192">
        <f>IF(D4=År1,P4,SUM(O4,P4))*IFERROR(VLOOKUP(A4,[1]Tørstofindhold!A$2:B$24,2,FALSE),0)</f>
        <v>0</v>
      </c>
      <c r="W4" s="192">
        <f>J4*IFERROR(VLOOKUP(A4,[1]Tørstofindhold!A$2:B$24,2,FALSE),0)</f>
        <v>0</v>
      </c>
      <c r="X4" s="193">
        <f t="shared" ref="X4:X15" si="7">V4-W4</f>
        <v>0</v>
      </c>
      <c r="Y4" s="171" t="e">
        <f t="shared" si="2"/>
        <v>#REF!</v>
      </c>
      <c r="Z4" s="103" t="e">
        <f t="shared" si="3"/>
        <v>#REF!</v>
      </c>
    </row>
    <row r="5" spans="1:26" x14ac:dyDescent="0.25">
      <c r="A5" s="194" t="s">
        <v>103</v>
      </c>
      <c r="B5" s="194" t="s">
        <v>232</v>
      </c>
      <c r="C5" s="194">
        <f>IF(COUNTIFS('Resultater - Danmark'!$D$3:$D$482,'Resultat-Produktion &amp; forbrug'!A5,'Resultater - Danmark'!$A$3:$A$482,"Til energi")+COUNTIFS('Resultater - Danmark'!$D$3:$D$482,'Resultat-Produktion &amp; forbrug'!A5,'Resultater - Danmark'!$A$3:$A$482,"Biogasanlæg")&gt;0,1,0)</f>
        <v>1</v>
      </c>
      <c r="D5" s="194">
        <f t="shared" si="0"/>
        <v>2019</v>
      </c>
      <c r="E5" s="192" t="s">
        <v>23</v>
      </c>
      <c r="F5" s="195">
        <f>IF(E5="Vestdanmark",SUMIFS(IF(D5=År1,'Resultater - Vestdanmark'!H$3:H$482,IF(D5=År2,'Resultater - Vestdanmark'!I$3:I$482,'Resultater - Vestdanmark'!J$3:J$482)),'Resultater - Vestdanmark'!$F$3:$F$482,$A5,IF(D5=År1,'Resultater - Vestdanmark'!H$3:H$482,IF(D5=År2,'Resultater - Vestdanmark'!I$3:I$482,'Resultater - Vestdanmark'!J$3:J$482)),"&gt;0"),SUMIFS(IF(D5=År1,'Resultater - Østdanmark'!H$3:H$482,IF(D5=År2,'Resultater - Østdanmark'!I$3:I$482,'Resultater - Østdanmark'!J$3:J$482)),'Resultater - Østdanmark'!$F$3:$F$482,$A5,IF(D5=År1,'Resultater - Østdanmark'!H$3:H$482,IF(D5=År2,'Resultater - Østdanmark'!I$3:I$482,'Resultater - Østdanmark'!J$3:J$482)),"&gt;0"))</f>
        <v>0</v>
      </c>
      <c r="G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92">
        <f>IF(E5="Vestdanmark",-IF(A5="Halm",SUMIFS(IF(D5=År1,'Resultater - Vestdanmark'!H$3:H$482,IF(D5=År2,'Resultater - Vestdanmark'!I$3:I$482,'Resultater - Vestdanmark'!J$3:J$482)),'Resultater - Vestdanmark'!$F$3:$F$482,$A5,'Resultater - Vestdanmark'!H$3:H$482,"&lt;0"),0),-IF(A5="Halm",SUMIFS(IF(D5=År1,'Resultater - Østdanmark'!H$3:H$482,IF(D5=År2,'Resultater - Østdanmark'!I$3:I$482,'Resultater - Østdanmark'!J$3:J$482)),'Resultater - Østdanmark'!$F$3:$F$482,$A5,'Resultater - Østdanmark'!H$3:H$482,"&lt;0"),0))</f>
        <v>0</v>
      </c>
      <c r="I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5" t="e">
        <f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#REF!</v>
      </c>
      <c r="K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5" t="e">
        <f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#REF!</v>
      </c>
      <c r="M5" s="157" t="e">
        <f>SUMIFS('Forbrug af biomasse'!E:E,'Forbrug af biomasse'!C:C,'Resultat-Produktion &amp; forbrug'!$A5,'Forbrug af biomasse'!D:D,'Resultat-Produktion &amp; forbrug'!$D5,'Forbrug af biomasse'!G:G,1,'Forbrug af biomasse'!B:B,$E5)</f>
        <v>#REF!</v>
      </c>
      <c r="N5" s="204" t="e">
        <f t="shared" si="4"/>
        <v>#REF!</v>
      </c>
      <c r="O5" s="195" t="e">
        <f t="shared" si="1"/>
        <v>#REF!</v>
      </c>
      <c r="P5" s="205" t="e">
        <f t="shared" si="5"/>
        <v>#REF!</v>
      </c>
      <c r="Q5" s="192" t="e">
        <f>IFERROR(VLOOKUP(A5,[1]Energiindhold!$A$2:$C$11,3,FALSE),IFERROR(VLOOKUP(A5,[1]Biogasudbytte!$A$2:$B$18,2,FALSE)*[1]Energiindhold!$C$10,0))*O5</f>
        <v>#REF!</v>
      </c>
      <c r="R5" s="192" t="e">
        <f>IF(A5&lt;&gt;"Biogas",IFERROR(VLOOKUP(A5,[1]Biogasudbytte!$A$2:$B$18,2,FALSE)*[1]Energiindhold!$C$10,0)*J5*IFERROR(VLOOKUP(A5,Biogasanlæg!$F$3:$G$8,2,FALSE),1)+IFERROR(VLOOKUP(A5,[1]Energiindhold!$A$2:$C$11,3,FALSE),0)*L5+IF(D5&lt;&gt;År1,Q5,0),0)</f>
        <v>#REF!</v>
      </c>
      <c r="S5" s="192" t="e">
        <f>IFERROR(VLOOKUP(A5,[1]Biogasudbytte!$A$2:$B$18,2,FALSE)*[1]Energiindhold!$C$10,0)*J5*IFERROR(VLOOKUP(A5,Biogasanlæg!$F$3:$G$8,2,FALSE),1)</f>
        <v>#REF!</v>
      </c>
      <c r="T5" s="193" t="e">
        <f t="shared" si="6"/>
        <v>#REF!</v>
      </c>
      <c r="U5" s="191" t="e">
        <f>O5*IFERROR(VLOOKUP(A5,[1]Tørstofindhold!A$2:B$24,2,FALSE),0)</f>
        <v>#REF!</v>
      </c>
      <c r="V5" s="192" t="e">
        <f>IF(D5=År1,P5,SUM(O5,P5))*IFERROR(VLOOKUP(A5,[1]Tørstofindhold!A$2:B$24,2,FALSE),0)</f>
        <v>#REF!</v>
      </c>
      <c r="W5" s="192" t="e">
        <f>J5*IFERROR(VLOOKUP(A5,[1]Tørstofindhold!A$2:B$24,2,FALSE),0)</f>
        <v>#REF!</v>
      </c>
      <c r="X5" s="193" t="e">
        <f t="shared" si="7"/>
        <v>#REF!</v>
      </c>
      <c r="Y5" s="171" t="e">
        <f t="shared" si="2"/>
        <v>#REF!</v>
      </c>
      <c r="Z5" s="103" t="e">
        <f t="shared" si="3"/>
        <v>#REF!</v>
      </c>
    </row>
    <row r="6" spans="1:26" x14ac:dyDescent="0.25">
      <c r="A6" s="194" t="s">
        <v>110</v>
      </c>
      <c r="B6" s="194"/>
      <c r="C6" s="194">
        <f>IF(COUNTIFS('Resultater - Danmark'!$D$3:$D$482,'Resultat-Produktion &amp; forbrug'!A6,'Resultater - Danmark'!$A$3:$A$482,"Til energi")+COUNTIFS('Resultater - Danmark'!$D$3:$D$482,'Resultat-Produktion &amp; forbrug'!A6,'Resultater - Danmark'!$A$3:$A$482,"Biogasanlæg")&gt;0,1,0)</f>
        <v>1</v>
      </c>
      <c r="D6" s="194">
        <f t="shared" si="0"/>
        <v>2019</v>
      </c>
      <c r="E6" s="192" t="s">
        <v>23</v>
      </c>
      <c r="F6" s="195">
        <f>IF(E6="Vestdanmark",SUMIFS(IF(D6=År1,'Resultater - Vestdanmark'!H$3:H$482,IF(D6=År2,'Resultater - Vestdanmark'!I$3:I$482,'Resultater - Vestdanmark'!J$3:J$482)),'Resultater - Vestdanmark'!$F$3:$F$482,$A6,IF(D6=År1,'Resultater - Vestdanmark'!H$3:H$482,IF(D6=År2,'Resultater - Vestdanmark'!I$3:I$482,'Resultater - Vestdanmark'!J$3:J$482)),"&gt;0"),SUMIFS(IF(D6=År1,'Resultater - Østdanmark'!H$3:H$482,IF(D6=År2,'Resultater - Østdanmark'!I$3:I$482,'Resultater - Østdanmark'!J$3:J$482)),'Resultater - Østdanmark'!$F$3:$F$482,$A6,IF(D6=År1,'Resultater - Østdanmark'!H$3:H$482,IF(D6=År2,'Resultater - Østdanmark'!I$3:I$482,'Resultater - Østdanmark'!J$3:J$482)),"&gt;0"))</f>
        <v>48345002.496000007</v>
      </c>
      <c r="G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92">
        <f>IF(E6="Vestdanmark",-IF(A6="Halm",SUMIFS(IF(D6=År1,'Resultater - Vestdanmark'!H$3:H$482,IF(D6=År2,'Resultater - Vestdanmark'!I$3:I$482,'Resultater - Vestdanmark'!J$3:J$482)),'Resultater - Vestdanmark'!$F$3:$F$482,$A6,'Resultater - Vestdanmark'!H$3:H$482,"&lt;0"),0),-IF(A6="Halm",SUMIFS(IF(D6=År1,'Resultater - Østdanmark'!H$3:H$482,IF(D6=År2,'Resultater - Østdanmark'!I$3:I$482,'Resultater - Østdanmark'!J$3:J$482)),'Resultater - Østdanmark'!$F$3:$F$482,$A6,'Resultater - Østdanmark'!H$3:H$482,"&lt;0"),0))</f>
        <v>0</v>
      </c>
      <c r="I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5">
        <f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48345002.496000007</v>
      </c>
      <c r="M6" s="157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4">
        <f t="shared" si="4"/>
        <v>0</v>
      </c>
      <c r="O6" s="195">
        <f t="shared" si="1"/>
        <v>0</v>
      </c>
      <c r="P6" s="205">
        <f t="shared" si="5"/>
        <v>48345002.496000007</v>
      </c>
      <c r="Q6" s="192">
        <f>IFERROR(VLOOKUP(A6,[1]Energiindhold!$A$2:$C$11,3,FALSE),IFERROR(VLOOKUP(A6,[1]Biogasudbytte!$A$2:$B$18,2,FALSE)*[1]Energiindhold!$C$10,0))*O6</f>
        <v>0</v>
      </c>
      <c r="R6" s="192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92">
        <f>IFERROR(VLOOKUP(A6,[1]Biogasudbytte!$A$2:$B$18,2,FALSE)*[1]Energiindhold!$C$10,0)*J6*IFERROR(VLOOKUP(A6,Biogasanlæg!$F$3:$G$8,2,FALSE),1)</f>
        <v>0</v>
      </c>
      <c r="T6" s="193">
        <f t="shared" si="6"/>
        <v>0</v>
      </c>
      <c r="U6" s="191">
        <f>O6*IFERROR(VLOOKUP(A6,[1]Tørstofindhold!A$2:B$24,2,FALSE),0)</f>
        <v>0</v>
      </c>
      <c r="V6" s="192">
        <f>IF(D6=År1,P6,SUM(O6,P6))*IFERROR(VLOOKUP(A6,[1]Tørstofindhold!A$2:B$24,2,FALSE),0)</f>
        <v>0</v>
      </c>
      <c r="W6" s="192">
        <f>J6*IFERROR(VLOOKUP(A6,[1]Tørstofindhold!A$2:B$24,2,FALSE),0)</f>
        <v>0</v>
      </c>
      <c r="X6" s="193">
        <f t="shared" si="7"/>
        <v>0</v>
      </c>
      <c r="Y6" s="171">
        <f t="shared" si="2"/>
        <v>0</v>
      </c>
      <c r="Z6" s="103">
        <f t="shared" si="3"/>
        <v>0</v>
      </c>
    </row>
    <row r="7" spans="1:26" x14ac:dyDescent="0.25">
      <c r="A7" s="194" t="s">
        <v>111</v>
      </c>
      <c r="B7" s="194"/>
      <c r="C7" s="194">
        <f>IF(COUNTIFS('Resultater - Danmark'!$D$3:$D$482,'Resultat-Produktion &amp; forbrug'!A7,'Resultater - Danmark'!$A$3:$A$482,"Til energi")+COUNTIFS('Resultater - Danmark'!$D$3:$D$482,'Resultat-Produktion &amp; forbrug'!A7,'Resultater - Danmark'!$A$3:$A$482,"Biogasanlæg")&gt;0,1,0)</f>
        <v>0</v>
      </c>
      <c r="D7" s="194">
        <f t="shared" si="0"/>
        <v>2019</v>
      </c>
      <c r="E7" s="192" t="s">
        <v>23</v>
      </c>
      <c r="F7" s="195">
        <f>IF(E7="Vestdanmark",SUMIFS(IF(D7=År1,'Resultater - Vestdanmark'!H$3:H$482,IF(D7=År2,'Resultater - Vestdanmark'!I$3:I$482,'Resultater - Vestdanmark'!J$3:J$482)),'Resultater - Vestdanmark'!$F$3:$F$482,$A7,IF(D7=År1,'Resultater - Vestdanmark'!H$3:H$482,IF(D7=År2,'Resultater - Vestdanmark'!I$3:I$482,'Resultater - Vestdanmark'!J$3:J$482)),"&gt;0"),SUMIFS(IF(D7=År1,'Resultater - Østdanmark'!H$3:H$482,IF(D7=År2,'Resultater - Østdanmark'!I$3:I$482,'Resultater - Østdanmark'!J$3:J$482)),'Resultater - Østdanmark'!$F$3:$F$482,$A7,IF(D7=År1,'Resultater - Østdanmark'!H$3:H$482,IF(D7=År2,'Resultater - Østdanmark'!I$3:I$482,'Resultater - Østdanmark'!J$3:J$482)),"&gt;0"))</f>
        <v>0</v>
      </c>
      <c r="G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92">
        <f>IF(E7="Vestdanmark",-IF(A7="Halm",SUMIFS(IF(D7=År1,'Resultater - Vestdanmark'!H$3:H$482,IF(D7=År2,'Resultater - Vestdanmark'!I$3:I$482,'Resultater - Vestdanmark'!J$3:J$482)),'Resultater - Vestdanmark'!$F$3:$F$482,$A7,'Resultater - Vestdanmark'!H$3:H$482,"&lt;0"),0),-IF(A7="Halm",SUMIFS(IF(D7=År1,'Resultater - Østdanmark'!H$3:H$482,IF(D7=År2,'Resultater - Østdanmark'!I$3:I$482,'Resultater - Østdanmark'!J$3:J$482)),'Resultater - Østdanmark'!$F$3:$F$482,$A7,'Resultater - Østdanmark'!H$3:H$482,"&lt;0"),0))</f>
        <v>0</v>
      </c>
      <c r="I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5" t="e">
        <f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#REF!</v>
      </c>
      <c r="L7" s="195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7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4" t="e">
        <f t="shared" si="4"/>
        <v>#REF!</v>
      </c>
      <c r="O7" s="195">
        <f t="shared" si="1"/>
        <v>0</v>
      </c>
      <c r="P7" s="205">
        <f t="shared" si="5"/>
        <v>0</v>
      </c>
      <c r="Q7" s="192">
        <f>IFERROR(VLOOKUP(A7,[1]Energiindhold!$A$2:$C$11,3,FALSE),IFERROR(VLOOKUP(A7,[1]Biogasudbytte!$A$2:$B$18,2,FALSE)*[1]Energiindhold!$C$10,0))*O7</f>
        <v>0</v>
      </c>
      <c r="R7" s="192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92">
        <f>IFERROR(VLOOKUP(A7,[1]Biogasudbytte!$A$2:$B$18,2,FALSE)*[1]Energiindhold!$C$10,0)*J7*IFERROR(VLOOKUP(A7,Biogasanlæg!$F$3:$G$8,2,FALSE),1)</f>
        <v>0</v>
      </c>
      <c r="T7" s="193">
        <f t="shared" si="6"/>
        <v>0</v>
      </c>
      <c r="U7" s="191">
        <f>O7*IFERROR(VLOOKUP(A7,[1]Tørstofindhold!A$2:B$24,2,FALSE),0)</f>
        <v>0</v>
      </c>
      <c r="V7" s="192">
        <f>IF(D7=År1,P7,SUM(O7,P7))*IFERROR(VLOOKUP(A7,[1]Tørstofindhold!A$2:B$24,2,FALSE),0)</f>
        <v>0</v>
      </c>
      <c r="W7" s="192">
        <f>J7*IFERROR(VLOOKUP(A7,[1]Tørstofindhold!A$2:B$24,2,FALSE),0)</f>
        <v>0</v>
      </c>
      <c r="X7" s="193">
        <f t="shared" si="7"/>
        <v>0</v>
      </c>
      <c r="Y7" s="171" t="e">
        <f t="shared" si="2"/>
        <v>#REF!</v>
      </c>
      <c r="Z7" s="103" t="e">
        <f t="shared" si="3"/>
        <v>#REF!</v>
      </c>
    </row>
    <row r="8" spans="1:26" x14ac:dyDescent="0.25">
      <c r="A8" s="194" t="s">
        <v>210</v>
      </c>
      <c r="B8" s="194" t="s">
        <v>232</v>
      </c>
      <c r="C8" s="194">
        <f>IF(COUNTIFS('Resultater - Danmark'!$D$3:$D$482,'Resultat-Produktion &amp; forbrug'!A8,'Resultater - Danmark'!$A$3:$A$482,"Til energi")+COUNTIFS('Resultater - Danmark'!$D$3:$D$482,'Resultat-Produktion &amp; forbrug'!A8,'Resultater - Danmark'!$A$3:$A$482,"Biogasanlæg")&gt;0,1,0)</f>
        <v>1</v>
      </c>
      <c r="D8" s="194">
        <f t="shared" si="0"/>
        <v>2019</v>
      </c>
      <c r="E8" s="192" t="s">
        <v>23</v>
      </c>
      <c r="F8" s="195">
        <f>IF(E8="Vestdanmark",SUMIFS(IF(D8=År1,'Resultater - Vestdanmark'!H$3:H$482,IF(D8=År2,'Resultater - Vestdanmark'!I$3:I$482,'Resultater - Vestdanmark'!J$3:J$482)),'Resultater - Vestdanmark'!$F$3:$F$482,$A8,IF(D8=År1,'Resultater - Vestdanmark'!H$3:H$482,IF(D8=År2,'Resultater - Vestdanmark'!I$3:I$482,'Resultater - Vestdanmark'!J$3:J$482)),"&gt;0"),SUMIFS(IF(D8=År1,'Resultater - Østdanmark'!H$3:H$482,IF(D8=År2,'Resultater - Østdanmark'!I$3:I$482,'Resultater - Østdanmark'!J$3:J$482)),'Resultater - Østdanmark'!$F$3:$F$482,$A8,IF(D8=År1,'Resultater - Østdanmark'!H$3:H$482,IF(D8=År2,'Resultater - Østdanmark'!I$3:I$482,'Resultater - Østdanmark'!J$3:J$482)),"&gt;0"))</f>
        <v>0</v>
      </c>
      <c r="G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92">
        <f>IF(E8="Vestdanmark",-IF(A8="Halm",SUMIFS(IF(D8=År1,'Resultater - Vestdanmark'!H$3:H$482,IF(D8=År2,'Resultater - Vestdanmark'!I$3:I$482,'Resultater - Vestdanmark'!J$3:J$482)),'Resultater - Vestdanmark'!$F$3:$F$482,$A8,'Resultater - Vestdanmark'!H$3:H$482,"&lt;0"),0),-IF(A8="Halm",SUMIFS(IF(D8=År1,'Resultater - Østdanmark'!H$3:H$482,IF(D8=År2,'Resultater - Østdanmark'!I$3:I$482,'Resultater - Østdanmark'!J$3:J$482)),'Resultater - Østdanmark'!$F$3:$F$482,$A8,'Resultater - Østdanmark'!H$3:H$482,"&lt;0"),0))</f>
        <v>0</v>
      </c>
      <c r="I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5" t="e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#REF!</v>
      </c>
      <c r="K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5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7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4" t="e">
        <f t="shared" si="4"/>
        <v>#REF!</v>
      </c>
      <c r="O8" s="195" t="e">
        <f t="shared" si="1"/>
        <v>#REF!</v>
      </c>
      <c r="P8" s="205" t="e">
        <f t="shared" si="5"/>
        <v>#REF!</v>
      </c>
      <c r="Q8" s="192" t="e">
        <f>IFERROR(VLOOKUP(A8,[1]Energiindhold!$A$2:$C$11,3,FALSE),IFERROR(VLOOKUP(A8,[1]Biogasudbytte!$A$2:$B$18,2,FALSE)*[1]Energiindhold!$C$10,0))*O8</f>
        <v>#REF!</v>
      </c>
      <c r="R8" s="192" t="e">
        <f>IF(A8&lt;&gt;"Biogas",IFERROR(VLOOKUP(A8,[1]Biogasudbytte!$A$2:$B$18,2,FALSE)*[1]Energiindhold!$C$10,0)*J8*IFERROR(VLOOKUP(A8,Biogasanlæg!$F$3:$G$8,2,FALSE),1)+IFERROR(VLOOKUP(A8,[1]Energiindhold!$A$2:$C$11,3,FALSE),0)*L8+IF(D8&lt;&gt;År1,Q8,0),0)</f>
        <v>#REF!</v>
      </c>
      <c r="S8" s="192" t="e">
        <f>IFERROR(VLOOKUP(A8,[1]Biogasudbytte!$A$2:$B$18,2,FALSE)*[1]Energiindhold!$C$10,0)*J8*IFERROR(VLOOKUP(A8,Biogasanlæg!$F$3:$G$8,2,FALSE),1)</f>
        <v>#REF!</v>
      </c>
      <c r="T8" s="193" t="e">
        <f t="shared" si="6"/>
        <v>#REF!</v>
      </c>
      <c r="U8" s="191" t="e">
        <f>O8*IFERROR(VLOOKUP(A8,[1]Tørstofindhold!A$2:B$24,2,FALSE),0)</f>
        <v>#REF!</v>
      </c>
      <c r="V8" s="192" t="e">
        <f>IF(D8=År1,P8,SUM(O8,P8))*IFERROR(VLOOKUP(A8,[1]Tørstofindhold!A$2:B$24,2,FALSE),0)</f>
        <v>#REF!</v>
      </c>
      <c r="W8" s="192" t="e">
        <f>J8*IFERROR(VLOOKUP(A8,[1]Tørstofindhold!A$2:B$24,2,FALSE),0)</f>
        <v>#REF!</v>
      </c>
      <c r="X8" s="193" t="e">
        <f t="shared" si="7"/>
        <v>#REF!</v>
      </c>
      <c r="Y8" s="171" t="e">
        <f t="shared" si="2"/>
        <v>#REF!</v>
      </c>
      <c r="Z8" s="103" t="e">
        <f t="shared" si="3"/>
        <v>#REF!</v>
      </c>
    </row>
    <row r="9" spans="1:26" x14ac:dyDescent="0.25">
      <c r="A9" s="192" t="s">
        <v>102</v>
      </c>
      <c r="B9" s="194" t="s">
        <v>224</v>
      </c>
      <c r="C9" s="194">
        <f>IF(COUNTIFS('Resultater - Danmark'!$D$3:$D$482,'Resultat-Produktion &amp; forbrug'!A9,'Resultater - Danmark'!$A$3:$A$482,"Til energi")+COUNTIFS('Resultater - Danmark'!$D$3:$D$482,'Resultat-Produktion &amp; forbrug'!A9,'Resultater - Danmark'!$A$3:$A$482,"Biogasanlæg")&gt;0,1,0)</f>
        <v>1</v>
      </c>
      <c r="D9" s="194">
        <f t="shared" si="0"/>
        <v>2019</v>
      </c>
      <c r="E9" s="192" t="s">
        <v>23</v>
      </c>
      <c r="F9" s="195">
        <f>IF(E9="Vestdanmark",SUMIFS(IF(D9=År1,'Resultater - Vestdanmark'!H$3:H$482,IF(D9=År2,'Resultater - Vestdanmark'!I$3:I$482,'Resultater - Vestdanmark'!J$3:J$482)),'Resultater - Vestdanmark'!$F$3:$F$482,$A9,IF(D9=År1,'Resultater - Vestdanmark'!H$3:H$482,IF(D9=År2,'Resultater - Vestdanmark'!I$3:I$482,'Resultater - Vestdanmark'!J$3:J$482)),"&gt;0"),SUMIFS(IF(D9=År1,'Resultater - Østdanmark'!H$3:H$482,IF(D9=År2,'Resultater - Østdanmark'!I$3:I$482,'Resultater - Østdanmark'!J$3:J$482)),'Resultater - Østdanmark'!$F$3:$F$482,$A9,IF(D9=År1,'Resultater - Østdanmark'!H$3:H$482,IF(D9=År2,'Resultater - Østdanmark'!I$3:I$482,'Resultater - Østdanmark'!J$3:J$482)),"&gt;0"))</f>
        <v>0</v>
      </c>
      <c r="G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92">
        <f>IF(E9="Vestdanmark",-IF(A9="Halm",SUMIFS(IF(D9=År1,'Resultater - Vestdanmark'!H$3:H$482,IF(D9=År2,'Resultater - Vestdanmark'!I$3:I$482,'Resultater - Vestdanmark'!J$3:J$482)),'Resultater - Vestdanmark'!$F$3:$F$482,$A9,'Resultater - Vestdanmark'!H$3:H$482,"&lt;0"),0),-IF(A9="Halm",SUMIFS(IF(D9=År1,'Resultater - Østdanmark'!H$3:H$482,IF(D9=År2,'Resultater - Østdanmark'!I$3:I$482,'Resultater - Østdanmark'!J$3:J$482)),'Resultater - Østdanmark'!$F$3:$F$482,$A9,'Resultater - Østdanmark'!H$3:H$482,"&lt;0"),0))</f>
        <v>0</v>
      </c>
      <c r="I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5" t="e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#REF!</v>
      </c>
      <c r="K9" s="195" t="e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#REF!</v>
      </c>
      <c r="L9" s="195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7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4" t="e">
        <f t="shared" si="4"/>
        <v>#REF!</v>
      </c>
      <c r="O9" s="195" t="e">
        <f t="shared" si="1"/>
        <v>#REF!</v>
      </c>
      <c r="P9" s="205" t="e">
        <f>SUM(J9,L9)</f>
        <v>#REF!</v>
      </c>
      <c r="Q9" s="192" t="e">
        <f>IFERROR(VLOOKUP(A9,[1]Energiindhold!$A$2:$C$11,3,FALSE),IFERROR(VLOOKUP(A9,[1]Biogasudbytte!$A$2:$B$18,2,FALSE)*[1]Energiindhold!$C$10,0))*O9</f>
        <v>#REF!</v>
      </c>
      <c r="R9" s="192" t="e">
        <f>IF(A9&lt;&gt;"Biogas",IFERROR(VLOOKUP(A9,[1]Biogasudbytte!$A$2:$B$18,2,FALSE)*[1]Energiindhold!$C$10,0)*J9*IFERROR(VLOOKUP(A9,Biogasanlæg!$F$3:$G$8,2,FALSE),1)+IFERROR(VLOOKUP(A9,[1]Energiindhold!$A$2:$C$11,3,FALSE),0)*L9+IF(D9&lt;&gt;År1,Q9,0),0)</f>
        <v>#REF!</v>
      </c>
      <c r="S9" s="192" t="e">
        <f>IFERROR(VLOOKUP(A9,[1]Biogasudbytte!$A$2:$B$18,2,FALSE)*[1]Energiindhold!$C$10,0)*J9*IFERROR(VLOOKUP(A9,Biogasanlæg!$F$3:$G$8,2,FALSE),1)</f>
        <v>#REF!</v>
      </c>
      <c r="T9" s="193" t="e">
        <f t="shared" si="6"/>
        <v>#REF!</v>
      </c>
      <c r="U9" s="191" t="e">
        <f>O9*IFERROR(VLOOKUP(A9,[1]Tørstofindhold!A$2:B$24,2,FALSE),0)</f>
        <v>#REF!</v>
      </c>
      <c r="V9" s="192" t="e">
        <f>IF(D9=År1,P9,SUM(O9,P9))*IFERROR(VLOOKUP(A9,[1]Tørstofindhold!A$2:B$24,2,FALSE),0)</f>
        <v>#REF!</v>
      </c>
      <c r="W9" s="192" t="e">
        <f>J9*IFERROR(VLOOKUP(A9,[1]Tørstofindhold!A$2:B$24,2,FALSE),0)</f>
        <v>#REF!</v>
      </c>
      <c r="X9" s="193" t="e">
        <f t="shared" si="7"/>
        <v>#REF!</v>
      </c>
      <c r="Y9" s="171" t="e">
        <f t="shared" si="2"/>
        <v>#REF!</v>
      </c>
      <c r="Z9" s="103" t="e">
        <f t="shared" si="3"/>
        <v>#REF!</v>
      </c>
    </row>
    <row r="10" spans="1:26" x14ac:dyDescent="0.25">
      <c r="A10" s="192" t="s">
        <v>206</v>
      </c>
      <c r="B10" s="194"/>
      <c r="C10" s="194">
        <f>IF(COUNTIFS('Resultater - Danmark'!$D$3:$D$482,'Resultat-Produktion &amp; forbrug'!A10,'Resultater - Danmark'!$A$3:$A$482,"Til energi")+COUNTIFS('Resultater - Danmark'!$D$3:$D$482,'Resultat-Produktion &amp; forbrug'!A10,'Resultater - Danmark'!$A$3:$A$482,"Biogasanlæg")&gt;0,1,0)</f>
        <v>0</v>
      </c>
      <c r="D10" s="194">
        <f t="shared" si="0"/>
        <v>2019</v>
      </c>
      <c r="E10" s="192" t="s">
        <v>23</v>
      </c>
      <c r="F10" s="195">
        <f>IF(E10="Vestdanmark",SUMIFS(IF(D10=År1,'Resultater - Vestdanmark'!H$3:H$482,IF(D10=År2,'Resultater - Vestdanmark'!I$3:I$482,'Resultater - Vestdanmark'!J$3:J$482)),'Resultater - Vestdanmark'!$F$3:$F$482,$A10,IF(D10=År1,'Resultater - Vestdanmark'!H$3:H$482,IF(D10=År2,'Resultater - Vestdanmark'!I$3:I$482,'Resultater - Vestdanmark'!J$3:J$482)),"&gt;0"),SUMIFS(IF(D10=År1,'Resultater - Østdanmark'!H$3:H$482,IF(D10=År2,'Resultater - Østdanmark'!I$3:I$482,'Resultater - Østdanmark'!J$3:J$482)),'Resultater - Østdanmark'!$F$3:$F$482,$A10,IF(D10=År1,'Resultater - Østdanmark'!H$3:H$482,IF(D10=År2,'Resultater - Østdanmark'!I$3:I$482,'Resultater - Østdanmark'!J$3:J$482)),"&gt;0"))</f>
        <v>0</v>
      </c>
      <c r="G10" s="195" t="e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#REF!</v>
      </c>
      <c r="H10" s="192">
        <f>IF(E10="Vestdanmark",-IF(A10="Halm",SUMIFS(IF(D10=År1,'Resultater - Vestdanmark'!H$3:H$482,IF(D10=År2,'Resultater - Vestdanmark'!I$3:I$482,'Resultater - Vestdanmark'!J$3:J$482)),'Resultater - Vestdanmark'!$F$3:$F$482,$A10,'Resultater - Vestdanmark'!H$3:H$482,"&lt;0"),0),-IF(A10="Halm",SUMIFS(IF(D10=År1,'Resultater - Østdanmark'!H$3:H$482,IF(D10=År2,'Resultater - Østdanmark'!I$3:I$482,'Resultater - Østdanmark'!J$3:J$482)),'Resultater - Østdanmark'!$F$3:$F$482,$A10,'Resultater - Østdanmark'!H$3:H$482,"&lt;0"),0))</f>
        <v>0</v>
      </c>
      <c r="I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5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7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4" t="e">
        <f t="shared" si="4"/>
        <v>#REF!</v>
      </c>
      <c r="O10" s="195">
        <f t="shared" si="1"/>
        <v>0</v>
      </c>
      <c r="P10" s="205">
        <f t="shared" si="5"/>
        <v>0</v>
      </c>
      <c r="Q10" s="192">
        <f>IFERROR(VLOOKUP(A10,[1]Energiindhold!$A$2:$C$11,3,FALSE),IFERROR(VLOOKUP(A10,[1]Biogasudbytte!$A$2:$B$18,2,FALSE)*[1]Energiindhold!$C$10,0))*O10</f>
        <v>0</v>
      </c>
      <c r="R10" s="192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92">
        <f>IFERROR(VLOOKUP(A10,[1]Biogasudbytte!$A$2:$B$18,2,FALSE)*[1]Energiindhold!$C$10,0)*J10*IFERROR(VLOOKUP(A10,Biogasanlæg!$F$3:$G$8,2,FALSE),1)</f>
        <v>0</v>
      </c>
      <c r="T10" s="193">
        <f t="shared" si="6"/>
        <v>0</v>
      </c>
      <c r="U10" s="191">
        <f>O10*IFERROR(VLOOKUP(A10,[1]Tørstofindhold!A$2:B$24,2,FALSE),0)</f>
        <v>0</v>
      </c>
      <c r="V10" s="192">
        <f>IF(D10=År1,P10,SUM(O10,P10))*IFERROR(VLOOKUP(A10,[1]Tørstofindhold!A$2:B$24,2,FALSE),0)</f>
        <v>0</v>
      </c>
      <c r="W10" s="192">
        <f>J10*IFERROR(VLOOKUP(A10,[1]Tørstofindhold!A$2:B$24,2,FALSE),0)</f>
        <v>0</v>
      </c>
      <c r="X10" s="193">
        <f t="shared" si="7"/>
        <v>0</v>
      </c>
      <c r="Y10" s="171" t="e">
        <f t="shared" si="2"/>
        <v>#REF!</v>
      </c>
      <c r="Z10" s="103" t="e">
        <f t="shared" si="3"/>
        <v>#REF!</v>
      </c>
    </row>
    <row r="11" spans="1:26" x14ac:dyDescent="0.25">
      <c r="A11" s="192" t="s">
        <v>138</v>
      </c>
      <c r="B11" s="194" t="s">
        <v>224</v>
      </c>
      <c r="C11" s="194">
        <f>IF(COUNTIFS('Resultater - Danmark'!$D$3:$D$482,'Resultat-Produktion &amp; forbrug'!A11,'Resultater - Danmark'!$A$3:$A$482,"Til energi")+COUNTIFS('Resultater - Danmark'!$D$3:$D$482,'Resultat-Produktion &amp; forbrug'!A11,'Resultater - Danmark'!$A$3:$A$482,"Biogasanlæg")&gt;0,1,0)</f>
        <v>1</v>
      </c>
      <c r="D11" s="194">
        <f t="shared" si="0"/>
        <v>2019</v>
      </c>
      <c r="E11" s="192" t="s">
        <v>23</v>
      </c>
      <c r="F11" s="195">
        <f>IF(E11="Vestdanmark",SUMIFS(IF(D11=År1,'Resultater - Vestdanmark'!H$3:H$482,IF(D11=År2,'Resultater - Vestdanmark'!I$3:I$482,'Resultater - Vestdanmark'!J$3:J$482)),'Resultater - Vestdanmark'!$F$3:$F$482,$A11,IF(D11=År1,'Resultater - Vestdanmark'!H$3:H$482,IF(D11=År2,'Resultater - Vestdanmark'!I$3:I$482,'Resultater - Vestdanmark'!J$3:J$482)),"&gt;0"),SUMIFS(IF(D11=År1,'Resultater - Østdanmark'!H$3:H$482,IF(D11=År2,'Resultater - Østdanmark'!I$3:I$482,'Resultater - Østdanmark'!J$3:J$482)),'Resultater - Østdanmark'!$F$3:$F$482,$A11,IF(D11=År1,'Resultater - Østdanmark'!H$3:H$482,IF(D11=År2,'Resultater - Østdanmark'!I$3:I$482,'Resultater - Østdanmark'!J$3:J$482)),"&gt;0"))</f>
        <v>0</v>
      </c>
      <c r="G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92">
        <f>IF(E11="Vestdanmark",-IF(A11="Halm",SUMIFS(IF(D11=År1,'Resultater - Vestdanmark'!H$3:H$482,IF(D11=År2,'Resultater - Vestdanmark'!I$3:I$482,'Resultater - Vestdanmark'!J$3:J$482)),'Resultater - Vestdanmark'!$F$3:$F$482,$A11,'Resultater - Vestdanmark'!H$3:H$482,"&lt;0"),0),-IF(A11="Halm",SUMIFS(IF(D11=År1,'Resultater - Østdanmark'!H$3:H$482,IF(D11=År2,'Resultater - Østdanmark'!I$3:I$482,'Resultater - Østdanmark'!J$3:J$482)),'Resultater - Østdanmark'!$F$3:$F$482,$A11,'Resultater - Østdanmark'!H$3:H$482,"&lt;0"),0))</f>
        <v>0</v>
      </c>
      <c r="I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5" t="e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#REF!</v>
      </c>
      <c r="K11" s="195" t="e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#REF!</v>
      </c>
      <c r="L11" s="195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7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4" t="e">
        <f t="shared" si="4"/>
        <v>#REF!</v>
      </c>
      <c r="O11" s="195" t="e">
        <f t="shared" si="1"/>
        <v>#REF!</v>
      </c>
      <c r="P11" s="205" t="e">
        <f t="shared" si="5"/>
        <v>#REF!</v>
      </c>
      <c r="Q11" s="192" t="e">
        <f>IFERROR(VLOOKUP(A11,[1]Energiindhold!$A$2:$C$11,3,FALSE),IFERROR(VLOOKUP(A11,[1]Biogasudbytte!$A$2:$B$18,2,FALSE)*[1]Energiindhold!$C$10,0))*O11</f>
        <v>#REF!</v>
      </c>
      <c r="R11" s="192" t="e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#REF!</v>
      </c>
      <c r="S11" s="192" t="e">
        <f>IFERROR(VLOOKUP(A11,[1]Biogasudbytte!$A$2:$B$18,2,FALSE)*[1]Energiindhold!$C$10,0)*J11*IFERROR(VLOOKUP(A11,Biogasanlæg!$F$3:$G$8,2,FALSE),1)</f>
        <v>#REF!</v>
      </c>
      <c r="T11" s="193" t="e">
        <f t="shared" si="6"/>
        <v>#REF!</v>
      </c>
      <c r="U11" s="191" t="e">
        <f>O11*IFERROR(VLOOKUP(A11,[1]Tørstofindhold!A$2:B$24,2,FALSE),0)</f>
        <v>#REF!</v>
      </c>
      <c r="V11" s="192" t="e">
        <f>IF(D11=År1,P11,SUM(O11,P11))*IFERROR(VLOOKUP(A11,[1]Tørstofindhold!A$2:B$24,2,FALSE),0)</f>
        <v>#REF!</v>
      </c>
      <c r="W11" s="192" t="e">
        <f>J11*IFERROR(VLOOKUP(A11,[1]Tørstofindhold!A$2:B$24,2,FALSE),0)</f>
        <v>#REF!</v>
      </c>
      <c r="X11" s="193" t="e">
        <f t="shared" si="7"/>
        <v>#REF!</v>
      </c>
      <c r="Y11" s="171" t="e">
        <f t="shared" si="2"/>
        <v>#REF!</v>
      </c>
      <c r="Z11" s="103" t="e">
        <f t="shared" si="3"/>
        <v>#REF!</v>
      </c>
    </row>
    <row r="12" spans="1:26" x14ac:dyDescent="0.25">
      <c r="A12" s="192" t="s">
        <v>97</v>
      </c>
      <c r="B12" s="194"/>
      <c r="C12" s="194">
        <f>IF(COUNTIFS('Resultater - Danmark'!$D$3:$D$482,'Resultat-Produktion &amp; forbrug'!A12,'Resultater - Danmark'!$A$3:$A$482,"Til energi")+COUNTIFS('Resultater - Danmark'!$D$3:$D$482,'Resultat-Produktion &amp; forbrug'!A12,'Resultater - Danmark'!$A$3:$A$482,"Biogasanlæg")&gt;0,1,0)</f>
        <v>0</v>
      </c>
      <c r="D12" s="194">
        <f t="shared" si="0"/>
        <v>2019</v>
      </c>
      <c r="E12" s="192" t="s">
        <v>23</v>
      </c>
      <c r="F12" s="195">
        <f>IF(E12="Vestdanmark",SUMIFS(IF(D12=År1,'Resultater - Vestdanmark'!H$3:H$482,IF(D12=År2,'Resultater - Vestdanmark'!I$3:I$482,'Resultater - Vestdanmark'!J$3:J$482)),'Resultater - Vestdanmark'!$F$3:$F$482,$A12,IF(D12=År1,'Resultater - Vestdanmark'!H$3:H$482,IF(D12=År2,'Resultater - Vestdanmark'!I$3:I$482,'Resultater - Vestdanmark'!J$3:J$482)),"&gt;0"),SUMIFS(IF(D12=År1,'Resultater - Østdanmark'!H$3:H$482,IF(D12=År2,'Resultater - Østdanmark'!I$3:I$482,'Resultater - Østdanmark'!J$3:J$482)),'Resultater - Østdanmark'!$F$3:$F$482,$A12,IF(D12=År1,'Resultater - Østdanmark'!H$3:H$482,IF(D12=År2,'Resultater - Østdanmark'!I$3:I$482,'Resultater - Østdanmark'!J$3:J$482)),"&gt;0"))</f>
        <v>0</v>
      </c>
      <c r="G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92">
        <f>IF(E12="Vestdanmark",-IF(A12="Halm",SUMIFS(IF(D12=År1,'Resultater - Vestdanmark'!H$3:H$482,IF(D12=År2,'Resultater - Vestdanmark'!I$3:I$482,'Resultater - Vestdanmark'!J$3:J$482)),'Resultater - Vestdanmark'!$F$3:$F$482,$A12,'Resultater - Vestdanmark'!H$3:H$482,"&lt;0"),0),-IF(A12="Halm",SUMIFS(IF(D12=År1,'Resultater - Østdanmark'!H$3:H$482,IF(D12=År2,'Resultater - Østdanmark'!I$3:I$482,'Resultater - Østdanmark'!J$3:J$482)),'Resultater - Østdanmark'!$F$3:$F$482,$A12,'Resultater - Østdanmark'!H$3:H$482,"&lt;0"),0))</f>
        <v>0</v>
      </c>
      <c r="I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5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7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4">
        <f t="shared" si="4"/>
        <v>-34149.438191562753</v>
      </c>
      <c r="O12" s="195">
        <f t="shared" si="1"/>
        <v>0</v>
      </c>
      <c r="P12" s="205">
        <f t="shared" si="5"/>
        <v>0</v>
      </c>
      <c r="Q12" s="192">
        <f>IFERROR(VLOOKUP(A12,[1]Energiindhold!$A$2:$C$11,3,FALSE),IFERROR(VLOOKUP(A12,[1]Biogasudbytte!$A$2:$B$18,2,FALSE)*[1]Energiindhold!$C$10,0))*O12</f>
        <v>0</v>
      </c>
      <c r="R12" s="192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92">
        <f>IFERROR(VLOOKUP(A12,[1]Biogasudbytte!$A$2:$B$18,2,FALSE)*[1]Energiindhold!$C$10,0)*J12*IFERROR(VLOOKUP(A12,Biogasanlæg!$F$3:$G$8,2,FALSE),1)</f>
        <v>0</v>
      </c>
      <c r="T12" s="193">
        <f t="shared" si="6"/>
        <v>0</v>
      </c>
      <c r="U12" s="191">
        <f>O12*IFERROR(VLOOKUP(A12,[1]Tørstofindhold!A$2:B$24,2,FALSE),0)</f>
        <v>0</v>
      </c>
      <c r="V12" s="192">
        <f>IF(D12=År1,P12,SUM(O12,P12))*IFERROR(VLOOKUP(A12,[1]Tørstofindhold!A$2:B$24,2,FALSE),0)</f>
        <v>0</v>
      </c>
      <c r="W12" s="192">
        <f>J12*IFERROR(VLOOKUP(A12,[1]Tørstofindhold!A$2:B$24,2,FALSE),0)</f>
        <v>0</v>
      </c>
      <c r="X12" s="193">
        <f t="shared" si="7"/>
        <v>0</v>
      </c>
      <c r="Y12" s="171">
        <f t="shared" si="2"/>
        <v>1</v>
      </c>
      <c r="Z12" s="103">
        <f t="shared" si="3"/>
        <v>0</v>
      </c>
    </row>
    <row r="13" spans="1:26" x14ac:dyDescent="0.25">
      <c r="A13" s="192" t="s">
        <v>114</v>
      </c>
      <c r="B13" s="194"/>
      <c r="C13" s="194">
        <f>IF(COUNTIFS('Resultater - Danmark'!$D$3:$D$482,'Resultat-Produktion &amp; forbrug'!A13,'Resultater - Danmark'!$A$3:$A$482,"Til energi")+COUNTIFS('Resultater - Danmark'!$D$3:$D$482,'Resultat-Produktion &amp; forbrug'!A13,'Resultater - Danmark'!$A$3:$A$482,"Biogasanlæg")&gt;0,1,0)</f>
        <v>0</v>
      </c>
      <c r="D13" s="194">
        <f t="shared" si="0"/>
        <v>2019</v>
      </c>
      <c r="E13" s="192" t="s">
        <v>23</v>
      </c>
      <c r="F13" s="195">
        <f>IF(E13="Vestdanmark",SUMIFS(IF(D13=År1,'Resultater - Vestdanmark'!H$3:H$482,IF(D13=År2,'Resultater - Vestdanmark'!I$3:I$482,'Resultater - Vestdanmark'!J$3:J$482)),'Resultater - Vestdanmark'!$F$3:$F$482,$A13,IF(D13=År1,'Resultater - Vestdanmark'!H$3:H$482,IF(D13=År2,'Resultater - Vestdanmark'!I$3:I$482,'Resultater - Vestdanmark'!J$3:J$482)),"&gt;0"),SUMIFS(IF(D13=År1,'Resultater - Østdanmark'!H$3:H$482,IF(D13=År2,'Resultater - Østdanmark'!I$3:I$482,'Resultater - Østdanmark'!J$3:J$482)),'Resultater - Østdanmark'!$F$3:$F$482,$A13,IF(D13=År1,'Resultater - Østdanmark'!H$3:H$482,IF(D13=År2,'Resultater - Østdanmark'!I$3:I$482,'Resultater - Østdanmark'!J$3:J$482)),"&gt;0"))</f>
        <v>0</v>
      </c>
      <c r="G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92">
        <f>IF(E13="Vestdanmark",-IF(A13="Halm",SUMIFS(IF(D13=År1,'Resultater - Vestdanmark'!H$3:H$482,IF(D13=År2,'Resultater - Vestdanmark'!I$3:I$482,'Resultater - Vestdanmark'!J$3:J$482)),'Resultater - Vestdanmark'!$F$3:$F$482,$A13,'Resultater - Vestdanmark'!H$3:H$482,"&lt;0"),0),-IF(A13="Halm",SUMIFS(IF(D13=År1,'Resultater - Østdanmark'!H$3:H$482,IF(D13=År2,'Resultater - Østdanmark'!I$3:I$482,'Resultater - Østdanmark'!J$3:J$482)),'Resultater - Østdanmark'!$F$3:$F$482,$A13,'Resultater - Østdanmark'!H$3:H$482,"&lt;0"),0))</f>
        <v>0</v>
      </c>
      <c r="I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5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7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4">
        <f t="shared" si="4"/>
        <v>0</v>
      </c>
      <c r="O13" s="195">
        <f t="shared" si="1"/>
        <v>0</v>
      </c>
      <c r="P13" s="205">
        <f t="shared" si="5"/>
        <v>0</v>
      </c>
      <c r="Q13" s="192">
        <f>IFERROR(VLOOKUP(A13,[1]Energiindhold!$A$2:$C$11,3,FALSE),IFERROR(VLOOKUP(A13,[1]Biogasudbytte!$A$2:$B$18,2,FALSE)*[1]Energiindhold!$C$10,0))*O13</f>
        <v>0</v>
      </c>
      <c r="R13" s="192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92">
        <f>IFERROR(VLOOKUP(A13,[1]Biogasudbytte!$A$2:$B$18,2,FALSE)*[1]Energiindhold!$C$10,0)*J13*IFERROR(VLOOKUP(A13,Biogasanlæg!$F$3:$G$8,2,FALSE),1)</f>
        <v>0</v>
      </c>
      <c r="T13" s="193">
        <f t="shared" si="6"/>
        <v>0</v>
      </c>
      <c r="U13" s="191">
        <f>O13*IFERROR(VLOOKUP(A13,[1]Tørstofindhold!A$2:B$24,2,FALSE),0)</f>
        <v>0</v>
      </c>
      <c r="V13" s="192">
        <f>IF(D13=År1,P13,SUM(O13,P13))*IFERROR(VLOOKUP(A13,[1]Tørstofindhold!A$2:B$24,2,FALSE),0)</f>
        <v>0</v>
      </c>
      <c r="W13" s="192">
        <f>J13*IFERROR(VLOOKUP(A13,[1]Tørstofindhold!A$2:B$24,2,FALSE),0)</f>
        <v>0</v>
      </c>
      <c r="X13" s="193">
        <f t="shared" si="7"/>
        <v>0</v>
      </c>
      <c r="Y13" s="171">
        <f t="shared" si="2"/>
        <v>0</v>
      </c>
      <c r="Z13" s="103">
        <f t="shared" si="3"/>
        <v>0</v>
      </c>
    </row>
    <row r="14" spans="1:26" x14ac:dyDescent="0.25">
      <c r="A14" s="192" t="s">
        <v>54</v>
      </c>
      <c r="B14" s="194"/>
      <c r="C14" s="194">
        <f>IF(COUNTIFS('Resultater - Danmark'!$D$3:$D$482,'Resultat-Produktion &amp; forbrug'!A14,'Resultater - Danmark'!$A$3:$A$482,"Til energi")+COUNTIFS('Resultater - Danmark'!$D$3:$D$482,'Resultat-Produktion &amp; forbrug'!A14,'Resultater - Danmark'!$A$3:$A$482,"Biogasanlæg")&gt;0,1,0)</f>
        <v>0</v>
      </c>
      <c r="D14" s="194">
        <f t="shared" si="0"/>
        <v>2019</v>
      </c>
      <c r="E14" s="192" t="s">
        <v>23</v>
      </c>
      <c r="F14" s="195">
        <f>IF(E14="Vestdanmark",SUMIFS(IF(D14=År1,'Resultater - Vestdanmark'!H$3:H$482,IF(D14=År2,'Resultater - Vestdanmark'!I$3:I$482,'Resultater - Vestdanmark'!J$3:J$482)),'Resultater - Vestdanmark'!$F$3:$F$482,$A14,IF(D14=År1,'Resultater - Vestdanmark'!H$3:H$482,IF(D14=År2,'Resultater - Vestdanmark'!I$3:I$482,'Resultater - Vestdanmark'!J$3:J$482)),"&gt;0"),SUMIFS(IF(D14=År1,'Resultater - Østdanmark'!H$3:H$482,IF(D14=År2,'Resultater - Østdanmark'!I$3:I$482,'Resultater - Østdanmark'!J$3:J$482)),'Resultater - Østdanmark'!$F$3:$F$482,$A14,IF(D14=År1,'Resultater - Østdanmark'!H$3:H$482,IF(D14=År2,'Resultater - Østdanmark'!I$3:I$482,'Resultater - Østdanmark'!J$3:J$482)),"&gt;0"))</f>
        <v>0</v>
      </c>
      <c r="G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92">
        <f>IF(E14="Vestdanmark",-IF(A14="Halm",SUMIFS(IF(D14=År1,'Resultater - Vestdanmark'!H$3:H$482,IF(D14=År2,'Resultater - Vestdanmark'!I$3:I$482,'Resultater - Vestdanmark'!J$3:J$482)),'Resultater - Vestdanmark'!$F$3:$F$482,$A14,'Resultater - Vestdanmark'!H$3:H$482,"&lt;0"),0),-IF(A14="Halm",SUMIFS(IF(D14=År1,'Resultater - Østdanmark'!H$3:H$482,IF(D14=År2,'Resultater - Østdanmark'!I$3:I$482,'Resultater - Østdanmark'!J$3:J$482)),'Resultater - Østdanmark'!$F$3:$F$482,$A14,'Resultater - Østdanmark'!H$3:H$482,"&lt;0"),0))</f>
        <v>0</v>
      </c>
      <c r="I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5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7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4">
        <f t="shared" si="4"/>
        <v>-249553.58678449702</v>
      </c>
      <c r="O14" s="195">
        <f t="shared" si="1"/>
        <v>0</v>
      </c>
      <c r="P14" s="205">
        <f t="shared" si="5"/>
        <v>0</v>
      </c>
      <c r="Q14" s="192">
        <f>IFERROR(VLOOKUP(A14,[1]Energiindhold!$A$2:$C$11,3,FALSE),IFERROR(VLOOKUP(A14,[1]Biogasudbytte!$A$2:$B$18,2,FALSE)*[1]Energiindhold!$C$10,0))*O14</f>
        <v>0</v>
      </c>
      <c r="R14" s="192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92">
        <f>IFERROR(VLOOKUP(A14,[1]Biogasudbytte!$A$2:$B$18,2,FALSE)*[1]Energiindhold!$C$10,0)*J14*IFERROR(VLOOKUP(A14,Biogasanlæg!$F$3:$G$8,2,FALSE),1)</f>
        <v>0</v>
      </c>
      <c r="T14" s="193">
        <f t="shared" si="6"/>
        <v>0</v>
      </c>
      <c r="U14" s="191">
        <f>O14*IFERROR(VLOOKUP(A14,[1]Tørstofindhold!A$2:B$24,2,FALSE),0)</f>
        <v>0</v>
      </c>
      <c r="V14" s="192">
        <f>IF(D14=År1,P14,SUM(O14,P14))*IFERROR(VLOOKUP(A14,[1]Tørstofindhold!A$2:B$24,2,FALSE),0)</f>
        <v>0</v>
      </c>
      <c r="W14" s="192">
        <f>J14*IFERROR(VLOOKUP(A14,[1]Tørstofindhold!A$2:B$24,2,FALSE),0)</f>
        <v>0</v>
      </c>
      <c r="X14" s="193">
        <f t="shared" si="7"/>
        <v>0</v>
      </c>
      <c r="Y14" s="171">
        <f t="shared" si="2"/>
        <v>1</v>
      </c>
      <c r="Z14" s="103">
        <f t="shared" si="3"/>
        <v>0</v>
      </c>
    </row>
    <row r="15" spans="1:26" x14ac:dyDescent="0.25">
      <c r="A15" s="194" t="s">
        <v>159</v>
      </c>
      <c r="B15" s="194" t="s">
        <v>159</v>
      </c>
      <c r="C15" s="194">
        <f>IF(COUNTIFS('Resultater - Danmark'!$D$3:$D$482,'Resultat-Produktion &amp; forbrug'!A15,'Resultater - Danmark'!$A$3:$A$482,"Til energi")+COUNTIFS('Resultater - Danmark'!$D$3:$D$482,'Resultat-Produktion &amp; forbrug'!A15,'Resultater - Danmark'!$A$3:$A$482,"Biogasanlæg")&gt;0,1,0)</f>
        <v>1</v>
      </c>
      <c r="D15" s="194">
        <f t="shared" si="0"/>
        <v>2019</v>
      </c>
      <c r="E15" s="192" t="s">
        <v>23</v>
      </c>
      <c r="F15" s="195">
        <f>IF(E15="Vestdanmark",SUMIFS(IF(D15=År1,'Resultater - Vestdanmark'!H$3:H$482,IF(D15=År2,'Resultater - Vestdanmark'!I$3:I$482,'Resultater - Vestdanmark'!J$3:J$482)),'Resultater - Vestdanmark'!$F$3:$F$482,$A15,IF(D15=År1,'Resultater - Vestdanmark'!H$3:H$482,IF(D15=År2,'Resultater - Vestdanmark'!I$3:I$482,'Resultater - Vestdanmark'!J$3:J$482)),"&gt;0"),SUMIFS(IF(D15=År1,'Resultater - Østdanmark'!H$3:H$482,IF(D15=År2,'Resultater - Østdanmark'!I$3:I$482,'Resultater - Østdanmark'!J$3:J$482)),'Resultater - Østdanmark'!$F$3:$F$482,$A15,IF(D15=År1,'Resultater - Østdanmark'!H$3:H$482,IF(D15=År2,'Resultater - Østdanmark'!I$3:I$482,'Resultater - Østdanmark'!J$3:J$482)),"&gt;0"))</f>
        <v>0</v>
      </c>
      <c r="G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92">
        <f>IF(E15="Vestdanmark",-IF(A15="Halm",SUMIFS(IF(D15=År1,'Resultater - Vestdanmark'!H$3:H$482,IF(D15=År2,'Resultater - Vestdanmark'!I$3:I$482,'Resultater - Vestdanmark'!J$3:J$482)),'Resultater - Vestdanmark'!$F$3:$F$482,$A15,'Resultater - Vestdanmark'!H$3:H$482,"&lt;0"),0),-IF(A15="Halm",SUMIFS(IF(D15=År1,'Resultater - Østdanmark'!H$3:H$482,IF(D15=År2,'Resultater - Østdanmark'!I$3:I$482,'Resultater - Østdanmark'!J$3:J$482)),'Resultater - Østdanmark'!$F$3:$F$482,$A15,'Resultater - Østdanmark'!H$3:H$482,"&lt;0"),0))</f>
        <v>0</v>
      </c>
      <c r="I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5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7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4">
        <f t="shared" si="4"/>
        <v>-114193.60000000001</v>
      </c>
      <c r="O15" s="195">
        <f t="shared" si="1"/>
        <v>0</v>
      </c>
      <c r="P15" s="205">
        <f t="shared" si="5"/>
        <v>114193.60000000001</v>
      </c>
      <c r="Q15" s="192">
        <f>IFERROR(VLOOKUP(A15,[1]Energiindhold!$A$2:$C$11,3,FALSE),IFERROR(VLOOKUP(A15,[1]Biogasudbytte!$A$2:$B$18,2,FALSE)*[1]Energiindhold!$C$10,0))*O15</f>
        <v>0</v>
      </c>
      <c r="R15" s="192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92">
        <f>IFERROR(VLOOKUP(A15,[1]Biogasudbytte!$A$2:$B$18,2,FALSE)*[1]Energiindhold!$C$10,0)*J15*IFERROR(VLOOKUP(A15,Biogasanlæg!$F$3:$G$8,2,FALSE),1)</f>
        <v>1.7355855896064003</v>
      </c>
      <c r="T15" s="193">
        <f t="shared" si="6"/>
        <v>0</v>
      </c>
      <c r="U15" s="191">
        <f>O15*IFERROR(VLOOKUP(A15,[1]Tørstofindhold!A$2:B$24,2,FALSE),0)</f>
        <v>0</v>
      </c>
      <c r="V15" s="192">
        <f>IF(D15=År1,P15,SUM(O15,P15))*IFERROR(VLOOKUP(A15,[1]Tørstofindhold!A$2:B$24,2,FALSE),0)</f>
        <v>102774.24</v>
      </c>
      <c r="W15" s="192">
        <f>J15*IFERROR(VLOOKUP(A15,[1]Tørstofindhold!A$2:B$24,2,FALSE),0)</f>
        <v>102774.24</v>
      </c>
      <c r="X15" s="193">
        <f t="shared" si="7"/>
        <v>0</v>
      </c>
      <c r="Y15" s="171">
        <f t="shared" si="2"/>
        <v>1</v>
      </c>
      <c r="Z15" s="103">
        <f t="shared" si="3"/>
        <v>0</v>
      </c>
    </row>
    <row r="16" spans="1:26" x14ac:dyDescent="0.25">
      <c r="A16" s="194" t="s">
        <v>51</v>
      </c>
      <c r="B16" s="194" t="s">
        <v>226</v>
      </c>
      <c r="C16" s="194">
        <f>IF(COUNTIFS('Resultater - Danmark'!$D$3:$D$482,'Resultat-Produktion &amp; forbrug'!A16,'Resultater - Danmark'!$A$3:$A$482,"Til energi")+COUNTIFS('Resultater - Danmark'!$D$3:$D$482,'Resultat-Produktion &amp; forbrug'!A16,'Resultater - Danmark'!$A$3:$A$482,"Biogasanlæg")&gt;0,1,0)</f>
        <v>1</v>
      </c>
      <c r="D16" s="194">
        <f t="shared" ref="D16:D50" si="8">År1</f>
        <v>2019</v>
      </c>
      <c r="E16" s="192" t="s">
        <v>23</v>
      </c>
      <c r="F16" s="195">
        <f>IF(E16="Vestdanmark",SUMIFS(IF(D16=År1,'Resultater - Vestdanmark'!H$3:H$482,IF(D16=År2,'Resultater - Vestdanmark'!I$3:I$482,'Resultater - Vestdanmark'!J$3:J$482)),'Resultater - Vestdanmark'!$F$3:$F$482,$A16,IF(D16=År1,'Resultater - Vestdanmark'!H$3:H$482,IF(D16=År2,'Resultater - Vestdanmark'!I$3:I$482,'Resultater - Vestdanmark'!J$3:J$482)),"&gt;0"),SUMIFS(IF(D16=År1,'Resultater - Østdanmark'!H$3:H$482,IF(D16=År2,'Resultater - Østdanmark'!I$3:I$482,'Resultater - Østdanmark'!J$3:J$482)),'Resultater - Østdanmark'!$F$3:$F$482,$A16,IF(D16=År1,'Resultater - Østdanmark'!H$3:H$482,IF(D16=År2,'Resultater - Østdanmark'!I$3:I$482,'Resultater - Østdanmark'!J$3:J$482)),"&gt;0"))</f>
        <v>0</v>
      </c>
      <c r="G16" s="195" t="e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#REF!</v>
      </c>
      <c r="H16" s="192">
        <f>IF(E16="Vestdanmark",-IF(A16="Halm",SUMIFS(IF(D16=År1,'Resultater - Vestdanmark'!H$3:H$482,IF(D16=År2,'Resultater - Vestdanmark'!I$3:I$482,'Resultater - Vestdanmark'!J$3:J$482)),'Resultater - Vestdanmark'!$F$3:$F$482,$A16,'Resultater - Vestdanmark'!H$3:H$482,"&lt;0"),0),-IF(A16="Halm",SUMIFS(IF(D16=År1,'Resultater - Østdanmark'!H$3:H$482,IF(D16=År2,'Resultater - Østdanmark'!I$3:I$482,'Resultater - Østdanmark'!J$3:J$482)),'Resultater - Østdanmark'!$F$3:$F$482,$A16,'Resultater - Østdanmark'!H$3:H$482,"&lt;0"),0))</f>
        <v>0</v>
      </c>
      <c r="I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5" t="e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#REF!</v>
      </c>
      <c r="K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5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7" t="e">
        <f>SUMIFS('Forbrug af biomasse'!E:E,'Forbrug af biomasse'!C:C,'Resultat-Produktion &amp; forbrug'!$A16,'Forbrug af biomasse'!D:D,'Resultat-Produktion &amp; forbrug'!$D16,'Forbrug af biomasse'!G:G,1,'Forbrug af biomasse'!B:B,$E16)</f>
        <v>#REF!</v>
      </c>
      <c r="N16" s="204" t="e">
        <f t="shared" ref="N16:N81" si="9">F16-SUM(G16:M16)</f>
        <v>#REF!</v>
      </c>
      <c r="O16" s="195" t="e">
        <f t="shared" si="1"/>
        <v>#REF!</v>
      </c>
      <c r="P16" s="205" t="e">
        <f t="shared" ref="P16:P81" si="10">SUM(J16,L16)</f>
        <v>#REF!</v>
      </c>
      <c r="Q16" s="192" t="e">
        <f>IFERROR(VLOOKUP(A16,[1]Energiindhold!$A$2:$C$11,3,FALSE),IFERROR(VLOOKUP(A16,[1]Biogasudbytte!$A$2:$B$18,2,FALSE)*[1]Energiindhold!$C$10,0))*O16</f>
        <v>#REF!</v>
      </c>
      <c r="R16" s="192" t="e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#REF!</v>
      </c>
      <c r="S16" s="192" t="e">
        <f>IFERROR(VLOOKUP(A16,[1]Biogasudbytte!$A$2:$B$18,2,FALSE)*[1]Energiindhold!$C$10,0)*J16*IFERROR(VLOOKUP(A16,Biogasanlæg!$F$3:$G$8,2,FALSE),1)</f>
        <v>#REF!</v>
      </c>
      <c r="T16" s="193" t="e">
        <f t="shared" ref="T16:T81" si="11">R16-S16</f>
        <v>#REF!</v>
      </c>
      <c r="U16" s="191" t="e">
        <f>O16*IFERROR(VLOOKUP(A16,[1]Tørstofindhold!A$2:B$24,2,FALSE),0)</f>
        <v>#REF!</v>
      </c>
      <c r="V16" s="192" t="e">
        <f>IF(D16=År1,P16,SUM(O16,P16))*IFERROR(VLOOKUP(A16,[1]Tørstofindhold!A$2:B$24,2,FALSE),0)</f>
        <v>#REF!</v>
      </c>
      <c r="W16" s="192" t="e">
        <f>J16*IFERROR(VLOOKUP(A16,[1]Tørstofindhold!A$2:B$24,2,FALSE),0)</f>
        <v>#REF!</v>
      </c>
      <c r="X16" s="193" t="e">
        <f t="shared" ref="X16:X81" si="12">V16-W16</f>
        <v>#REF!</v>
      </c>
      <c r="Y16" s="171" t="e">
        <f t="shared" si="2"/>
        <v>#REF!</v>
      </c>
      <c r="Z16" s="103" t="e">
        <f t="shared" si="3"/>
        <v>#REF!</v>
      </c>
    </row>
    <row r="17" spans="1:26" x14ac:dyDescent="0.25">
      <c r="A17" s="194" t="s">
        <v>205</v>
      </c>
      <c r="B17" s="194"/>
      <c r="C17" s="194">
        <f>IF(COUNTIFS('Resultater - Danmark'!$D$3:$D$482,'Resultat-Produktion &amp; forbrug'!A17,'Resultater - Danmark'!$A$3:$A$482,"Til energi")+COUNTIFS('Resultater - Danmark'!$D$3:$D$482,'Resultat-Produktion &amp; forbrug'!A17,'Resultater - Danmark'!$A$3:$A$482,"Biogasanlæg")&gt;0,1,0)</f>
        <v>0</v>
      </c>
      <c r="D17" s="194">
        <f t="shared" si="8"/>
        <v>2019</v>
      </c>
      <c r="E17" s="192" t="s">
        <v>23</v>
      </c>
      <c r="F17" s="195">
        <f>IF(E17="Vestdanmark",SUMIFS(IF(D17=År1,'Resultater - Vestdanmark'!H$3:H$482,IF(D17=År2,'Resultater - Vestdanmark'!I$3:I$482,'Resultater - Vestdanmark'!J$3:J$482)),'Resultater - Vestdanmark'!$F$3:$F$482,$A17,IF(D17=År1,'Resultater - Vestdanmark'!H$3:H$482,IF(D17=År2,'Resultater - Vestdanmark'!I$3:I$482,'Resultater - Vestdanmark'!J$3:J$482)),"&gt;0"),SUMIFS(IF(D17=År1,'Resultater - Østdanmark'!H$3:H$482,IF(D17=År2,'Resultater - Østdanmark'!I$3:I$482,'Resultater - Østdanmark'!J$3:J$482)),'Resultater - Østdanmark'!$F$3:$F$482,$A17,IF(D17=År1,'Resultater - Østdanmark'!H$3:H$482,IF(D17=År2,'Resultater - Østdanmark'!I$3:I$482,'Resultater - Østdanmark'!J$3:J$482)),"&gt;0"))</f>
        <v>0</v>
      </c>
      <c r="G17" s="195" t="e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#REF!</v>
      </c>
      <c r="H17" s="192">
        <f>IF(E17="Vestdanmark",-IF(A17="Halm",SUMIFS(IF(D17=År1,'Resultater - Vestdanmark'!H$3:H$482,IF(D17=År2,'Resultater - Vestdanmark'!I$3:I$482,'Resultater - Vestdanmark'!J$3:J$482)),'Resultater - Vestdanmark'!$F$3:$F$482,$A17,'Resultater - Vestdanmark'!H$3:H$482,"&lt;0"),0),-IF(A17="Halm",SUMIFS(IF(D17=År1,'Resultater - Østdanmark'!H$3:H$482,IF(D17=År2,'Resultater - Østdanmark'!I$3:I$482,'Resultater - Østdanmark'!J$3:J$482)),'Resultater - Østdanmark'!$F$3:$F$482,$A17,'Resultater - Østdanmark'!H$3:H$482,"&lt;0"),0))</f>
        <v>0</v>
      </c>
      <c r="I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5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7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4" t="e">
        <f t="shared" si="9"/>
        <v>#REF!</v>
      </c>
      <c r="O17" s="195">
        <f t="shared" si="1"/>
        <v>0</v>
      </c>
      <c r="P17" s="205">
        <f t="shared" si="10"/>
        <v>0</v>
      </c>
      <c r="Q17" s="192">
        <f>IFERROR(VLOOKUP(A17,[1]Energiindhold!$A$2:$C$11,3,FALSE),IFERROR(VLOOKUP(A17,[1]Biogasudbytte!$A$2:$B$18,2,FALSE)*[1]Energiindhold!$C$10,0))*O17</f>
        <v>0</v>
      </c>
      <c r="R17" s="192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92">
        <f>IFERROR(VLOOKUP(A17,[1]Biogasudbytte!$A$2:$B$18,2,FALSE)*[1]Energiindhold!$C$10,0)*J17*IFERROR(VLOOKUP(A17,Biogasanlæg!$F$3:$G$8,2,FALSE),1)</f>
        <v>0</v>
      </c>
      <c r="T17" s="193">
        <f t="shared" si="11"/>
        <v>0</v>
      </c>
      <c r="U17" s="191">
        <f>O17*IFERROR(VLOOKUP(A17,[1]Tørstofindhold!A$2:B$24,2,FALSE),0)</f>
        <v>0</v>
      </c>
      <c r="V17" s="192">
        <f>IF(D17=År1,P17,SUM(O17,P17))*IFERROR(VLOOKUP(A17,[1]Tørstofindhold!A$2:B$24,2,FALSE),0)</f>
        <v>0</v>
      </c>
      <c r="W17" s="192">
        <f>J17*IFERROR(VLOOKUP(A17,[1]Tørstofindhold!A$2:B$24,2,FALSE),0)</f>
        <v>0</v>
      </c>
      <c r="X17" s="193">
        <f t="shared" si="12"/>
        <v>0</v>
      </c>
      <c r="Y17" s="171" t="e">
        <f t="shared" si="2"/>
        <v>#REF!</v>
      </c>
      <c r="Z17" s="103" t="e">
        <f t="shared" si="3"/>
        <v>#REF!</v>
      </c>
    </row>
    <row r="18" spans="1:26" x14ac:dyDescent="0.25">
      <c r="A18" s="194" t="s">
        <v>6</v>
      </c>
      <c r="B18" s="194"/>
      <c r="C18" s="194">
        <f>IF(COUNTIFS('Resultater - Danmark'!$D$3:$D$482,'Resultat-Produktion &amp; forbrug'!A18,'Resultater - Danmark'!$A$3:$A$482,"Til energi")+COUNTIFS('Resultater - Danmark'!$D$3:$D$482,'Resultat-Produktion &amp; forbrug'!A18,'Resultater - Danmark'!$A$3:$A$482,"Biogasanlæg")&gt;0,1,0)</f>
        <v>0</v>
      </c>
      <c r="D18" s="194">
        <f t="shared" si="8"/>
        <v>2019</v>
      </c>
      <c r="E18" s="192" t="s">
        <v>23</v>
      </c>
      <c r="F18" s="195">
        <f>IF(E18="Vestdanmark",SUMIFS(IF(D18=År1,'Resultater - Vestdanmark'!H$3:H$482,IF(D18=År2,'Resultater - Vestdanmark'!I$3:I$482,'Resultater - Vestdanmark'!J$3:J$482)),'Resultater - Vestdanmark'!$F$3:$F$482,$A18,IF(D18=År1,'Resultater - Vestdanmark'!H$3:H$482,IF(D18=År2,'Resultater - Vestdanmark'!I$3:I$482,'Resultater - Vestdanmark'!J$3:J$482)),"&gt;0"),SUMIFS(IF(D18=År1,'Resultater - Østdanmark'!H$3:H$482,IF(D18=År2,'Resultater - Østdanmark'!I$3:I$482,'Resultater - Østdanmark'!J$3:J$482)),'Resultater - Østdanmark'!$F$3:$F$482,$A18,IF(D18=År1,'Resultater - Østdanmark'!H$3:H$482,IF(D18=År2,'Resultater - Østdanmark'!I$3:I$482,'Resultater - Østdanmark'!J$3:J$482)),"&gt;0"))</f>
        <v>0</v>
      </c>
      <c r="G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92">
        <f>IF(E18="Vestdanmark",-IF(A18="Halm",SUMIFS(IF(D18=År1,'Resultater - Vestdanmark'!H$3:H$482,IF(D18=År2,'Resultater - Vestdanmark'!I$3:I$482,'Resultater - Vestdanmark'!J$3:J$482)),'Resultater - Vestdanmark'!$F$3:$F$482,$A18,'Resultater - Vestdanmark'!H$3:H$482,"&lt;0"),0),-IF(A18="Halm",SUMIFS(IF(D18=År1,'Resultater - Østdanmark'!H$3:H$482,IF(D18=År2,'Resultater - Østdanmark'!I$3:I$482,'Resultater - Østdanmark'!J$3:J$482)),'Resultater - Østdanmark'!$F$3:$F$482,$A18,'Resultater - Østdanmark'!H$3:H$482,"&lt;0"),0))</f>
        <v>0</v>
      </c>
      <c r="I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5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7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4">
        <f t="shared" si="9"/>
        <v>-261374.54615849949</v>
      </c>
      <c r="O18" s="195">
        <f t="shared" si="1"/>
        <v>0</v>
      </c>
      <c r="P18" s="205">
        <f t="shared" si="10"/>
        <v>0</v>
      </c>
      <c r="Q18" s="192">
        <f>IFERROR(VLOOKUP(A18,[1]Energiindhold!$A$2:$C$11,3,FALSE),IFERROR(VLOOKUP(A18,[1]Biogasudbytte!$A$2:$B$18,2,FALSE)*[1]Energiindhold!$C$10,0))*O18</f>
        <v>0</v>
      </c>
      <c r="R18" s="192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92">
        <f>IFERROR(VLOOKUP(A18,[1]Biogasudbytte!$A$2:$B$18,2,FALSE)*[1]Energiindhold!$C$10,0)*J18*IFERROR(VLOOKUP(A18,Biogasanlæg!$F$3:$G$8,2,FALSE),1)</f>
        <v>0</v>
      </c>
      <c r="T18" s="193">
        <f t="shared" si="11"/>
        <v>0</v>
      </c>
      <c r="U18" s="191">
        <f>O18*IFERROR(VLOOKUP(A18,[1]Tørstofindhold!A$2:B$24,2,FALSE),0)</f>
        <v>0</v>
      </c>
      <c r="V18" s="192">
        <f>IF(D18=År1,P18,SUM(O18,P18))*IFERROR(VLOOKUP(A18,[1]Tørstofindhold!A$2:B$24,2,FALSE),0)</f>
        <v>0</v>
      </c>
      <c r="W18" s="192">
        <f>J18*IFERROR(VLOOKUP(A18,[1]Tørstofindhold!A$2:B$24,2,FALSE),0)</f>
        <v>0</v>
      </c>
      <c r="X18" s="193">
        <f t="shared" si="12"/>
        <v>0</v>
      </c>
      <c r="Y18" s="171">
        <f t="shared" si="2"/>
        <v>1</v>
      </c>
      <c r="Z18" s="103">
        <f t="shared" si="3"/>
        <v>0</v>
      </c>
    </row>
    <row r="19" spans="1:26" x14ac:dyDescent="0.25">
      <c r="A19" s="194" t="s">
        <v>68</v>
      </c>
      <c r="B19" s="194" t="s">
        <v>229</v>
      </c>
      <c r="C19" s="194">
        <f>IF(COUNTIFS('Resultater - Danmark'!$D$3:$D$482,'Resultat-Produktion &amp; forbrug'!A19,'Resultater - Danmark'!$A$3:$A$482,"Til energi")+COUNTIFS('Resultater - Danmark'!$D$3:$D$482,'Resultat-Produktion &amp; forbrug'!A19,'Resultater - Danmark'!$A$3:$A$482,"Biogasanlæg")&gt;0,1,0)</f>
        <v>1</v>
      </c>
      <c r="D19" s="194">
        <f t="shared" si="8"/>
        <v>2019</v>
      </c>
      <c r="E19" s="192" t="s">
        <v>23</v>
      </c>
      <c r="F19" s="195">
        <f>IF(E19="Vestdanmark",SUMIFS(IF(D19=År1,'Resultater - Vestdanmark'!H$3:H$482,IF(D19=År2,'Resultater - Vestdanmark'!I$3:I$482,'Resultater - Vestdanmark'!J$3:J$482)),'Resultater - Vestdanmark'!$F$3:$F$482,$A19,IF(D19=År1,'Resultater - Vestdanmark'!H$3:H$482,IF(D19=År2,'Resultater - Vestdanmark'!I$3:I$482,'Resultater - Vestdanmark'!J$3:J$482)),"&gt;0"),SUMIFS(IF(D19=År1,'Resultater - Østdanmark'!H$3:H$482,IF(D19=År2,'Resultater - Østdanmark'!I$3:I$482,'Resultater - Østdanmark'!J$3:J$482)),'Resultater - Østdanmark'!$F$3:$F$482,$A19,IF(D19=År1,'Resultater - Østdanmark'!H$3:H$482,IF(D19=År2,'Resultater - Østdanmark'!I$3:I$482,'Resultater - Østdanmark'!J$3:J$482)),"&gt;0"))</f>
        <v>0</v>
      </c>
      <c r="G19" s="195" t="e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#REF!</v>
      </c>
      <c r="H19" s="192">
        <f>IF(E19="Vestdanmark",-IF(A19="Halm",SUMIFS(IF(D19=År1,'Resultater - Vestdanmark'!H$3:H$482,IF(D19=År2,'Resultater - Vestdanmark'!I$3:I$482,'Resultater - Vestdanmark'!J$3:J$482)),'Resultater - Vestdanmark'!$F$3:$F$482,$A19,'Resultater - Vestdanmark'!H$3:H$482,"&lt;0"),0),-IF(A19="Halm",SUMIFS(IF(D19=År1,'Resultater - Østdanmark'!H$3:H$482,IF(D19=År2,'Resultater - Østdanmark'!I$3:I$482,'Resultater - Østdanmark'!J$3:J$482)),'Resultater - Østdanmark'!$F$3:$F$482,$A19,'Resultater - Østdanmark'!H$3:H$482,"&lt;0"),0))</f>
        <v>0</v>
      </c>
      <c r="I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5" t="e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#REF!</v>
      </c>
      <c r="K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5" t="e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#REF!</v>
      </c>
      <c r="M19" s="157" t="e">
        <f>SUMIFS('Forbrug af biomasse'!E:E,'Forbrug af biomasse'!C:C,'Resultat-Produktion &amp; forbrug'!$A19,'Forbrug af biomasse'!D:D,'Resultat-Produktion &amp; forbrug'!$D19,'Forbrug af biomasse'!G:G,1,'Forbrug af biomasse'!B:B,$E19)</f>
        <v>#REF!</v>
      </c>
      <c r="N19" s="204" t="e">
        <f t="shared" si="9"/>
        <v>#REF!</v>
      </c>
      <c r="O19" s="195" t="e">
        <f t="shared" si="1"/>
        <v>#REF!</v>
      </c>
      <c r="P19" s="205" t="e">
        <f t="shared" si="10"/>
        <v>#REF!</v>
      </c>
      <c r="Q19" s="192" t="e">
        <f>IFERROR(VLOOKUP(A19,[1]Energiindhold!$A$2:$C$11,3,FALSE),IFERROR(VLOOKUP(A19,[1]Biogasudbytte!$A$2:$B$18,2,FALSE)*[1]Energiindhold!$C$10,0))*O19</f>
        <v>#REF!</v>
      </c>
      <c r="R19" s="192" t="e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#REF!</v>
      </c>
      <c r="S19" s="192" t="e">
        <f>IFERROR(VLOOKUP(A19,[1]Biogasudbytte!$A$2:$B$18,2,FALSE)*[1]Energiindhold!$C$10,0)*J19*IFERROR(VLOOKUP(A19,Biogasanlæg!$F$3:$G$8,2,FALSE),1)</f>
        <v>#REF!</v>
      </c>
      <c r="T19" s="193" t="e">
        <f t="shared" si="11"/>
        <v>#REF!</v>
      </c>
      <c r="U19" s="191" t="e">
        <f>O19*IFERROR(VLOOKUP(A19,[1]Tørstofindhold!A$2:B$24,2,FALSE),0)</f>
        <v>#REF!</v>
      </c>
      <c r="V19" s="192" t="e">
        <f>IF(D19=År1,P19,SUM(O19,P19))*IFERROR(VLOOKUP(A19,[1]Tørstofindhold!A$2:B$24,2,FALSE),0)</f>
        <v>#REF!</v>
      </c>
      <c r="W19" s="192" t="e">
        <f>J19*IFERROR(VLOOKUP(A19,[1]Tørstofindhold!A$2:B$24,2,FALSE),0)</f>
        <v>#REF!</v>
      </c>
      <c r="X19" s="193" t="e">
        <f t="shared" si="12"/>
        <v>#REF!</v>
      </c>
      <c r="Y19" s="171" t="e">
        <f t="shared" si="2"/>
        <v>#REF!</v>
      </c>
      <c r="Z19" s="103" t="e">
        <f t="shared" si="3"/>
        <v>#REF!</v>
      </c>
    </row>
    <row r="20" spans="1:26" x14ac:dyDescent="0.25">
      <c r="A20" s="194" t="s">
        <v>163</v>
      </c>
      <c r="B20" s="194" t="s">
        <v>232</v>
      </c>
      <c r="C20" s="194">
        <f>IF(COUNTIFS('Resultater - Danmark'!$D$3:$D$482,'Resultat-Produktion &amp; forbrug'!A20,'Resultater - Danmark'!$A$3:$A$482,"Til energi")+COUNTIFS('Resultater - Danmark'!$D$3:$D$482,'Resultat-Produktion &amp; forbrug'!A20,'Resultater - Danmark'!$A$3:$A$482,"Biogasanlæg")&gt;0,1,0)</f>
        <v>1</v>
      </c>
      <c r="D20" s="194">
        <f t="shared" si="8"/>
        <v>2019</v>
      </c>
      <c r="E20" s="192" t="s">
        <v>23</v>
      </c>
      <c r="F20" s="195">
        <f>IF(E20="Vestdanmark",SUMIFS(IF(D20=År1,'Resultater - Vestdanmark'!H$3:H$482,IF(D20=År2,'Resultater - Vestdanmark'!I$3:I$482,'Resultater - Vestdanmark'!J$3:J$482)),'Resultater - Vestdanmark'!$F$3:$F$482,$A20,IF(D20=År1,'Resultater - Vestdanmark'!H$3:H$482,IF(D20=År2,'Resultater - Vestdanmark'!I$3:I$482,'Resultater - Vestdanmark'!J$3:J$482)),"&gt;0"),SUMIFS(IF(D20=År1,'Resultater - Østdanmark'!H$3:H$482,IF(D20=År2,'Resultater - Østdanmark'!I$3:I$482,'Resultater - Østdanmark'!J$3:J$482)),'Resultater - Østdanmark'!$F$3:$F$482,$A20,IF(D20=År1,'Resultater - Østdanmark'!H$3:H$482,IF(D20=År2,'Resultater - Østdanmark'!I$3:I$482,'Resultater - Østdanmark'!J$3:J$482)),"&gt;0"))</f>
        <v>0</v>
      </c>
      <c r="G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92">
        <f>IF(E20="Vestdanmark",-IF(A20="Halm",SUMIFS(IF(D20=År1,'Resultater - Vestdanmark'!H$3:H$482,IF(D20=År2,'Resultater - Vestdanmark'!I$3:I$482,'Resultater - Vestdanmark'!J$3:J$482)),'Resultater - Vestdanmark'!$F$3:$F$482,$A20,'Resultater - Vestdanmark'!H$3:H$482,"&lt;0"),0),-IF(A20="Halm",SUMIFS(IF(D20=År1,'Resultater - Østdanmark'!H$3:H$482,IF(D20=År2,'Resultater - Østdanmark'!I$3:I$482,'Resultater - Østdanmark'!J$3:J$482)),'Resultater - Østdanmark'!$F$3:$F$482,$A20,'Resultater - Østdanmark'!H$3:H$482,"&lt;0"),0))</f>
        <v>0</v>
      </c>
      <c r="I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5" t="e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#REF!</v>
      </c>
      <c r="K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5" t="e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#REF!</v>
      </c>
      <c r="M20" s="157" t="e">
        <f>SUMIFS('Forbrug af biomasse'!E:E,'Forbrug af biomasse'!C:C,'Resultat-Produktion &amp; forbrug'!$A20,'Forbrug af biomasse'!D:D,'Resultat-Produktion &amp; forbrug'!$D20,'Forbrug af biomasse'!G:G,1,'Forbrug af biomasse'!B:B,$E20)</f>
        <v>#REF!</v>
      </c>
      <c r="N20" s="204" t="e">
        <f t="shared" si="9"/>
        <v>#REF!</v>
      </c>
      <c r="O20" s="195" t="e">
        <f t="shared" si="1"/>
        <v>#REF!</v>
      </c>
      <c r="P20" s="205" t="e">
        <f t="shared" si="10"/>
        <v>#REF!</v>
      </c>
      <c r="Q20" s="192" t="e">
        <f>IFERROR(VLOOKUP(A20,[1]Energiindhold!$A$2:$C$11,3,FALSE),IFERROR(VLOOKUP(A20,[1]Biogasudbytte!$A$2:$B$18,2,FALSE)*[1]Energiindhold!$C$10,0))*O20</f>
        <v>#REF!</v>
      </c>
      <c r="R20" s="192" t="e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#REF!</v>
      </c>
      <c r="S20" s="192" t="e">
        <f>IFERROR(VLOOKUP(A20,[1]Biogasudbytte!$A$2:$B$18,2,FALSE)*[1]Energiindhold!$C$10,0)*J20*IFERROR(VLOOKUP(A20,Biogasanlæg!$F$3:$G$8,2,FALSE),1)</f>
        <v>#REF!</v>
      </c>
      <c r="T20" s="193" t="e">
        <f t="shared" si="11"/>
        <v>#REF!</v>
      </c>
      <c r="U20" s="191" t="e">
        <f>O20*IFERROR(VLOOKUP(A20,[1]Tørstofindhold!A$2:B$24,2,FALSE),0)</f>
        <v>#REF!</v>
      </c>
      <c r="V20" s="192" t="e">
        <f>IF(D20=År1,P20,SUM(O20,P20))*IFERROR(VLOOKUP(A20,[1]Tørstofindhold!A$2:B$24,2,FALSE),0)</f>
        <v>#REF!</v>
      </c>
      <c r="W20" s="192" t="e">
        <f>J20*IFERROR(VLOOKUP(A20,[1]Tørstofindhold!A$2:B$24,2,FALSE),0)</f>
        <v>#REF!</v>
      </c>
      <c r="X20" s="193" t="e">
        <f t="shared" si="12"/>
        <v>#REF!</v>
      </c>
      <c r="Y20" s="171" t="e">
        <f t="shared" si="2"/>
        <v>#REF!</v>
      </c>
      <c r="Z20" s="103" t="e">
        <f t="shared" si="3"/>
        <v>#REF!</v>
      </c>
    </row>
    <row r="21" spans="1:26" x14ac:dyDescent="0.25">
      <c r="A21" s="192" t="s">
        <v>160</v>
      </c>
      <c r="B21" s="194"/>
      <c r="C21" s="194">
        <f>IF(COUNTIFS('Resultater - Danmark'!$D$3:$D$482,'Resultat-Produktion &amp; forbrug'!A21,'Resultater - Danmark'!$A$3:$A$482,"Til energi")+COUNTIFS('Resultater - Danmark'!$D$3:$D$482,'Resultat-Produktion &amp; forbrug'!A21,'Resultater - Danmark'!$A$3:$A$482,"Biogasanlæg")&gt;0,1,0)</f>
        <v>0</v>
      </c>
      <c r="D21" s="194">
        <f t="shared" si="8"/>
        <v>2019</v>
      </c>
      <c r="E21" s="192" t="s">
        <v>23</v>
      </c>
      <c r="F21" s="195">
        <f>IF(E21="Vestdanmark",SUMIFS(IF(D21=År1,'Resultater - Vestdanmark'!H$3:H$482,IF(D21=År2,'Resultater - Vestdanmark'!I$3:I$482,'Resultater - Vestdanmark'!J$3:J$482)),'Resultater - Vestdanmark'!$F$3:$F$482,$A21,IF(D21=År1,'Resultater - Vestdanmark'!H$3:H$482,IF(D21=År2,'Resultater - Vestdanmark'!I$3:I$482,'Resultater - Vestdanmark'!J$3:J$482)),"&gt;0"),SUMIFS(IF(D21=År1,'Resultater - Østdanmark'!H$3:H$482,IF(D21=År2,'Resultater - Østdanmark'!I$3:I$482,'Resultater - Østdanmark'!J$3:J$482)),'Resultater - Østdanmark'!$F$3:$F$482,$A21,IF(D21=År1,'Resultater - Østdanmark'!H$3:H$482,IF(D21=År2,'Resultater - Østdanmark'!I$3:I$482,'Resultater - Østdanmark'!J$3:J$482)),"&gt;0"))</f>
        <v>0</v>
      </c>
      <c r="G21" s="195" t="e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#REF!</v>
      </c>
      <c r="H21" s="192">
        <f>IF(E21="Vestdanmark",-IF(A21="Halm",SUMIFS(IF(D21=År1,'Resultater - Vestdanmark'!H$3:H$482,IF(D21=År2,'Resultater - Vestdanmark'!I$3:I$482,'Resultater - Vestdanmark'!J$3:J$482)),'Resultater - Vestdanmark'!$F$3:$F$482,$A21,'Resultater - Vestdanmark'!H$3:H$482,"&lt;0"),0),-IF(A21="Halm",SUMIFS(IF(D21=År1,'Resultater - Østdanmark'!H$3:H$482,IF(D21=År2,'Resultater - Østdanmark'!I$3:I$482,'Resultater - Østdanmark'!J$3:J$482)),'Resultater - Østdanmark'!$F$3:$F$482,$A21,'Resultater - Østdanmark'!H$3:H$482,"&lt;0"),0))</f>
        <v>0</v>
      </c>
      <c r="I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5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7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4" t="e">
        <f t="shared" si="9"/>
        <v>#REF!</v>
      </c>
      <c r="O21" s="195">
        <f t="shared" si="1"/>
        <v>0</v>
      </c>
      <c r="P21" s="205">
        <f t="shared" si="10"/>
        <v>0</v>
      </c>
      <c r="Q21" s="192">
        <f>IFERROR(VLOOKUP(A21,[1]Energiindhold!$A$2:$C$11,3,FALSE),IFERROR(VLOOKUP(A21,[1]Biogasudbytte!$A$2:$B$18,2,FALSE)*[1]Energiindhold!$C$10,0))*O21</f>
        <v>0</v>
      </c>
      <c r="R21" s="192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92">
        <f>IFERROR(VLOOKUP(A21,[1]Biogasudbytte!$A$2:$B$18,2,FALSE)*[1]Energiindhold!$C$10,0)*J21*IFERROR(VLOOKUP(A21,Biogasanlæg!$F$3:$G$8,2,FALSE),1)</f>
        <v>0</v>
      </c>
      <c r="T21" s="193">
        <f t="shared" si="11"/>
        <v>0</v>
      </c>
      <c r="U21" s="191">
        <f>O21*IFERROR(VLOOKUP(A21,[1]Tørstofindhold!A$2:B$24,2,FALSE),0)</f>
        <v>0</v>
      </c>
      <c r="V21" s="192">
        <f>IF(D21=År1,P21,SUM(O21,P21))*IFERROR(VLOOKUP(A21,[1]Tørstofindhold!A$2:B$24,2,FALSE),0)</f>
        <v>0</v>
      </c>
      <c r="W21" s="192">
        <f>J21*IFERROR(VLOOKUP(A21,[1]Tørstofindhold!A$2:B$24,2,FALSE),0)</f>
        <v>0</v>
      </c>
      <c r="X21" s="193">
        <f t="shared" si="12"/>
        <v>0</v>
      </c>
      <c r="Y21" s="171" t="e">
        <f t="shared" si="2"/>
        <v>#REF!</v>
      </c>
      <c r="Z21" s="103" t="e">
        <f t="shared" si="3"/>
        <v>#REF!</v>
      </c>
    </row>
    <row r="22" spans="1:26" x14ac:dyDescent="0.25">
      <c r="A22" s="194" t="s">
        <v>104</v>
      </c>
      <c r="B22" s="194" t="s">
        <v>232</v>
      </c>
      <c r="C22" s="194">
        <f>IF(COUNTIFS('Resultater - Danmark'!$D$3:$D$482,'Resultat-Produktion &amp; forbrug'!A22,'Resultater - Danmark'!$A$3:$A$482,"Til energi")+COUNTIFS('Resultater - Danmark'!$D$3:$D$482,'Resultat-Produktion &amp; forbrug'!A22,'Resultater - Danmark'!$A$3:$A$482,"Biogasanlæg")&gt;0,1,0)</f>
        <v>1</v>
      </c>
      <c r="D22" s="194">
        <f t="shared" si="8"/>
        <v>2019</v>
      </c>
      <c r="E22" s="192" t="s">
        <v>23</v>
      </c>
      <c r="F22" s="195">
        <f>IF(E22="Vestdanmark",SUMIFS(IF(D22=År1,'Resultater - Vestdanmark'!H$3:H$482,IF(D22=År2,'Resultater - Vestdanmark'!I$3:I$482,'Resultater - Vestdanmark'!J$3:J$482)),'Resultater - Vestdanmark'!$F$3:$F$482,$A22,IF(D22=År1,'Resultater - Vestdanmark'!H$3:H$482,IF(D22=År2,'Resultater - Vestdanmark'!I$3:I$482,'Resultater - Vestdanmark'!J$3:J$482)),"&gt;0"),SUMIFS(IF(D22=År1,'Resultater - Østdanmark'!H$3:H$482,IF(D22=År2,'Resultater - Østdanmark'!I$3:I$482,'Resultater - Østdanmark'!J$3:J$482)),'Resultater - Østdanmark'!$F$3:$F$482,$A22,IF(D22=År1,'Resultater - Østdanmark'!H$3:H$482,IF(D22=År2,'Resultater - Østdanmark'!I$3:I$482,'Resultater - Østdanmark'!J$3:J$482)),"&gt;0"))</f>
        <v>0</v>
      </c>
      <c r="G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92">
        <f>IF(E22="Vestdanmark",-IF(A22="Halm",SUMIFS(IF(D22=År1,'Resultater - Vestdanmark'!H$3:H$482,IF(D22=År2,'Resultater - Vestdanmark'!I$3:I$482,'Resultater - Vestdanmark'!J$3:J$482)),'Resultater - Vestdanmark'!$F$3:$F$482,$A22,'Resultater - Vestdanmark'!H$3:H$482,"&lt;0"),0),-IF(A22="Halm",SUMIFS(IF(D22=År1,'Resultater - Østdanmark'!H$3:H$482,IF(D22=År2,'Resultater - Østdanmark'!I$3:I$482,'Resultater - Østdanmark'!J$3:J$482)),'Resultater - Østdanmark'!$F$3:$F$482,$A22,'Resultater - Østdanmark'!H$3:H$482,"&lt;0"),0))</f>
        <v>0</v>
      </c>
      <c r="I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5" t="e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#REF!</v>
      </c>
      <c r="K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5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7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4" t="e">
        <f t="shared" si="9"/>
        <v>#REF!</v>
      </c>
      <c r="O22" s="195" t="e">
        <f t="shared" si="1"/>
        <v>#REF!</v>
      </c>
      <c r="P22" s="205" t="e">
        <f t="shared" si="10"/>
        <v>#REF!</v>
      </c>
      <c r="Q22" s="192" t="e">
        <f>IFERROR(VLOOKUP(A22,[1]Energiindhold!$A$2:$C$11,3,FALSE),IFERROR(VLOOKUP(A22,[1]Biogasudbytte!$A$2:$B$18,2,FALSE)*[1]Energiindhold!$C$10,0))*O22</f>
        <v>#REF!</v>
      </c>
      <c r="R22" s="192" t="e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#REF!</v>
      </c>
      <c r="S22" s="192" t="e">
        <f>IFERROR(VLOOKUP(A22,[1]Biogasudbytte!$A$2:$B$18,2,FALSE)*[1]Energiindhold!$C$10,0)*J22*IFERROR(VLOOKUP(A22,Biogasanlæg!$F$3:$G$8,2,FALSE),1)</f>
        <v>#REF!</v>
      </c>
      <c r="T22" s="193" t="e">
        <f t="shared" si="11"/>
        <v>#REF!</v>
      </c>
      <c r="U22" s="191" t="e">
        <f>O22*IFERROR(VLOOKUP(A22,[1]Tørstofindhold!A$2:B$24,2,FALSE),0)</f>
        <v>#REF!</v>
      </c>
      <c r="V22" s="192" t="e">
        <f>IF(D22=År1,P22,SUM(O22,P22))*IFERROR(VLOOKUP(A22,[1]Tørstofindhold!A$2:B$24,2,FALSE),0)</f>
        <v>#REF!</v>
      </c>
      <c r="W22" s="192" t="e">
        <f>J22*IFERROR(VLOOKUP(A22,[1]Tørstofindhold!A$2:B$24,2,FALSE),0)</f>
        <v>#REF!</v>
      </c>
      <c r="X22" s="193" t="e">
        <f t="shared" si="12"/>
        <v>#REF!</v>
      </c>
      <c r="Y22" s="171" t="e">
        <f t="shared" si="2"/>
        <v>#REF!</v>
      </c>
      <c r="Z22" s="103" t="e">
        <f t="shared" si="3"/>
        <v>#REF!</v>
      </c>
    </row>
    <row r="23" spans="1:26" x14ac:dyDescent="0.25">
      <c r="A23" s="194" t="s">
        <v>56</v>
      </c>
      <c r="B23" s="194"/>
      <c r="C23" s="194">
        <f>IF(COUNTIFS('Resultater - Danmark'!$D$3:$D$482,'Resultat-Produktion &amp; forbrug'!A23,'Resultater - Danmark'!$A$3:$A$482,"Til energi")+COUNTIFS('Resultater - Danmark'!$D$3:$D$482,'Resultat-Produktion &amp; forbrug'!A23,'Resultater - Danmark'!$A$3:$A$482,"Biogasanlæg")&gt;0,1,0)</f>
        <v>0</v>
      </c>
      <c r="D23" s="194">
        <f t="shared" si="8"/>
        <v>2019</v>
      </c>
      <c r="E23" s="192" t="s">
        <v>23</v>
      </c>
      <c r="F23" s="195">
        <f>IF(E23="Vestdanmark",SUMIFS(IF(D23=År1,'Resultater - Vestdanmark'!H$3:H$482,IF(D23=År2,'Resultater - Vestdanmark'!I$3:I$482,'Resultater - Vestdanmark'!J$3:J$482)),'Resultater - Vestdanmark'!$F$3:$F$482,$A23,IF(D23=År1,'Resultater - Vestdanmark'!H$3:H$482,IF(D23=År2,'Resultater - Vestdanmark'!I$3:I$482,'Resultater - Vestdanmark'!J$3:J$482)),"&gt;0"),SUMIFS(IF(D23=År1,'Resultater - Østdanmark'!H$3:H$482,IF(D23=År2,'Resultater - Østdanmark'!I$3:I$482,'Resultater - Østdanmark'!J$3:J$482)),'Resultater - Østdanmark'!$F$3:$F$482,$A23,IF(D23=År1,'Resultater - Østdanmark'!H$3:H$482,IF(D23=År2,'Resultater - Østdanmark'!I$3:I$482,'Resultater - Østdanmark'!J$3:J$482)),"&gt;0"))</f>
        <v>0</v>
      </c>
      <c r="G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92">
        <f>IF(E23="Vestdanmark",-IF(A23="Halm",SUMIFS(IF(D23=År1,'Resultater - Vestdanmark'!H$3:H$482,IF(D23=År2,'Resultater - Vestdanmark'!I$3:I$482,'Resultater - Vestdanmark'!J$3:J$482)),'Resultater - Vestdanmark'!$F$3:$F$482,$A23,'Resultater - Vestdanmark'!H$3:H$482,"&lt;0"),0),-IF(A23="Halm",SUMIFS(IF(D23=År1,'Resultater - Østdanmark'!H$3:H$482,IF(D23=År2,'Resultater - Østdanmark'!I$3:I$482,'Resultater - Østdanmark'!J$3:J$482)),'Resultater - Østdanmark'!$F$3:$F$482,$A23,'Resultater - Østdanmark'!H$3:H$482,"&lt;0"),0))</f>
        <v>0</v>
      </c>
      <c r="I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5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7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4">
        <f t="shared" si="9"/>
        <v>0</v>
      </c>
      <c r="O23" s="195">
        <f t="shared" si="1"/>
        <v>0</v>
      </c>
      <c r="P23" s="205">
        <f t="shared" si="10"/>
        <v>0</v>
      </c>
      <c r="Q23" s="192">
        <f>IFERROR(VLOOKUP(A23,[1]Energiindhold!$A$2:$C$11,3,FALSE),IFERROR(VLOOKUP(A23,[1]Biogasudbytte!$A$2:$B$18,2,FALSE)*[1]Energiindhold!$C$10,0))*O23</f>
        <v>0</v>
      </c>
      <c r="R23" s="192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92">
        <f>IFERROR(VLOOKUP(A23,[1]Biogasudbytte!$A$2:$B$18,2,FALSE)*[1]Energiindhold!$C$10,0)*J23*IFERROR(VLOOKUP(A23,Biogasanlæg!$F$3:$G$8,2,FALSE),1)</f>
        <v>0</v>
      </c>
      <c r="T23" s="193">
        <f t="shared" si="11"/>
        <v>0</v>
      </c>
      <c r="U23" s="191">
        <f>O23*IFERROR(VLOOKUP(A23,[1]Tørstofindhold!A$2:B$24,2,FALSE),0)</f>
        <v>0</v>
      </c>
      <c r="V23" s="192">
        <f>IF(D23=År1,P23,SUM(O23,P23))*IFERROR(VLOOKUP(A23,[1]Tørstofindhold!A$2:B$24,2,FALSE),0)</f>
        <v>0</v>
      </c>
      <c r="W23" s="192">
        <f>J23*IFERROR(VLOOKUP(A23,[1]Tørstofindhold!A$2:B$24,2,FALSE),0)</f>
        <v>0</v>
      </c>
      <c r="X23" s="193">
        <f t="shared" si="12"/>
        <v>0</v>
      </c>
      <c r="Y23" s="171">
        <f t="shared" si="2"/>
        <v>0</v>
      </c>
      <c r="Z23" s="103">
        <f t="shared" si="3"/>
        <v>0</v>
      </c>
    </row>
    <row r="24" spans="1:26" x14ac:dyDescent="0.25">
      <c r="A24" s="194" t="s">
        <v>12</v>
      </c>
      <c r="B24" s="194"/>
      <c r="C24" s="194">
        <f>IF(COUNTIFS('Resultater - Danmark'!$D$3:$D$482,'Resultat-Produktion &amp; forbrug'!A24,'Resultater - Danmark'!$A$3:$A$482,"Til energi")+COUNTIFS('Resultater - Danmark'!$D$3:$D$482,'Resultat-Produktion &amp; forbrug'!A24,'Resultater - Danmark'!$A$3:$A$482,"Biogasanlæg")&gt;0,1,0)</f>
        <v>0</v>
      </c>
      <c r="D24" s="194">
        <f t="shared" si="8"/>
        <v>2019</v>
      </c>
      <c r="E24" s="192" t="s">
        <v>23</v>
      </c>
      <c r="F24" s="195">
        <f>IF(E24="Vestdanmark",SUMIFS(IF(D24=År1,'Resultater - Vestdanmark'!H$3:H$482,IF(D24=År2,'Resultater - Vestdanmark'!I$3:I$482,'Resultater - Vestdanmark'!J$3:J$482)),'Resultater - Vestdanmark'!$F$3:$F$482,$A24,IF(D24=År1,'Resultater - Vestdanmark'!H$3:H$482,IF(D24=År2,'Resultater - Vestdanmark'!I$3:I$482,'Resultater - Vestdanmark'!J$3:J$482)),"&gt;0"),SUMIFS(IF(D24=År1,'Resultater - Østdanmark'!H$3:H$482,IF(D24=År2,'Resultater - Østdanmark'!I$3:I$482,'Resultater - Østdanmark'!J$3:J$482)),'Resultater - Østdanmark'!$F$3:$F$482,$A24,IF(D24=År1,'Resultater - Østdanmark'!H$3:H$482,IF(D24=År2,'Resultater - Østdanmark'!I$3:I$482,'Resultater - Østdanmark'!J$3:J$482)),"&gt;0"))</f>
        <v>0</v>
      </c>
      <c r="G24" s="195" t="e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#REF!</v>
      </c>
      <c r="H24" s="192">
        <f>IF(E24="Vestdanmark",-IF(A24="Halm",SUMIFS(IF(D24=År1,'Resultater - Vestdanmark'!H$3:H$482,IF(D24=År2,'Resultater - Vestdanmark'!I$3:I$482,'Resultater - Vestdanmark'!J$3:J$482)),'Resultater - Vestdanmark'!$F$3:$F$482,$A24,'Resultater - Vestdanmark'!H$3:H$482,"&lt;0"),0),-IF(A24="Halm",SUMIFS(IF(D24=År1,'Resultater - Østdanmark'!H$3:H$482,IF(D24=År2,'Resultater - Østdanmark'!I$3:I$482,'Resultater - Østdanmark'!J$3:J$482)),'Resultater - Østdanmark'!$F$3:$F$482,$A24,'Resultater - Østdanmark'!H$3:H$482,"&lt;0"),0))</f>
        <v>0</v>
      </c>
      <c r="I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5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7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4" t="e">
        <f t="shared" si="9"/>
        <v>#REF!</v>
      </c>
      <c r="O24" s="195">
        <f t="shared" si="1"/>
        <v>0</v>
      </c>
      <c r="P24" s="205">
        <f t="shared" si="10"/>
        <v>0</v>
      </c>
      <c r="Q24" s="192">
        <f>IFERROR(VLOOKUP(A24,[1]Energiindhold!$A$2:$C$11,3,FALSE),IFERROR(VLOOKUP(A24,[1]Biogasudbytte!$A$2:$B$18,2,FALSE)*[1]Energiindhold!$C$10,0))*O24</f>
        <v>0</v>
      </c>
      <c r="R24" s="192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92">
        <f>IFERROR(VLOOKUP(A24,[1]Biogasudbytte!$A$2:$B$18,2,FALSE)*[1]Energiindhold!$C$10,0)*J24*IFERROR(VLOOKUP(A24,Biogasanlæg!$F$3:$G$8,2,FALSE),1)</f>
        <v>0</v>
      </c>
      <c r="T24" s="193">
        <f t="shared" si="11"/>
        <v>0</v>
      </c>
      <c r="U24" s="191">
        <f>O24*IFERROR(VLOOKUP(A24,[1]Tørstofindhold!A$2:B$24,2,FALSE),0)</f>
        <v>0</v>
      </c>
      <c r="V24" s="192">
        <f>IF(D24=År1,P24,SUM(O24,P24))*IFERROR(VLOOKUP(A24,[1]Tørstofindhold!A$2:B$24,2,FALSE),0)</f>
        <v>0</v>
      </c>
      <c r="W24" s="192">
        <f>J24*IFERROR(VLOOKUP(A24,[1]Tørstofindhold!A$2:B$24,2,FALSE),0)</f>
        <v>0</v>
      </c>
      <c r="X24" s="193">
        <f t="shared" si="12"/>
        <v>0</v>
      </c>
      <c r="Y24" s="171" t="e">
        <f t="shared" si="2"/>
        <v>#REF!</v>
      </c>
      <c r="Z24" s="103" t="e">
        <f t="shared" si="3"/>
        <v>#REF!</v>
      </c>
    </row>
    <row r="25" spans="1:26" x14ac:dyDescent="0.25">
      <c r="A25" s="194" t="s">
        <v>48</v>
      </c>
      <c r="B25" s="194" t="s">
        <v>229</v>
      </c>
      <c r="C25" s="194">
        <f>IF(COUNTIFS('Resultater - Danmark'!$D$3:$D$482,'Resultat-Produktion &amp; forbrug'!A25,'Resultater - Danmark'!$A$3:$A$482,"Til energi")+COUNTIFS('Resultater - Danmark'!$D$3:$D$482,'Resultat-Produktion &amp; forbrug'!A25,'Resultater - Danmark'!$A$3:$A$482,"Biogasanlæg")&gt;0,1,0)</f>
        <v>1</v>
      </c>
      <c r="D25" s="194">
        <f t="shared" si="8"/>
        <v>2019</v>
      </c>
      <c r="E25" s="192" t="s">
        <v>23</v>
      </c>
      <c r="F25" s="195">
        <f>IF(E25="Vestdanmark",SUMIFS(IF(D25=År1,'Resultater - Vestdanmark'!H$3:H$482,IF(D25=År2,'Resultater - Vestdanmark'!I$3:I$482,'Resultater - Vestdanmark'!J$3:J$482)),'Resultater - Vestdanmark'!$F$3:$F$482,$A25,IF(D25=År1,'Resultater - Vestdanmark'!H$3:H$482,IF(D25=År2,'Resultater - Vestdanmark'!I$3:I$482,'Resultater - Vestdanmark'!J$3:J$482)),"&gt;0"),SUMIFS(IF(D25=År1,'Resultater - Østdanmark'!H$3:H$482,IF(D25=År2,'Resultater - Østdanmark'!I$3:I$482,'Resultater - Østdanmark'!J$3:J$482)),'Resultater - Østdanmark'!$F$3:$F$482,$A25,IF(D25=År1,'Resultater - Østdanmark'!H$3:H$482,IF(D25=År2,'Resultater - Østdanmark'!I$3:I$482,'Resultater - Østdanmark'!J$3:J$482)),"&gt;0"))</f>
        <v>0</v>
      </c>
      <c r="G25" s="195" t="e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#REF!</v>
      </c>
      <c r="H25" s="192">
        <f>IF(E25="Vestdanmark",-IF(A25="Halm",SUMIFS(IF(D25=År1,'Resultater - Vestdanmark'!H$3:H$482,IF(D25=År2,'Resultater - Vestdanmark'!I$3:I$482,'Resultater - Vestdanmark'!J$3:J$482)),'Resultater - Vestdanmark'!$F$3:$F$482,$A25,'Resultater - Vestdanmark'!H$3:H$482,"&lt;0"),0),-IF(A25="Halm",SUMIFS(IF(D25=År1,'Resultater - Østdanmark'!H$3:H$482,IF(D25=År2,'Resultater - Østdanmark'!I$3:I$482,'Resultater - Østdanmark'!J$3:J$482)),'Resultater - Østdanmark'!$F$3:$F$482,$A25,'Resultater - Østdanmark'!H$3:H$482,"&lt;0"),0))</f>
        <v>0</v>
      </c>
      <c r="I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5" t="e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#REF!</v>
      </c>
      <c r="K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5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7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4" t="e">
        <f t="shared" si="9"/>
        <v>#REF!</v>
      </c>
      <c r="O25" s="195" t="e">
        <f t="shared" si="1"/>
        <v>#REF!</v>
      </c>
      <c r="P25" s="205" t="e">
        <f t="shared" si="10"/>
        <v>#REF!</v>
      </c>
      <c r="Q25" s="192" t="e">
        <f>IFERROR(VLOOKUP(A25,[1]Energiindhold!$A$2:$C$11,3,FALSE),IFERROR(VLOOKUP(A25,[1]Biogasudbytte!$A$2:$B$18,2,FALSE)*[1]Energiindhold!$C$10,0))*O25</f>
        <v>#REF!</v>
      </c>
      <c r="R25" s="192" t="e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#REF!</v>
      </c>
      <c r="S25" s="192" t="e">
        <f>IFERROR(VLOOKUP(A25,[1]Biogasudbytte!$A$2:$B$18,2,FALSE)*[1]Energiindhold!$C$10,0)*J25*IFERROR(VLOOKUP(A25,Biogasanlæg!$F$3:$G$8,2,FALSE),1)</f>
        <v>#REF!</v>
      </c>
      <c r="T25" s="193" t="e">
        <f t="shared" si="11"/>
        <v>#REF!</v>
      </c>
      <c r="U25" s="191" t="e">
        <f>O25*IFERROR(VLOOKUP(A25,[1]Tørstofindhold!A$2:B$24,2,FALSE),0)</f>
        <v>#REF!</v>
      </c>
      <c r="V25" s="192" t="e">
        <f>IF(D25=År1,P25,SUM(O25,P25))*IFERROR(VLOOKUP(A25,[1]Tørstofindhold!A$2:B$24,2,FALSE),0)</f>
        <v>#REF!</v>
      </c>
      <c r="W25" s="192" t="e">
        <f>J25*IFERROR(VLOOKUP(A25,[1]Tørstofindhold!A$2:B$24,2,FALSE),0)</f>
        <v>#REF!</v>
      </c>
      <c r="X25" s="193" t="e">
        <f t="shared" si="12"/>
        <v>#REF!</v>
      </c>
      <c r="Y25" s="171" t="e">
        <f t="shared" si="2"/>
        <v>#REF!</v>
      </c>
      <c r="Z25" s="103" t="e">
        <f t="shared" si="3"/>
        <v>#REF!</v>
      </c>
    </row>
    <row r="26" spans="1:26" x14ac:dyDescent="0.25">
      <c r="A26" s="194" t="s">
        <v>116</v>
      </c>
      <c r="B26" s="194"/>
      <c r="C26" s="194">
        <f>IF(COUNTIFS('Resultater - Danmark'!$D$3:$D$482,'Resultat-Produktion &amp; forbrug'!A26,'Resultater - Danmark'!$A$3:$A$482,"Til energi")+COUNTIFS('Resultater - Danmark'!$D$3:$D$482,'Resultat-Produktion &amp; forbrug'!A26,'Resultater - Danmark'!$A$3:$A$482,"Biogasanlæg")&gt;0,1,0)</f>
        <v>0</v>
      </c>
      <c r="D26" s="194">
        <f t="shared" si="8"/>
        <v>2019</v>
      </c>
      <c r="E26" s="192" t="s">
        <v>23</v>
      </c>
      <c r="F26" s="195">
        <f>IF(E26="Vestdanmark",SUMIFS(IF(D26=År1,'Resultater - Vestdanmark'!H$3:H$482,IF(D26=År2,'Resultater - Vestdanmark'!I$3:I$482,'Resultater - Vestdanmark'!J$3:J$482)),'Resultater - Vestdanmark'!$F$3:$F$482,$A26,IF(D26=År1,'Resultater - Vestdanmark'!H$3:H$482,IF(D26=År2,'Resultater - Vestdanmark'!I$3:I$482,'Resultater - Vestdanmark'!J$3:J$482)),"&gt;0"),SUMIFS(IF(D26=År1,'Resultater - Østdanmark'!H$3:H$482,IF(D26=År2,'Resultater - Østdanmark'!I$3:I$482,'Resultater - Østdanmark'!J$3:J$482)),'Resultater - Østdanmark'!$F$3:$F$482,$A26,IF(D26=År1,'Resultater - Østdanmark'!H$3:H$482,IF(D26=År2,'Resultater - Østdanmark'!I$3:I$482,'Resultater - Østdanmark'!J$3:J$482)),"&gt;0"))</f>
        <v>0</v>
      </c>
      <c r="G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92">
        <f>IF(E26="Vestdanmark",-IF(A26="Halm",SUMIFS(IF(D26=År1,'Resultater - Vestdanmark'!H$3:H$482,IF(D26=År2,'Resultater - Vestdanmark'!I$3:I$482,'Resultater - Vestdanmark'!J$3:J$482)),'Resultater - Vestdanmark'!$F$3:$F$482,$A26,'Resultater - Vestdanmark'!H$3:H$482,"&lt;0"),0),-IF(A26="Halm",SUMIFS(IF(D26=År1,'Resultater - Østdanmark'!H$3:H$482,IF(D26=År2,'Resultater - Østdanmark'!I$3:I$482,'Resultater - Østdanmark'!J$3:J$482)),'Resultater - Østdanmark'!$F$3:$F$482,$A26,'Resultater - Østdanmark'!H$3:H$482,"&lt;0"),0))</f>
        <v>0</v>
      </c>
      <c r="I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5" t="e">
        <f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#REF!</v>
      </c>
      <c r="L26" s="195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7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4" t="e">
        <f t="shared" si="9"/>
        <v>#REF!</v>
      </c>
      <c r="O26" s="195">
        <f t="shared" si="1"/>
        <v>0</v>
      </c>
      <c r="P26" s="205">
        <f t="shared" si="10"/>
        <v>0</v>
      </c>
      <c r="Q26" s="192">
        <f>IFERROR(VLOOKUP(A26,[1]Energiindhold!$A$2:$C$11,3,FALSE),IFERROR(VLOOKUP(A26,[1]Biogasudbytte!$A$2:$B$18,2,FALSE)*[1]Energiindhold!$C$10,0))*O26</f>
        <v>0</v>
      </c>
      <c r="R26" s="192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92">
        <f>IFERROR(VLOOKUP(A26,[1]Biogasudbytte!$A$2:$B$18,2,FALSE)*[1]Energiindhold!$C$10,0)*J26*IFERROR(VLOOKUP(A26,Biogasanlæg!$F$3:$G$8,2,FALSE),1)</f>
        <v>0</v>
      </c>
      <c r="T26" s="193">
        <f t="shared" si="11"/>
        <v>0</v>
      </c>
      <c r="U26" s="191">
        <f>O26*IFERROR(VLOOKUP(A26,[1]Tørstofindhold!A$2:B$24,2,FALSE),0)</f>
        <v>0</v>
      </c>
      <c r="V26" s="192">
        <f>IF(D26=År1,P26,SUM(O26,P26))*IFERROR(VLOOKUP(A26,[1]Tørstofindhold!A$2:B$24,2,FALSE),0)</f>
        <v>0</v>
      </c>
      <c r="W26" s="192">
        <f>J26*IFERROR(VLOOKUP(A26,[1]Tørstofindhold!A$2:B$24,2,FALSE),0)</f>
        <v>0</v>
      </c>
      <c r="X26" s="193">
        <f t="shared" si="12"/>
        <v>0</v>
      </c>
      <c r="Y26" s="171" t="e">
        <f t="shared" si="2"/>
        <v>#REF!</v>
      </c>
      <c r="Z26" s="103" t="e">
        <f t="shared" si="3"/>
        <v>#REF!</v>
      </c>
    </row>
    <row r="27" spans="1:26" x14ac:dyDescent="0.25">
      <c r="A27" s="194" t="s">
        <v>137</v>
      </c>
      <c r="B27" s="194" t="s">
        <v>224</v>
      </c>
      <c r="C27" s="194">
        <f>IF(COUNTIFS('Resultater - Danmark'!$D$3:$D$482,'Resultat-Produktion &amp; forbrug'!A27,'Resultater - Danmark'!$A$3:$A$482,"Til energi")+COUNTIFS('Resultater - Danmark'!$D$3:$D$482,'Resultat-Produktion &amp; forbrug'!A27,'Resultater - Danmark'!$A$3:$A$482,"Biogasanlæg")&gt;0,1,0)</f>
        <v>1</v>
      </c>
      <c r="D27" s="194">
        <f t="shared" si="8"/>
        <v>2019</v>
      </c>
      <c r="E27" s="192" t="s">
        <v>23</v>
      </c>
      <c r="F27" s="195">
        <f>IF(E27="Vestdanmark",SUMIFS(IF(D27=År1,'Resultater - Vestdanmark'!H$3:H$482,IF(D27=År2,'Resultater - Vestdanmark'!I$3:I$482,'Resultater - Vestdanmark'!J$3:J$482)),'Resultater - Vestdanmark'!$F$3:$F$482,$A27,IF(D27=År1,'Resultater - Vestdanmark'!H$3:H$482,IF(D27=År2,'Resultater - Vestdanmark'!I$3:I$482,'Resultater - Vestdanmark'!J$3:J$482)),"&gt;0"),SUMIFS(IF(D27=År1,'Resultater - Østdanmark'!H$3:H$482,IF(D27=År2,'Resultater - Østdanmark'!I$3:I$482,'Resultater - Østdanmark'!J$3:J$482)),'Resultater - Østdanmark'!$F$3:$F$482,$A27,IF(D27=År1,'Resultater - Østdanmark'!H$3:H$482,IF(D27=År2,'Resultater - Østdanmark'!I$3:I$482,'Resultater - Østdanmark'!J$3:J$482)),"&gt;0"))</f>
        <v>0</v>
      </c>
      <c r="G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92">
        <f>IF(E27="Vestdanmark",-IF(A27="Halm",SUMIFS(IF(D27=År1,'Resultater - Vestdanmark'!H$3:H$482,IF(D27=År2,'Resultater - Vestdanmark'!I$3:I$482,'Resultater - Vestdanmark'!J$3:J$482)),'Resultater - Vestdanmark'!$F$3:$F$482,$A27,'Resultater - Vestdanmark'!H$3:H$482,"&lt;0"),0),-IF(A27="Halm",SUMIFS(IF(D27=År1,'Resultater - Østdanmark'!H$3:H$482,IF(D27=År2,'Resultater - Østdanmark'!I$3:I$482,'Resultater - Østdanmark'!J$3:J$482)),'Resultater - Østdanmark'!$F$3:$F$482,$A27,'Resultater - Østdanmark'!H$3:H$482,"&lt;0"),0))</f>
        <v>0</v>
      </c>
      <c r="I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5" t="e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#REF!</v>
      </c>
      <c r="K27" s="195" t="e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#REF!</v>
      </c>
      <c r="L27" s="195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7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4" t="e">
        <f t="shared" si="9"/>
        <v>#REF!</v>
      </c>
      <c r="O27" s="195" t="e">
        <f t="shared" si="1"/>
        <v>#REF!</v>
      </c>
      <c r="P27" s="205" t="e">
        <f t="shared" si="10"/>
        <v>#REF!</v>
      </c>
      <c r="Q27" s="192" t="e">
        <f>IFERROR(VLOOKUP(A27,[1]Energiindhold!$A$2:$C$11,3,FALSE),IFERROR(VLOOKUP(A27,[1]Biogasudbytte!$A$2:$B$18,2,FALSE)*[1]Energiindhold!$C$10,0))*O27</f>
        <v>#REF!</v>
      </c>
      <c r="R27" s="192" t="e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#REF!</v>
      </c>
      <c r="S27" s="192" t="e">
        <f>IFERROR(VLOOKUP(A27,[1]Biogasudbytte!$A$2:$B$18,2,FALSE)*[1]Energiindhold!$C$10,0)*J27*IFERROR(VLOOKUP(A27,Biogasanlæg!$F$3:$G$8,2,FALSE),1)</f>
        <v>#REF!</v>
      </c>
      <c r="T27" s="193" t="e">
        <f t="shared" si="11"/>
        <v>#REF!</v>
      </c>
      <c r="U27" s="191" t="e">
        <f>O27*IFERROR(VLOOKUP(A27,[1]Tørstofindhold!A$2:B$24,2,FALSE),0)</f>
        <v>#REF!</v>
      </c>
      <c r="V27" s="192" t="e">
        <f>IF(D27=År1,P27,SUM(O27,P27))*IFERROR(VLOOKUP(A27,[1]Tørstofindhold!A$2:B$24,2,FALSE),0)</f>
        <v>#REF!</v>
      </c>
      <c r="W27" s="192" t="e">
        <f>J27*IFERROR(VLOOKUP(A27,[1]Tørstofindhold!A$2:B$24,2,FALSE),0)</f>
        <v>#REF!</v>
      </c>
      <c r="X27" s="193" t="e">
        <f t="shared" si="12"/>
        <v>#REF!</v>
      </c>
      <c r="Y27" s="171" t="e">
        <f t="shared" si="2"/>
        <v>#REF!</v>
      </c>
      <c r="Z27" s="103" t="e">
        <f t="shared" si="3"/>
        <v>#REF!</v>
      </c>
    </row>
    <row r="28" spans="1:26" x14ac:dyDescent="0.25">
      <c r="A28" s="194" t="s">
        <v>109</v>
      </c>
      <c r="B28" s="194"/>
      <c r="C28" s="194">
        <f>IF(COUNTIFS('Resultater - Danmark'!$D$3:$D$482,'Resultat-Produktion &amp; forbrug'!A28,'Resultater - Danmark'!$A$3:$A$482,"Til energi")+COUNTIFS('Resultater - Danmark'!$D$3:$D$482,'Resultat-Produktion &amp; forbrug'!A28,'Resultater - Danmark'!$A$3:$A$482,"Biogasanlæg")&gt;0,1,0)</f>
        <v>0</v>
      </c>
      <c r="D28" s="194">
        <f t="shared" si="8"/>
        <v>2019</v>
      </c>
      <c r="E28" s="192" t="s">
        <v>23</v>
      </c>
      <c r="F28" s="195">
        <f>IF(E28="Vestdanmark",SUMIFS(IF(D28=År1,'Resultater - Vestdanmark'!H$3:H$482,IF(D28=År2,'Resultater - Vestdanmark'!I$3:I$482,'Resultater - Vestdanmark'!J$3:J$482)),'Resultater - Vestdanmark'!$F$3:$F$482,$A28,IF(D28=År1,'Resultater - Vestdanmark'!H$3:H$482,IF(D28=År2,'Resultater - Vestdanmark'!I$3:I$482,'Resultater - Vestdanmark'!J$3:J$482)),"&gt;0"),SUMIFS(IF(D28=År1,'Resultater - Østdanmark'!H$3:H$482,IF(D28=År2,'Resultater - Østdanmark'!I$3:I$482,'Resultater - Østdanmark'!J$3:J$482)),'Resultater - Østdanmark'!$F$3:$F$482,$A28,IF(D28=År1,'Resultater - Østdanmark'!H$3:H$482,IF(D28=År2,'Resultater - Østdanmark'!I$3:I$482,'Resultater - Østdanmark'!J$3:J$482)),"&gt;0"))</f>
        <v>0</v>
      </c>
      <c r="G28" s="195" t="e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#REF!</v>
      </c>
      <c r="H28" s="192">
        <f>IF(E28="Vestdanmark",-IF(A28="Halm",SUMIFS(IF(D28=År1,'Resultater - Vestdanmark'!H$3:H$482,IF(D28=År2,'Resultater - Vestdanmark'!I$3:I$482,'Resultater - Vestdanmark'!J$3:J$482)),'Resultater - Vestdanmark'!$F$3:$F$482,$A28,'Resultater - Vestdanmark'!H$3:H$482,"&lt;0"),0),-IF(A28="Halm",SUMIFS(IF(D28=År1,'Resultater - Østdanmark'!H$3:H$482,IF(D28=År2,'Resultater - Østdanmark'!I$3:I$482,'Resultater - Østdanmark'!J$3:J$482)),'Resultater - Østdanmark'!$F$3:$F$482,$A28,'Resultater - Østdanmark'!H$3:H$482,"&lt;0"),0))</f>
        <v>0</v>
      </c>
      <c r="I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5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7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4" t="e">
        <f t="shared" si="9"/>
        <v>#REF!</v>
      </c>
      <c r="O28" s="195">
        <f t="shared" si="1"/>
        <v>0</v>
      </c>
      <c r="P28" s="205">
        <f t="shared" si="10"/>
        <v>0</v>
      </c>
      <c r="Q28" s="192">
        <f>IFERROR(VLOOKUP(A28,[1]Energiindhold!$A$2:$C$11,3,FALSE),IFERROR(VLOOKUP(A28,[1]Biogasudbytte!$A$2:$B$18,2,FALSE)*[1]Energiindhold!$C$10,0))*O28</f>
        <v>0</v>
      </c>
      <c r="R28" s="192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92">
        <f>IFERROR(VLOOKUP(A28,[1]Biogasudbytte!$A$2:$B$18,2,FALSE)*[1]Energiindhold!$C$10,0)*J28*IFERROR(VLOOKUP(A28,Biogasanlæg!$F$3:$G$8,2,FALSE),1)</f>
        <v>0</v>
      </c>
      <c r="T28" s="193">
        <f t="shared" si="11"/>
        <v>0</v>
      </c>
      <c r="U28" s="191">
        <f>O28*IFERROR(VLOOKUP(A28,[1]Tørstofindhold!A$2:B$24,2,FALSE),0)</f>
        <v>0</v>
      </c>
      <c r="V28" s="192">
        <f>IF(D28=År1,P28,SUM(O28,P28))*IFERROR(VLOOKUP(A28,[1]Tørstofindhold!A$2:B$24,2,FALSE),0)</f>
        <v>0</v>
      </c>
      <c r="W28" s="192">
        <f>J28*IFERROR(VLOOKUP(A28,[1]Tørstofindhold!A$2:B$24,2,FALSE),0)</f>
        <v>0</v>
      </c>
      <c r="X28" s="193">
        <f t="shared" si="12"/>
        <v>0</v>
      </c>
      <c r="Y28" s="171" t="e">
        <f t="shared" si="2"/>
        <v>#REF!</v>
      </c>
      <c r="Z28" s="103" t="e">
        <f t="shared" si="3"/>
        <v>#REF!</v>
      </c>
    </row>
    <row r="29" spans="1:26" x14ac:dyDescent="0.25">
      <c r="A29" s="192" t="s">
        <v>53</v>
      </c>
      <c r="B29" s="194" t="s">
        <v>226</v>
      </c>
      <c r="C29" s="194">
        <f>IF(COUNTIFS('Resultater - Danmark'!$D$3:$D$482,'Resultat-Produktion &amp; forbrug'!A29,'Resultater - Danmark'!$A$3:$A$482,"Til energi")+COUNTIFS('Resultater - Danmark'!$D$3:$D$482,'Resultat-Produktion &amp; forbrug'!A29,'Resultater - Danmark'!$A$3:$A$482,"Biogasanlæg")&gt;0,1,0)</f>
        <v>1</v>
      </c>
      <c r="D29" s="194">
        <f t="shared" si="8"/>
        <v>2019</v>
      </c>
      <c r="E29" s="192" t="s">
        <v>23</v>
      </c>
      <c r="F29" s="195">
        <f>IF(E29="Vestdanmark",SUMIFS(IF(D29=År1,'Resultater - Vestdanmark'!H$3:H$482,IF(D29=År2,'Resultater - Vestdanmark'!I$3:I$482,'Resultater - Vestdanmark'!J$3:J$482)),'Resultater - Vestdanmark'!$F$3:$F$482,$A29,IF(D29=År1,'Resultater - Vestdanmark'!H$3:H$482,IF(D29=År2,'Resultater - Vestdanmark'!I$3:I$482,'Resultater - Vestdanmark'!J$3:J$482)),"&gt;0"),SUMIFS(IF(D29=År1,'Resultater - Østdanmark'!H$3:H$482,IF(D29=År2,'Resultater - Østdanmark'!I$3:I$482,'Resultater - Østdanmark'!J$3:J$482)),'Resultater - Østdanmark'!$F$3:$F$482,$A29,IF(D29=År1,'Resultater - Østdanmark'!H$3:H$482,IF(D29=År2,'Resultater - Østdanmark'!I$3:I$482,'Resultater - Østdanmark'!J$3:J$482)),"&gt;0"))</f>
        <v>0</v>
      </c>
      <c r="G29" s="195" t="e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#REF!</v>
      </c>
      <c r="H29" s="192">
        <f>IF(E29="Vestdanmark",-IF(A29="Halm",SUMIFS(IF(D29=År1,'Resultater - Vestdanmark'!H$3:H$482,IF(D29=År2,'Resultater - Vestdanmark'!I$3:I$482,'Resultater - Vestdanmark'!J$3:J$482)),'Resultater - Vestdanmark'!$F$3:$F$482,$A29,'Resultater - Vestdanmark'!H$3:H$482,"&lt;0"),0),-IF(A29="Halm",SUMIFS(IF(D29=År1,'Resultater - Østdanmark'!H$3:H$482,IF(D29=År2,'Resultater - Østdanmark'!I$3:I$482,'Resultater - Østdanmark'!J$3:J$482)),'Resultater - Østdanmark'!$F$3:$F$482,$A29,'Resultater - Østdanmark'!H$3:H$482,"&lt;0"),0))</f>
        <v>0</v>
      </c>
      <c r="I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5" t="e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#REF!</v>
      </c>
      <c r="K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5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7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4" t="e">
        <f t="shared" si="9"/>
        <v>#REF!</v>
      </c>
      <c r="O29" s="195" t="e">
        <f t="shared" si="1"/>
        <v>#REF!</v>
      </c>
      <c r="P29" s="205" t="e">
        <f t="shared" si="10"/>
        <v>#REF!</v>
      </c>
      <c r="Q29" s="192" t="e">
        <f>IFERROR(VLOOKUP(A29,[1]Energiindhold!$A$2:$C$11,3,FALSE),IFERROR(VLOOKUP(A29,[1]Biogasudbytte!$A$2:$B$18,2,FALSE)*[1]Energiindhold!$C$10,0))*O29</f>
        <v>#REF!</v>
      </c>
      <c r="R29" s="192" t="e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#REF!</v>
      </c>
      <c r="S29" s="192" t="e">
        <f>IFERROR(VLOOKUP(A29,[1]Biogasudbytte!$A$2:$B$18,2,FALSE)*[1]Energiindhold!$C$10,0)*J29*IFERROR(VLOOKUP(A29,Biogasanlæg!$F$3:$G$8,2,FALSE),1)</f>
        <v>#REF!</v>
      </c>
      <c r="T29" s="193" t="e">
        <f t="shared" si="11"/>
        <v>#REF!</v>
      </c>
      <c r="U29" s="191" t="e">
        <f>O29*IFERROR(VLOOKUP(A29,[1]Tørstofindhold!A$2:B$24,2,FALSE),0)</f>
        <v>#REF!</v>
      </c>
      <c r="V29" s="192" t="e">
        <f>IF(D29=År1,P29,SUM(O29,P29))*IFERROR(VLOOKUP(A29,[1]Tørstofindhold!A$2:B$24,2,FALSE),0)</f>
        <v>#REF!</v>
      </c>
      <c r="W29" s="192" t="e">
        <f>J29*IFERROR(VLOOKUP(A29,[1]Tørstofindhold!A$2:B$24,2,FALSE),0)</f>
        <v>#REF!</v>
      </c>
      <c r="X29" s="193" t="e">
        <f t="shared" si="12"/>
        <v>#REF!</v>
      </c>
      <c r="Y29" s="171" t="e">
        <f t="shared" si="2"/>
        <v>#REF!</v>
      </c>
      <c r="Z29" s="103" t="e">
        <f t="shared" si="3"/>
        <v>#REF!</v>
      </c>
    </row>
    <row r="30" spans="1:26" x14ac:dyDescent="0.25">
      <c r="A30" s="194" t="s">
        <v>117</v>
      </c>
      <c r="B30" s="194"/>
      <c r="C30" s="194">
        <f>IF(COUNTIFS('Resultater - Danmark'!$D$3:$D$482,'Resultat-Produktion &amp; forbrug'!A30,'Resultater - Danmark'!$A$3:$A$482,"Til energi")+COUNTIFS('Resultater - Danmark'!$D$3:$D$482,'Resultat-Produktion &amp; forbrug'!A30,'Resultater - Danmark'!$A$3:$A$482,"Biogasanlæg")&gt;0,1,0)</f>
        <v>0</v>
      </c>
      <c r="D30" s="194">
        <f t="shared" si="8"/>
        <v>2019</v>
      </c>
      <c r="E30" s="192" t="s">
        <v>23</v>
      </c>
      <c r="F30" s="195">
        <f>IF(E30="Vestdanmark",SUMIFS(IF(D30=År1,'Resultater - Vestdanmark'!H$3:H$482,IF(D30=År2,'Resultater - Vestdanmark'!I$3:I$482,'Resultater - Vestdanmark'!J$3:J$482)),'Resultater - Vestdanmark'!$F$3:$F$482,$A30,IF(D30=År1,'Resultater - Vestdanmark'!H$3:H$482,IF(D30=År2,'Resultater - Vestdanmark'!I$3:I$482,'Resultater - Vestdanmark'!J$3:J$482)),"&gt;0"),SUMIFS(IF(D30=År1,'Resultater - Østdanmark'!H$3:H$482,IF(D30=År2,'Resultater - Østdanmark'!I$3:I$482,'Resultater - Østdanmark'!J$3:J$482)),'Resultater - Østdanmark'!$F$3:$F$482,$A30,IF(D30=År1,'Resultater - Østdanmark'!H$3:H$482,IF(D30=År2,'Resultater - Østdanmark'!I$3:I$482,'Resultater - Østdanmark'!J$3:J$482)),"&gt;0"))</f>
        <v>0</v>
      </c>
      <c r="G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92">
        <f>IF(E30="Vestdanmark",-IF(A30="Halm",SUMIFS(IF(D30=År1,'Resultater - Vestdanmark'!H$3:H$482,IF(D30=År2,'Resultater - Vestdanmark'!I$3:I$482,'Resultater - Vestdanmark'!J$3:J$482)),'Resultater - Vestdanmark'!$F$3:$F$482,$A30,'Resultater - Vestdanmark'!H$3:H$482,"&lt;0"),0),-IF(A30="Halm",SUMIFS(IF(D30=År1,'Resultater - Østdanmark'!H$3:H$482,IF(D30=År2,'Resultater - Østdanmark'!I$3:I$482,'Resultater - Østdanmark'!J$3:J$482)),'Resultater - Østdanmark'!$F$3:$F$482,$A30,'Resultater - Østdanmark'!H$3:H$482,"&lt;0"),0))</f>
        <v>0</v>
      </c>
      <c r="I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5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7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4">
        <f t="shared" si="9"/>
        <v>-457077.09579476295</v>
      </c>
      <c r="O30" s="195">
        <f t="shared" si="1"/>
        <v>0</v>
      </c>
      <c r="P30" s="205">
        <f t="shared" si="10"/>
        <v>0</v>
      </c>
      <c r="Q30" s="192">
        <f>IFERROR(VLOOKUP(A30,[1]Energiindhold!$A$2:$C$11,3,FALSE),IFERROR(VLOOKUP(A30,[1]Biogasudbytte!$A$2:$B$18,2,FALSE)*[1]Energiindhold!$C$10,0))*O30</f>
        <v>0</v>
      </c>
      <c r="R30" s="192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92">
        <f>IFERROR(VLOOKUP(A30,[1]Biogasudbytte!$A$2:$B$18,2,FALSE)*[1]Energiindhold!$C$10,0)*J30*IFERROR(VLOOKUP(A30,Biogasanlæg!$F$3:$G$8,2,FALSE),1)</f>
        <v>0</v>
      </c>
      <c r="T30" s="193">
        <f t="shared" si="11"/>
        <v>0</v>
      </c>
      <c r="U30" s="191">
        <f>O30*IFERROR(VLOOKUP(A30,[1]Tørstofindhold!A$2:B$24,2,FALSE),0)</f>
        <v>0</v>
      </c>
      <c r="V30" s="192">
        <f>IF(D30=År1,P30,SUM(O30,P30))*IFERROR(VLOOKUP(A30,[1]Tørstofindhold!A$2:B$24,2,FALSE),0)</f>
        <v>0</v>
      </c>
      <c r="W30" s="192">
        <f>J30*IFERROR(VLOOKUP(A30,[1]Tørstofindhold!A$2:B$24,2,FALSE),0)</f>
        <v>0</v>
      </c>
      <c r="X30" s="193">
        <f t="shared" si="12"/>
        <v>0</v>
      </c>
      <c r="Y30" s="171">
        <f t="shared" si="2"/>
        <v>1</v>
      </c>
      <c r="Z30" s="103">
        <f t="shared" si="3"/>
        <v>0</v>
      </c>
    </row>
    <row r="31" spans="1:26" x14ac:dyDescent="0.25">
      <c r="A31" s="194" t="s">
        <v>107</v>
      </c>
      <c r="B31" s="194" t="s">
        <v>228</v>
      </c>
      <c r="C31" s="194">
        <f>IF(COUNTIFS('Resultater - Danmark'!$D$3:$D$482,'Resultat-Produktion &amp; forbrug'!A31,'Resultater - Danmark'!$A$3:$A$482,"Til energi")+COUNTIFS('Resultater - Danmark'!$D$3:$D$482,'Resultat-Produktion &amp; forbrug'!A31,'Resultater - Danmark'!$A$3:$A$482,"Biogasanlæg")&gt;0,1,0)</f>
        <v>1</v>
      </c>
      <c r="D31" s="194">
        <f t="shared" si="8"/>
        <v>2019</v>
      </c>
      <c r="E31" s="192" t="s">
        <v>23</v>
      </c>
      <c r="F31" s="195">
        <f>IF(E31="Vestdanmark",SUMIFS(IF(D31=År1,'Resultater - Vestdanmark'!H$3:H$482,IF(D31=År2,'Resultater - Vestdanmark'!I$3:I$482,'Resultater - Vestdanmark'!J$3:J$482)),'Resultater - Vestdanmark'!$F$3:$F$482,$A31,IF(D31=År1,'Resultater - Vestdanmark'!H$3:H$482,IF(D31=År2,'Resultater - Vestdanmark'!I$3:I$482,'Resultater - Vestdanmark'!J$3:J$482)),"&gt;0"),SUMIFS(IF(D31=År1,'Resultater - Østdanmark'!H$3:H$482,IF(D31=År2,'Resultater - Østdanmark'!I$3:I$482,'Resultater - Østdanmark'!J$3:J$482)),'Resultater - Østdanmark'!$F$3:$F$482,$A31,IF(D31=År1,'Resultater - Østdanmark'!H$3:H$482,IF(D31=År2,'Resultater - Østdanmark'!I$3:I$482,'Resultater - Østdanmark'!J$3:J$482)),"&gt;0"))</f>
        <v>0</v>
      </c>
      <c r="G31" s="195" t="e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#REF!</v>
      </c>
      <c r="H31" s="192">
        <f>IF(E31="Vestdanmark",-IF(A31="Halm",SUMIFS(IF(D31=År1,'Resultater - Vestdanmark'!H$3:H$482,IF(D31=År2,'Resultater - Vestdanmark'!I$3:I$482,'Resultater - Vestdanmark'!J$3:J$482)),'Resultater - Vestdanmark'!$F$3:$F$482,$A31,'Resultater - Vestdanmark'!H$3:H$482,"&lt;0"),0),-IF(A31="Halm",SUMIFS(IF(D31=År1,'Resultater - Østdanmark'!H$3:H$482,IF(D31=År2,'Resultater - Østdanmark'!I$3:I$482,'Resultater - Østdanmark'!J$3:J$482)),'Resultater - Østdanmark'!$F$3:$F$482,$A31,'Resultater - Østdanmark'!H$3:H$482,"&lt;0"),0))</f>
        <v>0</v>
      </c>
      <c r="I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5" t="e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#REF!</v>
      </c>
      <c r="K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5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7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4" t="e">
        <f t="shared" si="9"/>
        <v>#REF!</v>
      </c>
      <c r="O31" s="195" t="e">
        <f t="shared" si="1"/>
        <v>#REF!</v>
      </c>
      <c r="P31" s="205" t="e">
        <f t="shared" si="10"/>
        <v>#REF!</v>
      </c>
      <c r="Q31" s="192" t="e">
        <f>IFERROR(VLOOKUP(A31,[1]Energiindhold!$A$2:$C$11,3,FALSE),IFERROR(VLOOKUP(A31,[1]Biogasudbytte!$A$2:$B$18,2,FALSE)*[1]Energiindhold!$C$10,0))*O31</f>
        <v>#REF!</v>
      </c>
      <c r="R31" s="192" t="e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#REF!</v>
      </c>
      <c r="S31" s="192" t="e">
        <f>IFERROR(VLOOKUP(A31,[1]Biogasudbytte!$A$2:$B$18,2,FALSE)*[1]Energiindhold!$C$10,0)*J31*IFERROR(VLOOKUP(A31,Biogasanlæg!$F$3:$G$8,2,FALSE),1)</f>
        <v>#REF!</v>
      </c>
      <c r="T31" s="193" t="e">
        <f t="shared" si="11"/>
        <v>#REF!</v>
      </c>
      <c r="U31" s="191" t="e">
        <f>O31*IFERROR(VLOOKUP(A31,[1]Tørstofindhold!A$2:B$24,2,FALSE),0)</f>
        <v>#REF!</v>
      </c>
      <c r="V31" s="192" t="e">
        <f>IF(D31=År1,P31,SUM(O31,P31))*IFERROR(VLOOKUP(A31,[1]Tørstofindhold!A$2:B$24,2,FALSE),0)</f>
        <v>#REF!</v>
      </c>
      <c r="W31" s="192" t="e">
        <f>J31*IFERROR(VLOOKUP(A31,[1]Tørstofindhold!A$2:B$24,2,FALSE),0)</f>
        <v>#REF!</v>
      </c>
      <c r="X31" s="193" t="e">
        <f t="shared" si="12"/>
        <v>#REF!</v>
      </c>
      <c r="Y31" s="171" t="e">
        <f t="shared" si="2"/>
        <v>#REF!</v>
      </c>
      <c r="Z31" s="103" t="e">
        <f t="shared" si="3"/>
        <v>#REF!</v>
      </c>
    </row>
    <row r="32" spans="1:26" x14ac:dyDescent="0.25">
      <c r="A32" s="194" t="s">
        <v>14</v>
      </c>
      <c r="B32" s="194"/>
      <c r="C32" s="194">
        <f>IF(COUNTIFS('Resultater - Danmark'!$D$3:$D$482,'Resultat-Produktion &amp; forbrug'!A32,'Resultater - Danmark'!$A$3:$A$482,"Til energi")+COUNTIFS('Resultater - Danmark'!$D$3:$D$482,'Resultat-Produktion &amp; forbrug'!A32,'Resultater - Danmark'!$A$3:$A$482,"Biogasanlæg")&gt;0,1,0)</f>
        <v>0</v>
      </c>
      <c r="D32" s="194">
        <f t="shared" si="8"/>
        <v>2019</v>
      </c>
      <c r="E32" s="192" t="s">
        <v>23</v>
      </c>
      <c r="F32" s="195">
        <f>IF(E32="Vestdanmark",SUMIFS(IF(D32=År1,'Resultater - Vestdanmark'!H$3:H$482,IF(D32=År2,'Resultater - Vestdanmark'!I$3:I$482,'Resultater - Vestdanmark'!J$3:J$482)),'Resultater - Vestdanmark'!$F$3:$F$482,$A32,IF(D32=År1,'Resultater - Vestdanmark'!H$3:H$482,IF(D32=År2,'Resultater - Vestdanmark'!I$3:I$482,'Resultater - Vestdanmark'!J$3:J$482)),"&gt;0"),SUMIFS(IF(D32=År1,'Resultater - Østdanmark'!H$3:H$482,IF(D32=År2,'Resultater - Østdanmark'!I$3:I$482,'Resultater - Østdanmark'!J$3:J$482)),'Resultater - Østdanmark'!$F$3:$F$482,$A32,IF(D32=År1,'Resultater - Østdanmark'!H$3:H$482,IF(D32=År2,'Resultater - Østdanmark'!I$3:I$482,'Resultater - Østdanmark'!J$3:J$482)),"&gt;0"))</f>
        <v>0</v>
      </c>
      <c r="G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92">
        <f>IF(E32="Vestdanmark",-IF(A32="Halm",SUMIFS(IF(D32=År1,'Resultater - Vestdanmark'!H$3:H$482,IF(D32=År2,'Resultater - Vestdanmark'!I$3:I$482,'Resultater - Vestdanmark'!J$3:J$482)),'Resultater - Vestdanmark'!$F$3:$F$482,$A32,'Resultater - Vestdanmark'!H$3:H$482,"&lt;0"),0),-IF(A32="Halm",SUMIFS(IF(D32=År1,'Resultater - Østdanmark'!H$3:H$482,IF(D32=År2,'Resultater - Østdanmark'!I$3:I$482,'Resultater - Østdanmark'!J$3:J$482)),'Resultater - Østdanmark'!$F$3:$F$482,$A32,'Resultater - Østdanmark'!H$3:H$482,"&lt;0"),0))</f>
        <v>0</v>
      </c>
      <c r="I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5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7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4">
        <f t="shared" si="9"/>
        <v>-58080.313724265572</v>
      </c>
      <c r="O32" s="195">
        <f t="shared" si="1"/>
        <v>0</v>
      </c>
      <c r="P32" s="205">
        <f t="shared" si="10"/>
        <v>0</v>
      </c>
      <c r="Q32" s="192">
        <f>IFERROR(VLOOKUP(A32,[1]Energiindhold!$A$2:$C$11,3,FALSE),IFERROR(VLOOKUP(A32,[1]Biogasudbytte!$A$2:$B$18,2,FALSE)*[1]Energiindhold!$C$10,0))*O32</f>
        <v>0</v>
      </c>
      <c r="R32" s="192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92">
        <f>IFERROR(VLOOKUP(A32,[1]Biogasudbytte!$A$2:$B$18,2,FALSE)*[1]Energiindhold!$C$10,0)*J32*IFERROR(VLOOKUP(A32,Biogasanlæg!$F$3:$G$8,2,FALSE),1)</f>
        <v>0</v>
      </c>
      <c r="T32" s="193">
        <f t="shared" si="11"/>
        <v>0</v>
      </c>
      <c r="U32" s="191">
        <f>O32*IFERROR(VLOOKUP(A32,[1]Tørstofindhold!A$2:B$24,2,FALSE),0)</f>
        <v>0</v>
      </c>
      <c r="V32" s="192">
        <f>IF(D32=År1,P32,SUM(O32,P32))*IFERROR(VLOOKUP(A32,[1]Tørstofindhold!A$2:B$24,2,FALSE),0)</f>
        <v>0</v>
      </c>
      <c r="W32" s="192">
        <f>J32*IFERROR(VLOOKUP(A32,[1]Tørstofindhold!A$2:B$24,2,FALSE),0)</f>
        <v>0</v>
      </c>
      <c r="X32" s="193">
        <f t="shared" si="12"/>
        <v>0</v>
      </c>
      <c r="Y32" s="171">
        <f t="shared" si="2"/>
        <v>1</v>
      </c>
      <c r="Z32" s="103">
        <f t="shared" si="3"/>
        <v>0</v>
      </c>
    </row>
    <row r="33" spans="1:26" x14ac:dyDescent="0.25">
      <c r="A33" s="194" t="s">
        <v>55</v>
      </c>
      <c r="B33" s="194"/>
      <c r="C33" s="194">
        <f>IF(COUNTIFS('Resultater - Danmark'!$D$3:$D$482,'Resultat-Produktion &amp; forbrug'!A33,'Resultater - Danmark'!$A$3:$A$482,"Til energi")+COUNTIFS('Resultater - Danmark'!$D$3:$D$482,'Resultat-Produktion &amp; forbrug'!A33,'Resultater - Danmark'!$A$3:$A$482,"Biogasanlæg")&gt;0,1,0)</f>
        <v>0</v>
      </c>
      <c r="D33" s="194">
        <f t="shared" si="8"/>
        <v>2019</v>
      </c>
      <c r="E33" s="192" t="s">
        <v>23</v>
      </c>
      <c r="F33" s="195">
        <f>IF(E33="Vestdanmark",SUMIFS(IF(D33=År1,'Resultater - Vestdanmark'!H$3:H$482,IF(D33=År2,'Resultater - Vestdanmark'!I$3:I$482,'Resultater - Vestdanmark'!J$3:J$482)),'Resultater - Vestdanmark'!$F$3:$F$482,$A33,IF(D33=År1,'Resultater - Vestdanmark'!H$3:H$482,IF(D33=År2,'Resultater - Vestdanmark'!I$3:I$482,'Resultater - Vestdanmark'!J$3:J$482)),"&gt;0"),SUMIFS(IF(D33=År1,'Resultater - Østdanmark'!H$3:H$482,IF(D33=År2,'Resultater - Østdanmark'!I$3:I$482,'Resultater - Østdanmark'!J$3:J$482)),'Resultater - Østdanmark'!$F$3:$F$482,$A33,IF(D33=År1,'Resultater - Østdanmark'!H$3:H$482,IF(D33=År2,'Resultater - Østdanmark'!I$3:I$482,'Resultater - Østdanmark'!J$3:J$482)),"&gt;0"))</f>
        <v>0</v>
      </c>
      <c r="G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92">
        <f>IF(E33="Vestdanmark",-IF(A33="Halm",SUMIFS(IF(D33=År1,'Resultater - Vestdanmark'!H$3:H$482,IF(D33=År2,'Resultater - Vestdanmark'!I$3:I$482,'Resultater - Vestdanmark'!J$3:J$482)),'Resultater - Vestdanmark'!$F$3:$F$482,$A33,'Resultater - Vestdanmark'!H$3:H$482,"&lt;0"),0),-IF(A33="Halm",SUMIFS(IF(D33=År1,'Resultater - Østdanmark'!H$3:H$482,IF(D33=År2,'Resultater - Østdanmark'!I$3:I$482,'Resultater - Østdanmark'!J$3:J$482)),'Resultater - Østdanmark'!$F$3:$F$482,$A33,'Resultater - Østdanmark'!H$3:H$482,"&lt;0"),0))</f>
        <v>0</v>
      </c>
      <c r="I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5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7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4">
        <f t="shared" si="9"/>
        <v>0</v>
      </c>
      <c r="O33" s="195">
        <f t="shared" si="1"/>
        <v>0</v>
      </c>
      <c r="P33" s="205">
        <f t="shared" si="10"/>
        <v>0</v>
      </c>
      <c r="Q33" s="192">
        <f>IFERROR(VLOOKUP(A33,[1]Energiindhold!$A$2:$C$11,3,FALSE),IFERROR(VLOOKUP(A33,[1]Biogasudbytte!$A$2:$B$18,2,FALSE)*[1]Energiindhold!$C$10,0))*O33</f>
        <v>0</v>
      </c>
      <c r="R33" s="192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92">
        <f>IFERROR(VLOOKUP(A33,[1]Biogasudbytte!$A$2:$B$18,2,FALSE)*[1]Energiindhold!$C$10,0)*J33*IFERROR(VLOOKUP(A33,Biogasanlæg!$F$3:$G$8,2,FALSE),1)</f>
        <v>0</v>
      </c>
      <c r="T33" s="193">
        <f t="shared" si="11"/>
        <v>0</v>
      </c>
      <c r="U33" s="191">
        <f>O33*IFERROR(VLOOKUP(A33,[1]Tørstofindhold!A$2:B$24,2,FALSE),0)</f>
        <v>0</v>
      </c>
      <c r="V33" s="192">
        <f>IF(D33=År1,P33,SUM(O33,P33))*IFERROR(VLOOKUP(A33,[1]Tørstofindhold!A$2:B$24,2,FALSE),0)</f>
        <v>0</v>
      </c>
      <c r="W33" s="192">
        <f>J33*IFERROR(VLOOKUP(A33,[1]Tørstofindhold!A$2:B$24,2,FALSE),0)</f>
        <v>0</v>
      </c>
      <c r="X33" s="193">
        <f t="shared" si="12"/>
        <v>0</v>
      </c>
      <c r="Y33" s="171">
        <f t="shared" si="2"/>
        <v>0</v>
      </c>
      <c r="Z33" s="103">
        <f t="shared" si="3"/>
        <v>0</v>
      </c>
    </row>
    <row r="34" spans="1:26" x14ac:dyDescent="0.25">
      <c r="A34" s="194" t="s">
        <v>96</v>
      </c>
      <c r="B34" s="194" t="s">
        <v>227</v>
      </c>
      <c r="C34" s="194">
        <f>IF(COUNTIFS('Resultater - Danmark'!$D$3:$D$482,'Resultat-Produktion &amp; forbrug'!A34,'Resultater - Danmark'!$A$3:$A$482,"Til energi")+COUNTIFS('Resultater - Danmark'!$D$3:$D$482,'Resultat-Produktion &amp; forbrug'!A34,'Resultater - Danmark'!$A$3:$A$482,"Biogasanlæg")&gt;0,1,0)</f>
        <v>1</v>
      </c>
      <c r="D34" s="194">
        <f t="shared" si="8"/>
        <v>2019</v>
      </c>
      <c r="E34" s="192" t="s">
        <v>23</v>
      </c>
      <c r="F34" s="195">
        <f>IF(E34="Vestdanmark",SUMIFS(IF(D34=År1,'Resultater - Vestdanmark'!H$3:H$482,IF(D34=År2,'Resultater - Vestdanmark'!I$3:I$482,'Resultater - Vestdanmark'!J$3:J$482)),'Resultater - Vestdanmark'!$F$3:$F$482,$A34,IF(D34=År1,'Resultater - Vestdanmark'!H$3:H$482,IF(D34=År2,'Resultater - Vestdanmark'!I$3:I$482,'Resultater - Vestdanmark'!J$3:J$482)),"&gt;0"),SUMIFS(IF(D34=År1,'Resultater - Østdanmark'!H$3:H$482,IF(D34=År2,'Resultater - Østdanmark'!I$3:I$482,'Resultater - Østdanmark'!J$3:J$482)),'Resultater - Østdanmark'!$F$3:$F$482,$A34,IF(D34=År1,'Resultater - Østdanmark'!H$3:H$482,IF(D34=År2,'Resultater - Østdanmark'!I$3:I$482,'Resultater - Østdanmark'!J$3:J$482)),"&gt;0"))</f>
        <v>0</v>
      </c>
      <c r="G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92">
        <f>IF(E34="Vestdanmark",-IF(A34="Halm",SUMIFS(IF(D34=År1,'Resultater - Vestdanmark'!H$3:H$482,IF(D34=År2,'Resultater - Vestdanmark'!I$3:I$482,'Resultater - Vestdanmark'!J$3:J$482)),'Resultater - Vestdanmark'!$F$3:$F$482,$A34,'Resultater - Vestdanmark'!H$3:H$482,"&lt;0"),0),-IF(A34="Halm",SUMIFS(IF(D34=År1,'Resultater - Østdanmark'!H$3:H$482,IF(D34=År2,'Resultater - Østdanmark'!I$3:I$482,'Resultater - Østdanmark'!J$3:J$482)),'Resultater - Østdanmark'!$F$3:$F$482,$A34,'Resultater - Østdanmark'!H$3:H$482,"&lt;0"),0))</f>
        <v>0</v>
      </c>
      <c r="I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5" t="e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#REF!</v>
      </c>
      <c r="M34" s="157" t="e">
        <f>SUMIFS('Forbrug af biomasse'!E:E,'Forbrug af biomasse'!C:C,'Resultat-Produktion &amp; forbrug'!$A34,'Forbrug af biomasse'!D:D,'Resultat-Produktion &amp; forbrug'!$D34,'Forbrug af biomasse'!G:G,1,'Forbrug af biomasse'!B:B,$E34)</f>
        <v>#REF!</v>
      </c>
      <c r="N34" s="204" t="e">
        <f t="shared" si="9"/>
        <v>#REF!</v>
      </c>
      <c r="O34" s="195" t="e">
        <f t="shared" si="1"/>
        <v>#REF!</v>
      </c>
      <c r="P34" s="205" t="e">
        <f t="shared" si="10"/>
        <v>#REF!</v>
      </c>
      <c r="Q34" s="192" t="e">
        <f>IFERROR(VLOOKUP(A34,[1]Energiindhold!$A$2:$C$11,3,FALSE),IFERROR(VLOOKUP(A34,[1]Biogasudbytte!$A$2:$B$18,2,FALSE)*[1]Energiindhold!$C$10,0))*O34</f>
        <v>#REF!</v>
      </c>
      <c r="R34" s="192" t="e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#REF!</v>
      </c>
      <c r="S34" s="192">
        <f>IFERROR(VLOOKUP(A34,[1]Biogasudbytte!$A$2:$B$18,2,FALSE)*[1]Energiindhold!$C$10,0)*J34*IFERROR(VLOOKUP(A34,Biogasanlæg!$F$3:$G$8,2,FALSE),1)</f>
        <v>0</v>
      </c>
      <c r="T34" s="193" t="e">
        <f t="shared" si="11"/>
        <v>#REF!</v>
      </c>
      <c r="U34" s="191" t="e">
        <f>O34*IFERROR(VLOOKUP(A34,[1]Tørstofindhold!A$2:B$24,2,FALSE),0)</f>
        <v>#REF!</v>
      </c>
      <c r="V34" s="192" t="e">
        <f>IF(D34=År1,P34,SUM(O34,P34))*IFERROR(VLOOKUP(A34,[1]Tørstofindhold!A$2:B$24,2,FALSE),0)</f>
        <v>#REF!</v>
      </c>
      <c r="W34" s="192">
        <f>J34*IFERROR(VLOOKUP(A34,[1]Tørstofindhold!A$2:B$24,2,FALSE),0)</f>
        <v>0</v>
      </c>
      <c r="X34" s="193" t="e">
        <f t="shared" si="12"/>
        <v>#REF!</v>
      </c>
      <c r="Y34" s="171" t="e">
        <f t="shared" si="2"/>
        <v>#REF!</v>
      </c>
      <c r="Z34" s="103" t="e">
        <f t="shared" si="3"/>
        <v>#REF!</v>
      </c>
    </row>
    <row r="35" spans="1:26" x14ac:dyDescent="0.25">
      <c r="A35" s="194" t="s">
        <v>316</v>
      </c>
      <c r="B35" s="194" t="s">
        <v>322</v>
      </c>
      <c r="C35" s="194">
        <f>IF(COUNTIFS('Resultater - Danmark'!$D$3:$D$482,'Resultat-Produktion &amp; forbrug'!A35,'Resultater - Danmark'!$A$3:$A$482,"Til energi")+COUNTIFS('Resultater - Danmark'!$D$3:$D$482,'Resultat-Produktion &amp; forbrug'!A35,'Resultater - Danmark'!$A$3:$A$482,"Biogasanlæg")&gt;0,1,0)</f>
        <v>1</v>
      </c>
      <c r="D35" s="194">
        <f t="shared" si="8"/>
        <v>2019</v>
      </c>
      <c r="E35" s="192" t="s">
        <v>23</v>
      </c>
      <c r="F35" s="195">
        <f>IF(E35="Vestdanmark",SUMIFS(IF(D35=År1,'Resultater - Vestdanmark'!H$3:H$482,IF(D35=År2,'Resultater - Vestdanmark'!I$3:I$482,'Resultater - Vestdanmark'!J$3:J$482)),'Resultater - Vestdanmark'!$F$3:$F$482,$A35,IF(D35=År1,'Resultater - Vestdanmark'!H$3:H$482,IF(D35=År2,'Resultater - Vestdanmark'!I$3:I$482,'Resultater - Vestdanmark'!J$3:J$482)),"&gt;0"),SUMIFS(IF(D35=År1,'Resultater - Østdanmark'!H$3:H$482,IF(D35=År2,'Resultater - Østdanmark'!I$3:I$482,'Resultater - Østdanmark'!J$3:J$482)),'Resultater - Østdanmark'!$F$3:$F$482,$A35,IF(D35=År1,'Resultater - Østdanmark'!H$3:H$482,IF(D35=År2,'Resultater - Østdanmark'!I$3:I$482,'Resultater - Østdanmark'!J$3:J$482)),"&gt;0"))</f>
        <v>0</v>
      </c>
      <c r="G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92">
        <f>IF(E35="Vestdanmark",-IF(A35="Halm",SUMIFS(IF(D35=År1,'Resultater - Vestdanmark'!H$3:H$482,IF(D35=År2,'Resultater - Vestdanmark'!I$3:I$482,'Resultater - Vestdanmark'!J$3:J$482)),'Resultater - Vestdanmark'!$F$3:$F$482,$A35,'Resultater - Vestdanmark'!H$3:H$482,"&lt;0"),0),-IF(A35="Halm",SUMIFS(IF(D35=År1,'Resultater - Østdanmark'!H$3:H$482,IF(D35=År2,'Resultater - Østdanmark'!I$3:I$482,'Resultater - Østdanmark'!J$3:J$482)),'Resultater - Østdanmark'!$F$3:$F$482,$A35,'Resultater - Østdanmark'!H$3:H$482,"&lt;0"),0))</f>
        <v>0</v>
      </c>
      <c r="I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5" t="e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#REF!</v>
      </c>
      <c r="M35" s="157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4" t="e">
        <f t="shared" ref="N35:N36" si="13">F35-SUM(G35:M35)</f>
        <v>#REF!</v>
      </c>
      <c r="O35" s="195" t="e">
        <f t="shared" si="1"/>
        <v>#REF!</v>
      </c>
      <c r="P35" s="205" t="e">
        <f t="shared" ref="P35:P36" si="14">SUM(J35,L35)</f>
        <v>#REF!</v>
      </c>
      <c r="Q35" s="192" t="e">
        <f>IFERROR(VLOOKUP(A35,[1]Energiindhold!$A$2:$C$11,3,FALSE),IFERROR(VLOOKUP(A35,[1]Biogasudbytte!$A$2:$B$18,2,FALSE)*[1]Energiindhold!$C$10,0))*O35</f>
        <v>#REF!</v>
      </c>
      <c r="R35" s="192" t="e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#REF!</v>
      </c>
      <c r="S35" s="192">
        <f>IFERROR(VLOOKUP(A35,[1]Biogasudbytte!$A$2:$B$18,2,FALSE)*[1]Energiindhold!$C$10,0)*J35*IFERROR(VLOOKUP(A35,Biogasanlæg!$F$3:$G$8,2,FALSE),1)</f>
        <v>0</v>
      </c>
      <c r="T35" s="193" t="e">
        <f t="shared" ref="T35:T36" si="15">R35-S35</f>
        <v>#REF!</v>
      </c>
      <c r="U35" s="191" t="e">
        <f>O35*IFERROR(VLOOKUP(A35,[1]Tørstofindhold!A$2:B$24,2,FALSE),0)</f>
        <v>#REF!</v>
      </c>
      <c r="V35" s="192" t="e">
        <f>IF(D35=År1,P35,SUM(O35,P35))*IFERROR(VLOOKUP(A35,[1]Tørstofindhold!A$2:B$24,2,FALSE),0)</f>
        <v>#REF!</v>
      </c>
      <c r="W35" s="192">
        <f>J35*IFERROR(VLOOKUP(A35,[1]Tørstofindhold!A$2:B$24,2,FALSE),0)</f>
        <v>0</v>
      </c>
      <c r="X35" s="193" t="e">
        <f t="shared" ref="X35:X36" si="16">V35-W35</f>
        <v>#REF!</v>
      </c>
      <c r="Y35" s="171" t="e">
        <f t="shared" si="2"/>
        <v>#REF!</v>
      </c>
      <c r="Z35" s="103" t="e">
        <f t="shared" si="3"/>
        <v>#REF!</v>
      </c>
    </row>
    <row r="36" spans="1:26" x14ac:dyDescent="0.25">
      <c r="A36" s="194" t="s">
        <v>317</v>
      </c>
      <c r="B36" s="194" t="s">
        <v>322</v>
      </c>
      <c r="C36" s="194">
        <f>IF(COUNTIFS('Resultater - Danmark'!$D$3:$D$482,'Resultat-Produktion &amp; forbrug'!A36,'Resultater - Danmark'!$A$3:$A$482,"Til energi")+COUNTIFS('Resultater - Danmark'!$D$3:$D$482,'Resultat-Produktion &amp; forbrug'!A36,'Resultater - Danmark'!$A$3:$A$482,"Biogasanlæg")&gt;0,1,0)</f>
        <v>1</v>
      </c>
      <c r="D36" s="194">
        <f t="shared" si="8"/>
        <v>2019</v>
      </c>
      <c r="E36" s="192" t="s">
        <v>23</v>
      </c>
      <c r="F36" s="195">
        <f>IF(E36="Vestdanmark",SUMIFS(IF(D36=År1,'Resultater - Vestdanmark'!H$3:H$482,IF(D36=År2,'Resultater - Vestdanmark'!I$3:I$482,'Resultater - Vestdanmark'!J$3:J$482)),'Resultater - Vestdanmark'!$F$3:$F$482,$A36,IF(D36=År1,'Resultater - Vestdanmark'!H$3:H$482,IF(D36=År2,'Resultater - Vestdanmark'!I$3:I$482,'Resultater - Vestdanmark'!J$3:J$482)),"&gt;0"),SUMIFS(IF(D36=År1,'Resultater - Østdanmark'!H$3:H$482,IF(D36=År2,'Resultater - Østdanmark'!I$3:I$482,'Resultater - Østdanmark'!J$3:J$482)),'Resultater - Østdanmark'!$F$3:$F$482,$A36,IF(D36=År1,'Resultater - Østdanmark'!H$3:H$482,IF(D36=År2,'Resultater - Østdanmark'!I$3:I$482,'Resultater - Østdanmark'!J$3:J$482)),"&gt;0"))</f>
        <v>0</v>
      </c>
      <c r="G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92">
        <f>IF(E36="Vestdanmark",-IF(A36="Halm",SUMIFS(IF(D36=År1,'Resultater - Vestdanmark'!H$3:H$482,IF(D36=År2,'Resultater - Vestdanmark'!I$3:I$482,'Resultater - Vestdanmark'!J$3:J$482)),'Resultater - Vestdanmark'!$F$3:$F$482,$A36,'Resultater - Vestdanmark'!H$3:H$482,"&lt;0"),0),-IF(A36="Halm",SUMIFS(IF(D36=År1,'Resultater - Østdanmark'!H$3:H$482,IF(D36=År2,'Resultater - Østdanmark'!I$3:I$482,'Resultater - Østdanmark'!J$3:J$482)),'Resultater - Østdanmark'!$F$3:$F$482,$A36,'Resultater - Østdanmark'!H$3:H$482,"&lt;0"),0))</f>
        <v>0</v>
      </c>
      <c r="I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5" t="e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#REF!</v>
      </c>
      <c r="M36" s="157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4" t="e">
        <f t="shared" si="13"/>
        <v>#REF!</v>
      </c>
      <c r="O36" s="195" t="e">
        <f t="shared" si="1"/>
        <v>#REF!</v>
      </c>
      <c r="P36" s="205" t="e">
        <f t="shared" si="14"/>
        <v>#REF!</v>
      </c>
      <c r="Q36" s="192" t="e">
        <f>IFERROR(VLOOKUP(A36,[1]Energiindhold!$A$2:$C$11,3,FALSE),IFERROR(VLOOKUP(A36,[1]Biogasudbytte!$A$2:$B$18,2,FALSE)*[1]Energiindhold!$C$10,0))*O36</f>
        <v>#REF!</v>
      </c>
      <c r="R36" s="192" t="e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#REF!</v>
      </c>
      <c r="S36" s="192">
        <f>IFERROR(VLOOKUP(A36,[1]Biogasudbytte!$A$2:$B$18,2,FALSE)*[1]Energiindhold!$C$10,0)*J36*IFERROR(VLOOKUP(A36,Biogasanlæg!$F$3:$G$8,2,FALSE),1)</f>
        <v>0</v>
      </c>
      <c r="T36" s="193" t="e">
        <f t="shared" si="15"/>
        <v>#REF!</v>
      </c>
      <c r="U36" s="191" t="e">
        <f>O36*IFERROR(VLOOKUP(A36,[1]Tørstofindhold!A$2:B$24,2,FALSE),0)</f>
        <v>#REF!</v>
      </c>
      <c r="V36" s="192" t="e">
        <f>IF(D36=År1,P36,SUM(O36,P36))*IFERROR(VLOOKUP(A36,[1]Tørstofindhold!A$2:B$24,2,FALSE),0)</f>
        <v>#REF!</v>
      </c>
      <c r="W36" s="192">
        <f>J36*IFERROR(VLOOKUP(A36,[1]Tørstofindhold!A$2:B$24,2,FALSE),0)</f>
        <v>0</v>
      </c>
      <c r="X36" s="193" t="e">
        <f t="shared" si="16"/>
        <v>#REF!</v>
      </c>
      <c r="Y36" s="171" t="e">
        <f t="shared" si="2"/>
        <v>#REF!</v>
      </c>
      <c r="Z36" s="103" t="e">
        <f t="shared" si="3"/>
        <v>#REF!</v>
      </c>
    </row>
    <row r="37" spans="1:26" x14ac:dyDescent="0.25">
      <c r="A37" s="194" t="s">
        <v>118</v>
      </c>
      <c r="B37" s="194"/>
      <c r="C37" s="194">
        <f>IF(COUNTIFS('Resultater - Danmark'!$D$3:$D$482,'Resultat-Produktion &amp; forbrug'!A37,'Resultater - Danmark'!$A$3:$A$482,"Til energi")+COUNTIFS('Resultater - Danmark'!$D$3:$D$482,'Resultat-Produktion &amp; forbrug'!A37,'Resultater - Danmark'!$A$3:$A$482,"Biogasanlæg")&gt;0,1,0)</f>
        <v>0</v>
      </c>
      <c r="D37" s="194">
        <f t="shared" si="8"/>
        <v>2019</v>
      </c>
      <c r="E37" s="192" t="s">
        <v>23</v>
      </c>
      <c r="F37" s="195">
        <f>IF(E37="Vestdanmark",SUMIFS(IF(D37=År1,'Resultater - Vestdanmark'!H$3:H$482,IF(D37=År2,'Resultater - Vestdanmark'!I$3:I$482,'Resultater - Vestdanmark'!J$3:J$482)),'Resultater - Vestdanmark'!$F$3:$F$482,$A37,IF(D37=År1,'Resultater - Vestdanmark'!H$3:H$482,IF(D37=År2,'Resultater - Vestdanmark'!I$3:I$482,'Resultater - Vestdanmark'!J$3:J$482)),"&gt;0"),SUMIFS(IF(D37=År1,'Resultater - Østdanmark'!H$3:H$482,IF(D37=År2,'Resultater - Østdanmark'!I$3:I$482,'Resultater - Østdanmark'!J$3:J$482)),'Resultater - Østdanmark'!$F$3:$F$482,$A37,IF(D37=År1,'Resultater - Østdanmark'!H$3:H$482,IF(D37=År2,'Resultater - Østdanmark'!I$3:I$482,'Resultater - Østdanmark'!J$3:J$482)),"&gt;0"))</f>
        <v>0</v>
      </c>
      <c r="G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92">
        <f>IF(E37="Vestdanmark",-IF(A37="Halm",SUMIFS(IF(D37=År1,'Resultater - Vestdanmark'!H$3:H$482,IF(D37=År2,'Resultater - Vestdanmark'!I$3:I$482,'Resultater - Vestdanmark'!J$3:J$482)),'Resultater - Vestdanmark'!$F$3:$F$482,$A37,'Resultater - Vestdanmark'!H$3:H$482,"&lt;0"),0),-IF(A37="Halm",SUMIFS(IF(D37=År1,'Resultater - Østdanmark'!H$3:H$482,IF(D37=År2,'Resultater - Østdanmark'!I$3:I$482,'Resultater - Østdanmark'!J$3:J$482)),'Resultater - Østdanmark'!$F$3:$F$482,$A37,'Resultater - Østdanmark'!H$3:H$482,"&lt;0"),0))</f>
        <v>0</v>
      </c>
      <c r="I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5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7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4">
        <f t="shared" si="9"/>
        <v>0</v>
      </c>
      <c r="O37" s="195">
        <f t="shared" si="1"/>
        <v>0</v>
      </c>
      <c r="P37" s="205">
        <f t="shared" si="10"/>
        <v>0</v>
      </c>
      <c r="Q37" s="192">
        <f>IFERROR(VLOOKUP(A37,[1]Energiindhold!$A$2:$C$11,3,FALSE),IFERROR(VLOOKUP(A37,[1]Biogasudbytte!$A$2:$B$18,2,FALSE)*[1]Energiindhold!$C$10,0))*O37</f>
        <v>0</v>
      </c>
      <c r="R37" s="192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92">
        <f>IFERROR(VLOOKUP(A37,[1]Biogasudbytte!$A$2:$B$18,2,FALSE)*[1]Energiindhold!$C$10,0)*J37*IFERROR(VLOOKUP(A37,Biogasanlæg!$F$3:$G$8,2,FALSE),1)</f>
        <v>0</v>
      </c>
      <c r="T37" s="193">
        <f t="shared" si="11"/>
        <v>0</v>
      </c>
      <c r="U37" s="191">
        <f>O37*IFERROR(VLOOKUP(A37,[1]Tørstofindhold!A$2:B$24,2,FALSE),0)</f>
        <v>0</v>
      </c>
      <c r="V37" s="192">
        <f>IF(D37=År1,P37,SUM(O37,P37))*IFERROR(VLOOKUP(A37,[1]Tørstofindhold!A$2:B$24,2,FALSE),0)</f>
        <v>0</v>
      </c>
      <c r="W37" s="192">
        <f>J37*IFERROR(VLOOKUP(A37,[1]Tørstofindhold!A$2:B$24,2,FALSE),0)</f>
        <v>0</v>
      </c>
      <c r="X37" s="193">
        <f t="shared" si="12"/>
        <v>0</v>
      </c>
      <c r="Y37" s="171">
        <f t="shared" si="2"/>
        <v>0</v>
      </c>
      <c r="Z37" s="103">
        <f t="shared" si="3"/>
        <v>0</v>
      </c>
    </row>
    <row r="38" spans="1:26" x14ac:dyDescent="0.25">
      <c r="A38" s="192" t="s">
        <v>50</v>
      </c>
      <c r="B38" s="194"/>
      <c r="C38" s="194">
        <f>IF(COUNTIFS('Resultater - Danmark'!$D$3:$D$482,'Resultat-Produktion &amp; forbrug'!A38,'Resultater - Danmark'!$A$3:$A$482,"Til energi")+COUNTIFS('Resultater - Danmark'!$D$3:$D$482,'Resultat-Produktion &amp; forbrug'!A38,'Resultater - Danmark'!$A$3:$A$482,"Biogasanlæg")&gt;0,1,0)</f>
        <v>0</v>
      </c>
      <c r="D38" s="194">
        <f t="shared" si="8"/>
        <v>2019</v>
      </c>
      <c r="E38" s="192" t="s">
        <v>23</v>
      </c>
      <c r="F38" s="195">
        <f>IF(E38="Vestdanmark",SUMIFS(IF(D38=År1,'Resultater - Vestdanmark'!H$3:H$482,IF(D38=År2,'Resultater - Vestdanmark'!I$3:I$482,'Resultater - Vestdanmark'!J$3:J$482)),'Resultater - Vestdanmark'!$F$3:$F$482,$A38,IF(D38=År1,'Resultater - Vestdanmark'!H$3:H$482,IF(D38=År2,'Resultater - Vestdanmark'!I$3:I$482,'Resultater - Vestdanmark'!J$3:J$482)),"&gt;0"),SUMIFS(IF(D38=År1,'Resultater - Østdanmark'!H$3:H$482,IF(D38=År2,'Resultater - Østdanmark'!I$3:I$482,'Resultater - Østdanmark'!J$3:J$482)),'Resultater - Østdanmark'!$F$3:$F$482,$A38,IF(D38=År1,'Resultater - Østdanmark'!H$3:H$482,IF(D38=År2,'Resultater - Østdanmark'!I$3:I$482,'Resultater - Østdanmark'!J$3:J$482)),"&gt;0"))</f>
        <v>0</v>
      </c>
      <c r="G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92">
        <f>IF(E38="Vestdanmark",-IF(A38="Halm",SUMIFS(IF(D38=År1,'Resultater - Vestdanmark'!H$3:H$482,IF(D38=År2,'Resultater - Vestdanmark'!I$3:I$482,'Resultater - Vestdanmark'!J$3:J$482)),'Resultater - Vestdanmark'!$F$3:$F$482,$A38,'Resultater - Vestdanmark'!H$3:H$482,"&lt;0"),0),-IF(A38="Halm",SUMIFS(IF(D38=År1,'Resultater - Østdanmark'!H$3:H$482,IF(D38=År2,'Resultater - Østdanmark'!I$3:I$482,'Resultater - Østdanmark'!J$3:J$482)),'Resultater - Østdanmark'!$F$3:$F$482,$A38,'Resultater - Østdanmark'!H$3:H$482,"&lt;0"),0))</f>
        <v>0</v>
      </c>
      <c r="I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5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7" t="e">
        <f>SUMIFS('Forbrug af biomasse'!E:E,'Forbrug af biomasse'!C:C,'Resultat-Produktion &amp; forbrug'!$A38,'Forbrug af biomasse'!D:D,'Resultat-Produktion &amp; forbrug'!$D38,'Forbrug af biomasse'!G:G,1,'Forbrug af biomasse'!B:B,$E38)</f>
        <v>#REF!</v>
      </c>
      <c r="N38" s="204" t="e">
        <f t="shared" si="9"/>
        <v>#REF!</v>
      </c>
      <c r="O38" s="195">
        <f t="shared" si="1"/>
        <v>0</v>
      </c>
      <c r="P38" s="205">
        <f t="shared" si="10"/>
        <v>0</v>
      </c>
      <c r="Q38" s="192">
        <f>IFERROR(VLOOKUP(A38,[1]Energiindhold!$A$2:$C$11,3,FALSE),IFERROR(VLOOKUP(A38,[1]Biogasudbytte!$A$2:$B$18,2,FALSE)*[1]Energiindhold!$C$10,0))*O38</f>
        <v>0</v>
      </c>
      <c r="R38" s="192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92">
        <f>IFERROR(VLOOKUP(A38,[1]Biogasudbytte!$A$2:$B$18,2,FALSE)*[1]Energiindhold!$C$10,0)*J38*IFERROR(VLOOKUP(A38,Biogasanlæg!$F$3:$G$8,2,FALSE),1)</f>
        <v>0</v>
      </c>
      <c r="T38" s="193">
        <f t="shared" si="11"/>
        <v>0</v>
      </c>
      <c r="U38" s="191">
        <f>O38*IFERROR(VLOOKUP(A38,[1]Tørstofindhold!A$2:B$24,2,FALSE),0)</f>
        <v>0</v>
      </c>
      <c r="V38" s="192">
        <f>IF(D38=År1,P38,SUM(O38,P38))*IFERROR(VLOOKUP(A38,[1]Tørstofindhold!A$2:B$24,2,FALSE),0)</f>
        <v>0</v>
      </c>
      <c r="W38" s="192">
        <f>J38*IFERROR(VLOOKUP(A38,[1]Tørstofindhold!A$2:B$24,2,FALSE),0)</f>
        <v>0</v>
      </c>
      <c r="X38" s="193">
        <f t="shared" si="12"/>
        <v>0</v>
      </c>
      <c r="Y38" s="171" t="e">
        <f t="shared" si="2"/>
        <v>#REF!</v>
      </c>
      <c r="Z38" s="103" t="e">
        <f t="shared" si="3"/>
        <v>#REF!</v>
      </c>
    </row>
    <row r="39" spans="1:26" x14ac:dyDescent="0.25">
      <c r="A39" s="192" t="s">
        <v>240</v>
      </c>
      <c r="B39" s="194"/>
      <c r="C39" s="194">
        <f>IF(COUNTIFS('Resultater - Danmark'!$D$3:$D$482,'Resultat-Produktion &amp; forbrug'!A39,'Resultater - Danmark'!$A$3:$A$482,"Til energi")+COUNTIFS('Resultater - Danmark'!$D$3:$D$482,'Resultat-Produktion &amp; forbrug'!A39,'Resultater - Danmark'!$A$3:$A$482,"Biogasanlæg")&gt;0,1,0)</f>
        <v>0</v>
      </c>
      <c r="D39" s="194">
        <f t="shared" si="8"/>
        <v>2019</v>
      </c>
      <c r="E39" s="192" t="s">
        <v>23</v>
      </c>
      <c r="F39" s="195">
        <f>IF(E39="Vestdanmark",SUMIFS(IF(D39=År1,'Resultater - Vestdanmark'!H$3:H$482,IF(D39=År2,'Resultater - Vestdanmark'!I$3:I$482,'Resultater - Vestdanmark'!J$3:J$482)),'Resultater - Vestdanmark'!$F$3:$F$482,$A39,IF(D39=År1,'Resultater - Vestdanmark'!H$3:H$482,IF(D39=År2,'Resultater - Vestdanmark'!I$3:I$482,'Resultater - Vestdanmark'!J$3:J$482)),"&gt;0"),SUMIFS(IF(D39=År1,'Resultater - Østdanmark'!H$3:H$482,IF(D39=År2,'Resultater - Østdanmark'!I$3:I$482,'Resultater - Østdanmark'!J$3:J$482)),'Resultater - Østdanmark'!$F$3:$F$482,$A39,IF(D39=År1,'Resultater - Østdanmark'!H$3:H$482,IF(D39=År2,'Resultater - Østdanmark'!I$3:I$482,'Resultater - Østdanmark'!J$3:J$482)),"&gt;0"))</f>
        <v>0</v>
      </c>
      <c r="G39" s="195" t="e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#REF!</v>
      </c>
      <c r="H39" s="192">
        <f>IF(E39="Vestdanmark",-IF(A39="Halm",SUMIFS(IF(D39=År1,'Resultater - Vestdanmark'!H$3:H$482,IF(D39=År2,'Resultater - Vestdanmark'!I$3:I$482,'Resultater - Vestdanmark'!J$3:J$482)),'Resultater - Vestdanmark'!$F$3:$F$482,$A39,'Resultater - Vestdanmark'!H$3:H$482,"&lt;0"),0),-IF(A39="Halm",SUMIFS(IF(D39=År1,'Resultater - Østdanmark'!H$3:H$482,IF(D39=År2,'Resultater - Østdanmark'!I$3:I$482,'Resultater - Østdanmark'!J$3:J$482)),'Resultater - Østdanmark'!$F$3:$F$482,$A39,'Resultater - Østdanmark'!H$3:H$482,"&lt;0"),0))</f>
        <v>0</v>
      </c>
      <c r="I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5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7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4" t="e">
        <f t="shared" si="9"/>
        <v>#REF!</v>
      </c>
      <c r="O39" s="195">
        <f t="shared" si="1"/>
        <v>0</v>
      </c>
      <c r="P39" s="205">
        <f t="shared" si="10"/>
        <v>0</v>
      </c>
      <c r="Q39" s="192">
        <f>IFERROR(VLOOKUP(A39,[1]Energiindhold!$A$2:$C$11,3,FALSE),IFERROR(VLOOKUP(A39,[1]Biogasudbytte!$A$2:$B$18,2,FALSE)*[1]Energiindhold!$C$10,0))*O39</f>
        <v>0</v>
      </c>
      <c r="R39" s="192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92">
        <f>IFERROR(VLOOKUP(A39,[1]Biogasudbytte!$A$2:$B$18,2,FALSE)*[1]Energiindhold!$C$10,0)*J39*IFERROR(VLOOKUP(A39,Biogasanlæg!$F$3:$G$8,2,FALSE),1)</f>
        <v>0</v>
      </c>
      <c r="T39" s="193">
        <f t="shared" si="11"/>
        <v>0</v>
      </c>
      <c r="U39" s="191">
        <f>O39*IFERROR(VLOOKUP(A39,[1]Tørstofindhold!A$2:B$24,2,FALSE),0)</f>
        <v>0</v>
      </c>
      <c r="V39" s="192">
        <f>IF(D39=År1,P39,SUM(O39,P39))*IFERROR(VLOOKUP(A39,[1]Tørstofindhold!A$2:B$24,2,FALSE),0)</f>
        <v>0</v>
      </c>
      <c r="W39" s="192">
        <f>J39*IFERROR(VLOOKUP(A39,[1]Tørstofindhold!A$2:B$24,2,FALSE),0)</f>
        <v>0</v>
      </c>
      <c r="X39" s="193">
        <f t="shared" si="12"/>
        <v>0</v>
      </c>
      <c r="Y39" s="171" t="e">
        <f t="shared" si="2"/>
        <v>#REF!</v>
      </c>
      <c r="Z39" s="103" t="e">
        <f t="shared" si="3"/>
        <v>#REF!</v>
      </c>
    </row>
    <row r="40" spans="1:26" x14ac:dyDescent="0.25">
      <c r="A40" s="192" t="s">
        <v>233</v>
      </c>
      <c r="B40" s="194" t="s">
        <v>233</v>
      </c>
      <c r="C40" s="194">
        <f>IF(COUNTIFS('Resultater - Danmark'!$D$3:$D$482,'Resultat-Produktion &amp; forbrug'!A40,'Resultater - Danmark'!$A$3:$A$482,"Til energi")+COUNTIFS('Resultater - Danmark'!$D$3:$D$482,'Resultat-Produktion &amp; forbrug'!A40,'Resultater - Danmark'!$A$3:$A$482,"Biogasanlæg")&gt;0,1,0)</f>
        <v>1</v>
      </c>
      <c r="D40" s="194">
        <f t="shared" si="8"/>
        <v>2019</v>
      </c>
      <c r="E40" s="192" t="s">
        <v>23</v>
      </c>
      <c r="F40" s="195">
        <f>IF(E40="Vestdanmark",SUMIFS(IF(D40=År1,'Resultater - Vestdanmark'!H$3:H$482,IF(D40=År2,'Resultater - Vestdanmark'!I$3:I$482,'Resultater - Vestdanmark'!J$3:J$482)),'Resultater - Vestdanmark'!$F$3:$F$482,$A40,IF(D40=År1,'Resultater - Vestdanmark'!H$3:H$482,IF(D40=År2,'Resultater - Vestdanmark'!I$3:I$482,'Resultater - Vestdanmark'!J$3:J$482)),"&gt;0"),SUMIFS(IF(D40=År1,'Resultater - Østdanmark'!H$3:H$482,IF(D40=År2,'Resultater - Østdanmark'!I$3:I$482,'Resultater - Østdanmark'!J$3:J$482)),'Resultater - Østdanmark'!$F$3:$F$482,$A40,IF(D40=År1,'Resultater - Østdanmark'!H$3:H$482,IF(D40=År2,'Resultater - Østdanmark'!I$3:I$482,'Resultater - Østdanmark'!J$3:J$482)),"&gt;0"))</f>
        <v>0</v>
      </c>
      <c r="G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92">
        <f>IF(E40="Vestdanmark",-IF(A40="Halm",SUMIFS(IF(D40=År1,'Resultater - Vestdanmark'!H$3:H$482,IF(D40=År2,'Resultater - Vestdanmark'!I$3:I$482,'Resultater - Vestdanmark'!J$3:J$482)),'Resultater - Vestdanmark'!$F$3:$F$482,$A40,'Resultater - Vestdanmark'!H$3:H$482,"&lt;0"),0),-IF(A40="Halm",SUMIFS(IF(D40=År1,'Resultater - Østdanmark'!H$3:H$482,IF(D40=År2,'Resultater - Østdanmark'!I$3:I$482,'Resultater - Østdanmark'!J$3:J$482)),'Resultater - Østdanmark'!$F$3:$F$482,$A40,'Resultater - Østdanmark'!H$3:H$482,"&lt;0"),0))</f>
        <v>0</v>
      </c>
      <c r="I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5" t="e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#REF!</v>
      </c>
      <c r="M40" s="157" t="e">
        <f>SUMIFS('Forbrug af biomasse'!E:E,'Forbrug af biomasse'!C:C,'Resultat-Produktion &amp; forbrug'!$A40,'Forbrug af biomasse'!D:D,'Resultat-Produktion &amp; forbrug'!$D40,'Forbrug af biomasse'!G:G,1,'Forbrug af biomasse'!B:B,$E40)</f>
        <v>#REF!</v>
      </c>
      <c r="N40" s="204" t="e">
        <f t="shared" si="9"/>
        <v>#REF!</v>
      </c>
      <c r="O40" s="195" t="e">
        <f t="shared" si="1"/>
        <v>#REF!</v>
      </c>
      <c r="P40" s="205" t="e">
        <f t="shared" si="10"/>
        <v>#REF!</v>
      </c>
      <c r="Q40" s="192" t="e">
        <f>IFERROR(VLOOKUP(A40,[1]Energiindhold!$A$2:$C$11,3,FALSE),IFERROR(VLOOKUP(A40,[1]Biogasudbytte!$A$2:$B$18,2,FALSE)*[1]Energiindhold!$C$10,0))*O40</f>
        <v>#REF!</v>
      </c>
      <c r="R40" s="192" t="e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#REF!</v>
      </c>
      <c r="S40" s="192">
        <f>IFERROR(VLOOKUP(A40,[1]Biogasudbytte!$A$2:$B$18,2,FALSE)*[1]Energiindhold!$C$10,0)*J40*IFERROR(VLOOKUP(A40,Biogasanlæg!$F$3:$G$8,2,FALSE),1)</f>
        <v>0</v>
      </c>
      <c r="T40" s="193" t="e">
        <f t="shared" si="11"/>
        <v>#REF!</v>
      </c>
      <c r="U40" s="191" t="e">
        <f>O40*IFERROR(VLOOKUP(A40,[1]Tørstofindhold!A$2:B$24,2,FALSE),0)</f>
        <v>#REF!</v>
      </c>
      <c r="V40" s="192" t="e">
        <f>IF(D40=År1,P40,SUM(O40,P40))*IFERROR(VLOOKUP(A40,[1]Tørstofindhold!A$2:B$24,2,FALSE),0)</f>
        <v>#REF!</v>
      </c>
      <c r="W40" s="192">
        <f>J40*IFERROR(VLOOKUP(A40,[1]Tørstofindhold!A$2:B$24,2,FALSE),0)</f>
        <v>0</v>
      </c>
      <c r="X40" s="193" t="e">
        <f t="shared" si="12"/>
        <v>#REF!</v>
      </c>
      <c r="Y40" s="171" t="e">
        <f t="shared" si="2"/>
        <v>#REF!</v>
      </c>
      <c r="Z40" s="103" t="e">
        <f t="shared" si="3"/>
        <v>#REF!</v>
      </c>
    </row>
    <row r="41" spans="1:26" x14ac:dyDescent="0.25">
      <c r="A41" s="192" t="s">
        <v>52</v>
      </c>
      <c r="B41" s="194" t="s">
        <v>226</v>
      </c>
      <c r="C41" s="194">
        <f>IF(COUNTIFS('Resultater - Danmark'!$D$3:$D$482,'Resultat-Produktion &amp; forbrug'!A41,'Resultater - Danmark'!$A$3:$A$482,"Til energi")+COUNTIFS('Resultater - Danmark'!$D$3:$D$482,'Resultat-Produktion &amp; forbrug'!A41,'Resultater - Danmark'!$A$3:$A$482,"Biogasanlæg")&gt;0,1,0)</f>
        <v>1</v>
      </c>
      <c r="D41" s="194">
        <f t="shared" si="8"/>
        <v>2019</v>
      </c>
      <c r="E41" s="192" t="s">
        <v>23</v>
      </c>
      <c r="F41" s="195">
        <f>IF(E41="Vestdanmark",SUMIFS(IF(D41=År1,'Resultater - Vestdanmark'!H$3:H$482,IF(D41=År2,'Resultater - Vestdanmark'!I$3:I$482,'Resultater - Vestdanmark'!J$3:J$482)),'Resultater - Vestdanmark'!$F$3:$F$482,$A41,IF(D41=År1,'Resultater - Vestdanmark'!H$3:H$482,IF(D41=År2,'Resultater - Vestdanmark'!I$3:I$482,'Resultater - Vestdanmark'!J$3:J$482)),"&gt;0"),SUMIFS(IF(D41=År1,'Resultater - Østdanmark'!H$3:H$482,IF(D41=År2,'Resultater - Østdanmark'!I$3:I$482,'Resultater - Østdanmark'!J$3:J$482)),'Resultater - Østdanmark'!$F$3:$F$482,$A41,IF(D41=År1,'Resultater - Østdanmark'!H$3:H$482,IF(D41=År2,'Resultater - Østdanmark'!I$3:I$482,'Resultater - Østdanmark'!J$3:J$482)),"&gt;0"))</f>
        <v>0</v>
      </c>
      <c r="G41" s="195" t="e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#REF!</v>
      </c>
      <c r="H41" s="192">
        <f>IF(E41="Vestdanmark",-IF(A41="Halm",SUMIFS(IF(D41=År1,'Resultater - Vestdanmark'!H$3:H$482,IF(D41=År2,'Resultater - Vestdanmark'!I$3:I$482,'Resultater - Vestdanmark'!J$3:J$482)),'Resultater - Vestdanmark'!$F$3:$F$482,$A41,'Resultater - Vestdanmark'!H$3:H$482,"&lt;0"),0),-IF(A41="Halm",SUMIFS(IF(D41=År1,'Resultater - Østdanmark'!H$3:H$482,IF(D41=År2,'Resultater - Østdanmark'!I$3:I$482,'Resultater - Østdanmark'!J$3:J$482)),'Resultater - Østdanmark'!$F$3:$F$482,$A41,'Resultater - Østdanmark'!H$3:H$482,"&lt;0"),0))</f>
        <v>0</v>
      </c>
      <c r="I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5" t="e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#REF!</v>
      </c>
      <c r="K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5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7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4" t="e">
        <f t="shared" si="9"/>
        <v>#REF!</v>
      </c>
      <c r="O41" s="195" t="e">
        <f t="shared" si="1"/>
        <v>#REF!</v>
      </c>
      <c r="P41" s="205" t="e">
        <f t="shared" si="10"/>
        <v>#REF!</v>
      </c>
      <c r="Q41" s="192" t="e">
        <f>IFERROR(VLOOKUP(A41,[1]Energiindhold!$A$2:$C$11,3,FALSE),IFERROR(VLOOKUP(A41,[1]Biogasudbytte!$A$2:$B$18,2,FALSE)*[1]Energiindhold!$C$10,0))*O41</f>
        <v>#REF!</v>
      </c>
      <c r="R41" s="192" t="e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#REF!</v>
      </c>
      <c r="S41" s="192" t="e">
        <f>IFERROR(VLOOKUP(A41,[1]Biogasudbytte!$A$2:$B$18,2,FALSE)*[1]Energiindhold!$C$10,0)*J41*IFERROR(VLOOKUP(A41,Biogasanlæg!$F$3:$G$8,2,FALSE),1)</f>
        <v>#REF!</v>
      </c>
      <c r="T41" s="193" t="e">
        <f t="shared" si="11"/>
        <v>#REF!</v>
      </c>
      <c r="U41" s="191" t="e">
        <f>O41*IFERROR(VLOOKUP(A41,[1]Tørstofindhold!A$2:B$24,2,FALSE),0)</f>
        <v>#REF!</v>
      </c>
      <c r="V41" s="192" t="e">
        <f>IF(D41=År1,P41,SUM(O41,P41))*IFERROR(VLOOKUP(A41,[1]Tørstofindhold!A$2:B$24,2,FALSE),0)</f>
        <v>#REF!</v>
      </c>
      <c r="W41" s="192" t="e">
        <f>J41*IFERROR(VLOOKUP(A41,[1]Tørstofindhold!A$2:B$24,2,FALSE),0)</f>
        <v>#REF!</v>
      </c>
      <c r="X41" s="193" t="e">
        <f t="shared" si="12"/>
        <v>#REF!</v>
      </c>
      <c r="Y41" s="171" t="e">
        <f t="shared" si="2"/>
        <v>#REF!</v>
      </c>
      <c r="Z41" s="103" t="e">
        <f t="shared" si="3"/>
        <v>#REF!</v>
      </c>
    </row>
    <row r="42" spans="1:26" x14ac:dyDescent="0.25">
      <c r="A42" s="192" t="s">
        <v>122</v>
      </c>
      <c r="B42" s="194"/>
      <c r="C42" s="194">
        <f>IF(COUNTIFS('Resultater - Danmark'!$D$3:$D$482,'Resultat-Produktion &amp; forbrug'!A42,'Resultater - Danmark'!$A$3:$A$482,"Til energi")+COUNTIFS('Resultater - Danmark'!$D$3:$D$482,'Resultat-Produktion &amp; forbrug'!A42,'Resultater - Danmark'!$A$3:$A$482,"Biogasanlæg")&gt;0,1,0)</f>
        <v>0</v>
      </c>
      <c r="D42" s="194">
        <f t="shared" si="8"/>
        <v>2019</v>
      </c>
      <c r="E42" s="192" t="s">
        <v>23</v>
      </c>
      <c r="F42" s="195">
        <f>IF(E42="Vestdanmark",SUMIFS(IF(D42=År1,'Resultater - Vestdanmark'!H$3:H$482,IF(D42=År2,'Resultater - Vestdanmark'!I$3:I$482,'Resultater - Vestdanmark'!J$3:J$482)),'Resultater - Vestdanmark'!$F$3:$F$482,$A42,IF(D42=År1,'Resultater - Vestdanmark'!H$3:H$482,IF(D42=År2,'Resultater - Vestdanmark'!I$3:I$482,'Resultater - Vestdanmark'!J$3:J$482)),"&gt;0"),SUMIFS(IF(D42=År1,'Resultater - Østdanmark'!H$3:H$482,IF(D42=År2,'Resultater - Østdanmark'!I$3:I$482,'Resultater - Østdanmark'!J$3:J$482)),'Resultater - Østdanmark'!$F$3:$F$482,$A42,IF(D42=År1,'Resultater - Østdanmark'!H$3:H$482,IF(D42=År2,'Resultater - Østdanmark'!I$3:I$482,'Resultater - Østdanmark'!J$3:J$482)),"&gt;0"))</f>
        <v>0</v>
      </c>
      <c r="G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92">
        <f>IF(E42="Vestdanmark",-IF(A42="Halm",SUMIFS(IF(D42=År1,'Resultater - Vestdanmark'!H$3:H$482,IF(D42=År2,'Resultater - Vestdanmark'!I$3:I$482,'Resultater - Vestdanmark'!J$3:J$482)),'Resultater - Vestdanmark'!$F$3:$F$482,$A42,'Resultater - Vestdanmark'!H$3:H$482,"&lt;0"),0),-IF(A42="Halm",SUMIFS(IF(D42=År1,'Resultater - Østdanmark'!H$3:H$482,IF(D42=År2,'Resultater - Østdanmark'!I$3:I$482,'Resultater - Østdanmark'!J$3:J$482)),'Resultater - Østdanmark'!$F$3:$F$482,$A42,'Resultater - Østdanmark'!H$3:H$482,"&lt;0"),0))</f>
        <v>0</v>
      </c>
      <c r="I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5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7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4">
        <f t="shared" si="9"/>
        <v>0</v>
      </c>
      <c r="O42" s="195">
        <f t="shared" si="1"/>
        <v>0</v>
      </c>
      <c r="P42" s="205">
        <f t="shared" si="10"/>
        <v>0</v>
      </c>
      <c r="Q42" s="192">
        <f>IFERROR(VLOOKUP(A42,[1]Energiindhold!$A$2:$C$11,3,FALSE),IFERROR(VLOOKUP(A42,[1]Biogasudbytte!$A$2:$B$18,2,FALSE)*[1]Energiindhold!$C$10,0))*O42</f>
        <v>0</v>
      </c>
      <c r="R42" s="192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92">
        <f>IFERROR(VLOOKUP(A42,[1]Biogasudbytte!$A$2:$B$18,2,FALSE)*[1]Energiindhold!$C$10,0)*J42*IFERROR(VLOOKUP(A42,Biogasanlæg!$F$3:$G$8,2,FALSE),1)</f>
        <v>0</v>
      </c>
      <c r="T42" s="193">
        <f t="shared" si="11"/>
        <v>0</v>
      </c>
      <c r="U42" s="191">
        <f>O42*IFERROR(VLOOKUP(A42,[1]Tørstofindhold!A$2:B$24,2,FALSE),0)</f>
        <v>0</v>
      </c>
      <c r="V42" s="192">
        <f>IF(D42=År1,P42,SUM(O42,P42))*IFERROR(VLOOKUP(A42,[1]Tørstofindhold!A$2:B$24,2,FALSE),0)</f>
        <v>0</v>
      </c>
      <c r="W42" s="192">
        <f>J42*IFERROR(VLOOKUP(A42,[1]Tørstofindhold!A$2:B$24,2,FALSE),0)</f>
        <v>0</v>
      </c>
      <c r="X42" s="193">
        <f t="shared" si="12"/>
        <v>0</v>
      </c>
      <c r="Y42" s="171">
        <f t="shared" si="2"/>
        <v>0</v>
      </c>
      <c r="Z42" s="103">
        <f t="shared" si="3"/>
        <v>0</v>
      </c>
    </row>
    <row r="43" spans="1:26" x14ac:dyDescent="0.25">
      <c r="A43" s="192" t="s">
        <v>108</v>
      </c>
      <c r="B43" s="194"/>
      <c r="C43" s="194">
        <f>IF(COUNTIFS('Resultater - Danmark'!$D$3:$D$482,'Resultat-Produktion &amp; forbrug'!A43,'Resultater - Danmark'!$A$3:$A$482,"Til energi")+COUNTIFS('Resultater - Danmark'!$D$3:$D$482,'Resultat-Produktion &amp; forbrug'!A43,'Resultater - Danmark'!$A$3:$A$482,"Biogasanlæg")&gt;0,1,0)</f>
        <v>0</v>
      </c>
      <c r="D43" s="194">
        <f t="shared" si="8"/>
        <v>2019</v>
      </c>
      <c r="E43" s="192" t="s">
        <v>23</v>
      </c>
      <c r="F43" s="195">
        <f>IF(E43="Vestdanmark",SUMIFS(IF(D43=År1,'Resultater - Vestdanmark'!H$3:H$482,IF(D43=År2,'Resultater - Vestdanmark'!I$3:I$482,'Resultater - Vestdanmark'!J$3:J$482)),'Resultater - Vestdanmark'!$F$3:$F$482,$A43,IF(D43=År1,'Resultater - Vestdanmark'!H$3:H$482,IF(D43=År2,'Resultater - Vestdanmark'!I$3:I$482,'Resultater - Vestdanmark'!J$3:J$482)),"&gt;0"),SUMIFS(IF(D43=År1,'Resultater - Østdanmark'!H$3:H$482,IF(D43=År2,'Resultater - Østdanmark'!I$3:I$482,'Resultater - Østdanmark'!J$3:J$482)),'Resultater - Østdanmark'!$F$3:$F$482,$A43,IF(D43=År1,'Resultater - Østdanmark'!H$3:H$482,IF(D43=År2,'Resultater - Østdanmark'!I$3:I$482,'Resultater - Østdanmark'!J$3:J$482)),"&gt;0"))</f>
        <v>0</v>
      </c>
      <c r="G43" s="195" t="e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#REF!</v>
      </c>
      <c r="H43" s="192">
        <f>IF(E43="Vestdanmark",-IF(A43="Halm",SUMIFS(IF(D43=År1,'Resultater - Vestdanmark'!H$3:H$482,IF(D43=År2,'Resultater - Vestdanmark'!I$3:I$482,'Resultater - Vestdanmark'!J$3:J$482)),'Resultater - Vestdanmark'!$F$3:$F$482,$A43,'Resultater - Vestdanmark'!H$3:H$482,"&lt;0"),0),-IF(A43="Halm",SUMIFS(IF(D43=År1,'Resultater - Østdanmark'!H$3:H$482,IF(D43=År2,'Resultater - Østdanmark'!I$3:I$482,'Resultater - Østdanmark'!J$3:J$482)),'Resultater - Østdanmark'!$F$3:$F$482,$A43,'Resultater - Østdanmark'!H$3:H$482,"&lt;0"),0))</f>
        <v>0</v>
      </c>
      <c r="I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5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7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4" t="e">
        <f t="shared" si="9"/>
        <v>#REF!</v>
      </c>
      <c r="O43" s="195">
        <f t="shared" si="1"/>
        <v>0</v>
      </c>
      <c r="P43" s="205">
        <f t="shared" si="10"/>
        <v>0</v>
      </c>
      <c r="Q43" s="192">
        <f>IFERROR(VLOOKUP(A43,[1]Energiindhold!$A$2:$C$11,3,FALSE),IFERROR(VLOOKUP(A43,[1]Biogasudbytte!$A$2:$B$18,2,FALSE)*[1]Energiindhold!$C$10,0))*O43</f>
        <v>0</v>
      </c>
      <c r="R43" s="192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92">
        <f>IFERROR(VLOOKUP(A43,[1]Biogasudbytte!$A$2:$B$18,2,FALSE)*[1]Energiindhold!$C$10,0)*J43*IFERROR(VLOOKUP(A43,Biogasanlæg!$F$3:$G$8,2,FALSE),1)</f>
        <v>0</v>
      </c>
      <c r="T43" s="193">
        <f t="shared" si="11"/>
        <v>0</v>
      </c>
      <c r="U43" s="191">
        <f>O43*IFERROR(VLOOKUP(A43,[1]Tørstofindhold!A$2:B$24,2,FALSE),0)</f>
        <v>0</v>
      </c>
      <c r="V43" s="192">
        <f>IF(D43=År1,P43,SUM(O43,P43))*IFERROR(VLOOKUP(A43,[1]Tørstofindhold!A$2:B$24,2,FALSE),0)</f>
        <v>0</v>
      </c>
      <c r="W43" s="192">
        <f>J43*IFERROR(VLOOKUP(A43,[1]Tørstofindhold!A$2:B$24,2,FALSE),0)</f>
        <v>0</v>
      </c>
      <c r="X43" s="193">
        <f t="shared" si="12"/>
        <v>0</v>
      </c>
      <c r="Y43" s="171" t="e">
        <f t="shared" si="2"/>
        <v>#REF!</v>
      </c>
      <c r="Z43" s="103" t="e">
        <f t="shared" si="3"/>
        <v>#REF!</v>
      </c>
    </row>
    <row r="44" spans="1:26" x14ac:dyDescent="0.25">
      <c r="A44" s="194" t="s">
        <v>141</v>
      </c>
      <c r="B44" s="194" t="s">
        <v>232</v>
      </c>
      <c r="C44" s="194">
        <f>IF(COUNTIFS('Resultater - Danmark'!$D$3:$D$482,'Resultat-Produktion &amp; forbrug'!A44,'Resultater - Danmark'!$A$3:$A$482,"Til energi")+COUNTIFS('Resultater - Danmark'!$D$3:$D$482,'Resultat-Produktion &amp; forbrug'!A44,'Resultater - Danmark'!$A$3:$A$482,"Biogasanlæg")&gt;0,1,0)</f>
        <v>1</v>
      </c>
      <c r="D44" s="194">
        <f t="shared" si="8"/>
        <v>2019</v>
      </c>
      <c r="E44" s="192" t="s">
        <v>23</v>
      </c>
      <c r="F44" s="195">
        <f>IF(E44="Vestdanmark",SUMIFS(IF(D44=År1,'Resultater - Vestdanmark'!H$3:H$482,IF(D44=År2,'Resultater - Vestdanmark'!I$3:I$482,'Resultater - Vestdanmark'!J$3:J$482)),'Resultater - Vestdanmark'!$F$3:$F$482,$A44,IF(D44=År1,'Resultater - Vestdanmark'!H$3:H$482,IF(D44=År2,'Resultater - Vestdanmark'!I$3:I$482,'Resultater - Vestdanmark'!J$3:J$482)),"&gt;0"),SUMIFS(IF(D44=År1,'Resultater - Østdanmark'!H$3:H$482,IF(D44=År2,'Resultater - Østdanmark'!I$3:I$482,'Resultater - Østdanmark'!J$3:J$482)),'Resultater - Østdanmark'!$F$3:$F$482,$A44,IF(D44=År1,'Resultater - Østdanmark'!H$3:H$482,IF(D44=År2,'Resultater - Østdanmark'!I$3:I$482,'Resultater - Østdanmark'!J$3:J$482)),"&gt;0"))</f>
        <v>0</v>
      </c>
      <c r="G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92">
        <f>IF(E44="Vestdanmark",-IF(A44="Halm",SUMIFS(IF(D44=År1,'Resultater - Vestdanmark'!H$3:H$482,IF(D44=År2,'Resultater - Vestdanmark'!I$3:I$482,'Resultater - Vestdanmark'!J$3:J$482)),'Resultater - Vestdanmark'!$F$3:$F$482,$A44,'Resultater - Vestdanmark'!H$3:H$482,"&lt;0"),0),-IF(A44="Halm",SUMIFS(IF(D44=År1,'Resultater - Østdanmark'!H$3:H$482,IF(D44=År2,'Resultater - Østdanmark'!I$3:I$482,'Resultater - Østdanmark'!J$3:J$482)),'Resultater - Østdanmark'!$F$3:$F$482,$A44,'Resultater - Østdanmark'!H$3:H$482,"&lt;0"),0))</f>
        <v>0</v>
      </c>
      <c r="I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5" t="e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#REF!</v>
      </c>
      <c r="K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5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7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4" t="e">
        <f t="shared" si="9"/>
        <v>#REF!</v>
      </c>
      <c r="O44" s="195" t="e">
        <f t="shared" si="1"/>
        <v>#REF!</v>
      </c>
      <c r="P44" s="205" t="e">
        <f t="shared" si="10"/>
        <v>#REF!</v>
      </c>
      <c r="Q44" s="192" t="e">
        <f>IFERROR(VLOOKUP(A44,[1]Energiindhold!$A$2:$C$11,3,FALSE),IFERROR(VLOOKUP(A44,[1]Biogasudbytte!$A$2:$B$18,2,FALSE)*[1]Energiindhold!$C$10,0))*O44</f>
        <v>#REF!</v>
      </c>
      <c r="R44" s="192" t="e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#REF!</v>
      </c>
      <c r="S44" s="192" t="e">
        <f>IFERROR(VLOOKUP(A44,[1]Biogasudbytte!$A$2:$B$18,2,FALSE)*[1]Energiindhold!$C$10,0)*J44*IFERROR(VLOOKUP(A44,Biogasanlæg!$F$3:$G$8,2,FALSE),1)</f>
        <v>#REF!</v>
      </c>
      <c r="T44" s="193" t="e">
        <f t="shared" si="11"/>
        <v>#REF!</v>
      </c>
      <c r="U44" s="191" t="e">
        <f>O44*IFERROR(VLOOKUP(A44,[1]Tørstofindhold!A$2:B$24,2,FALSE),0)</f>
        <v>#REF!</v>
      </c>
      <c r="V44" s="192" t="e">
        <f>IF(D44=År1,P44,SUM(O44,P44))*IFERROR(VLOOKUP(A44,[1]Tørstofindhold!A$2:B$24,2,FALSE),0)</f>
        <v>#REF!</v>
      </c>
      <c r="W44" s="192" t="e">
        <f>J44*IFERROR(VLOOKUP(A44,[1]Tørstofindhold!A$2:B$24,2,FALSE),0)</f>
        <v>#REF!</v>
      </c>
      <c r="X44" s="193" t="e">
        <f t="shared" si="12"/>
        <v>#REF!</v>
      </c>
      <c r="Y44" s="171" t="e">
        <f t="shared" si="2"/>
        <v>#REF!</v>
      </c>
      <c r="Z44" s="103" t="e">
        <f t="shared" si="3"/>
        <v>#REF!</v>
      </c>
    </row>
    <row r="45" spans="1:26" x14ac:dyDescent="0.25">
      <c r="A45" s="194" t="s">
        <v>136</v>
      </c>
      <c r="B45" s="194" t="s">
        <v>224</v>
      </c>
      <c r="C45" s="194">
        <f>IF(COUNTIFS('Resultater - Danmark'!$D$3:$D$482,'Resultat-Produktion &amp; forbrug'!A45,'Resultater - Danmark'!$A$3:$A$482,"Til energi")+COUNTIFS('Resultater - Danmark'!$D$3:$D$482,'Resultat-Produktion &amp; forbrug'!A45,'Resultater - Danmark'!$A$3:$A$482,"Biogasanlæg")&gt;0,1,0)</f>
        <v>1</v>
      </c>
      <c r="D45" s="194">
        <f t="shared" si="8"/>
        <v>2019</v>
      </c>
      <c r="E45" s="192" t="s">
        <v>23</v>
      </c>
      <c r="F45" s="195">
        <f>IF(E45="Vestdanmark",SUMIFS(IF(D45=År1,'Resultater - Vestdanmark'!H$3:H$482,IF(D45=År2,'Resultater - Vestdanmark'!I$3:I$482,'Resultater - Vestdanmark'!J$3:J$482)),'Resultater - Vestdanmark'!$F$3:$F$482,$A45,IF(D45=År1,'Resultater - Vestdanmark'!H$3:H$482,IF(D45=År2,'Resultater - Vestdanmark'!I$3:I$482,'Resultater - Vestdanmark'!J$3:J$482)),"&gt;0"),SUMIFS(IF(D45=År1,'Resultater - Østdanmark'!H$3:H$482,IF(D45=År2,'Resultater - Østdanmark'!I$3:I$482,'Resultater - Østdanmark'!J$3:J$482)),'Resultater - Østdanmark'!$F$3:$F$482,$A45,IF(D45=År1,'Resultater - Østdanmark'!H$3:H$482,IF(D45=År2,'Resultater - Østdanmark'!I$3:I$482,'Resultater - Østdanmark'!J$3:J$482)),"&gt;0"))</f>
        <v>0</v>
      </c>
      <c r="G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92">
        <f>IF(E45="Vestdanmark",-IF(A45="Halm",SUMIFS(IF(D45=År1,'Resultater - Vestdanmark'!H$3:H$482,IF(D45=År2,'Resultater - Vestdanmark'!I$3:I$482,'Resultater - Vestdanmark'!J$3:J$482)),'Resultater - Vestdanmark'!$F$3:$F$482,$A45,'Resultater - Vestdanmark'!H$3:H$482,"&lt;0"),0),-IF(A45="Halm",SUMIFS(IF(D45=År1,'Resultater - Østdanmark'!H$3:H$482,IF(D45=År2,'Resultater - Østdanmark'!I$3:I$482,'Resultater - Østdanmark'!J$3:J$482)),'Resultater - Østdanmark'!$F$3:$F$482,$A45,'Resultater - Østdanmark'!H$3:H$482,"&lt;0"),0))</f>
        <v>0</v>
      </c>
      <c r="I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5" t="e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#REF!</v>
      </c>
      <c r="K45" s="195" t="e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#REF!</v>
      </c>
      <c r="L45" s="195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7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4" t="e">
        <f t="shared" si="9"/>
        <v>#REF!</v>
      </c>
      <c r="O45" s="195" t="e">
        <f t="shared" si="1"/>
        <v>#REF!</v>
      </c>
      <c r="P45" s="205" t="e">
        <f t="shared" si="10"/>
        <v>#REF!</v>
      </c>
      <c r="Q45" s="192" t="e">
        <f>IFERROR(VLOOKUP(A45,[1]Energiindhold!$A$2:$C$11,3,FALSE),IFERROR(VLOOKUP(A45,[1]Biogasudbytte!$A$2:$B$18,2,FALSE)*[1]Energiindhold!$C$10,0))*O45</f>
        <v>#REF!</v>
      </c>
      <c r="R45" s="192" t="e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#REF!</v>
      </c>
      <c r="S45" s="192" t="e">
        <f>IFERROR(VLOOKUP(A45,[1]Biogasudbytte!$A$2:$B$18,2,FALSE)*[1]Energiindhold!$C$10,0)*J45*IFERROR(VLOOKUP(A45,Biogasanlæg!$F$3:$G$8,2,FALSE),1)</f>
        <v>#REF!</v>
      </c>
      <c r="T45" s="193" t="e">
        <f t="shared" si="11"/>
        <v>#REF!</v>
      </c>
      <c r="U45" s="191" t="e">
        <f>O45*IFERROR(VLOOKUP(A45,[1]Tørstofindhold!A$2:B$24,2,FALSE),0)</f>
        <v>#REF!</v>
      </c>
      <c r="V45" s="192" t="e">
        <f>IF(D45=År1,P45,SUM(O45,P45))*IFERROR(VLOOKUP(A45,[1]Tørstofindhold!A$2:B$24,2,FALSE),0)</f>
        <v>#REF!</v>
      </c>
      <c r="W45" s="192" t="e">
        <f>J45*IFERROR(VLOOKUP(A45,[1]Tørstofindhold!A$2:B$24,2,FALSE),0)</f>
        <v>#REF!</v>
      </c>
      <c r="X45" s="193" t="e">
        <f t="shared" si="12"/>
        <v>#REF!</v>
      </c>
      <c r="Y45" s="171" t="e">
        <f t="shared" si="2"/>
        <v>#REF!</v>
      </c>
      <c r="Z45" s="103" t="e">
        <f t="shared" si="3"/>
        <v>#REF!</v>
      </c>
    </row>
    <row r="46" spans="1:26" x14ac:dyDescent="0.25">
      <c r="A46" s="194" t="s">
        <v>13</v>
      </c>
      <c r="B46" s="194"/>
      <c r="C46" s="194">
        <f>IF(COUNTIFS('Resultater - Danmark'!$D$3:$D$482,'Resultat-Produktion &amp; forbrug'!A46,'Resultater - Danmark'!$A$3:$A$482,"Til energi")+COUNTIFS('Resultater - Danmark'!$D$3:$D$482,'Resultat-Produktion &amp; forbrug'!A46,'Resultater - Danmark'!$A$3:$A$482,"Biogasanlæg")&gt;0,1,0)</f>
        <v>0</v>
      </c>
      <c r="D46" s="194">
        <f t="shared" si="8"/>
        <v>2019</v>
      </c>
      <c r="E46" s="192" t="s">
        <v>23</v>
      </c>
      <c r="F46" s="195">
        <f>IF(E46="Vestdanmark",SUMIFS(IF(D46=År1,'Resultater - Vestdanmark'!H$3:H$482,IF(D46=År2,'Resultater - Vestdanmark'!I$3:I$482,'Resultater - Vestdanmark'!J$3:J$482)),'Resultater - Vestdanmark'!$F$3:$F$482,$A46,IF(D46=År1,'Resultater - Vestdanmark'!H$3:H$482,IF(D46=År2,'Resultater - Vestdanmark'!I$3:I$482,'Resultater - Vestdanmark'!J$3:J$482)),"&gt;0"),SUMIFS(IF(D46=År1,'Resultater - Østdanmark'!H$3:H$482,IF(D46=År2,'Resultater - Østdanmark'!I$3:I$482,'Resultater - Østdanmark'!J$3:J$482)),'Resultater - Østdanmark'!$F$3:$F$482,$A46,IF(D46=År1,'Resultater - Østdanmark'!H$3:H$482,IF(D46=År2,'Resultater - Østdanmark'!I$3:I$482,'Resultater - Østdanmark'!J$3:J$482)),"&gt;0"))</f>
        <v>0</v>
      </c>
      <c r="G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92">
        <f>IF(E46="Vestdanmark",-IF(A46="Halm",SUMIFS(IF(D46=År1,'Resultater - Vestdanmark'!H$3:H$482,IF(D46=År2,'Resultater - Vestdanmark'!I$3:I$482,'Resultater - Vestdanmark'!J$3:J$482)),'Resultater - Vestdanmark'!$F$3:$F$482,$A46,'Resultater - Vestdanmark'!H$3:H$482,"&lt;0"),0),-IF(A46="Halm",SUMIFS(IF(D46=År1,'Resultater - Østdanmark'!H$3:H$482,IF(D46=År2,'Resultater - Østdanmark'!I$3:I$482,'Resultater - Østdanmark'!J$3:J$482)),'Resultater - Østdanmark'!$F$3:$F$482,$A46,'Resultater - Østdanmark'!H$3:H$482,"&lt;0"),0))</f>
        <v>0</v>
      </c>
      <c r="I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5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7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4">
        <f t="shared" si="9"/>
        <v>-117920.63695532705</v>
      </c>
      <c r="O46" s="195">
        <f t="shared" si="1"/>
        <v>0</v>
      </c>
      <c r="P46" s="205">
        <f t="shared" si="10"/>
        <v>0</v>
      </c>
      <c r="Q46" s="192">
        <f>IFERROR(VLOOKUP(A46,[1]Energiindhold!$A$2:$C$11,3,FALSE),IFERROR(VLOOKUP(A46,[1]Biogasudbytte!$A$2:$B$18,2,FALSE)*[1]Energiindhold!$C$10,0))*O46</f>
        <v>0</v>
      </c>
      <c r="R46" s="192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92">
        <f>IFERROR(VLOOKUP(A46,[1]Biogasudbytte!$A$2:$B$18,2,FALSE)*[1]Energiindhold!$C$10,0)*J46*IFERROR(VLOOKUP(A46,Biogasanlæg!$F$3:$G$8,2,FALSE),1)</f>
        <v>0</v>
      </c>
      <c r="T46" s="193">
        <f t="shared" si="11"/>
        <v>0</v>
      </c>
      <c r="U46" s="191">
        <f>O46*IFERROR(VLOOKUP(A46,[1]Tørstofindhold!A$2:B$24,2,FALSE),0)</f>
        <v>0</v>
      </c>
      <c r="V46" s="192">
        <f>IF(D46=År1,P46,SUM(O46,P46))*IFERROR(VLOOKUP(A46,[1]Tørstofindhold!A$2:B$24,2,FALSE),0)</f>
        <v>0</v>
      </c>
      <c r="W46" s="192">
        <f>J46*IFERROR(VLOOKUP(A46,[1]Tørstofindhold!A$2:B$24,2,FALSE),0)</f>
        <v>0</v>
      </c>
      <c r="X46" s="193">
        <f t="shared" si="12"/>
        <v>0</v>
      </c>
      <c r="Y46" s="171">
        <f t="shared" si="2"/>
        <v>1</v>
      </c>
      <c r="Z46" s="103">
        <f t="shared" si="3"/>
        <v>0</v>
      </c>
    </row>
    <row r="47" spans="1:26" x14ac:dyDescent="0.25">
      <c r="A47" s="194" t="s">
        <v>100</v>
      </c>
      <c r="B47" s="194" t="s">
        <v>228</v>
      </c>
      <c r="C47" s="194">
        <f>IF(COUNTIFS('Resultater - Danmark'!$D$3:$D$482,'Resultat-Produktion &amp; forbrug'!A47,'Resultater - Danmark'!$A$3:$A$482,"Til energi")+COUNTIFS('Resultater - Danmark'!$D$3:$D$482,'Resultat-Produktion &amp; forbrug'!A47,'Resultater - Danmark'!$A$3:$A$482,"Biogasanlæg")&gt;0,1,0)</f>
        <v>1</v>
      </c>
      <c r="D47" s="194">
        <f t="shared" si="8"/>
        <v>2019</v>
      </c>
      <c r="E47" s="192" t="s">
        <v>23</v>
      </c>
      <c r="F47" s="195">
        <f>IF(E47="Vestdanmark",SUMIFS(IF(D47=År1,'Resultater - Vestdanmark'!H$3:H$482,IF(D47=År2,'Resultater - Vestdanmark'!I$3:I$482,'Resultater - Vestdanmark'!J$3:J$482)),'Resultater - Vestdanmark'!$F$3:$F$482,$A47,IF(D47=År1,'Resultater - Vestdanmark'!H$3:H$482,IF(D47=År2,'Resultater - Vestdanmark'!I$3:I$482,'Resultater - Vestdanmark'!J$3:J$482)),"&gt;0"),SUMIFS(IF(D47=År1,'Resultater - Østdanmark'!H$3:H$482,IF(D47=År2,'Resultater - Østdanmark'!I$3:I$482,'Resultater - Østdanmark'!J$3:J$482)),'Resultater - Østdanmark'!$F$3:$F$482,$A47,IF(D47=År1,'Resultater - Østdanmark'!H$3:H$482,IF(D47=År2,'Resultater - Østdanmark'!I$3:I$482,'Resultater - Østdanmark'!J$3:J$482)),"&gt;0"))</f>
        <v>0</v>
      </c>
      <c r="G47" s="195" t="e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#REF!</v>
      </c>
      <c r="H47" s="192">
        <f>IF(E47="Vestdanmark",-IF(A47="Halm",SUMIFS(IF(D47=År1,'Resultater - Vestdanmark'!H$3:H$482,IF(D47=År2,'Resultater - Vestdanmark'!I$3:I$482,'Resultater - Vestdanmark'!J$3:J$482)),'Resultater - Vestdanmark'!$F$3:$F$482,$A47,'Resultater - Vestdanmark'!H$3:H$482,"&lt;0"),0),-IF(A47="Halm",SUMIFS(IF(D47=År1,'Resultater - Østdanmark'!H$3:H$482,IF(D47=År2,'Resultater - Østdanmark'!I$3:I$482,'Resultater - Østdanmark'!J$3:J$482)),'Resultater - Østdanmark'!$F$3:$F$482,$A47,'Resultater - Østdanmark'!H$3:H$482,"&lt;0"),0))</f>
        <v>0</v>
      </c>
      <c r="I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5" t="e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#REF!</v>
      </c>
      <c r="K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5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7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4" t="e">
        <f t="shared" si="9"/>
        <v>#REF!</v>
      </c>
      <c r="O47" s="195" t="e">
        <f t="shared" si="1"/>
        <v>#REF!</v>
      </c>
      <c r="P47" s="205" t="e">
        <f t="shared" si="10"/>
        <v>#REF!</v>
      </c>
      <c r="Q47" s="192" t="e">
        <f>IFERROR(VLOOKUP(A47,[1]Energiindhold!$A$2:$C$11,3,FALSE),IFERROR(VLOOKUP(A47,[1]Biogasudbytte!$A$2:$B$18,2,FALSE)*[1]Energiindhold!$C$10,0))*O47</f>
        <v>#REF!</v>
      </c>
      <c r="R47" s="192" t="e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#REF!</v>
      </c>
      <c r="S47" s="192" t="e">
        <f>IFERROR(VLOOKUP(A47,[1]Biogasudbytte!$A$2:$B$18,2,FALSE)*[1]Energiindhold!$C$10,0)*J47*IFERROR(VLOOKUP(A47,Biogasanlæg!$F$3:$G$8,2,FALSE),1)</f>
        <v>#REF!</v>
      </c>
      <c r="T47" s="193" t="e">
        <f t="shared" si="11"/>
        <v>#REF!</v>
      </c>
      <c r="U47" s="191" t="e">
        <f>O47*IFERROR(VLOOKUP(A47,[1]Tørstofindhold!A$2:B$24,2,FALSE),0)</f>
        <v>#REF!</v>
      </c>
      <c r="V47" s="192" t="e">
        <f>IF(D47=År1,P47,SUM(O47,P47))*IFERROR(VLOOKUP(A47,[1]Tørstofindhold!A$2:B$24,2,FALSE),0)</f>
        <v>#REF!</v>
      </c>
      <c r="W47" s="192" t="e">
        <f>J47*IFERROR(VLOOKUP(A47,[1]Tørstofindhold!A$2:B$24,2,FALSE),0)</f>
        <v>#REF!</v>
      </c>
      <c r="X47" s="193" t="e">
        <f t="shared" si="12"/>
        <v>#REF!</v>
      </c>
      <c r="Y47" s="171" t="e">
        <f t="shared" si="2"/>
        <v>#REF!</v>
      </c>
      <c r="Z47" s="103" t="e">
        <f t="shared" si="3"/>
        <v>#REF!</v>
      </c>
    </row>
    <row r="48" spans="1:26" x14ac:dyDescent="0.25">
      <c r="A48" s="194" t="s">
        <v>105</v>
      </c>
      <c r="B48" s="194"/>
      <c r="C48" s="194">
        <f>IF(COUNTIFS('Resultater - Danmark'!$D$3:$D$482,'Resultat-Produktion &amp; forbrug'!A48,'Resultater - Danmark'!$A$3:$A$482,"Til energi")+COUNTIFS('Resultater - Danmark'!$D$3:$D$482,'Resultat-Produktion &amp; forbrug'!A48,'Resultater - Danmark'!$A$3:$A$482,"Biogasanlæg")&gt;0,1,0)</f>
        <v>1</v>
      </c>
      <c r="D48" s="194">
        <f t="shared" si="8"/>
        <v>2019</v>
      </c>
      <c r="E48" s="192" t="s">
        <v>23</v>
      </c>
      <c r="F48" s="195">
        <f>IF(E48="Vestdanmark",SUMIFS(IF(D48=År1,'Resultater - Vestdanmark'!H$3:H$482,IF(D48=År2,'Resultater - Vestdanmark'!I$3:I$482,'Resultater - Vestdanmark'!J$3:J$482)),'Resultater - Vestdanmark'!$F$3:$F$482,$A48,IF(D48=År1,'Resultater - Vestdanmark'!H$3:H$482,IF(D48=År2,'Resultater - Vestdanmark'!I$3:I$482,'Resultater - Vestdanmark'!J$3:J$482)),"&gt;0"),SUMIFS(IF(D48=År1,'Resultater - Østdanmark'!H$3:H$482,IF(D48=År2,'Resultater - Østdanmark'!I$3:I$482,'Resultater - Østdanmark'!J$3:J$482)),'Resultater - Østdanmark'!$F$3:$F$482,$A48,IF(D48=År1,'Resultater - Østdanmark'!H$3:H$482,IF(D48=År2,'Resultater - Østdanmark'!I$3:I$482,'Resultater - Østdanmark'!J$3:J$482)),"&gt;0"))</f>
        <v>0</v>
      </c>
      <c r="G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92">
        <f>IF(E48="Vestdanmark",-IF(A48="Halm",SUMIFS(IF(D48=År1,'Resultater - Vestdanmark'!H$3:H$482,IF(D48=År2,'Resultater - Vestdanmark'!I$3:I$482,'Resultater - Vestdanmark'!J$3:J$482)),'Resultater - Vestdanmark'!$F$3:$F$482,$A48,'Resultater - Vestdanmark'!H$3:H$482,"&lt;0"),0),-IF(A48="Halm",SUMIFS(IF(D48=År1,'Resultater - Østdanmark'!H$3:H$482,IF(D48=År2,'Resultater - Østdanmark'!I$3:I$482,'Resultater - Østdanmark'!J$3:J$482)),'Resultater - Østdanmark'!$F$3:$F$482,$A48,'Resultater - Østdanmark'!H$3:H$482,"&lt;0"),0))</f>
        <v>0</v>
      </c>
      <c r="I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5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7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4">
        <f t="shared" si="9"/>
        <v>0</v>
      </c>
      <c r="O48" s="195">
        <f t="shared" si="1"/>
        <v>0</v>
      </c>
      <c r="P48" s="205">
        <f t="shared" si="10"/>
        <v>0</v>
      </c>
      <c r="Q48" s="192">
        <f>IFERROR(VLOOKUP(A48,[1]Energiindhold!$A$2:$C$11,3,FALSE),IFERROR(VLOOKUP(A48,[1]Biogasudbytte!$A$2:$B$18,2,FALSE)*[1]Energiindhold!$C$10,0))*O48</f>
        <v>0</v>
      </c>
      <c r="R48" s="192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92">
        <f>IFERROR(VLOOKUP(A48,[1]Biogasudbytte!$A$2:$B$18,2,FALSE)*[1]Energiindhold!$C$10,0)*J48*IFERROR(VLOOKUP(A48,Biogasanlæg!$F$3:$G$8,2,FALSE),1)</f>
        <v>0</v>
      </c>
      <c r="T48" s="193">
        <f t="shared" si="11"/>
        <v>0</v>
      </c>
      <c r="U48" s="191">
        <f>O48*IFERROR(VLOOKUP(A48,[1]Tørstofindhold!A$2:B$24,2,FALSE),0)</f>
        <v>0</v>
      </c>
      <c r="V48" s="192">
        <f>IF(D48=År1,P48,SUM(O48,P48))*IFERROR(VLOOKUP(A48,[1]Tørstofindhold!A$2:B$24,2,FALSE),0)</f>
        <v>0</v>
      </c>
      <c r="W48" s="192">
        <f>J48*IFERROR(VLOOKUP(A48,[1]Tørstofindhold!A$2:B$24,2,FALSE),0)</f>
        <v>0</v>
      </c>
      <c r="X48" s="193">
        <f t="shared" si="12"/>
        <v>0</v>
      </c>
      <c r="Y48" s="171">
        <f t="shared" si="2"/>
        <v>0</v>
      </c>
      <c r="Z48" s="103">
        <f t="shared" si="3"/>
        <v>0</v>
      </c>
    </row>
    <row r="49" spans="1:26" x14ac:dyDescent="0.25">
      <c r="A49" s="194" t="s">
        <v>120</v>
      </c>
      <c r="B49" s="194" t="s">
        <v>227</v>
      </c>
      <c r="C49" s="194">
        <f>IF(COUNTIFS('Resultater - Danmark'!$D$3:$D$482,'Resultat-Produktion &amp; forbrug'!A49,'Resultater - Danmark'!$A$3:$A$482,"Til energi")+COUNTIFS('Resultater - Danmark'!$D$3:$D$482,'Resultat-Produktion &amp; forbrug'!A49,'Resultater - Danmark'!$A$3:$A$482,"Biogasanlæg")&gt;0,1,0)</f>
        <v>1</v>
      </c>
      <c r="D49" s="194">
        <f t="shared" si="8"/>
        <v>2019</v>
      </c>
      <c r="E49" s="192" t="s">
        <v>23</v>
      </c>
      <c r="F49" s="195">
        <f>IF(E49="Vestdanmark",SUMIFS(IF(D49=År1,'Resultater - Vestdanmark'!H$3:H$482,IF(D49=År2,'Resultater - Vestdanmark'!I$3:I$482,'Resultater - Vestdanmark'!J$3:J$482)),'Resultater - Vestdanmark'!$F$3:$F$482,$A49,IF(D49=År1,'Resultater - Vestdanmark'!H$3:H$482,IF(D49=År2,'Resultater - Vestdanmark'!I$3:I$482,'Resultater - Vestdanmark'!J$3:J$482)),"&gt;0"),SUMIFS(IF(D49=År1,'Resultater - Østdanmark'!H$3:H$482,IF(D49=År2,'Resultater - Østdanmark'!I$3:I$482,'Resultater - Østdanmark'!J$3:J$482)),'Resultater - Østdanmark'!$F$3:$F$482,$A49,IF(D49=År1,'Resultater - Østdanmark'!H$3:H$482,IF(D49=År2,'Resultater - Østdanmark'!I$3:I$482,'Resultater - Østdanmark'!J$3:J$482)),"&gt;0"))</f>
        <v>0</v>
      </c>
      <c r="G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92">
        <f>IF(E49="Vestdanmark",-IF(A49="Halm",SUMIFS(IF(D49=År1,'Resultater - Vestdanmark'!H$3:H$482,IF(D49=År2,'Resultater - Vestdanmark'!I$3:I$482,'Resultater - Vestdanmark'!J$3:J$482)),'Resultater - Vestdanmark'!$F$3:$F$482,$A49,'Resultater - Vestdanmark'!H$3:H$482,"&lt;0"),0),-IF(A49="Halm",SUMIFS(IF(D49=År1,'Resultater - Østdanmark'!H$3:H$482,IF(D49=År2,'Resultater - Østdanmark'!I$3:I$482,'Resultater - Østdanmark'!J$3:J$482)),'Resultater - Østdanmark'!$F$3:$F$482,$A49,'Resultater - Østdanmark'!H$3:H$482,"&lt;0"),0))</f>
        <v>0</v>
      </c>
      <c r="I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5" t="e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#REF!</v>
      </c>
      <c r="M49" s="157" t="e">
        <f>SUMIFS('Forbrug af biomasse'!E:E,'Forbrug af biomasse'!C:C,'Resultat-Produktion &amp; forbrug'!$A49,'Forbrug af biomasse'!D:D,'Resultat-Produktion &amp; forbrug'!$D49,'Forbrug af biomasse'!G:G,1,'Forbrug af biomasse'!B:B,$E49)</f>
        <v>#REF!</v>
      </c>
      <c r="N49" s="204" t="e">
        <f t="shared" si="9"/>
        <v>#REF!</v>
      </c>
      <c r="O49" s="195" t="e">
        <f t="shared" si="1"/>
        <v>#REF!</v>
      </c>
      <c r="P49" s="205" t="e">
        <f t="shared" si="10"/>
        <v>#REF!</v>
      </c>
      <c r="Q49" s="192" t="e">
        <f>IFERROR(VLOOKUP(A49,[1]Energiindhold!$A$2:$C$11,3,FALSE),IFERROR(VLOOKUP(A49,[1]Biogasudbytte!$A$2:$B$18,2,FALSE)*[1]Energiindhold!$C$10,0))*O49</f>
        <v>#REF!</v>
      </c>
      <c r="R49" s="192" t="e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#REF!</v>
      </c>
      <c r="S49" s="192">
        <f>IFERROR(VLOOKUP(A49,[1]Biogasudbytte!$A$2:$B$18,2,FALSE)*[1]Energiindhold!$C$10,0)*J49*IFERROR(VLOOKUP(A49,Biogasanlæg!$F$3:$G$8,2,FALSE),1)</f>
        <v>0</v>
      </c>
      <c r="T49" s="193" t="e">
        <f t="shared" si="11"/>
        <v>#REF!</v>
      </c>
      <c r="U49" s="191" t="e">
        <f>O49*IFERROR(VLOOKUP(A49,[1]Tørstofindhold!A$2:B$24,2,FALSE),0)</f>
        <v>#REF!</v>
      </c>
      <c r="V49" s="192" t="e">
        <f>IF(D49=År1,P49,SUM(O49,P49))*IFERROR(VLOOKUP(A49,[1]Tørstofindhold!A$2:B$24,2,FALSE),0)</f>
        <v>#REF!</v>
      </c>
      <c r="W49" s="192">
        <f>J49*IFERROR(VLOOKUP(A49,[1]Tørstofindhold!A$2:B$24,2,FALSE),0)</f>
        <v>0</v>
      </c>
      <c r="X49" s="193" t="e">
        <f t="shared" si="12"/>
        <v>#REF!</v>
      </c>
      <c r="Y49" s="171" t="e">
        <f t="shared" si="2"/>
        <v>#REF!</v>
      </c>
      <c r="Z49" s="103" t="e">
        <f t="shared" si="3"/>
        <v>#REF!</v>
      </c>
    </row>
    <row r="50" spans="1:26" x14ac:dyDescent="0.25">
      <c r="A50" s="194" t="s">
        <v>119</v>
      </c>
      <c r="B50" s="194"/>
      <c r="C50" s="194">
        <f>IF(COUNTIFS('Resultater - Danmark'!$D$3:$D$482,'Resultat-Produktion &amp; forbrug'!A50,'Resultater - Danmark'!$A$3:$A$482,"Til energi")+COUNTIFS('Resultater - Danmark'!$D$3:$D$482,'Resultat-Produktion &amp; forbrug'!A50,'Resultater - Danmark'!$A$3:$A$482,"Biogasanlæg")&gt;0,1,0)</f>
        <v>0</v>
      </c>
      <c r="D50" s="194">
        <f t="shared" si="8"/>
        <v>2019</v>
      </c>
      <c r="E50" s="192" t="s">
        <v>23</v>
      </c>
      <c r="F50" s="195">
        <f>IF(E50="Vestdanmark",SUMIFS(IF(D50=År1,'Resultater - Vestdanmark'!H$3:H$482,IF(D50=År2,'Resultater - Vestdanmark'!I$3:I$482,'Resultater - Vestdanmark'!J$3:J$482)),'Resultater - Vestdanmark'!$F$3:$F$482,$A50,IF(D50=År1,'Resultater - Vestdanmark'!H$3:H$482,IF(D50=År2,'Resultater - Vestdanmark'!I$3:I$482,'Resultater - Vestdanmark'!J$3:J$482)),"&gt;0"),SUMIFS(IF(D50=År1,'Resultater - Østdanmark'!H$3:H$482,IF(D50=År2,'Resultater - Østdanmark'!I$3:I$482,'Resultater - Østdanmark'!J$3:J$482)),'Resultater - Østdanmark'!$F$3:$F$482,$A50,IF(D50=År1,'Resultater - Østdanmark'!H$3:H$482,IF(D50=År2,'Resultater - Østdanmark'!I$3:I$482,'Resultater - Østdanmark'!J$3:J$482)),"&gt;0"))</f>
        <v>0</v>
      </c>
      <c r="G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92">
        <f>IF(E50="Vestdanmark",-IF(A50="Halm",SUMIFS(IF(D50=År1,'Resultater - Vestdanmark'!H$3:H$482,IF(D50=År2,'Resultater - Vestdanmark'!I$3:I$482,'Resultater - Vestdanmark'!J$3:J$482)),'Resultater - Vestdanmark'!$F$3:$F$482,$A50,'Resultater - Vestdanmark'!H$3:H$482,"&lt;0"),0),-IF(A50="Halm",SUMIFS(IF(D50=År1,'Resultater - Østdanmark'!H$3:H$482,IF(D50=År2,'Resultater - Østdanmark'!I$3:I$482,'Resultater - Østdanmark'!J$3:J$482)),'Resultater - Østdanmark'!$F$3:$F$482,$A50,'Resultater - Østdanmark'!H$3:H$482,"&lt;0"),0))</f>
        <v>0</v>
      </c>
      <c r="I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5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7">
        <f>SUMIFS('Forbrug af biomasse'!E:E,'Forbrug af biomasse'!C:C,'Resultat-Produktion &amp; forbrug'!$A50,'Forbrug af biomasse'!D:D,'Resultat-Produktion &amp; forbrug'!$D50,'Forbrug af biomasse'!G:G,1,'Forbrug af biomasse'!B:B,$E50)</f>
        <v>0</v>
      </c>
      <c r="N50" s="204">
        <f t="shared" si="9"/>
        <v>0</v>
      </c>
      <c r="O50" s="195">
        <f t="shared" si="1"/>
        <v>0</v>
      </c>
      <c r="P50" s="205">
        <f t="shared" si="10"/>
        <v>0</v>
      </c>
      <c r="Q50" s="192">
        <f>IFERROR(VLOOKUP(A50,[1]Energiindhold!$A$2:$C$11,3,FALSE),IFERROR(VLOOKUP(A50,[1]Biogasudbytte!$A$2:$B$18,2,FALSE)*[1]Energiindhold!$C$10,0))*O50</f>
        <v>0</v>
      </c>
      <c r="R50" s="192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92">
        <f>IFERROR(VLOOKUP(A50,[1]Biogasudbytte!$A$2:$B$18,2,FALSE)*[1]Energiindhold!$C$10,0)*J50*IFERROR(VLOOKUP(A50,Biogasanlæg!$F$3:$G$8,2,FALSE),1)</f>
        <v>0</v>
      </c>
      <c r="T50" s="193">
        <f t="shared" si="11"/>
        <v>0</v>
      </c>
      <c r="U50" s="191">
        <f>O50*IFERROR(VLOOKUP(A50,[1]Tørstofindhold!A$2:B$24,2,FALSE),0)</f>
        <v>0</v>
      </c>
      <c r="V50" s="192">
        <f>IF(D50=År1,P50,SUM(O50,P50))*IFERROR(VLOOKUP(A50,[1]Tørstofindhold!A$2:B$24,2,FALSE),0)</f>
        <v>0</v>
      </c>
      <c r="W50" s="192">
        <f>J50*IFERROR(VLOOKUP(A50,[1]Tørstofindhold!A$2:B$24,2,FALSE),0)</f>
        <v>0</v>
      </c>
      <c r="X50" s="193">
        <f t="shared" si="12"/>
        <v>0</v>
      </c>
      <c r="Y50" s="171">
        <f t="shared" si="2"/>
        <v>0</v>
      </c>
      <c r="Z50" s="103">
        <f t="shared" si="3"/>
        <v>0</v>
      </c>
    </row>
    <row r="51" spans="1:26" x14ac:dyDescent="0.25">
      <c r="A51" s="194" t="str">
        <f t="shared" ref="A51:A82" si="17">A3</f>
        <v>Æg</v>
      </c>
      <c r="B51" s="194" t="str">
        <f t="shared" ref="B51:B82" si="18">IF(B3&lt;&gt;"",B3,"")</f>
        <v/>
      </c>
      <c r="C51" s="194">
        <f>IF(COUNTIFS('Resultater - Danmark'!$D$3:$D$482,'Resultat-Produktion &amp; forbrug'!A51,'Resultater - Danmark'!$A$3:$A$482,"Til energi")+COUNTIFS('Resultater - Danmark'!$D$3:$D$482,'Resultat-Produktion &amp; forbrug'!A51,'Resultater - Danmark'!$A$3:$A$482,"Biogasanlæg")&gt;0,1,0)</f>
        <v>0</v>
      </c>
      <c r="D51" s="194">
        <f t="shared" ref="D51:D98" si="19">År2</f>
        <v>2030</v>
      </c>
      <c r="E51" s="192" t="s">
        <v>23</v>
      </c>
      <c r="F51" s="195">
        <f>IF(E51="Vestdanmark",SUMIFS(IF(D51=År1,'Resultater - Vestdanmark'!H$3:H$482,IF(D51=År2,'Resultater - Vestdanmark'!I$3:I$482,'Resultater - Vestdanmark'!J$3:J$482)),'Resultater - Vestdanmark'!$F$3:$F$482,$A51,IF(D51=År1,'Resultater - Vestdanmark'!H$3:H$482,IF(D51=År2,'Resultater - Vestdanmark'!I$3:I$482,'Resultater - Vestdanmark'!J$3:J$482)),"&gt;0"),SUMIFS(IF(D51=År1,'Resultater - Østdanmark'!H$3:H$482,IF(D51=År2,'Resultater - Østdanmark'!I$3:I$482,'Resultater - Østdanmark'!J$3:J$482)),'Resultater - Østdanmark'!$F$3:$F$482,$A51,IF(D51=År1,'Resultater - Østdanmark'!H$3:H$482,IF(D51=År2,'Resultater - Østdanmark'!I$3:I$482,'Resultater - Østdanmark'!J$3:J$482)),"&gt;0"))</f>
        <v>0</v>
      </c>
      <c r="G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92">
        <f>IF(E51="Vestdanmark",-IF(A51="Halm",SUMIFS(IF(D51=År1,'Resultater - Vestdanmark'!H$3:H$482,IF(D51=År2,'Resultater - Vestdanmark'!I$3:I$482,'Resultater - Vestdanmark'!J$3:J$482)),'Resultater - Vestdanmark'!$F$3:$F$482,$A51,'Resultater - Vestdanmark'!H$3:H$482,"&lt;0"),0),-IF(A51="Halm",SUMIFS(IF(D51=År1,'Resultater - Østdanmark'!H$3:H$482,IF(D51=År2,'Resultater - Østdanmark'!I$3:I$482,'Resultater - Østdanmark'!J$3:J$482)),'Resultater - Østdanmark'!$F$3:$F$482,$A51,'Resultater - Østdanmark'!H$3:H$482,"&lt;0"),0))</f>
        <v>0</v>
      </c>
      <c r="I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5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7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4">
        <f t="shared" si="9"/>
        <v>-32579.784552999867</v>
      </c>
      <c r="O51" s="195">
        <f t="shared" si="1"/>
        <v>0</v>
      </c>
      <c r="P51" s="205">
        <f t="shared" si="10"/>
        <v>0</v>
      </c>
      <c r="Q51" s="192">
        <f>IFERROR(VLOOKUP(A51,[1]Energiindhold!$A$2:$C$11,3,FALSE),IFERROR(VLOOKUP(A51,[1]Biogasudbytte!$A$2:$B$18,2,FALSE)*[1]Energiindhold!$C$10,0))*O51</f>
        <v>0</v>
      </c>
      <c r="R51" s="192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92">
        <f>IFERROR(VLOOKUP(A51,[1]Biogasudbytte!$A$2:$B$18,2,FALSE)*[1]Energiindhold!$C$10,0)*J51*IFERROR(VLOOKUP(A51,Biogasanlæg!$F$3:$G$8,2,FALSE),1)</f>
        <v>0</v>
      </c>
      <c r="T51" s="193">
        <f t="shared" si="11"/>
        <v>0</v>
      </c>
      <c r="U51" s="191">
        <f>O51*IFERROR(VLOOKUP(A51,[1]Tørstofindhold!A$2:B$24,2,FALSE),0)</f>
        <v>0</v>
      </c>
      <c r="V51" s="192">
        <f>IF(D51=År1,P51,SUM(O51,P51))*IFERROR(VLOOKUP(A51,[1]Tørstofindhold!A$2:B$24,2,FALSE),0)</f>
        <v>0</v>
      </c>
      <c r="W51" s="192">
        <f>J51*IFERROR(VLOOKUP(A51,[1]Tørstofindhold!A$2:B$24,2,FALSE),0)</f>
        <v>0</v>
      </c>
      <c r="X51" s="193">
        <f t="shared" si="12"/>
        <v>0</v>
      </c>
      <c r="Y51" s="171">
        <f t="shared" si="2"/>
        <v>1</v>
      </c>
      <c r="Z51" s="103">
        <f t="shared" si="3"/>
        <v>0</v>
      </c>
    </row>
    <row r="52" spans="1:26" x14ac:dyDescent="0.25">
      <c r="A52" s="194" t="str">
        <f t="shared" si="17"/>
        <v>Bælgsæd</v>
      </c>
      <c r="B52" s="194" t="str">
        <f t="shared" si="18"/>
        <v/>
      </c>
      <c r="C52" s="194">
        <f>IF(COUNTIFS('Resultater - Danmark'!$D$3:$D$482,'Resultat-Produktion &amp; forbrug'!A52,'Resultater - Danmark'!$A$3:$A$482,"Til energi")+COUNTIFS('Resultater - Danmark'!$D$3:$D$482,'Resultat-Produktion &amp; forbrug'!A52,'Resultater - Danmark'!$A$3:$A$482,"Biogasanlæg")&gt;0,1,0)</f>
        <v>0</v>
      </c>
      <c r="D52" s="194">
        <f t="shared" si="19"/>
        <v>2030</v>
      </c>
      <c r="E52" s="192" t="s">
        <v>23</v>
      </c>
      <c r="F52" s="195">
        <f>IF(E52="Vestdanmark",SUMIFS(IF(D52=År1,'Resultater - Vestdanmark'!H$3:H$482,IF(D52=År2,'Resultater - Vestdanmark'!I$3:I$482,'Resultater - Vestdanmark'!J$3:J$482)),'Resultater - Vestdanmark'!$F$3:$F$482,$A52,IF(D52=År1,'Resultater - Vestdanmark'!H$3:H$482,IF(D52=År2,'Resultater - Vestdanmark'!I$3:I$482,'Resultater - Vestdanmark'!J$3:J$482)),"&gt;0"),SUMIFS(IF(D52=År1,'Resultater - Østdanmark'!H$3:H$482,IF(D52=År2,'Resultater - Østdanmark'!I$3:I$482,'Resultater - Østdanmark'!J$3:J$482)),'Resultater - Østdanmark'!$F$3:$F$482,$A52,IF(D52=År1,'Resultater - Østdanmark'!H$3:H$482,IF(D52=År2,'Resultater - Østdanmark'!I$3:I$482,'Resultater - Østdanmark'!J$3:J$482)),"&gt;0"))</f>
        <v>0</v>
      </c>
      <c r="G52" s="195" t="e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#REF!</v>
      </c>
      <c r="H52" s="192">
        <f>IF(E52="Vestdanmark",-IF(A52="Halm",SUMIFS(IF(D52=År1,'Resultater - Vestdanmark'!H$3:H$482,IF(D52=År2,'Resultater - Vestdanmark'!I$3:I$482,'Resultater - Vestdanmark'!J$3:J$482)),'Resultater - Vestdanmark'!$F$3:$F$482,$A52,'Resultater - Vestdanmark'!H$3:H$482,"&lt;0"),0),-IF(A52="Halm",SUMIFS(IF(D52=År1,'Resultater - Østdanmark'!H$3:H$482,IF(D52=År2,'Resultater - Østdanmark'!I$3:I$482,'Resultater - Østdanmark'!J$3:J$482)),'Resultater - Østdanmark'!$F$3:$F$482,$A52,'Resultater - Østdanmark'!H$3:H$482,"&lt;0"),0))</f>
        <v>0</v>
      </c>
      <c r="I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5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7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4" t="e">
        <f t="shared" si="9"/>
        <v>#REF!</v>
      </c>
      <c r="O52" s="195">
        <f t="shared" si="1"/>
        <v>0</v>
      </c>
      <c r="P52" s="205">
        <f t="shared" si="10"/>
        <v>0</v>
      </c>
      <c r="Q52" s="192">
        <f>IFERROR(VLOOKUP(A52,[1]Energiindhold!$A$2:$C$11,3,FALSE),IFERROR(VLOOKUP(A52,[1]Biogasudbytte!$A$2:$B$18,2,FALSE)*[1]Energiindhold!$C$10,0))*O52</f>
        <v>0</v>
      </c>
      <c r="R52" s="192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92">
        <f>IFERROR(VLOOKUP(A52,[1]Biogasudbytte!$A$2:$B$18,2,FALSE)*[1]Energiindhold!$C$10,0)*J52*IFERROR(VLOOKUP(A52,Biogasanlæg!$F$3:$G$8,2,FALSE),1)</f>
        <v>0</v>
      </c>
      <c r="T52" s="193">
        <f t="shared" si="11"/>
        <v>0</v>
      </c>
      <c r="U52" s="191">
        <f>O52*IFERROR(VLOOKUP(A52,[1]Tørstofindhold!A$2:B$24,2,FALSE),0)</f>
        <v>0</v>
      </c>
      <c r="V52" s="192">
        <f>IF(D52=År1,P52,SUM(O52,P52))*IFERROR(VLOOKUP(A52,[1]Tørstofindhold!A$2:B$24,2,FALSE),0)</f>
        <v>0</v>
      </c>
      <c r="W52" s="192">
        <f>J52*IFERROR(VLOOKUP(A52,[1]Tørstofindhold!A$2:B$24,2,FALSE),0)</f>
        <v>0</v>
      </c>
      <c r="X52" s="193">
        <f t="shared" si="12"/>
        <v>0</v>
      </c>
      <c r="Y52" s="171" t="e">
        <f t="shared" si="2"/>
        <v>#REF!</v>
      </c>
      <c r="Z52" s="103" t="e">
        <f t="shared" si="3"/>
        <v>#REF!</v>
      </c>
    </row>
    <row r="53" spans="1:26" x14ac:dyDescent="0.25">
      <c r="A53" s="194" t="str">
        <f t="shared" si="17"/>
        <v>Bioaffald</v>
      </c>
      <c r="B53" s="194" t="str">
        <f t="shared" si="18"/>
        <v>Bionedbrydeligt affald</v>
      </c>
      <c r="C53" s="194">
        <f>IF(COUNTIFS('Resultater - Danmark'!$D$3:$D$482,'Resultat-Produktion &amp; forbrug'!A53,'Resultater - Danmark'!$A$3:$A$482,"Til energi")+COUNTIFS('Resultater - Danmark'!$D$3:$D$482,'Resultat-Produktion &amp; forbrug'!A53,'Resultater - Danmark'!$A$3:$A$482,"Biogasanlæg")&gt;0,1,0)</f>
        <v>1</v>
      </c>
      <c r="D53" s="194">
        <f t="shared" si="19"/>
        <v>2030</v>
      </c>
      <c r="E53" s="192" t="s">
        <v>23</v>
      </c>
      <c r="F53" s="195">
        <f>IF(E53="Vestdanmark",SUMIFS(IF(D53=År1,'Resultater - Vestdanmark'!H$3:H$482,IF(D53=År2,'Resultater - Vestdanmark'!I$3:I$482,'Resultater - Vestdanmark'!J$3:J$482)),'Resultater - Vestdanmark'!$F$3:$F$482,$A53,IF(D53=År1,'Resultater - Vestdanmark'!H$3:H$482,IF(D53=År2,'Resultater - Vestdanmark'!I$3:I$482,'Resultater - Vestdanmark'!J$3:J$482)),"&gt;0"),SUMIFS(IF(D53=År1,'Resultater - Østdanmark'!H$3:H$482,IF(D53=År2,'Resultater - Østdanmark'!I$3:I$482,'Resultater - Østdanmark'!J$3:J$482)),'Resultater - Østdanmark'!$F$3:$F$482,$A53,IF(D53=År1,'Resultater - Østdanmark'!H$3:H$482,IF(D53=År2,'Resultater - Østdanmark'!I$3:I$482,'Resultater - Østdanmark'!J$3:J$482)),"&gt;0"))</f>
        <v>0</v>
      </c>
      <c r="G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92">
        <f>IF(E53="Vestdanmark",-IF(A53="Halm",SUMIFS(IF(D53=År1,'Resultater - Vestdanmark'!H$3:H$482,IF(D53=År2,'Resultater - Vestdanmark'!I$3:I$482,'Resultater - Vestdanmark'!J$3:J$482)),'Resultater - Vestdanmark'!$F$3:$F$482,$A53,'Resultater - Vestdanmark'!H$3:H$482,"&lt;0"),0),-IF(A53="Halm",SUMIFS(IF(D53=År1,'Resultater - Østdanmark'!H$3:H$482,IF(D53=År2,'Resultater - Østdanmark'!I$3:I$482,'Resultater - Østdanmark'!J$3:J$482)),'Resultater - Østdanmark'!$F$3:$F$482,$A53,'Resultater - Østdanmark'!H$3:H$482,"&lt;0"),0))</f>
        <v>0</v>
      </c>
      <c r="I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5" t="e">
        <f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#REF!</v>
      </c>
      <c r="K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5" t="e">
        <f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#REF!</v>
      </c>
      <c r="M53" s="157" t="e">
        <f>SUMIFS('Forbrug af biomasse'!E:E,'Forbrug af biomasse'!C:C,'Resultat-Produktion &amp; forbrug'!$A53,'Forbrug af biomasse'!D:D,'Resultat-Produktion &amp; forbrug'!$D53,'Forbrug af biomasse'!G:G,1,'Forbrug af biomasse'!B:B,$E53)</f>
        <v>#REF!</v>
      </c>
      <c r="N53" s="204" t="e">
        <f t="shared" si="9"/>
        <v>#REF!</v>
      </c>
      <c r="O53" s="195" t="e">
        <f t="shared" si="1"/>
        <v>#REF!</v>
      </c>
      <c r="P53" s="205" t="e">
        <f t="shared" si="10"/>
        <v>#REF!</v>
      </c>
      <c r="Q53" s="192" t="e">
        <f>IFERROR(VLOOKUP(A53,[1]Energiindhold!$A$2:$C$11,3,FALSE),IFERROR(VLOOKUP(A53,[1]Biogasudbytte!$A$2:$B$18,2,FALSE)*[1]Energiindhold!$C$10,0))*O53</f>
        <v>#REF!</v>
      </c>
      <c r="R53" s="192" t="e">
        <f>IF(A53&lt;&gt;"Biogas",IFERROR(VLOOKUP(A53,[1]Biogasudbytte!$A$2:$B$18,2,FALSE)*[1]Energiindhold!$C$10,0)*J53*IFERROR(VLOOKUP(A53,Biogasanlæg!$F$3:$G$8,2,FALSE),1)+IFERROR(VLOOKUP(A53,[1]Energiindhold!$A$2:$C$11,3,FALSE),0)*L53+IF(D53&lt;&gt;År1,Q53,0),0)</f>
        <v>#REF!</v>
      </c>
      <c r="S53" s="192" t="e">
        <f>IFERROR(VLOOKUP(A53,[1]Biogasudbytte!$A$2:$B$18,2,FALSE)*[1]Energiindhold!$C$10,0)*J53*IFERROR(VLOOKUP(A53,Biogasanlæg!$F$3:$G$8,2,FALSE),1)</f>
        <v>#REF!</v>
      </c>
      <c r="T53" s="193" t="e">
        <f t="shared" si="11"/>
        <v>#REF!</v>
      </c>
      <c r="U53" s="191" t="e">
        <f>O53*IFERROR(VLOOKUP(A53,[1]Tørstofindhold!A$2:B$24,2,FALSE),0)</f>
        <v>#REF!</v>
      </c>
      <c r="V53" s="192" t="e">
        <f>IF(D53=År1,P53,SUM(O53,P53))*IFERROR(VLOOKUP(A53,[1]Tørstofindhold!A$2:B$24,2,FALSE),0)</f>
        <v>#REF!</v>
      </c>
      <c r="W53" s="192" t="e">
        <f>J53*IFERROR(VLOOKUP(A53,[1]Tørstofindhold!A$2:B$24,2,FALSE),0)</f>
        <v>#REF!</v>
      </c>
      <c r="X53" s="193" t="e">
        <f t="shared" si="12"/>
        <v>#REF!</v>
      </c>
      <c r="Y53" s="171" t="e">
        <f t="shared" si="2"/>
        <v>#REF!</v>
      </c>
      <c r="Z53" s="103" t="e">
        <f t="shared" si="3"/>
        <v>#REF!</v>
      </c>
    </row>
    <row r="54" spans="1:26" x14ac:dyDescent="0.25">
      <c r="A54" s="194" t="str">
        <f t="shared" si="17"/>
        <v>Biogas</v>
      </c>
      <c r="B54" s="194" t="str">
        <f t="shared" si="18"/>
        <v/>
      </c>
      <c r="C54" s="194">
        <f>IF(COUNTIFS('Resultater - Danmark'!$D$3:$D$482,'Resultat-Produktion &amp; forbrug'!A54,'Resultater - Danmark'!$A$3:$A$482,"Til energi")+COUNTIFS('Resultater - Danmark'!$D$3:$D$482,'Resultat-Produktion &amp; forbrug'!A54,'Resultater - Danmark'!$A$3:$A$482,"Biogasanlæg")&gt;0,1,0)</f>
        <v>1</v>
      </c>
      <c r="D54" s="194">
        <f t="shared" si="19"/>
        <v>2030</v>
      </c>
      <c r="E54" s="192" t="s">
        <v>23</v>
      </c>
      <c r="F54" s="195">
        <f>IF(E54="Vestdanmark",SUMIFS(IF(D54=År1,'Resultater - Vestdanmark'!H$3:H$482,IF(D54=År2,'Resultater - Vestdanmark'!I$3:I$482,'Resultater - Vestdanmark'!J$3:J$482)),'Resultater - Vestdanmark'!$F$3:$F$482,$A54,IF(D54=År1,'Resultater - Vestdanmark'!H$3:H$482,IF(D54=År2,'Resultater - Vestdanmark'!I$3:I$482,'Resultater - Vestdanmark'!J$3:J$482)),"&gt;0"),SUMIFS(IF(D54=År1,'Resultater - Østdanmark'!H$3:H$482,IF(D54=År2,'Resultater - Østdanmark'!I$3:I$482,'Resultater - Østdanmark'!J$3:J$482)),'Resultater - Østdanmark'!$F$3:$F$482,$A54,IF(D54=År1,'Resultater - Østdanmark'!H$3:H$482,IF(D54=År2,'Resultater - Østdanmark'!I$3:I$482,'Resultater - Østdanmark'!J$3:J$482)),"&gt;0"))</f>
        <v>48345002.496000007</v>
      </c>
      <c r="G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92">
        <f>IF(E54="Vestdanmark",-IF(A54="Halm",SUMIFS(IF(D54=År1,'Resultater - Vestdanmark'!H$3:H$482,IF(D54=År2,'Resultater - Vestdanmark'!I$3:I$482,'Resultater - Vestdanmark'!J$3:J$482)),'Resultater - Vestdanmark'!$F$3:$F$482,$A54,'Resultater - Vestdanmark'!H$3:H$482,"&lt;0"),0),-IF(A54="Halm",SUMIFS(IF(D54=År1,'Resultater - Østdanmark'!H$3:H$482,IF(D54=År2,'Resultater - Østdanmark'!I$3:I$482,'Resultater - Østdanmark'!J$3:J$482)),'Resultater - Østdanmark'!$F$3:$F$482,$A54,'Resultater - Østdanmark'!H$3:H$482,"&lt;0"),0))</f>
        <v>0</v>
      </c>
      <c r="I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5">
        <f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48345002.496000007</v>
      </c>
      <c r="M54" s="157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4">
        <f t="shared" si="9"/>
        <v>0</v>
      </c>
      <c r="O54" s="195">
        <f t="shared" si="1"/>
        <v>0</v>
      </c>
      <c r="P54" s="205">
        <f t="shared" si="10"/>
        <v>48345002.496000007</v>
      </c>
      <c r="Q54" s="192">
        <f>IFERROR(VLOOKUP(A54,[1]Energiindhold!$A$2:$C$11,3,FALSE),IFERROR(VLOOKUP(A54,[1]Biogasudbytte!$A$2:$B$18,2,FALSE)*[1]Energiindhold!$C$10,0))*O54</f>
        <v>0</v>
      </c>
      <c r="R54" s="192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92">
        <f>IFERROR(VLOOKUP(A54,[1]Biogasudbytte!$A$2:$B$18,2,FALSE)*[1]Energiindhold!$C$10,0)*J54*IFERROR(VLOOKUP(A54,Biogasanlæg!$F$3:$G$8,2,FALSE),1)</f>
        <v>0</v>
      </c>
      <c r="T54" s="193">
        <f t="shared" si="11"/>
        <v>0</v>
      </c>
      <c r="U54" s="191">
        <f>O54*IFERROR(VLOOKUP(A54,[1]Tørstofindhold!A$2:B$24,2,FALSE),0)</f>
        <v>0</v>
      </c>
      <c r="V54" s="192">
        <f>IF(D54=År1,P54,SUM(O54,P54))*IFERROR(VLOOKUP(A54,[1]Tørstofindhold!A$2:B$24,2,FALSE),0)</f>
        <v>0</v>
      </c>
      <c r="W54" s="192">
        <f>J54*IFERROR(VLOOKUP(A54,[1]Tørstofindhold!A$2:B$24,2,FALSE),0)</f>
        <v>0</v>
      </c>
      <c r="X54" s="193">
        <f t="shared" si="12"/>
        <v>0</v>
      </c>
      <c r="Y54" s="171">
        <f t="shared" si="2"/>
        <v>0</v>
      </c>
      <c r="Z54" s="103">
        <f t="shared" si="3"/>
        <v>0</v>
      </c>
    </row>
    <row r="55" spans="1:26" x14ac:dyDescent="0.25">
      <c r="A55" s="194" t="str">
        <f t="shared" si="17"/>
        <v>Biogasgylle</v>
      </c>
      <c r="B55" s="194" t="str">
        <f t="shared" si="18"/>
        <v/>
      </c>
      <c r="C55" s="194">
        <f>IF(COUNTIFS('Resultater - Danmark'!$D$3:$D$482,'Resultat-Produktion &amp; forbrug'!A55,'Resultater - Danmark'!$A$3:$A$482,"Til energi")+COUNTIFS('Resultater - Danmark'!$D$3:$D$482,'Resultat-Produktion &amp; forbrug'!A55,'Resultater - Danmark'!$A$3:$A$482,"Biogasanlæg")&gt;0,1,0)</f>
        <v>0</v>
      </c>
      <c r="D55" s="194">
        <f t="shared" si="19"/>
        <v>2030</v>
      </c>
      <c r="E55" s="192" t="s">
        <v>23</v>
      </c>
      <c r="F55" s="195">
        <f>IF(E55="Vestdanmark",SUMIFS(IF(D55=År1,'Resultater - Vestdanmark'!H$3:H$482,IF(D55=År2,'Resultater - Vestdanmark'!I$3:I$482,'Resultater - Vestdanmark'!J$3:J$482)),'Resultater - Vestdanmark'!$F$3:$F$482,$A55,IF(D55=År1,'Resultater - Vestdanmark'!H$3:H$482,IF(D55=År2,'Resultater - Vestdanmark'!I$3:I$482,'Resultater - Vestdanmark'!J$3:J$482)),"&gt;0"),SUMIFS(IF(D55=År1,'Resultater - Østdanmark'!H$3:H$482,IF(D55=År2,'Resultater - Østdanmark'!I$3:I$482,'Resultater - Østdanmark'!J$3:J$482)),'Resultater - Østdanmark'!$F$3:$F$482,$A55,IF(D55=År1,'Resultater - Østdanmark'!H$3:H$482,IF(D55=År2,'Resultater - Østdanmark'!I$3:I$482,'Resultater - Østdanmark'!J$3:J$482)),"&gt;0"))</f>
        <v>0</v>
      </c>
      <c r="G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92">
        <f>IF(E55="Vestdanmark",-IF(A55="Halm",SUMIFS(IF(D55=År1,'Resultater - Vestdanmark'!H$3:H$482,IF(D55=År2,'Resultater - Vestdanmark'!I$3:I$482,'Resultater - Vestdanmark'!J$3:J$482)),'Resultater - Vestdanmark'!$F$3:$F$482,$A55,'Resultater - Vestdanmark'!H$3:H$482,"&lt;0"),0),-IF(A55="Halm",SUMIFS(IF(D55=År1,'Resultater - Østdanmark'!H$3:H$482,IF(D55=År2,'Resultater - Østdanmark'!I$3:I$482,'Resultater - Østdanmark'!J$3:J$482)),'Resultater - Østdanmark'!$F$3:$F$482,$A55,'Resultater - Østdanmark'!H$3:H$482,"&lt;0"),0))</f>
        <v>0</v>
      </c>
      <c r="I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5" t="e">
        <f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#REF!</v>
      </c>
      <c r="L55" s="195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7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4" t="e">
        <f t="shared" si="9"/>
        <v>#REF!</v>
      </c>
      <c r="O55" s="195">
        <f t="shared" si="1"/>
        <v>0</v>
      </c>
      <c r="P55" s="205">
        <f t="shared" si="10"/>
        <v>0</v>
      </c>
      <c r="Q55" s="192">
        <f>IFERROR(VLOOKUP(A55,[1]Energiindhold!$A$2:$C$11,3,FALSE),IFERROR(VLOOKUP(A55,[1]Biogasudbytte!$A$2:$B$18,2,FALSE)*[1]Energiindhold!$C$10,0))*O55</f>
        <v>0</v>
      </c>
      <c r="R55" s="192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92">
        <f>IFERROR(VLOOKUP(A55,[1]Biogasudbytte!$A$2:$B$18,2,FALSE)*[1]Energiindhold!$C$10,0)*J55*IFERROR(VLOOKUP(A55,Biogasanlæg!$F$3:$G$8,2,FALSE),1)</f>
        <v>0</v>
      </c>
      <c r="T55" s="193">
        <f t="shared" si="11"/>
        <v>0</v>
      </c>
      <c r="U55" s="191">
        <f>O55*IFERROR(VLOOKUP(A55,[1]Tørstofindhold!A$2:B$24,2,FALSE),0)</f>
        <v>0</v>
      </c>
      <c r="V55" s="192">
        <f>IF(D55=År1,P55,SUM(O55,P55))*IFERROR(VLOOKUP(A55,[1]Tørstofindhold!A$2:B$24,2,FALSE),0)</f>
        <v>0</v>
      </c>
      <c r="W55" s="192">
        <f>J55*IFERROR(VLOOKUP(A55,[1]Tørstofindhold!A$2:B$24,2,FALSE),0)</f>
        <v>0</v>
      </c>
      <c r="X55" s="193">
        <f t="shared" si="12"/>
        <v>0</v>
      </c>
      <c r="Y55" s="171" t="e">
        <f t="shared" si="2"/>
        <v>#REF!</v>
      </c>
      <c r="Z55" s="103" t="e">
        <f t="shared" si="3"/>
        <v>#REF!</v>
      </c>
    </row>
    <row r="56" spans="1:26" x14ac:dyDescent="0.25">
      <c r="A56" s="194" t="str">
        <f t="shared" si="17"/>
        <v>Brun saft</v>
      </c>
      <c r="B56" s="194" t="str">
        <f t="shared" si="18"/>
        <v>Bionedbrydeligt affald</v>
      </c>
      <c r="C56" s="194">
        <f>IF(COUNTIFS('Resultater - Danmark'!$D$3:$D$482,'Resultat-Produktion &amp; forbrug'!A56,'Resultater - Danmark'!$A$3:$A$482,"Til energi")+COUNTIFS('Resultater - Danmark'!$D$3:$D$482,'Resultat-Produktion &amp; forbrug'!A56,'Resultater - Danmark'!$A$3:$A$482,"Biogasanlæg")&gt;0,1,0)</f>
        <v>1</v>
      </c>
      <c r="D56" s="194">
        <f t="shared" si="19"/>
        <v>2030</v>
      </c>
      <c r="E56" s="192" t="s">
        <v>23</v>
      </c>
      <c r="F56" s="195">
        <f>IF(E56="Vestdanmark",SUMIFS(IF(D56=År1,'Resultater - Vestdanmark'!H$3:H$482,IF(D56=År2,'Resultater - Vestdanmark'!I$3:I$482,'Resultater - Vestdanmark'!J$3:J$482)),'Resultater - Vestdanmark'!$F$3:$F$482,$A56,IF(D56=År1,'Resultater - Vestdanmark'!H$3:H$482,IF(D56=År2,'Resultater - Vestdanmark'!I$3:I$482,'Resultater - Vestdanmark'!J$3:J$482)),"&gt;0"),SUMIFS(IF(D56=År1,'Resultater - Østdanmark'!H$3:H$482,IF(D56=År2,'Resultater - Østdanmark'!I$3:I$482,'Resultater - Østdanmark'!J$3:J$482)),'Resultater - Østdanmark'!$F$3:$F$482,$A56,IF(D56=År1,'Resultater - Østdanmark'!H$3:H$482,IF(D56=År2,'Resultater - Østdanmark'!I$3:I$482,'Resultater - Østdanmark'!J$3:J$482)),"&gt;0"))</f>
        <v>0</v>
      </c>
      <c r="G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92">
        <f>IF(E56="Vestdanmark",-IF(A56="Halm",SUMIFS(IF(D56=År1,'Resultater - Vestdanmark'!H$3:H$482,IF(D56=År2,'Resultater - Vestdanmark'!I$3:I$482,'Resultater - Vestdanmark'!J$3:J$482)),'Resultater - Vestdanmark'!$F$3:$F$482,$A56,'Resultater - Vestdanmark'!H$3:H$482,"&lt;0"),0),-IF(A56="Halm",SUMIFS(IF(D56=År1,'Resultater - Østdanmark'!H$3:H$482,IF(D56=År2,'Resultater - Østdanmark'!I$3:I$482,'Resultater - Østdanmark'!J$3:J$482)),'Resultater - Østdanmark'!$F$3:$F$482,$A56,'Resultater - Østdanmark'!H$3:H$482,"&lt;0"),0))</f>
        <v>0</v>
      </c>
      <c r="I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5" t="e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#REF!</v>
      </c>
      <c r="K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5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7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4" t="e">
        <f t="shared" si="9"/>
        <v>#REF!</v>
      </c>
      <c r="O56" s="195" t="e">
        <f t="shared" si="1"/>
        <v>#REF!</v>
      </c>
      <c r="P56" s="205" t="e">
        <f t="shared" si="10"/>
        <v>#REF!</v>
      </c>
      <c r="Q56" s="192" t="e">
        <f>IFERROR(VLOOKUP(A56,[1]Energiindhold!$A$2:$C$11,3,FALSE),IFERROR(VLOOKUP(A56,[1]Biogasudbytte!$A$2:$B$18,2,FALSE)*[1]Energiindhold!$C$10,0))*O56</f>
        <v>#REF!</v>
      </c>
      <c r="R56" s="192" t="e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#REF!</v>
      </c>
      <c r="S56" s="192" t="e">
        <f>IFERROR(VLOOKUP(A56,[1]Biogasudbytte!$A$2:$B$18,2,FALSE)*[1]Energiindhold!$C$10,0)*J56*IFERROR(VLOOKUP(A56,Biogasanlæg!$F$3:$G$8,2,FALSE),1)</f>
        <v>#REF!</v>
      </c>
      <c r="T56" s="193" t="e">
        <f t="shared" si="11"/>
        <v>#REF!</v>
      </c>
      <c r="U56" s="191" t="e">
        <f>O56*IFERROR(VLOOKUP(A56,[1]Tørstofindhold!A$2:B$24,2,FALSE),0)</f>
        <v>#REF!</v>
      </c>
      <c r="V56" s="192" t="e">
        <f>IF(D56=År1,P56,SUM(O56,P56))*IFERROR(VLOOKUP(A56,[1]Tørstofindhold!A$2:B$24,2,FALSE),0)</f>
        <v>#REF!</v>
      </c>
      <c r="W56" s="192" t="e">
        <f>J56*IFERROR(VLOOKUP(A56,[1]Tørstofindhold!A$2:B$24,2,FALSE),0)</f>
        <v>#REF!</v>
      </c>
      <c r="X56" s="193" t="e">
        <f t="shared" si="12"/>
        <v>#REF!</v>
      </c>
      <c r="Y56" s="171" t="e">
        <f t="shared" si="2"/>
        <v>#REF!</v>
      </c>
      <c r="Z56" s="103" t="e">
        <f t="shared" si="3"/>
        <v>#REF!</v>
      </c>
    </row>
    <row r="57" spans="1:26" x14ac:dyDescent="0.25">
      <c r="A57" s="194" t="str">
        <f t="shared" si="17"/>
        <v>Dybstrøelse</v>
      </c>
      <c r="B57" s="194" t="str">
        <f t="shared" si="18"/>
        <v>Husdyrgødning</v>
      </c>
      <c r="C57" s="194">
        <f>IF(COUNTIFS('Resultater - Danmark'!$D$3:$D$482,'Resultat-Produktion &amp; forbrug'!A57,'Resultater - Danmark'!$A$3:$A$482,"Til energi")+COUNTIFS('Resultater - Danmark'!$D$3:$D$482,'Resultat-Produktion &amp; forbrug'!A57,'Resultater - Danmark'!$A$3:$A$482,"Biogasanlæg")&gt;0,1,0)</f>
        <v>1</v>
      </c>
      <c r="D57" s="194">
        <f t="shared" si="19"/>
        <v>2030</v>
      </c>
      <c r="E57" s="192" t="s">
        <v>23</v>
      </c>
      <c r="F57" s="195">
        <f>IF(E57="Vestdanmark",SUMIFS(IF(D57=År1,'Resultater - Vestdanmark'!H$3:H$482,IF(D57=År2,'Resultater - Vestdanmark'!I$3:I$482,'Resultater - Vestdanmark'!J$3:J$482)),'Resultater - Vestdanmark'!$F$3:$F$482,$A57,IF(D57=År1,'Resultater - Vestdanmark'!H$3:H$482,IF(D57=År2,'Resultater - Vestdanmark'!I$3:I$482,'Resultater - Vestdanmark'!J$3:J$482)),"&gt;0"),SUMIFS(IF(D57=År1,'Resultater - Østdanmark'!H$3:H$482,IF(D57=År2,'Resultater - Østdanmark'!I$3:I$482,'Resultater - Østdanmark'!J$3:J$482)),'Resultater - Østdanmark'!$F$3:$F$482,$A57,IF(D57=År1,'Resultater - Østdanmark'!H$3:H$482,IF(D57=År2,'Resultater - Østdanmark'!I$3:I$482,'Resultater - Østdanmark'!J$3:J$482)),"&gt;0"))</f>
        <v>0</v>
      </c>
      <c r="G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92">
        <f>IF(E57="Vestdanmark",-IF(A57="Halm",SUMIFS(IF(D57=År1,'Resultater - Vestdanmark'!H$3:H$482,IF(D57=År2,'Resultater - Vestdanmark'!I$3:I$482,'Resultater - Vestdanmark'!J$3:J$482)),'Resultater - Vestdanmark'!$F$3:$F$482,$A57,'Resultater - Vestdanmark'!H$3:H$482,"&lt;0"),0),-IF(A57="Halm",SUMIFS(IF(D57=År1,'Resultater - Østdanmark'!H$3:H$482,IF(D57=År2,'Resultater - Østdanmark'!I$3:I$482,'Resultater - Østdanmark'!J$3:J$482)),'Resultater - Østdanmark'!$F$3:$F$482,$A57,'Resultater - Østdanmark'!H$3:H$482,"&lt;0"),0))</f>
        <v>0</v>
      </c>
      <c r="I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5" t="e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#REF!</v>
      </c>
      <c r="K57" s="195" t="e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#REF!</v>
      </c>
      <c r="L57" s="195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7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4" t="e">
        <f t="shared" si="9"/>
        <v>#REF!</v>
      </c>
      <c r="O57" s="195" t="e">
        <f t="shared" si="1"/>
        <v>#REF!</v>
      </c>
      <c r="P57" s="205" t="e">
        <f t="shared" si="10"/>
        <v>#REF!</v>
      </c>
      <c r="Q57" s="192" t="e">
        <f>IFERROR(VLOOKUP(A57,[1]Energiindhold!$A$2:$C$11,3,FALSE),IFERROR(VLOOKUP(A57,[1]Biogasudbytte!$A$2:$B$18,2,FALSE)*[1]Energiindhold!$C$10,0))*O57</f>
        <v>#REF!</v>
      </c>
      <c r="R57" s="192" t="e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#REF!</v>
      </c>
      <c r="S57" s="192" t="e">
        <f>IFERROR(VLOOKUP(A57,[1]Biogasudbytte!$A$2:$B$18,2,FALSE)*[1]Energiindhold!$C$10,0)*J57*IFERROR(VLOOKUP(A57,Biogasanlæg!$F$3:$G$8,2,FALSE),1)</f>
        <v>#REF!</v>
      </c>
      <c r="T57" s="193" t="e">
        <f t="shared" si="11"/>
        <v>#REF!</v>
      </c>
      <c r="U57" s="191" t="e">
        <f>O57*IFERROR(VLOOKUP(A57,[1]Tørstofindhold!A$2:B$24,2,FALSE),0)</f>
        <v>#REF!</v>
      </c>
      <c r="V57" s="192" t="e">
        <f>IF(D57=År1,P57,SUM(O57,P57))*IFERROR(VLOOKUP(A57,[1]Tørstofindhold!A$2:B$24,2,FALSE),0)</f>
        <v>#REF!</v>
      </c>
      <c r="W57" s="192" t="e">
        <f>J57*IFERROR(VLOOKUP(A57,[1]Tørstofindhold!A$2:B$24,2,FALSE),0)</f>
        <v>#REF!</v>
      </c>
      <c r="X57" s="193" t="e">
        <f t="shared" si="12"/>
        <v>#REF!</v>
      </c>
      <c r="Y57" s="171" t="e">
        <f t="shared" si="2"/>
        <v>#REF!</v>
      </c>
      <c r="Z57" s="103" t="e">
        <f t="shared" si="3"/>
        <v>#REF!</v>
      </c>
    </row>
    <row r="58" spans="1:26" x14ac:dyDescent="0.25">
      <c r="A58" s="194" t="str">
        <f t="shared" si="17"/>
        <v>Fiberfraktion</v>
      </c>
      <c r="B58" s="194" t="str">
        <f t="shared" si="18"/>
        <v/>
      </c>
      <c r="C58" s="194">
        <f>IF(COUNTIFS('Resultater - Danmark'!$D$3:$D$482,'Resultat-Produktion &amp; forbrug'!A58,'Resultater - Danmark'!$A$3:$A$482,"Til energi")+COUNTIFS('Resultater - Danmark'!$D$3:$D$482,'Resultat-Produktion &amp; forbrug'!A58,'Resultater - Danmark'!$A$3:$A$482,"Biogasanlæg")&gt;0,1,0)</f>
        <v>0</v>
      </c>
      <c r="D58" s="194">
        <f t="shared" si="19"/>
        <v>2030</v>
      </c>
      <c r="E58" s="192" t="s">
        <v>23</v>
      </c>
      <c r="F58" s="195">
        <f>IF(E58="Vestdanmark",SUMIFS(IF(D58=År1,'Resultater - Vestdanmark'!H$3:H$482,IF(D58=År2,'Resultater - Vestdanmark'!I$3:I$482,'Resultater - Vestdanmark'!J$3:J$482)),'Resultater - Vestdanmark'!$F$3:$F$482,$A58,IF(D58=År1,'Resultater - Vestdanmark'!H$3:H$482,IF(D58=År2,'Resultater - Vestdanmark'!I$3:I$482,'Resultater - Vestdanmark'!J$3:J$482)),"&gt;0"),SUMIFS(IF(D58=År1,'Resultater - Østdanmark'!H$3:H$482,IF(D58=År2,'Resultater - Østdanmark'!I$3:I$482,'Resultater - Østdanmark'!J$3:J$482)),'Resultater - Østdanmark'!$F$3:$F$482,$A58,IF(D58=År1,'Resultater - Østdanmark'!H$3:H$482,IF(D58=År2,'Resultater - Østdanmark'!I$3:I$482,'Resultater - Østdanmark'!J$3:J$482)),"&gt;0"))</f>
        <v>0</v>
      </c>
      <c r="G58" s="195" t="e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#REF!</v>
      </c>
      <c r="H58" s="192">
        <f>IF(E58="Vestdanmark",-IF(A58="Halm",SUMIFS(IF(D58=År1,'Resultater - Vestdanmark'!H$3:H$482,IF(D58=År2,'Resultater - Vestdanmark'!I$3:I$482,'Resultater - Vestdanmark'!J$3:J$482)),'Resultater - Vestdanmark'!$F$3:$F$482,$A58,'Resultater - Vestdanmark'!H$3:H$482,"&lt;0"),0),-IF(A58="Halm",SUMIFS(IF(D58=År1,'Resultater - Østdanmark'!H$3:H$482,IF(D58=År2,'Resultater - Østdanmark'!I$3:I$482,'Resultater - Østdanmark'!J$3:J$482)),'Resultater - Østdanmark'!$F$3:$F$482,$A58,'Resultater - Østdanmark'!H$3:H$482,"&lt;0"),0))</f>
        <v>0</v>
      </c>
      <c r="I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5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7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4" t="e">
        <f t="shared" si="9"/>
        <v>#REF!</v>
      </c>
      <c r="O58" s="195">
        <f t="shared" si="1"/>
        <v>0</v>
      </c>
      <c r="P58" s="205">
        <f t="shared" si="10"/>
        <v>0</v>
      </c>
      <c r="Q58" s="192">
        <f>IFERROR(VLOOKUP(A58,[1]Energiindhold!$A$2:$C$11,3,FALSE),IFERROR(VLOOKUP(A58,[1]Biogasudbytte!$A$2:$B$18,2,FALSE)*[1]Energiindhold!$C$10,0))*O58</f>
        <v>0</v>
      </c>
      <c r="R58" s="192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92">
        <f>IFERROR(VLOOKUP(A58,[1]Biogasudbytte!$A$2:$B$18,2,FALSE)*[1]Energiindhold!$C$10,0)*J58*IFERROR(VLOOKUP(A58,Biogasanlæg!$F$3:$G$8,2,FALSE),1)</f>
        <v>0</v>
      </c>
      <c r="T58" s="193">
        <f t="shared" si="11"/>
        <v>0</v>
      </c>
      <c r="U58" s="191">
        <f>O58*IFERROR(VLOOKUP(A58,[1]Tørstofindhold!A$2:B$24,2,FALSE),0)</f>
        <v>0</v>
      </c>
      <c r="V58" s="192">
        <f>IF(D58=År1,P58,SUM(O58,P58))*IFERROR(VLOOKUP(A58,[1]Tørstofindhold!A$2:B$24,2,FALSE),0)</f>
        <v>0</v>
      </c>
      <c r="W58" s="192">
        <f>J58*IFERROR(VLOOKUP(A58,[1]Tørstofindhold!A$2:B$24,2,FALSE),0)</f>
        <v>0</v>
      </c>
      <c r="X58" s="193">
        <f t="shared" si="12"/>
        <v>0</v>
      </c>
      <c r="Y58" s="171" t="e">
        <f t="shared" si="2"/>
        <v>#REF!</v>
      </c>
      <c r="Z58" s="103" t="e">
        <f t="shared" si="3"/>
        <v>#REF!</v>
      </c>
    </row>
    <row r="59" spans="1:26" x14ac:dyDescent="0.25">
      <c r="A59" s="194" t="str">
        <f t="shared" si="17"/>
        <v>Fjerkrægylle</v>
      </c>
      <c r="B59" s="194" t="str">
        <f t="shared" si="18"/>
        <v>Husdyrgødning</v>
      </c>
      <c r="C59" s="194">
        <f>IF(COUNTIFS('Resultater - Danmark'!$D$3:$D$482,'Resultat-Produktion &amp; forbrug'!A59,'Resultater - Danmark'!$A$3:$A$482,"Til energi")+COUNTIFS('Resultater - Danmark'!$D$3:$D$482,'Resultat-Produktion &amp; forbrug'!A59,'Resultater - Danmark'!$A$3:$A$482,"Biogasanlæg")&gt;0,1,0)</f>
        <v>1</v>
      </c>
      <c r="D59" s="194">
        <f t="shared" si="19"/>
        <v>2030</v>
      </c>
      <c r="E59" s="192" t="s">
        <v>23</v>
      </c>
      <c r="F59" s="195">
        <f>IF(E59="Vestdanmark",SUMIFS(IF(D59=År1,'Resultater - Vestdanmark'!H$3:H$482,IF(D59=År2,'Resultater - Vestdanmark'!I$3:I$482,'Resultater - Vestdanmark'!J$3:J$482)),'Resultater - Vestdanmark'!$F$3:$F$482,$A59,IF(D59=År1,'Resultater - Vestdanmark'!H$3:H$482,IF(D59=År2,'Resultater - Vestdanmark'!I$3:I$482,'Resultater - Vestdanmark'!J$3:J$482)),"&gt;0"),SUMIFS(IF(D59=År1,'Resultater - Østdanmark'!H$3:H$482,IF(D59=År2,'Resultater - Østdanmark'!I$3:I$482,'Resultater - Østdanmark'!J$3:J$482)),'Resultater - Østdanmark'!$F$3:$F$482,$A59,IF(D59=År1,'Resultater - Østdanmark'!H$3:H$482,IF(D59=År2,'Resultater - Østdanmark'!I$3:I$482,'Resultater - Østdanmark'!J$3:J$482)),"&gt;0"))</f>
        <v>0</v>
      </c>
      <c r="G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92">
        <f>IF(E59="Vestdanmark",-IF(A59="Halm",SUMIFS(IF(D59=År1,'Resultater - Vestdanmark'!H$3:H$482,IF(D59=År2,'Resultater - Vestdanmark'!I$3:I$482,'Resultater - Vestdanmark'!J$3:J$482)),'Resultater - Vestdanmark'!$F$3:$F$482,$A59,'Resultater - Vestdanmark'!H$3:H$482,"&lt;0"),0),-IF(A59="Halm",SUMIFS(IF(D59=År1,'Resultater - Østdanmark'!H$3:H$482,IF(D59=År2,'Resultater - Østdanmark'!I$3:I$482,'Resultater - Østdanmark'!J$3:J$482)),'Resultater - Østdanmark'!$F$3:$F$482,$A59,'Resultater - Østdanmark'!H$3:H$482,"&lt;0"),0))</f>
        <v>0</v>
      </c>
      <c r="I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5" t="e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#REF!</v>
      </c>
      <c r="K59" s="195" t="e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#REF!</v>
      </c>
      <c r="L59" s="195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7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4" t="e">
        <f t="shared" si="9"/>
        <v>#REF!</v>
      </c>
      <c r="O59" s="195" t="e">
        <f t="shared" si="1"/>
        <v>#REF!</v>
      </c>
      <c r="P59" s="205" t="e">
        <f t="shared" si="10"/>
        <v>#REF!</v>
      </c>
      <c r="Q59" s="192" t="e">
        <f>IFERROR(VLOOKUP(A59,[1]Energiindhold!$A$2:$C$11,3,FALSE),IFERROR(VLOOKUP(A59,[1]Biogasudbytte!$A$2:$B$18,2,FALSE)*[1]Energiindhold!$C$10,0))*O59</f>
        <v>#REF!</v>
      </c>
      <c r="R59" s="192" t="e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#REF!</v>
      </c>
      <c r="S59" s="192" t="e">
        <f>IFERROR(VLOOKUP(A59,[1]Biogasudbytte!$A$2:$B$18,2,FALSE)*[1]Energiindhold!$C$10,0)*J59*IFERROR(VLOOKUP(A59,Biogasanlæg!$F$3:$G$8,2,FALSE),1)</f>
        <v>#REF!</v>
      </c>
      <c r="T59" s="193" t="e">
        <f t="shared" si="11"/>
        <v>#REF!</v>
      </c>
      <c r="U59" s="191" t="e">
        <f>O59*IFERROR(VLOOKUP(A59,[1]Tørstofindhold!A$2:B$24,2,FALSE),0)</f>
        <v>#REF!</v>
      </c>
      <c r="V59" s="192" t="e">
        <f>IF(D59=År1,P59,SUM(O59,P59))*IFERROR(VLOOKUP(A59,[1]Tørstofindhold!A$2:B$24,2,FALSE),0)</f>
        <v>#REF!</v>
      </c>
      <c r="W59" s="192" t="e">
        <f>J59*IFERROR(VLOOKUP(A59,[1]Tørstofindhold!A$2:B$24,2,FALSE),0)</f>
        <v>#REF!</v>
      </c>
      <c r="X59" s="193" t="e">
        <f t="shared" si="12"/>
        <v>#REF!</v>
      </c>
      <c r="Y59" s="171" t="e">
        <f t="shared" si="2"/>
        <v>#REF!</v>
      </c>
      <c r="Z59" s="103" t="e">
        <f t="shared" si="3"/>
        <v>#REF!</v>
      </c>
    </row>
    <row r="60" spans="1:26" x14ac:dyDescent="0.25">
      <c r="A60" s="194" t="str">
        <f t="shared" si="17"/>
        <v>Fjerkrækød</v>
      </c>
      <c r="B60" s="194" t="str">
        <f t="shared" si="18"/>
        <v/>
      </c>
      <c r="C60" s="194">
        <f>IF(COUNTIFS('Resultater - Danmark'!$D$3:$D$482,'Resultat-Produktion &amp; forbrug'!A60,'Resultater - Danmark'!$A$3:$A$482,"Til energi")+COUNTIFS('Resultater - Danmark'!$D$3:$D$482,'Resultat-Produktion &amp; forbrug'!A60,'Resultater - Danmark'!$A$3:$A$482,"Biogasanlæg")&gt;0,1,0)</f>
        <v>0</v>
      </c>
      <c r="D60" s="194">
        <f t="shared" si="19"/>
        <v>2030</v>
      </c>
      <c r="E60" s="192" t="s">
        <v>23</v>
      </c>
      <c r="F60" s="195">
        <f>IF(E60="Vestdanmark",SUMIFS(IF(D60=År1,'Resultater - Vestdanmark'!H$3:H$482,IF(D60=År2,'Resultater - Vestdanmark'!I$3:I$482,'Resultater - Vestdanmark'!J$3:J$482)),'Resultater - Vestdanmark'!$F$3:$F$482,$A60,IF(D60=År1,'Resultater - Vestdanmark'!H$3:H$482,IF(D60=År2,'Resultater - Vestdanmark'!I$3:I$482,'Resultater - Vestdanmark'!J$3:J$482)),"&gt;0"),SUMIFS(IF(D60=År1,'Resultater - Østdanmark'!H$3:H$482,IF(D60=År2,'Resultater - Østdanmark'!I$3:I$482,'Resultater - Østdanmark'!J$3:J$482)),'Resultater - Østdanmark'!$F$3:$F$482,$A60,IF(D60=År1,'Resultater - Østdanmark'!H$3:H$482,IF(D60=År2,'Resultater - Østdanmark'!I$3:I$482,'Resultater - Østdanmark'!J$3:J$482)),"&gt;0"))</f>
        <v>0</v>
      </c>
      <c r="G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92">
        <f>IF(E60="Vestdanmark",-IF(A60="Halm",SUMIFS(IF(D60=År1,'Resultater - Vestdanmark'!H$3:H$482,IF(D60=År2,'Resultater - Vestdanmark'!I$3:I$482,'Resultater - Vestdanmark'!J$3:J$482)),'Resultater - Vestdanmark'!$F$3:$F$482,$A60,'Resultater - Vestdanmark'!H$3:H$482,"&lt;0"),0),-IF(A60="Halm",SUMIFS(IF(D60=År1,'Resultater - Østdanmark'!H$3:H$482,IF(D60=År2,'Resultater - Østdanmark'!I$3:I$482,'Resultater - Østdanmark'!J$3:J$482)),'Resultater - Østdanmark'!$F$3:$F$482,$A60,'Resultater - Østdanmark'!H$3:H$482,"&lt;0"),0))</f>
        <v>0</v>
      </c>
      <c r="I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5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7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4">
        <f t="shared" si="9"/>
        <v>-35294.766599083188</v>
      </c>
      <c r="O60" s="195">
        <f t="shared" si="1"/>
        <v>0</v>
      </c>
      <c r="P60" s="205">
        <f t="shared" si="10"/>
        <v>0</v>
      </c>
      <c r="Q60" s="192">
        <f>IFERROR(VLOOKUP(A60,[1]Energiindhold!$A$2:$C$11,3,FALSE),IFERROR(VLOOKUP(A60,[1]Biogasudbytte!$A$2:$B$18,2,FALSE)*[1]Energiindhold!$C$10,0))*O60</f>
        <v>0</v>
      </c>
      <c r="R60" s="192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92">
        <f>IFERROR(VLOOKUP(A60,[1]Biogasudbytte!$A$2:$B$18,2,FALSE)*[1]Energiindhold!$C$10,0)*J60*IFERROR(VLOOKUP(A60,Biogasanlæg!$F$3:$G$8,2,FALSE),1)</f>
        <v>0</v>
      </c>
      <c r="T60" s="193">
        <f t="shared" si="11"/>
        <v>0</v>
      </c>
      <c r="U60" s="191">
        <f>O60*IFERROR(VLOOKUP(A60,[1]Tørstofindhold!A$2:B$24,2,FALSE),0)</f>
        <v>0</v>
      </c>
      <c r="V60" s="192">
        <f>IF(D60=År1,P60,SUM(O60,P60))*IFERROR(VLOOKUP(A60,[1]Tørstofindhold!A$2:B$24,2,FALSE),0)</f>
        <v>0</v>
      </c>
      <c r="W60" s="192">
        <f>J60*IFERROR(VLOOKUP(A60,[1]Tørstofindhold!A$2:B$24,2,FALSE),0)</f>
        <v>0</v>
      </c>
      <c r="X60" s="193">
        <f t="shared" si="12"/>
        <v>0</v>
      </c>
      <c r="Y60" s="171">
        <f t="shared" si="2"/>
        <v>1</v>
      </c>
      <c r="Z60" s="103">
        <f t="shared" si="3"/>
        <v>0</v>
      </c>
    </row>
    <row r="61" spans="1:26" x14ac:dyDescent="0.25">
      <c r="A61" s="194" t="str">
        <f t="shared" si="17"/>
        <v>Frø</v>
      </c>
      <c r="B61" s="194" t="str">
        <f t="shared" si="18"/>
        <v/>
      </c>
      <c r="C61" s="194">
        <f>IF(COUNTIFS('Resultater - Danmark'!$D$3:$D$482,'Resultat-Produktion &amp; forbrug'!A61,'Resultater - Danmark'!$A$3:$A$482,"Til energi")+COUNTIFS('Resultater - Danmark'!$D$3:$D$482,'Resultat-Produktion &amp; forbrug'!A61,'Resultater - Danmark'!$A$3:$A$482,"Biogasanlæg")&gt;0,1,0)</f>
        <v>0</v>
      </c>
      <c r="D61" s="194">
        <f t="shared" si="19"/>
        <v>2030</v>
      </c>
      <c r="E61" s="192" t="s">
        <v>23</v>
      </c>
      <c r="F61" s="195">
        <f>IF(E61="Vestdanmark",SUMIFS(IF(D61=År1,'Resultater - Vestdanmark'!H$3:H$482,IF(D61=År2,'Resultater - Vestdanmark'!I$3:I$482,'Resultater - Vestdanmark'!J$3:J$482)),'Resultater - Vestdanmark'!$F$3:$F$482,$A61,IF(D61=År1,'Resultater - Vestdanmark'!H$3:H$482,IF(D61=År2,'Resultater - Vestdanmark'!I$3:I$482,'Resultater - Vestdanmark'!J$3:J$482)),"&gt;0"),SUMIFS(IF(D61=År1,'Resultater - Østdanmark'!H$3:H$482,IF(D61=År2,'Resultater - Østdanmark'!I$3:I$482,'Resultater - Østdanmark'!J$3:J$482)),'Resultater - Østdanmark'!$F$3:$F$482,$A61,IF(D61=År1,'Resultater - Østdanmark'!H$3:H$482,IF(D61=År2,'Resultater - Østdanmark'!I$3:I$482,'Resultater - Østdanmark'!J$3:J$482)),"&gt;0"))</f>
        <v>0</v>
      </c>
      <c r="G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92">
        <f>IF(E61="Vestdanmark",-IF(A61="Halm",SUMIFS(IF(D61=År1,'Resultater - Vestdanmark'!H$3:H$482,IF(D61=År2,'Resultater - Vestdanmark'!I$3:I$482,'Resultater - Vestdanmark'!J$3:J$482)),'Resultater - Vestdanmark'!$F$3:$F$482,$A61,'Resultater - Vestdanmark'!H$3:H$482,"&lt;0"),0),-IF(A61="Halm",SUMIFS(IF(D61=År1,'Resultater - Østdanmark'!H$3:H$482,IF(D61=År2,'Resultater - Østdanmark'!I$3:I$482,'Resultater - Østdanmark'!J$3:J$482)),'Resultater - Østdanmark'!$F$3:$F$482,$A61,'Resultater - Østdanmark'!H$3:H$482,"&lt;0"),0))</f>
        <v>0</v>
      </c>
      <c r="I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5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7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4">
        <f t="shared" si="9"/>
        <v>0</v>
      </c>
      <c r="O61" s="195">
        <f t="shared" si="1"/>
        <v>0</v>
      </c>
      <c r="P61" s="205">
        <f t="shared" si="10"/>
        <v>0</v>
      </c>
      <c r="Q61" s="192">
        <f>IFERROR(VLOOKUP(A61,[1]Energiindhold!$A$2:$C$11,3,FALSE),IFERROR(VLOOKUP(A61,[1]Biogasudbytte!$A$2:$B$18,2,FALSE)*[1]Energiindhold!$C$10,0))*O61</f>
        <v>0</v>
      </c>
      <c r="R61" s="192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92">
        <f>IFERROR(VLOOKUP(A61,[1]Biogasudbytte!$A$2:$B$18,2,FALSE)*[1]Energiindhold!$C$10,0)*J61*IFERROR(VLOOKUP(A61,Biogasanlæg!$F$3:$G$8,2,FALSE),1)</f>
        <v>0</v>
      </c>
      <c r="T61" s="193">
        <f t="shared" si="11"/>
        <v>0</v>
      </c>
      <c r="U61" s="191">
        <f>O61*IFERROR(VLOOKUP(A61,[1]Tørstofindhold!A$2:B$24,2,FALSE),0)</f>
        <v>0</v>
      </c>
      <c r="V61" s="192">
        <f>IF(D61=År1,P61,SUM(O61,P61))*IFERROR(VLOOKUP(A61,[1]Tørstofindhold!A$2:B$24,2,FALSE),0)</f>
        <v>0</v>
      </c>
      <c r="W61" s="192">
        <f>J61*IFERROR(VLOOKUP(A61,[1]Tørstofindhold!A$2:B$24,2,FALSE),0)</f>
        <v>0</v>
      </c>
      <c r="X61" s="193">
        <f t="shared" si="12"/>
        <v>0</v>
      </c>
      <c r="Y61" s="171">
        <f t="shared" si="2"/>
        <v>0</v>
      </c>
      <c r="Z61" s="103">
        <f t="shared" si="3"/>
        <v>0</v>
      </c>
    </row>
    <row r="62" spans="1:26" x14ac:dyDescent="0.25">
      <c r="A62" s="194" t="str">
        <f t="shared" si="17"/>
        <v>Frugt</v>
      </c>
      <c r="B62" s="194" t="str">
        <f t="shared" si="18"/>
        <v/>
      </c>
      <c r="C62" s="194">
        <f>IF(COUNTIFS('Resultater - Danmark'!$D$3:$D$482,'Resultat-Produktion &amp; forbrug'!A62,'Resultater - Danmark'!$A$3:$A$482,"Til energi")+COUNTIFS('Resultater - Danmark'!$D$3:$D$482,'Resultat-Produktion &amp; forbrug'!A62,'Resultater - Danmark'!$A$3:$A$482,"Biogasanlæg")&gt;0,1,0)</f>
        <v>0</v>
      </c>
      <c r="D62" s="194">
        <f t="shared" si="19"/>
        <v>2030</v>
      </c>
      <c r="E62" s="192" t="s">
        <v>23</v>
      </c>
      <c r="F62" s="195">
        <f>IF(E62="Vestdanmark",SUMIFS(IF(D62=År1,'Resultater - Vestdanmark'!H$3:H$482,IF(D62=År2,'Resultater - Vestdanmark'!I$3:I$482,'Resultater - Vestdanmark'!J$3:J$482)),'Resultater - Vestdanmark'!$F$3:$F$482,$A62,IF(D62=År1,'Resultater - Vestdanmark'!H$3:H$482,IF(D62=År2,'Resultater - Vestdanmark'!I$3:I$482,'Resultater - Vestdanmark'!J$3:J$482)),"&gt;0"),SUMIFS(IF(D62=År1,'Resultater - Østdanmark'!H$3:H$482,IF(D62=År2,'Resultater - Østdanmark'!I$3:I$482,'Resultater - Østdanmark'!J$3:J$482)),'Resultater - Østdanmark'!$F$3:$F$482,$A62,IF(D62=År1,'Resultater - Østdanmark'!H$3:H$482,IF(D62=År2,'Resultater - Østdanmark'!I$3:I$482,'Resultater - Østdanmark'!J$3:J$482)),"&gt;0"))</f>
        <v>0</v>
      </c>
      <c r="G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92">
        <f>IF(E62="Vestdanmark",-IF(A62="Halm",SUMIFS(IF(D62=År1,'Resultater - Vestdanmark'!H$3:H$482,IF(D62=År2,'Resultater - Vestdanmark'!I$3:I$482,'Resultater - Vestdanmark'!J$3:J$482)),'Resultater - Vestdanmark'!$F$3:$F$482,$A62,'Resultater - Vestdanmark'!H$3:H$482,"&lt;0"),0),-IF(A62="Halm",SUMIFS(IF(D62=År1,'Resultater - Østdanmark'!H$3:H$482,IF(D62=År2,'Resultater - Østdanmark'!I$3:I$482,'Resultater - Østdanmark'!J$3:J$482)),'Resultater - Østdanmark'!$F$3:$F$482,$A62,'Resultater - Østdanmark'!H$3:H$482,"&lt;0"),0))</f>
        <v>0</v>
      </c>
      <c r="I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5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7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4">
        <f t="shared" si="9"/>
        <v>-257923.29437791562</v>
      </c>
      <c r="O62" s="195">
        <f t="shared" si="1"/>
        <v>0</v>
      </c>
      <c r="P62" s="205">
        <f t="shared" si="10"/>
        <v>0</v>
      </c>
      <c r="Q62" s="192">
        <f>IFERROR(VLOOKUP(A62,[1]Energiindhold!$A$2:$C$11,3,FALSE),IFERROR(VLOOKUP(A62,[1]Biogasudbytte!$A$2:$B$18,2,FALSE)*[1]Energiindhold!$C$10,0))*O62</f>
        <v>0</v>
      </c>
      <c r="R62" s="192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92">
        <f>IFERROR(VLOOKUP(A62,[1]Biogasudbytte!$A$2:$B$18,2,FALSE)*[1]Energiindhold!$C$10,0)*J62*IFERROR(VLOOKUP(A62,Biogasanlæg!$F$3:$G$8,2,FALSE),1)</f>
        <v>0</v>
      </c>
      <c r="T62" s="193">
        <f t="shared" si="11"/>
        <v>0</v>
      </c>
      <c r="U62" s="191">
        <f>O62*IFERROR(VLOOKUP(A62,[1]Tørstofindhold!A$2:B$24,2,FALSE),0)</f>
        <v>0</v>
      </c>
      <c r="V62" s="192">
        <f>IF(D62=År1,P62,SUM(O62,P62))*IFERROR(VLOOKUP(A62,[1]Tørstofindhold!A$2:B$24,2,FALSE),0)</f>
        <v>0</v>
      </c>
      <c r="W62" s="192">
        <f>J62*IFERROR(VLOOKUP(A62,[1]Tørstofindhold!A$2:B$24,2,FALSE),0)</f>
        <v>0</v>
      </c>
      <c r="X62" s="193">
        <f t="shared" si="12"/>
        <v>0</v>
      </c>
      <c r="Y62" s="171">
        <f t="shared" si="2"/>
        <v>1</v>
      </c>
      <c r="Z62" s="103">
        <f t="shared" si="3"/>
        <v>0</v>
      </c>
    </row>
    <row r="63" spans="1:26" x14ac:dyDescent="0.25">
      <c r="A63" s="194" t="str">
        <f t="shared" si="17"/>
        <v>Glycerin</v>
      </c>
      <c r="B63" s="194" t="str">
        <f t="shared" si="18"/>
        <v>Glycerin</v>
      </c>
      <c r="C63" s="194">
        <f>IF(COUNTIFS('Resultater - Danmark'!$D$3:$D$482,'Resultat-Produktion &amp; forbrug'!A63,'Resultater - Danmark'!$A$3:$A$482,"Til energi")+COUNTIFS('Resultater - Danmark'!$D$3:$D$482,'Resultat-Produktion &amp; forbrug'!A63,'Resultater - Danmark'!$A$3:$A$482,"Biogasanlæg")&gt;0,1,0)</f>
        <v>1</v>
      </c>
      <c r="D63" s="194">
        <f t="shared" si="19"/>
        <v>2030</v>
      </c>
      <c r="E63" s="192" t="s">
        <v>23</v>
      </c>
      <c r="F63" s="195">
        <f>IF(E63="Vestdanmark",SUMIFS(IF(D63=År1,'Resultater - Vestdanmark'!H$3:H$482,IF(D63=År2,'Resultater - Vestdanmark'!I$3:I$482,'Resultater - Vestdanmark'!J$3:J$482)),'Resultater - Vestdanmark'!$F$3:$F$482,$A63,IF(D63=År1,'Resultater - Vestdanmark'!H$3:H$482,IF(D63=År2,'Resultater - Vestdanmark'!I$3:I$482,'Resultater - Vestdanmark'!J$3:J$482)),"&gt;0"),SUMIFS(IF(D63=År1,'Resultater - Østdanmark'!H$3:H$482,IF(D63=År2,'Resultater - Østdanmark'!I$3:I$482,'Resultater - Østdanmark'!J$3:J$482)),'Resultater - Østdanmark'!$F$3:$F$482,$A63,IF(D63=År1,'Resultater - Østdanmark'!H$3:H$482,IF(D63=År2,'Resultater - Østdanmark'!I$3:I$482,'Resultater - Østdanmark'!J$3:J$482)),"&gt;0"))</f>
        <v>0</v>
      </c>
      <c r="G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92">
        <f>IF(E63="Vestdanmark",-IF(A63="Halm",SUMIFS(IF(D63=År1,'Resultater - Vestdanmark'!H$3:H$482,IF(D63=År2,'Resultater - Vestdanmark'!I$3:I$482,'Resultater - Vestdanmark'!J$3:J$482)),'Resultater - Vestdanmark'!$F$3:$F$482,$A63,'Resultater - Vestdanmark'!H$3:H$482,"&lt;0"),0),-IF(A63="Halm",SUMIFS(IF(D63=År1,'Resultater - Østdanmark'!H$3:H$482,IF(D63=År2,'Resultater - Østdanmark'!I$3:I$482,'Resultater - Østdanmark'!J$3:J$482)),'Resultater - Østdanmark'!$F$3:$F$482,$A63,'Resultater - Østdanmark'!H$3:H$482,"&lt;0"),0))</f>
        <v>0</v>
      </c>
      <c r="I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5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7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4">
        <f t="shared" si="9"/>
        <v>-114193.60000000001</v>
      </c>
      <c r="O63" s="195">
        <f t="shared" si="1"/>
        <v>0</v>
      </c>
      <c r="P63" s="205">
        <f t="shared" si="10"/>
        <v>114193.60000000001</v>
      </c>
      <c r="Q63" s="192">
        <f>IFERROR(VLOOKUP(A63,[1]Energiindhold!$A$2:$C$11,3,FALSE),IFERROR(VLOOKUP(A63,[1]Biogasudbytte!$A$2:$B$18,2,FALSE)*[1]Energiindhold!$C$10,0))*O63</f>
        <v>0</v>
      </c>
      <c r="R63" s="192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92">
        <f>IFERROR(VLOOKUP(A63,[1]Biogasudbytte!$A$2:$B$18,2,FALSE)*[1]Energiindhold!$C$10,0)*J63*IFERROR(VLOOKUP(A63,Biogasanlæg!$F$3:$G$8,2,FALSE),1)</f>
        <v>1.7355855896064003</v>
      </c>
      <c r="T63" s="193">
        <f t="shared" si="11"/>
        <v>0</v>
      </c>
      <c r="U63" s="191">
        <f>O63*IFERROR(VLOOKUP(A63,[1]Tørstofindhold!A$2:B$24,2,FALSE),0)</f>
        <v>0</v>
      </c>
      <c r="V63" s="192">
        <f>IF(D63=År1,P63,SUM(O63,P63))*IFERROR(VLOOKUP(A63,[1]Tørstofindhold!A$2:B$24,2,FALSE),0)</f>
        <v>102774.24</v>
      </c>
      <c r="W63" s="192">
        <f>J63*IFERROR(VLOOKUP(A63,[1]Tørstofindhold!A$2:B$24,2,FALSE),0)</f>
        <v>102774.24</v>
      </c>
      <c r="X63" s="193">
        <f t="shared" si="12"/>
        <v>0</v>
      </c>
      <c r="Y63" s="171">
        <f t="shared" si="2"/>
        <v>1</v>
      </c>
      <c r="Z63" s="103">
        <f t="shared" si="3"/>
        <v>0</v>
      </c>
    </row>
    <row r="64" spans="1:26" x14ac:dyDescent="0.25">
      <c r="A64" s="194" t="str">
        <f t="shared" si="17"/>
        <v>Græs</v>
      </c>
      <c r="B64" s="194" t="str">
        <f t="shared" si="18"/>
        <v>Græs og urter</v>
      </c>
      <c r="C64" s="194">
        <f>IF(COUNTIFS('Resultater - Danmark'!$D$3:$D$482,'Resultat-Produktion &amp; forbrug'!A64,'Resultater - Danmark'!$A$3:$A$482,"Til energi")+COUNTIFS('Resultater - Danmark'!$D$3:$D$482,'Resultat-Produktion &amp; forbrug'!A64,'Resultater - Danmark'!$A$3:$A$482,"Biogasanlæg")&gt;0,1,0)</f>
        <v>1</v>
      </c>
      <c r="D64" s="194">
        <f t="shared" si="19"/>
        <v>2030</v>
      </c>
      <c r="E64" s="192" t="s">
        <v>23</v>
      </c>
      <c r="F64" s="195">
        <f>IF(E64="Vestdanmark",SUMIFS(IF(D64=År1,'Resultater - Vestdanmark'!H$3:H$482,IF(D64=År2,'Resultater - Vestdanmark'!I$3:I$482,'Resultater - Vestdanmark'!J$3:J$482)),'Resultater - Vestdanmark'!$F$3:$F$482,$A64,IF(D64=År1,'Resultater - Vestdanmark'!H$3:H$482,IF(D64=År2,'Resultater - Vestdanmark'!I$3:I$482,'Resultater - Vestdanmark'!J$3:J$482)),"&gt;0"),SUMIFS(IF(D64=År1,'Resultater - Østdanmark'!H$3:H$482,IF(D64=År2,'Resultater - Østdanmark'!I$3:I$482,'Resultater - Østdanmark'!J$3:J$482)),'Resultater - Østdanmark'!$F$3:$F$482,$A64,IF(D64=År1,'Resultater - Østdanmark'!H$3:H$482,IF(D64=År2,'Resultater - Østdanmark'!I$3:I$482,'Resultater - Østdanmark'!J$3:J$482)),"&gt;0"))</f>
        <v>0</v>
      </c>
      <c r="G64" s="195" t="e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#REF!</v>
      </c>
      <c r="H64" s="192">
        <f>IF(E64="Vestdanmark",-IF(A64="Halm",SUMIFS(IF(D64=År1,'Resultater - Vestdanmark'!H$3:H$482,IF(D64=År2,'Resultater - Vestdanmark'!I$3:I$482,'Resultater - Vestdanmark'!J$3:J$482)),'Resultater - Vestdanmark'!$F$3:$F$482,$A64,'Resultater - Vestdanmark'!H$3:H$482,"&lt;0"),0),-IF(A64="Halm",SUMIFS(IF(D64=År1,'Resultater - Østdanmark'!H$3:H$482,IF(D64=År2,'Resultater - Østdanmark'!I$3:I$482,'Resultater - Østdanmark'!J$3:J$482)),'Resultater - Østdanmark'!$F$3:$F$482,$A64,'Resultater - Østdanmark'!H$3:H$482,"&lt;0"),0))</f>
        <v>0</v>
      </c>
      <c r="I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5" t="e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#REF!</v>
      </c>
      <c r="K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5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7" t="e">
        <f>SUMIFS('Forbrug af biomasse'!E:E,'Forbrug af biomasse'!C:C,'Resultat-Produktion &amp; forbrug'!$A64,'Forbrug af biomasse'!D:D,'Resultat-Produktion &amp; forbrug'!$D64,'Forbrug af biomasse'!G:G,1,'Forbrug af biomasse'!B:B,$E64)</f>
        <v>#REF!</v>
      </c>
      <c r="N64" s="204" t="e">
        <f t="shared" si="9"/>
        <v>#REF!</v>
      </c>
      <c r="O64" s="195" t="e">
        <f t="shared" si="1"/>
        <v>#REF!</v>
      </c>
      <c r="P64" s="205" t="e">
        <f t="shared" si="10"/>
        <v>#REF!</v>
      </c>
      <c r="Q64" s="192" t="e">
        <f>IFERROR(VLOOKUP(A64,[1]Energiindhold!$A$2:$C$11,3,FALSE),IFERROR(VLOOKUP(A64,[1]Biogasudbytte!$A$2:$B$18,2,FALSE)*[1]Energiindhold!$C$10,0))*O64</f>
        <v>#REF!</v>
      </c>
      <c r="R64" s="192" t="e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#REF!</v>
      </c>
      <c r="S64" s="192" t="e">
        <f>IFERROR(VLOOKUP(A64,[1]Biogasudbytte!$A$2:$B$18,2,FALSE)*[1]Energiindhold!$C$10,0)*J64*IFERROR(VLOOKUP(A64,Biogasanlæg!$F$3:$G$8,2,FALSE),1)</f>
        <v>#REF!</v>
      </c>
      <c r="T64" s="193" t="e">
        <f t="shared" si="11"/>
        <v>#REF!</v>
      </c>
      <c r="U64" s="191" t="e">
        <f>O64*IFERROR(VLOOKUP(A64,[1]Tørstofindhold!A$2:B$24,2,FALSE),0)</f>
        <v>#REF!</v>
      </c>
      <c r="V64" s="192" t="e">
        <f>IF(D64=År1,P64,SUM(O64,P64))*IFERROR(VLOOKUP(A64,[1]Tørstofindhold!A$2:B$24,2,FALSE),0)</f>
        <v>#REF!</v>
      </c>
      <c r="W64" s="192" t="e">
        <f>J64*IFERROR(VLOOKUP(A64,[1]Tørstofindhold!A$2:B$24,2,FALSE),0)</f>
        <v>#REF!</v>
      </c>
      <c r="X64" s="193" t="e">
        <f t="shared" si="12"/>
        <v>#REF!</v>
      </c>
      <c r="Y64" s="171" t="e">
        <f t="shared" si="2"/>
        <v>#REF!</v>
      </c>
      <c r="Z64" s="103" t="e">
        <f t="shared" si="3"/>
        <v>#REF!</v>
      </c>
    </row>
    <row r="65" spans="1:26" x14ac:dyDescent="0.25">
      <c r="A65" s="194" t="str">
        <f t="shared" si="17"/>
        <v>Græsprotein</v>
      </c>
      <c r="B65" s="194" t="str">
        <f t="shared" si="18"/>
        <v/>
      </c>
      <c r="C65" s="194">
        <f>IF(COUNTIFS('Resultater - Danmark'!$D$3:$D$482,'Resultat-Produktion &amp; forbrug'!A65,'Resultater - Danmark'!$A$3:$A$482,"Til energi")+COUNTIFS('Resultater - Danmark'!$D$3:$D$482,'Resultat-Produktion &amp; forbrug'!A65,'Resultater - Danmark'!$A$3:$A$482,"Biogasanlæg")&gt;0,1,0)</f>
        <v>0</v>
      </c>
      <c r="D65" s="194">
        <f t="shared" si="19"/>
        <v>2030</v>
      </c>
      <c r="E65" s="192" t="s">
        <v>23</v>
      </c>
      <c r="F65" s="195">
        <f>IF(E65="Vestdanmark",SUMIFS(IF(D65=År1,'Resultater - Vestdanmark'!H$3:H$482,IF(D65=År2,'Resultater - Vestdanmark'!I$3:I$482,'Resultater - Vestdanmark'!J$3:J$482)),'Resultater - Vestdanmark'!$F$3:$F$482,$A65,IF(D65=År1,'Resultater - Vestdanmark'!H$3:H$482,IF(D65=År2,'Resultater - Vestdanmark'!I$3:I$482,'Resultater - Vestdanmark'!J$3:J$482)),"&gt;0"),SUMIFS(IF(D65=År1,'Resultater - Østdanmark'!H$3:H$482,IF(D65=År2,'Resultater - Østdanmark'!I$3:I$482,'Resultater - Østdanmark'!J$3:J$482)),'Resultater - Østdanmark'!$F$3:$F$482,$A65,IF(D65=År1,'Resultater - Østdanmark'!H$3:H$482,IF(D65=År2,'Resultater - Østdanmark'!I$3:I$482,'Resultater - Østdanmark'!J$3:J$482)),"&gt;0"))</f>
        <v>0</v>
      </c>
      <c r="G65" s="195" t="e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#REF!</v>
      </c>
      <c r="H65" s="192">
        <f>IF(E65="Vestdanmark",-IF(A65="Halm",SUMIFS(IF(D65=År1,'Resultater - Vestdanmark'!H$3:H$482,IF(D65=År2,'Resultater - Vestdanmark'!I$3:I$482,'Resultater - Vestdanmark'!J$3:J$482)),'Resultater - Vestdanmark'!$F$3:$F$482,$A65,'Resultater - Vestdanmark'!H$3:H$482,"&lt;0"),0),-IF(A65="Halm",SUMIFS(IF(D65=År1,'Resultater - Østdanmark'!H$3:H$482,IF(D65=År2,'Resultater - Østdanmark'!I$3:I$482,'Resultater - Østdanmark'!J$3:J$482)),'Resultater - Østdanmark'!$F$3:$F$482,$A65,'Resultater - Østdanmark'!H$3:H$482,"&lt;0"),0))</f>
        <v>0</v>
      </c>
      <c r="I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5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7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4" t="e">
        <f t="shared" si="9"/>
        <v>#REF!</v>
      </c>
      <c r="O65" s="195">
        <f t="shared" si="1"/>
        <v>0</v>
      </c>
      <c r="P65" s="205">
        <f t="shared" si="10"/>
        <v>0</v>
      </c>
      <c r="Q65" s="192">
        <f>IFERROR(VLOOKUP(A65,[1]Energiindhold!$A$2:$C$11,3,FALSE),IFERROR(VLOOKUP(A65,[1]Biogasudbytte!$A$2:$B$18,2,FALSE)*[1]Energiindhold!$C$10,0))*O65</f>
        <v>0</v>
      </c>
      <c r="R65" s="192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92">
        <f>IFERROR(VLOOKUP(A65,[1]Biogasudbytte!$A$2:$B$18,2,FALSE)*[1]Energiindhold!$C$10,0)*J65*IFERROR(VLOOKUP(A65,Biogasanlæg!$F$3:$G$8,2,FALSE),1)</f>
        <v>0</v>
      </c>
      <c r="T65" s="193">
        <f t="shared" si="11"/>
        <v>0</v>
      </c>
      <c r="U65" s="191">
        <f>O65*IFERROR(VLOOKUP(A65,[1]Tørstofindhold!A$2:B$24,2,FALSE),0)</f>
        <v>0</v>
      </c>
      <c r="V65" s="192">
        <f>IF(D65=År1,P65,SUM(O65,P65))*IFERROR(VLOOKUP(A65,[1]Tørstofindhold!A$2:B$24,2,FALSE),0)</f>
        <v>0</v>
      </c>
      <c r="W65" s="192">
        <f>J65*IFERROR(VLOOKUP(A65,[1]Tørstofindhold!A$2:B$24,2,FALSE),0)</f>
        <v>0</v>
      </c>
      <c r="X65" s="193">
        <f t="shared" si="12"/>
        <v>0</v>
      </c>
      <c r="Y65" s="171" t="e">
        <f t="shared" si="2"/>
        <v>#REF!</v>
      </c>
      <c r="Z65" s="103" t="e">
        <f t="shared" si="3"/>
        <v>#REF!</v>
      </c>
    </row>
    <row r="66" spans="1:26" x14ac:dyDescent="0.25">
      <c r="A66" s="194" t="str">
        <f t="shared" si="17"/>
        <v>Grøntsager</v>
      </c>
      <c r="B66" s="194" t="str">
        <f t="shared" si="18"/>
        <v/>
      </c>
      <c r="C66" s="194">
        <f>IF(COUNTIFS('Resultater - Danmark'!$D$3:$D$482,'Resultat-Produktion &amp; forbrug'!A66,'Resultater - Danmark'!$A$3:$A$482,"Til energi")+COUNTIFS('Resultater - Danmark'!$D$3:$D$482,'Resultat-Produktion &amp; forbrug'!A66,'Resultater - Danmark'!$A$3:$A$482,"Biogasanlæg")&gt;0,1,0)</f>
        <v>0</v>
      </c>
      <c r="D66" s="194">
        <f t="shared" si="19"/>
        <v>2030</v>
      </c>
      <c r="E66" s="192" t="s">
        <v>23</v>
      </c>
      <c r="F66" s="195">
        <f>IF(E66="Vestdanmark",SUMIFS(IF(D66=År1,'Resultater - Vestdanmark'!H$3:H$482,IF(D66=År2,'Resultater - Vestdanmark'!I$3:I$482,'Resultater - Vestdanmark'!J$3:J$482)),'Resultater - Vestdanmark'!$F$3:$F$482,$A66,IF(D66=År1,'Resultater - Vestdanmark'!H$3:H$482,IF(D66=År2,'Resultater - Vestdanmark'!I$3:I$482,'Resultater - Vestdanmark'!J$3:J$482)),"&gt;0"),SUMIFS(IF(D66=År1,'Resultater - Østdanmark'!H$3:H$482,IF(D66=År2,'Resultater - Østdanmark'!I$3:I$482,'Resultater - Østdanmark'!J$3:J$482)),'Resultater - Østdanmark'!$F$3:$F$482,$A66,IF(D66=År1,'Resultater - Østdanmark'!H$3:H$482,IF(D66=År2,'Resultater - Østdanmark'!I$3:I$482,'Resultater - Østdanmark'!J$3:J$482)),"&gt;0"))</f>
        <v>0</v>
      </c>
      <c r="G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92">
        <f>IF(E66="Vestdanmark",-IF(A66="Halm",SUMIFS(IF(D66=År1,'Resultater - Vestdanmark'!H$3:H$482,IF(D66=År2,'Resultater - Vestdanmark'!I$3:I$482,'Resultater - Vestdanmark'!J$3:J$482)),'Resultater - Vestdanmark'!$F$3:$F$482,$A66,'Resultater - Vestdanmark'!H$3:H$482,"&lt;0"),0),-IF(A66="Halm",SUMIFS(IF(D66=År1,'Resultater - Østdanmark'!H$3:H$482,IF(D66=År2,'Resultater - Østdanmark'!I$3:I$482,'Resultater - Østdanmark'!J$3:J$482)),'Resultater - Østdanmark'!$F$3:$F$482,$A66,'Resultater - Østdanmark'!H$3:H$482,"&lt;0"),0))</f>
        <v>0</v>
      </c>
      <c r="I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5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7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4">
        <f t="shared" si="9"/>
        <v>-270140.71358529059</v>
      </c>
      <c r="O66" s="195">
        <f t="shared" si="1"/>
        <v>0</v>
      </c>
      <c r="P66" s="205">
        <f t="shared" si="10"/>
        <v>0</v>
      </c>
      <c r="Q66" s="192">
        <f>IFERROR(VLOOKUP(A66,[1]Energiindhold!$A$2:$C$11,3,FALSE),IFERROR(VLOOKUP(A66,[1]Biogasudbytte!$A$2:$B$18,2,FALSE)*[1]Energiindhold!$C$10,0))*O66</f>
        <v>0</v>
      </c>
      <c r="R66" s="192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92">
        <f>IFERROR(VLOOKUP(A66,[1]Biogasudbytte!$A$2:$B$18,2,FALSE)*[1]Energiindhold!$C$10,0)*J66*IFERROR(VLOOKUP(A66,Biogasanlæg!$F$3:$G$8,2,FALSE),1)</f>
        <v>0</v>
      </c>
      <c r="T66" s="193">
        <f t="shared" si="11"/>
        <v>0</v>
      </c>
      <c r="U66" s="191">
        <f>O66*IFERROR(VLOOKUP(A66,[1]Tørstofindhold!A$2:B$24,2,FALSE),0)</f>
        <v>0</v>
      </c>
      <c r="V66" s="192">
        <f>IF(D66=År1,P66,SUM(O66,P66))*IFERROR(VLOOKUP(A66,[1]Tørstofindhold!A$2:B$24,2,FALSE),0)</f>
        <v>0</v>
      </c>
      <c r="W66" s="192">
        <f>J66*IFERROR(VLOOKUP(A66,[1]Tørstofindhold!A$2:B$24,2,FALSE),0)</f>
        <v>0</v>
      </c>
      <c r="X66" s="193">
        <f t="shared" si="12"/>
        <v>0</v>
      </c>
      <c r="Y66" s="171">
        <f t="shared" si="2"/>
        <v>1</v>
      </c>
      <c r="Z66" s="103">
        <f t="shared" si="3"/>
        <v>0</v>
      </c>
    </row>
    <row r="67" spans="1:26" x14ac:dyDescent="0.25">
      <c r="A67" s="194" t="str">
        <f t="shared" si="17"/>
        <v>Halm</v>
      </c>
      <c r="B67" s="194" t="str">
        <f t="shared" si="18"/>
        <v>Halm og strå</v>
      </c>
      <c r="C67" s="194">
        <f>IF(COUNTIFS('Resultater - Danmark'!$D$3:$D$482,'Resultat-Produktion &amp; forbrug'!A67,'Resultater - Danmark'!$A$3:$A$482,"Til energi")+COUNTIFS('Resultater - Danmark'!$D$3:$D$482,'Resultat-Produktion &amp; forbrug'!A67,'Resultater - Danmark'!$A$3:$A$482,"Biogasanlæg")&gt;0,1,0)</f>
        <v>1</v>
      </c>
      <c r="D67" s="194">
        <f t="shared" si="19"/>
        <v>2030</v>
      </c>
      <c r="E67" s="192" t="s">
        <v>23</v>
      </c>
      <c r="F67" s="195">
        <f>IF(E67="Vestdanmark",SUMIFS(IF(D67=År1,'Resultater - Vestdanmark'!H$3:H$482,IF(D67=År2,'Resultater - Vestdanmark'!I$3:I$482,'Resultater - Vestdanmark'!J$3:J$482)),'Resultater - Vestdanmark'!$F$3:$F$482,$A67,IF(D67=År1,'Resultater - Vestdanmark'!H$3:H$482,IF(D67=År2,'Resultater - Vestdanmark'!I$3:I$482,'Resultater - Vestdanmark'!J$3:J$482)),"&gt;0"),SUMIFS(IF(D67=År1,'Resultater - Østdanmark'!H$3:H$482,IF(D67=År2,'Resultater - Østdanmark'!I$3:I$482,'Resultater - Østdanmark'!J$3:J$482)),'Resultater - Østdanmark'!$F$3:$F$482,$A67,IF(D67=År1,'Resultater - Østdanmark'!H$3:H$482,IF(D67=År2,'Resultater - Østdanmark'!I$3:I$482,'Resultater - Østdanmark'!J$3:J$482)),"&gt;0"))</f>
        <v>0</v>
      </c>
      <c r="G67" s="195" t="e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#REF!</v>
      </c>
      <c r="H67" s="192">
        <f>IF(E67="Vestdanmark",-IF(A67="Halm",SUMIFS(IF(D67=År1,'Resultater - Vestdanmark'!H$3:H$482,IF(D67=År2,'Resultater - Vestdanmark'!I$3:I$482,'Resultater - Vestdanmark'!J$3:J$482)),'Resultater - Vestdanmark'!$F$3:$F$482,$A67,'Resultater - Vestdanmark'!H$3:H$482,"&lt;0"),0),-IF(A67="Halm",SUMIFS(IF(D67=År1,'Resultater - Østdanmark'!H$3:H$482,IF(D67=År2,'Resultater - Østdanmark'!I$3:I$482,'Resultater - Østdanmark'!J$3:J$482)),'Resultater - Østdanmark'!$F$3:$F$482,$A67,'Resultater - Østdanmark'!H$3:H$482,"&lt;0"),0))</f>
        <v>0</v>
      </c>
      <c r="I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5" t="e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#REF!</v>
      </c>
      <c r="K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5" t="e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#REF!</v>
      </c>
      <c r="M67" s="157" t="e">
        <f>SUMIFS('Forbrug af biomasse'!E:E,'Forbrug af biomasse'!C:C,'Resultat-Produktion &amp; forbrug'!$A67,'Forbrug af biomasse'!D:D,'Resultat-Produktion &amp; forbrug'!$D67,'Forbrug af biomasse'!G:G,1,'Forbrug af biomasse'!B:B,$E67)</f>
        <v>#REF!</v>
      </c>
      <c r="N67" s="204" t="e">
        <f t="shared" si="9"/>
        <v>#REF!</v>
      </c>
      <c r="O67" s="195" t="e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#REF!</v>
      </c>
      <c r="P67" s="205" t="e">
        <f t="shared" si="10"/>
        <v>#REF!</v>
      </c>
      <c r="Q67" s="192" t="e">
        <f>IFERROR(VLOOKUP(A67,[1]Energiindhold!$A$2:$C$11,3,FALSE),IFERROR(VLOOKUP(A67,[1]Biogasudbytte!$A$2:$B$18,2,FALSE)*[1]Energiindhold!$C$10,0))*O67</f>
        <v>#REF!</v>
      </c>
      <c r="R67" s="192" t="e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#REF!</v>
      </c>
      <c r="S67" s="192" t="e">
        <f>IFERROR(VLOOKUP(A67,[1]Biogasudbytte!$A$2:$B$18,2,FALSE)*[1]Energiindhold!$C$10,0)*J67*IFERROR(VLOOKUP(A67,Biogasanlæg!$F$3:$G$8,2,FALSE),1)</f>
        <v>#REF!</v>
      </c>
      <c r="T67" s="193" t="e">
        <f t="shared" si="11"/>
        <v>#REF!</v>
      </c>
      <c r="U67" s="191" t="e">
        <f>O67*IFERROR(VLOOKUP(A67,[1]Tørstofindhold!A$2:B$24,2,FALSE),0)</f>
        <v>#REF!</v>
      </c>
      <c r="V67" s="192" t="e">
        <f>IF(D67=År1,P67,SUM(O67,P67))*IFERROR(VLOOKUP(A67,[1]Tørstofindhold!A$2:B$24,2,FALSE),0)</f>
        <v>#REF!</v>
      </c>
      <c r="W67" s="192" t="e">
        <f>J67*IFERROR(VLOOKUP(A67,[1]Tørstofindhold!A$2:B$24,2,FALSE),0)</f>
        <v>#REF!</v>
      </c>
      <c r="X67" s="193" t="e">
        <f t="shared" si="12"/>
        <v>#REF!</v>
      </c>
      <c r="Y67" s="171" t="e">
        <f t="shared" ref="Y67:Y130" si="21">IF(SUMIFS($N$3:$N$290,$A$3:$A$290,A67,$D$3:$D$290,D67)&lt;0,1,0)</f>
        <v>#REF!</v>
      </c>
      <c r="Z67" s="103" t="e">
        <f t="shared" ref="Z67:Z130" si="22">IF(SUMIFS($N$3:$N$290,$A$3:$A$290,A67,$D$3:$D$290,D67)&gt;0,1,0)</f>
        <v>#REF!</v>
      </c>
    </row>
    <row r="68" spans="1:26" x14ac:dyDescent="0.25">
      <c r="A68" s="194" t="str">
        <f t="shared" si="17"/>
        <v>Have/parkaffald</v>
      </c>
      <c r="B68" s="194" t="str">
        <f t="shared" si="18"/>
        <v>Bionedbrydeligt affald</v>
      </c>
      <c r="C68" s="194">
        <f>IF(COUNTIFS('Resultater - Danmark'!$D$3:$D$482,'Resultat-Produktion &amp; forbrug'!A68,'Resultater - Danmark'!$A$3:$A$482,"Til energi")+COUNTIFS('Resultater - Danmark'!$D$3:$D$482,'Resultat-Produktion &amp; forbrug'!A68,'Resultater - Danmark'!$A$3:$A$482,"Biogasanlæg")&gt;0,1,0)</f>
        <v>1</v>
      </c>
      <c r="D68" s="194">
        <f t="shared" si="19"/>
        <v>2030</v>
      </c>
      <c r="E68" s="192" t="s">
        <v>23</v>
      </c>
      <c r="F68" s="195">
        <f>IF(E68="Vestdanmark",SUMIFS(IF(D68=År1,'Resultater - Vestdanmark'!H$3:H$482,IF(D68=År2,'Resultater - Vestdanmark'!I$3:I$482,'Resultater - Vestdanmark'!J$3:J$482)),'Resultater - Vestdanmark'!$F$3:$F$482,$A68,IF(D68=År1,'Resultater - Vestdanmark'!H$3:H$482,IF(D68=År2,'Resultater - Vestdanmark'!I$3:I$482,'Resultater - Vestdanmark'!J$3:J$482)),"&gt;0"),SUMIFS(IF(D68=År1,'Resultater - Østdanmark'!H$3:H$482,IF(D68=År2,'Resultater - Østdanmark'!I$3:I$482,'Resultater - Østdanmark'!J$3:J$482)),'Resultater - Østdanmark'!$F$3:$F$482,$A68,IF(D68=År1,'Resultater - Østdanmark'!H$3:H$482,IF(D68=År2,'Resultater - Østdanmark'!I$3:I$482,'Resultater - Østdanmark'!J$3:J$482)),"&gt;0"))</f>
        <v>0</v>
      </c>
      <c r="G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92">
        <f>IF(E68="Vestdanmark",-IF(A68="Halm",SUMIFS(IF(D68=År1,'Resultater - Vestdanmark'!H$3:H$482,IF(D68=År2,'Resultater - Vestdanmark'!I$3:I$482,'Resultater - Vestdanmark'!J$3:J$482)),'Resultater - Vestdanmark'!$F$3:$F$482,$A68,'Resultater - Vestdanmark'!H$3:H$482,"&lt;0"),0),-IF(A68="Halm",SUMIFS(IF(D68=År1,'Resultater - Østdanmark'!H$3:H$482,IF(D68=År2,'Resultater - Østdanmark'!I$3:I$482,'Resultater - Østdanmark'!J$3:J$482)),'Resultater - Østdanmark'!$F$3:$F$482,$A68,'Resultater - Østdanmark'!H$3:H$482,"&lt;0"),0))</f>
        <v>0</v>
      </c>
      <c r="I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5" t="e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#REF!</v>
      </c>
      <c r="K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5" t="e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#REF!</v>
      </c>
      <c r="M68" s="157" t="e">
        <f>SUMIFS('Forbrug af biomasse'!E:E,'Forbrug af biomasse'!C:C,'Resultat-Produktion &amp; forbrug'!$A68,'Forbrug af biomasse'!D:D,'Resultat-Produktion &amp; forbrug'!$D68,'Forbrug af biomasse'!G:G,1,'Forbrug af biomasse'!B:B,$E68)</f>
        <v>#REF!</v>
      </c>
      <c r="N68" s="204" t="e">
        <f t="shared" si="9"/>
        <v>#REF!</v>
      </c>
      <c r="O68" s="195" t="e">
        <f t="shared" si="20"/>
        <v>#REF!</v>
      </c>
      <c r="P68" s="205" t="e">
        <f t="shared" si="10"/>
        <v>#REF!</v>
      </c>
      <c r="Q68" s="192" t="e">
        <f>IFERROR(VLOOKUP(A68,[1]Energiindhold!$A$2:$C$11,3,FALSE),IFERROR(VLOOKUP(A68,[1]Biogasudbytte!$A$2:$B$18,2,FALSE)*[1]Energiindhold!$C$10,0))*O68</f>
        <v>#REF!</v>
      </c>
      <c r="R68" s="192" t="e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#REF!</v>
      </c>
      <c r="S68" s="192" t="e">
        <f>IFERROR(VLOOKUP(A68,[1]Biogasudbytte!$A$2:$B$18,2,FALSE)*[1]Energiindhold!$C$10,0)*J68*IFERROR(VLOOKUP(A68,Biogasanlæg!$F$3:$G$8,2,FALSE),1)</f>
        <v>#REF!</v>
      </c>
      <c r="T68" s="193" t="e">
        <f t="shared" si="11"/>
        <v>#REF!</v>
      </c>
      <c r="U68" s="191" t="e">
        <f>O68*IFERROR(VLOOKUP(A68,[1]Tørstofindhold!A$2:B$24,2,FALSE),0)</f>
        <v>#REF!</v>
      </c>
      <c r="V68" s="192" t="e">
        <f>IF(D68=År1,P68,SUM(O68,P68))*IFERROR(VLOOKUP(A68,[1]Tørstofindhold!A$2:B$24,2,FALSE),0)</f>
        <v>#REF!</v>
      </c>
      <c r="W68" s="192" t="e">
        <f>J68*IFERROR(VLOOKUP(A68,[1]Tørstofindhold!A$2:B$24,2,FALSE),0)</f>
        <v>#REF!</v>
      </c>
      <c r="X68" s="193" t="e">
        <f t="shared" si="12"/>
        <v>#REF!</v>
      </c>
      <c r="Y68" s="171" t="e">
        <f t="shared" si="21"/>
        <v>#REF!</v>
      </c>
      <c r="Z68" s="103" t="e">
        <f t="shared" si="22"/>
        <v>#REF!</v>
      </c>
    </row>
    <row r="69" spans="1:26" x14ac:dyDescent="0.25">
      <c r="A69" s="194" t="str">
        <f t="shared" si="17"/>
        <v>Import af foder</v>
      </c>
      <c r="B69" s="194" t="str">
        <f t="shared" si="18"/>
        <v/>
      </c>
      <c r="C69" s="194">
        <f>IF(COUNTIFS('Resultater - Danmark'!$D$3:$D$482,'Resultat-Produktion &amp; forbrug'!A69,'Resultater - Danmark'!$A$3:$A$482,"Til energi")+COUNTIFS('Resultater - Danmark'!$D$3:$D$482,'Resultat-Produktion &amp; forbrug'!A69,'Resultater - Danmark'!$A$3:$A$482,"Biogasanlæg")&gt;0,1,0)</f>
        <v>0</v>
      </c>
      <c r="D69" s="194">
        <f t="shared" si="19"/>
        <v>2030</v>
      </c>
      <c r="E69" s="192" t="s">
        <v>23</v>
      </c>
      <c r="F69" s="195">
        <f>IF(E69="Vestdanmark",SUMIFS(IF(D69=År1,'Resultater - Vestdanmark'!H$3:H$482,IF(D69=År2,'Resultater - Vestdanmark'!I$3:I$482,'Resultater - Vestdanmark'!J$3:J$482)),'Resultater - Vestdanmark'!$F$3:$F$482,$A69,IF(D69=År1,'Resultater - Vestdanmark'!H$3:H$482,IF(D69=År2,'Resultater - Vestdanmark'!I$3:I$482,'Resultater - Vestdanmark'!J$3:J$482)),"&gt;0"),SUMIFS(IF(D69=År1,'Resultater - Østdanmark'!H$3:H$482,IF(D69=År2,'Resultater - Østdanmark'!I$3:I$482,'Resultater - Østdanmark'!J$3:J$482)),'Resultater - Østdanmark'!$F$3:$F$482,$A69,IF(D69=År1,'Resultater - Østdanmark'!H$3:H$482,IF(D69=År2,'Resultater - Østdanmark'!I$3:I$482,'Resultater - Østdanmark'!J$3:J$482)),"&gt;0"))</f>
        <v>0</v>
      </c>
      <c r="G69" s="195" t="e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#REF!</v>
      </c>
      <c r="H69" s="192">
        <f>IF(E69="Vestdanmark",-IF(A69="Halm",SUMIFS(IF(D69=År1,'Resultater - Vestdanmark'!H$3:H$482,IF(D69=År2,'Resultater - Vestdanmark'!I$3:I$482,'Resultater - Vestdanmark'!J$3:J$482)),'Resultater - Vestdanmark'!$F$3:$F$482,$A69,'Resultater - Vestdanmark'!H$3:H$482,"&lt;0"),0),-IF(A69="Halm",SUMIFS(IF(D69=År1,'Resultater - Østdanmark'!H$3:H$482,IF(D69=År2,'Resultater - Østdanmark'!I$3:I$482,'Resultater - Østdanmark'!J$3:J$482)),'Resultater - Østdanmark'!$F$3:$F$482,$A69,'Resultater - Østdanmark'!H$3:H$482,"&lt;0"),0))</f>
        <v>0</v>
      </c>
      <c r="I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5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7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4" t="e">
        <f t="shared" si="9"/>
        <v>#REF!</v>
      </c>
      <c r="O69" s="195">
        <f t="shared" si="20"/>
        <v>0</v>
      </c>
      <c r="P69" s="205">
        <f t="shared" si="10"/>
        <v>0</v>
      </c>
      <c r="Q69" s="192">
        <f>IFERROR(VLOOKUP(A69,[1]Energiindhold!$A$2:$C$11,3,FALSE),IFERROR(VLOOKUP(A69,[1]Biogasudbytte!$A$2:$B$18,2,FALSE)*[1]Energiindhold!$C$10,0))*O69</f>
        <v>0</v>
      </c>
      <c r="R69" s="192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92">
        <f>IFERROR(VLOOKUP(A69,[1]Biogasudbytte!$A$2:$B$18,2,FALSE)*[1]Energiindhold!$C$10,0)*J69*IFERROR(VLOOKUP(A69,Biogasanlæg!$F$3:$G$8,2,FALSE),1)</f>
        <v>0</v>
      </c>
      <c r="T69" s="193">
        <f t="shared" si="11"/>
        <v>0</v>
      </c>
      <c r="U69" s="191">
        <f>O69*IFERROR(VLOOKUP(A69,[1]Tørstofindhold!A$2:B$24,2,FALSE),0)</f>
        <v>0</v>
      </c>
      <c r="V69" s="192">
        <f>IF(D69=År1,P69,SUM(O69,P69))*IFERROR(VLOOKUP(A69,[1]Tørstofindhold!A$2:B$24,2,FALSE),0)</f>
        <v>0</v>
      </c>
      <c r="W69" s="192">
        <f>J69*IFERROR(VLOOKUP(A69,[1]Tørstofindhold!A$2:B$24,2,FALSE),0)</f>
        <v>0</v>
      </c>
      <c r="X69" s="193">
        <f t="shared" si="12"/>
        <v>0</v>
      </c>
      <c r="Y69" s="171" t="e">
        <f t="shared" si="21"/>
        <v>#REF!</v>
      </c>
      <c r="Z69" s="103" t="e">
        <f t="shared" si="22"/>
        <v>#REF!</v>
      </c>
    </row>
    <row r="70" spans="1:26" x14ac:dyDescent="0.25">
      <c r="A70" s="194" t="str">
        <f t="shared" si="17"/>
        <v>Industriaffald</v>
      </c>
      <c r="B70" s="194" t="str">
        <f t="shared" si="18"/>
        <v>Bionedbrydeligt affald</v>
      </c>
      <c r="C70" s="194">
        <f>IF(COUNTIFS('Resultater - Danmark'!$D$3:$D$482,'Resultat-Produktion &amp; forbrug'!A70,'Resultater - Danmark'!$A$3:$A$482,"Til energi")+COUNTIFS('Resultater - Danmark'!$D$3:$D$482,'Resultat-Produktion &amp; forbrug'!A70,'Resultater - Danmark'!$A$3:$A$482,"Biogasanlæg")&gt;0,1,0)</f>
        <v>1</v>
      </c>
      <c r="D70" s="194">
        <f t="shared" si="19"/>
        <v>2030</v>
      </c>
      <c r="E70" s="192" t="s">
        <v>23</v>
      </c>
      <c r="F70" s="195">
        <f>IF(E70="Vestdanmark",SUMIFS(IF(D70=År1,'Resultater - Vestdanmark'!H$3:H$482,IF(D70=År2,'Resultater - Vestdanmark'!I$3:I$482,'Resultater - Vestdanmark'!J$3:J$482)),'Resultater - Vestdanmark'!$F$3:$F$482,$A70,IF(D70=År1,'Resultater - Vestdanmark'!H$3:H$482,IF(D70=År2,'Resultater - Vestdanmark'!I$3:I$482,'Resultater - Vestdanmark'!J$3:J$482)),"&gt;0"),SUMIFS(IF(D70=År1,'Resultater - Østdanmark'!H$3:H$482,IF(D70=År2,'Resultater - Østdanmark'!I$3:I$482,'Resultater - Østdanmark'!J$3:J$482)),'Resultater - Østdanmark'!$F$3:$F$482,$A70,IF(D70=År1,'Resultater - Østdanmark'!H$3:H$482,IF(D70=År2,'Resultater - Østdanmark'!I$3:I$482,'Resultater - Østdanmark'!J$3:J$482)),"&gt;0"))</f>
        <v>0</v>
      </c>
      <c r="G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92">
        <f>IF(E70="Vestdanmark",-IF(A70="Halm",SUMIFS(IF(D70=År1,'Resultater - Vestdanmark'!H$3:H$482,IF(D70=År2,'Resultater - Vestdanmark'!I$3:I$482,'Resultater - Vestdanmark'!J$3:J$482)),'Resultater - Vestdanmark'!$F$3:$F$482,$A70,'Resultater - Vestdanmark'!H$3:H$482,"&lt;0"),0),-IF(A70="Halm",SUMIFS(IF(D70=År1,'Resultater - Østdanmark'!H$3:H$482,IF(D70=År2,'Resultater - Østdanmark'!I$3:I$482,'Resultater - Østdanmark'!J$3:J$482)),'Resultater - Østdanmark'!$F$3:$F$482,$A70,'Resultater - Østdanmark'!H$3:H$482,"&lt;0"),0))</f>
        <v>0</v>
      </c>
      <c r="I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5" t="e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#REF!</v>
      </c>
      <c r="K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5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7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4" t="e">
        <f t="shared" si="9"/>
        <v>#REF!</v>
      </c>
      <c r="O70" s="195" t="e">
        <f t="shared" si="20"/>
        <v>#REF!</v>
      </c>
      <c r="P70" s="205" t="e">
        <f t="shared" si="10"/>
        <v>#REF!</v>
      </c>
      <c r="Q70" s="192" t="e">
        <f>IFERROR(VLOOKUP(A70,[1]Energiindhold!$A$2:$C$11,3,FALSE),IFERROR(VLOOKUP(A70,[1]Biogasudbytte!$A$2:$B$18,2,FALSE)*[1]Energiindhold!$C$10,0))*O70</f>
        <v>#REF!</v>
      </c>
      <c r="R70" s="192" t="e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#REF!</v>
      </c>
      <c r="S70" s="192" t="e">
        <f>IFERROR(VLOOKUP(A70,[1]Biogasudbytte!$A$2:$B$18,2,FALSE)*[1]Energiindhold!$C$10,0)*J70*IFERROR(VLOOKUP(A70,Biogasanlæg!$F$3:$G$8,2,FALSE),1)</f>
        <v>#REF!</v>
      </c>
      <c r="T70" s="193" t="e">
        <f t="shared" si="11"/>
        <v>#REF!</v>
      </c>
      <c r="U70" s="191" t="e">
        <f>O70*IFERROR(VLOOKUP(A70,[1]Tørstofindhold!A$2:B$24,2,FALSE),0)</f>
        <v>#REF!</v>
      </c>
      <c r="V70" s="192" t="e">
        <f>IF(D70=År1,P70,SUM(O70,P70))*IFERROR(VLOOKUP(A70,[1]Tørstofindhold!A$2:B$24,2,FALSE),0)</f>
        <v>#REF!</v>
      </c>
      <c r="W70" s="192" t="e">
        <f>J70*IFERROR(VLOOKUP(A70,[1]Tørstofindhold!A$2:B$24,2,FALSE),0)</f>
        <v>#REF!</v>
      </c>
      <c r="X70" s="193" t="e">
        <f t="shared" si="12"/>
        <v>#REF!</v>
      </c>
      <c r="Y70" s="171" t="e">
        <f t="shared" si="21"/>
        <v>#REF!</v>
      </c>
      <c r="Z70" s="103" t="e">
        <f t="shared" si="22"/>
        <v>#REF!</v>
      </c>
    </row>
    <row r="71" spans="1:26" x14ac:dyDescent="0.25">
      <c r="A71" s="194" t="str">
        <f t="shared" si="17"/>
        <v>Juletræer</v>
      </c>
      <c r="B71" s="194" t="str">
        <f t="shared" si="18"/>
        <v/>
      </c>
      <c r="C71" s="194">
        <f>IF(COUNTIFS('Resultater - Danmark'!$D$3:$D$482,'Resultat-Produktion &amp; forbrug'!A71,'Resultater - Danmark'!$A$3:$A$482,"Til energi")+COUNTIFS('Resultater - Danmark'!$D$3:$D$482,'Resultat-Produktion &amp; forbrug'!A71,'Resultater - Danmark'!$A$3:$A$482,"Biogasanlæg")&gt;0,1,0)</f>
        <v>0</v>
      </c>
      <c r="D71" s="194">
        <f t="shared" si="19"/>
        <v>2030</v>
      </c>
      <c r="E71" s="192" t="s">
        <v>23</v>
      </c>
      <c r="F71" s="195">
        <f>IF(E71="Vestdanmark",SUMIFS(IF(D71=År1,'Resultater - Vestdanmark'!H$3:H$482,IF(D71=År2,'Resultater - Vestdanmark'!I$3:I$482,'Resultater - Vestdanmark'!J$3:J$482)),'Resultater - Vestdanmark'!$F$3:$F$482,$A71,IF(D71=År1,'Resultater - Vestdanmark'!H$3:H$482,IF(D71=År2,'Resultater - Vestdanmark'!I$3:I$482,'Resultater - Vestdanmark'!J$3:J$482)),"&gt;0"),SUMIFS(IF(D71=År1,'Resultater - Østdanmark'!H$3:H$482,IF(D71=År2,'Resultater - Østdanmark'!I$3:I$482,'Resultater - Østdanmark'!J$3:J$482)),'Resultater - Østdanmark'!$F$3:$F$482,$A71,IF(D71=År1,'Resultater - Østdanmark'!H$3:H$482,IF(D71=År2,'Resultater - Østdanmark'!I$3:I$482,'Resultater - Østdanmark'!J$3:J$482)),"&gt;0"))</f>
        <v>0</v>
      </c>
      <c r="G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92">
        <f>IF(E71="Vestdanmark",-IF(A71="Halm",SUMIFS(IF(D71=År1,'Resultater - Vestdanmark'!H$3:H$482,IF(D71=År2,'Resultater - Vestdanmark'!I$3:I$482,'Resultater - Vestdanmark'!J$3:J$482)),'Resultater - Vestdanmark'!$F$3:$F$482,$A71,'Resultater - Vestdanmark'!H$3:H$482,"&lt;0"),0),-IF(A71="Halm",SUMIFS(IF(D71=År1,'Resultater - Østdanmark'!H$3:H$482,IF(D71=År2,'Resultater - Østdanmark'!I$3:I$482,'Resultater - Østdanmark'!J$3:J$482)),'Resultater - Østdanmark'!$F$3:$F$482,$A71,'Resultater - Østdanmark'!H$3:H$482,"&lt;0"),0))</f>
        <v>0</v>
      </c>
      <c r="I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5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7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4">
        <f t="shared" si="9"/>
        <v>0</v>
      </c>
      <c r="O71" s="195">
        <f t="shared" si="20"/>
        <v>0</v>
      </c>
      <c r="P71" s="205">
        <f t="shared" si="10"/>
        <v>0</v>
      </c>
      <c r="Q71" s="192">
        <f>IFERROR(VLOOKUP(A71,[1]Energiindhold!$A$2:$C$11,3,FALSE),IFERROR(VLOOKUP(A71,[1]Biogasudbytte!$A$2:$B$18,2,FALSE)*[1]Energiindhold!$C$10,0))*O71</f>
        <v>0</v>
      </c>
      <c r="R71" s="192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92">
        <f>IFERROR(VLOOKUP(A71,[1]Biogasudbytte!$A$2:$B$18,2,FALSE)*[1]Energiindhold!$C$10,0)*J71*IFERROR(VLOOKUP(A71,Biogasanlæg!$F$3:$G$8,2,FALSE),1)</f>
        <v>0</v>
      </c>
      <c r="T71" s="193">
        <f t="shared" si="11"/>
        <v>0</v>
      </c>
      <c r="U71" s="191">
        <f>O71*IFERROR(VLOOKUP(A71,[1]Tørstofindhold!A$2:B$24,2,FALSE),0)</f>
        <v>0</v>
      </c>
      <c r="V71" s="192">
        <f>IF(D71=År1,P71,SUM(O71,P71))*IFERROR(VLOOKUP(A71,[1]Tørstofindhold!A$2:B$24,2,FALSE),0)</f>
        <v>0</v>
      </c>
      <c r="W71" s="192">
        <f>J71*IFERROR(VLOOKUP(A71,[1]Tørstofindhold!A$2:B$24,2,FALSE),0)</f>
        <v>0</v>
      </c>
      <c r="X71" s="193">
        <f t="shared" si="12"/>
        <v>0</v>
      </c>
      <c r="Y71" s="171">
        <f t="shared" si="21"/>
        <v>0</v>
      </c>
      <c r="Z71" s="103">
        <f t="shared" si="22"/>
        <v>0</v>
      </c>
    </row>
    <row r="72" spans="1:26" x14ac:dyDescent="0.25">
      <c r="A72" s="194" t="str">
        <f t="shared" si="17"/>
        <v>Kartofler</v>
      </c>
      <c r="B72" s="194" t="str">
        <f t="shared" si="18"/>
        <v/>
      </c>
      <c r="C72" s="194">
        <f>IF(COUNTIFS('Resultater - Danmark'!$D$3:$D$482,'Resultat-Produktion &amp; forbrug'!A72,'Resultater - Danmark'!$A$3:$A$482,"Til energi")+COUNTIFS('Resultater - Danmark'!$D$3:$D$482,'Resultat-Produktion &amp; forbrug'!A72,'Resultater - Danmark'!$A$3:$A$482,"Biogasanlæg")&gt;0,1,0)</f>
        <v>0</v>
      </c>
      <c r="D72" s="194">
        <f t="shared" si="19"/>
        <v>2030</v>
      </c>
      <c r="E72" s="192" t="s">
        <v>23</v>
      </c>
      <c r="F72" s="195">
        <f>IF(E72="Vestdanmark",SUMIFS(IF(D72=År1,'Resultater - Vestdanmark'!H$3:H$482,IF(D72=År2,'Resultater - Vestdanmark'!I$3:I$482,'Resultater - Vestdanmark'!J$3:J$482)),'Resultater - Vestdanmark'!$F$3:$F$482,$A72,IF(D72=År1,'Resultater - Vestdanmark'!H$3:H$482,IF(D72=År2,'Resultater - Vestdanmark'!I$3:I$482,'Resultater - Vestdanmark'!J$3:J$482)),"&gt;0"),SUMIFS(IF(D72=År1,'Resultater - Østdanmark'!H$3:H$482,IF(D72=År2,'Resultater - Østdanmark'!I$3:I$482,'Resultater - Østdanmark'!J$3:J$482)),'Resultater - Østdanmark'!$F$3:$F$482,$A72,IF(D72=År1,'Resultater - Østdanmark'!H$3:H$482,IF(D72=År2,'Resultater - Østdanmark'!I$3:I$482,'Resultater - Østdanmark'!J$3:J$482)),"&gt;0"))</f>
        <v>0</v>
      </c>
      <c r="G72" s="195" t="e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#REF!</v>
      </c>
      <c r="H72" s="192">
        <f>IF(E72="Vestdanmark",-IF(A72="Halm",SUMIFS(IF(D72=År1,'Resultater - Vestdanmark'!H$3:H$482,IF(D72=År2,'Resultater - Vestdanmark'!I$3:I$482,'Resultater - Vestdanmark'!J$3:J$482)),'Resultater - Vestdanmark'!$F$3:$F$482,$A72,'Resultater - Vestdanmark'!H$3:H$482,"&lt;0"),0),-IF(A72="Halm",SUMIFS(IF(D72=År1,'Resultater - Østdanmark'!H$3:H$482,IF(D72=År2,'Resultater - Østdanmark'!I$3:I$482,'Resultater - Østdanmark'!J$3:J$482)),'Resultater - Østdanmark'!$F$3:$F$482,$A72,'Resultater - Østdanmark'!H$3:H$482,"&lt;0"),0))</f>
        <v>0</v>
      </c>
      <c r="I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5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7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4" t="e">
        <f t="shared" si="9"/>
        <v>#REF!</v>
      </c>
      <c r="O72" s="195">
        <f t="shared" si="20"/>
        <v>0</v>
      </c>
      <c r="P72" s="205">
        <f t="shared" si="10"/>
        <v>0</v>
      </c>
      <c r="Q72" s="192">
        <f>IFERROR(VLOOKUP(A72,[1]Energiindhold!$A$2:$C$11,3,FALSE),IFERROR(VLOOKUP(A72,[1]Biogasudbytte!$A$2:$B$18,2,FALSE)*[1]Energiindhold!$C$10,0))*O72</f>
        <v>0</v>
      </c>
      <c r="R72" s="192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92">
        <f>IFERROR(VLOOKUP(A72,[1]Biogasudbytte!$A$2:$B$18,2,FALSE)*[1]Energiindhold!$C$10,0)*J72*IFERROR(VLOOKUP(A72,Biogasanlæg!$F$3:$G$8,2,FALSE),1)</f>
        <v>0</v>
      </c>
      <c r="T72" s="193">
        <f t="shared" si="11"/>
        <v>0</v>
      </c>
      <c r="U72" s="191">
        <f>O72*IFERROR(VLOOKUP(A72,[1]Tørstofindhold!A$2:B$24,2,FALSE),0)</f>
        <v>0</v>
      </c>
      <c r="V72" s="192">
        <f>IF(D72=År1,P72,SUM(O72,P72))*IFERROR(VLOOKUP(A72,[1]Tørstofindhold!A$2:B$24,2,FALSE),0)</f>
        <v>0</v>
      </c>
      <c r="W72" s="192">
        <f>J72*IFERROR(VLOOKUP(A72,[1]Tørstofindhold!A$2:B$24,2,FALSE),0)</f>
        <v>0</v>
      </c>
      <c r="X72" s="193">
        <f t="shared" si="12"/>
        <v>0</v>
      </c>
      <c r="Y72" s="171" t="e">
        <f t="shared" si="21"/>
        <v>#REF!</v>
      </c>
      <c r="Z72" s="103" t="e">
        <f t="shared" si="22"/>
        <v>#REF!</v>
      </c>
    </row>
    <row r="73" spans="1:26" x14ac:dyDescent="0.25">
      <c r="A73" s="194" t="str">
        <f t="shared" si="17"/>
        <v>Korn</v>
      </c>
      <c r="B73" s="194" t="str">
        <f t="shared" si="18"/>
        <v>Halm og strå</v>
      </c>
      <c r="C73" s="194">
        <f>IF(COUNTIFS('Resultater - Danmark'!$D$3:$D$482,'Resultat-Produktion &amp; forbrug'!A73,'Resultater - Danmark'!$A$3:$A$482,"Til energi")+COUNTIFS('Resultater - Danmark'!$D$3:$D$482,'Resultat-Produktion &amp; forbrug'!A73,'Resultater - Danmark'!$A$3:$A$482,"Biogasanlæg")&gt;0,1,0)</f>
        <v>1</v>
      </c>
      <c r="D73" s="194">
        <f t="shared" si="19"/>
        <v>2030</v>
      </c>
      <c r="E73" s="192" t="s">
        <v>23</v>
      </c>
      <c r="F73" s="195">
        <f>IF(E73="Vestdanmark",SUMIFS(IF(D73=År1,'Resultater - Vestdanmark'!H$3:H$482,IF(D73=År2,'Resultater - Vestdanmark'!I$3:I$482,'Resultater - Vestdanmark'!J$3:J$482)),'Resultater - Vestdanmark'!$F$3:$F$482,$A73,IF(D73=År1,'Resultater - Vestdanmark'!H$3:H$482,IF(D73=År2,'Resultater - Vestdanmark'!I$3:I$482,'Resultater - Vestdanmark'!J$3:J$482)),"&gt;0"),SUMIFS(IF(D73=År1,'Resultater - Østdanmark'!H$3:H$482,IF(D73=År2,'Resultater - Østdanmark'!I$3:I$482,'Resultater - Østdanmark'!J$3:J$482)),'Resultater - Østdanmark'!$F$3:$F$482,$A73,IF(D73=År1,'Resultater - Østdanmark'!H$3:H$482,IF(D73=År2,'Resultater - Østdanmark'!I$3:I$482,'Resultater - Østdanmark'!J$3:J$482)),"&gt;0"))</f>
        <v>0</v>
      </c>
      <c r="G73" s="195" t="e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#REF!</v>
      </c>
      <c r="H73" s="192">
        <f>IF(E73="Vestdanmark",-IF(A73="Halm",SUMIFS(IF(D73=År1,'Resultater - Vestdanmark'!H$3:H$482,IF(D73=År2,'Resultater - Vestdanmark'!I$3:I$482,'Resultater - Vestdanmark'!J$3:J$482)),'Resultater - Vestdanmark'!$F$3:$F$482,$A73,'Resultater - Vestdanmark'!H$3:H$482,"&lt;0"),0),-IF(A73="Halm",SUMIFS(IF(D73=År1,'Resultater - Østdanmark'!H$3:H$482,IF(D73=År2,'Resultater - Østdanmark'!I$3:I$482,'Resultater - Østdanmark'!J$3:J$482)),'Resultater - Østdanmark'!$F$3:$F$482,$A73,'Resultater - Østdanmark'!H$3:H$482,"&lt;0"),0))</f>
        <v>0</v>
      </c>
      <c r="I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5" t="e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#REF!</v>
      </c>
      <c r="K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5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7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4" t="e">
        <f t="shared" si="9"/>
        <v>#REF!</v>
      </c>
      <c r="O73" s="195" t="e">
        <f t="shared" si="20"/>
        <v>#REF!</v>
      </c>
      <c r="P73" s="205" t="e">
        <f t="shared" si="10"/>
        <v>#REF!</v>
      </c>
      <c r="Q73" s="192" t="e">
        <f>IFERROR(VLOOKUP(A73,[1]Energiindhold!$A$2:$C$11,3,FALSE),IFERROR(VLOOKUP(A73,[1]Biogasudbytte!$A$2:$B$18,2,FALSE)*[1]Energiindhold!$C$10,0))*O73</f>
        <v>#REF!</v>
      </c>
      <c r="R73" s="192" t="e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#REF!</v>
      </c>
      <c r="S73" s="192" t="e">
        <f>IFERROR(VLOOKUP(A73,[1]Biogasudbytte!$A$2:$B$18,2,FALSE)*[1]Energiindhold!$C$10,0)*J73*IFERROR(VLOOKUP(A73,Biogasanlæg!$F$3:$G$8,2,FALSE),1)</f>
        <v>#REF!</v>
      </c>
      <c r="T73" s="193" t="e">
        <f t="shared" si="11"/>
        <v>#REF!</v>
      </c>
      <c r="U73" s="191" t="e">
        <f>O73*IFERROR(VLOOKUP(A73,[1]Tørstofindhold!A$2:B$24,2,FALSE),0)</f>
        <v>#REF!</v>
      </c>
      <c r="V73" s="192" t="e">
        <f>IF(D73=År1,P73,SUM(O73,P73))*IFERROR(VLOOKUP(A73,[1]Tørstofindhold!A$2:B$24,2,FALSE),0)</f>
        <v>#REF!</v>
      </c>
      <c r="W73" s="192" t="e">
        <f>J73*IFERROR(VLOOKUP(A73,[1]Tørstofindhold!A$2:B$24,2,FALSE),0)</f>
        <v>#REF!</v>
      </c>
      <c r="X73" s="193" t="e">
        <f t="shared" si="12"/>
        <v>#REF!</v>
      </c>
      <c r="Y73" s="171" t="e">
        <f t="shared" si="21"/>
        <v>#REF!</v>
      </c>
      <c r="Z73" s="103" t="e">
        <f t="shared" si="22"/>
        <v>#REF!</v>
      </c>
    </row>
    <row r="74" spans="1:26" x14ac:dyDescent="0.25">
      <c r="A74" s="194" t="str">
        <f t="shared" si="17"/>
        <v>Kunstgødning</v>
      </c>
      <c r="B74" s="194" t="str">
        <f t="shared" si="18"/>
        <v/>
      </c>
      <c r="C74" s="194">
        <f>IF(COUNTIFS('Resultater - Danmark'!$D$3:$D$482,'Resultat-Produktion &amp; forbrug'!A74,'Resultater - Danmark'!$A$3:$A$482,"Til energi")+COUNTIFS('Resultater - Danmark'!$D$3:$D$482,'Resultat-Produktion &amp; forbrug'!A74,'Resultater - Danmark'!$A$3:$A$482,"Biogasanlæg")&gt;0,1,0)</f>
        <v>0</v>
      </c>
      <c r="D74" s="194">
        <f t="shared" si="19"/>
        <v>2030</v>
      </c>
      <c r="E74" s="192" t="s">
        <v>23</v>
      </c>
      <c r="F74" s="195">
        <f>IF(E74="Vestdanmark",SUMIFS(IF(D74=År1,'Resultater - Vestdanmark'!H$3:H$482,IF(D74=År2,'Resultater - Vestdanmark'!I$3:I$482,'Resultater - Vestdanmark'!J$3:J$482)),'Resultater - Vestdanmark'!$F$3:$F$482,$A74,IF(D74=År1,'Resultater - Vestdanmark'!H$3:H$482,IF(D74=År2,'Resultater - Vestdanmark'!I$3:I$482,'Resultater - Vestdanmark'!J$3:J$482)),"&gt;0"),SUMIFS(IF(D74=År1,'Resultater - Østdanmark'!H$3:H$482,IF(D74=År2,'Resultater - Østdanmark'!I$3:I$482,'Resultater - Østdanmark'!J$3:J$482)),'Resultater - Østdanmark'!$F$3:$F$482,$A74,IF(D74=År1,'Resultater - Østdanmark'!H$3:H$482,IF(D74=År2,'Resultater - Østdanmark'!I$3:I$482,'Resultater - Østdanmark'!J$3:J$482)),"&gt;0"))</f>
        <v>0</v>
      </c>
      <c r="G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92">
        <f>IF(E74="Vestdanmark",-IF(A74="Halm",SUMIFS(IF(D74=År1,'Resultater - Vestdanmark'!H$3:H$482,IF(D74=År2,'Resultater - Vestdanmark'!I$3:I$482,'Resultater - Vestdanmark'!J$3:J$482)),'Resultater - Vestdanmark'!$F$3:$F$482,$A74,'Resultater - Vestdanmark'!H$3:H$482,"&lt;0"),0),-IF(A74="Halm",SUMIFS(IF(D74=År1,'Resultater - Østdanmark'!H$3:H$482,IF(D74=År2,'Resultater - Østdanmark'!I$3:I$482,'Resultater - Østdanmark'!J$3:J$482)),'Resultater - Østdanmark'!$F$3:$F$482,$A74,'Resultater - Østdanmark'!H$3:H$482,"&lt;0"),0))</f>
        <v>0</v>
      </c>
      <c r="I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5" t="e">
        <f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#REF!</v>
      </c>
      <c r="L74" s="195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7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4" t="e">
        <f t="shared" si="9"/>
        <v>#REF!</v>
      </c>
      <c r="O74" s="195">
        <f t="shared" si="20"/>
        <v>0</v>
      </c>
      <c r="P74" s="205">
        <f t="shared" si="10"/>
        <v>0</v>
      </c>
      <c r="Q74" s="192">
        <f>IFERROR(VLOOKUP(A74,[1]Energiindhold!$A$2:$C$11,3,FALSE),IFERROR(VLOOKUP(A74,[1]Biogasudbytte!$A$2:$B$18,2,FALSE)*[1]Energiindhold!$C$10,0))*O74</f>
        <v>0</v>
      </c>
      <c r="R74" s="192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92">
        <f>IFERROR(VLOOKUP(A74,[1]Biogasudbytte!$A$2:$B$18,2,FALSE)*[1]Energiindhold!$C$10,0)*J74*IFERROR(VLOOKUP(A74,Biogasanlæg!$F$3:$G$8,2,FALSE),1)</f>
        <v>0</v>
      </c>
      <c r="T74" s="193">
        <f t="shared" si="11"/>
        <v>0</v>
      </c>
      <c r="U74" s="191">
        <f>O74*IFERROR(VLOOKUP(A74,[1]Tørstofindhold!A$2:B$24,2,FALSE),0)</f>
        <v>0</v>
      </c>
      <c r="V74" s="192">
        <f>IF(D74=År1,P74,SUM(O74,P74))*IFERROR(VLOOKUP(A74,[1]Tørstofindhold!A$2:B$24,2,FALSE),0)</f>
        <v>0</v>
      </c>
      <c r="W74" s="192">
        <f>J74*IFERROR(VLOOKUP(A74,[1]Tørstofindhold!A$2:B$24,2,FALSE),0)</f>
        <v>0</v>
      </c>
      <c r="X74" s="193">
        <f t="shared" si="12"/>
        <v>0</v>
      </c>
      <c r="Y74" s="171" t="e">
        <f t="shared" si="21"/>
        <v>#REF!</v>
      </c>
      <c r="Z74" s="103" t="e">
        <f t="shared" si="22"/>
        <v>#REF!</v>
      </c>
    </row>
    <row r="75" spans="1:26" x14ac:dyDescent="0.25">
      <c r="A75" s="194" t="str">
        <f t="shared" si="17"/>
        <v>Kvæggylle</v>
      </c>
      <c r="B75" s="194" t="str">
        <f t="shared" si="18"/>
        <v>Husdyrgødning</v>
      </c>
      <c r="C75" s="194">
        <f>IF(COUNTIFS('Resultater - Danmark'!$D$3:$D$482,'Resultat-Produktion &amp; forbrug'!A75,'Resultater - Danmark'!$A$3:$A$482,"Til energi")+COUNTIFS('Resultater - Danmark'!$D$3:$D$482,'Resultat-Produktion &amp; forbrug'!A75,'Resultater - Danmark'!$A$3:$A$482,"Biogasanlæg")&gt;0,1,0)</f>
        <v>1</v>
      </c>
      <c r="D75" s="194">
        <f t="shared" si="19"/>
        <v>2030</v>
      </c>
      <c r="E75" s="192" t="s">
        <v>23</v>
      </c>
      <c r="F75" s="195">
        <f>IF(E75="Vestdanmark",SUMIFS(IF(D75=År1,'Resultater - Vestdanmark'!H$3:H$482,IF(D75=År2,'Resultater - Vestdanmark'!I$3:I$482,'Resultater - Vestdanmark'!J$3:J$482)),'Resultater - Vestdanmark'!$F$3:$F$482,$A75,IF(D75=År1,'Resultater - Vestdanmark'!H$3:H$482,IF(D75=År2,'Resultater - Vestdanmark'!I$3:I$482,'Resultater - Vestdanmark'!J$3:J$482)),"&gt;0"),SUMIFS(IF(D75=År1,'Resultater - Østdanmark'!H$3:H$482,IF(D75=År2,'Resultater - Østdanmark'!I$3:I$482,'Resultater - Østdanmark'!J$3:J$482)),'Resultater - Østdanmark'!$F$3:$F$482,$A75,IF(D75=År1,'Resultater - Østdanmark'!H$3:H$482,IF(D75=År2,'Resultater - Østdanmark'!I$3:I$482,'Resultater - Østdanmark'!J$3:J$482)),"&gt;0"))</f>
        <v>0</v>
      </c>
      <c r="G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92">
        <f>IF(E75="Vestdanmark",-IF(A75="Halm",SUMIFS(IF(D75=År1,'Resultater - Vestdanmark'!H$3:H$482,IF(D75=År2,'Resultater - Vestdanmark'!I$3:I$482,'Resultater - Vestdanmark'!J$3:J$482)),'Resultater - Vestdanmark'!$F$3:$F$482,$A75,'Resultater - Vestdanmark'!H$3:H$482,"&lt;0"),0),-IF(A75="Halm",SUMIFS(IF(D75=År1,'Resultater - Østdanmark'!H$3:H$482,IF(D75=År2,'Resultater - Østdanmark'!I$3:I$482,'Resultater - Østdanmark'!J$3:J$482)),'Resultater - Østdanmark'!$F$3:$F$482,$A75,'Resultater - Østdanmark'!H$3:H$482,"&lt;0"),0))</f>
        <v>0</v>
      </c>
      <c r="I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5" t="e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#REF!</v>
      </c>
      <c r="K75" s="195" t="e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#REF!</v>
      </c>
      <c r="L75" s="195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7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4" t="e">
        <f t="shared" si="9"/>
        <v>#REF!</v>
      </c>
      <c r="O75" s="195" t="e">
        <f t="shared" si="20"/>
        <v>#REF!</v>
      </c>
      <c r="P75" s="205" t="e">
        <f t="shared" si="10"/>
        <v>#REF!</v>
      </c>
      <c r="Q75" s="192" t="e">
        <f>IFERROR(VLOOKUP(A75,[1]Energiindhold!$A$2:$C$11,3,FALSE),IFERROR(VLOOKUP(A75,[1]Biogasudbytte!$A$2:$B$18,2,FALSE)*[1]Energiindhold!$C$10,0))*O75</f>
        <v>#REF!</v>
      </c>
      <c r="R75" s="192" t="e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#REF!</v>
      </c>
      <c r="S75" s="192" t="e">
        <f>IFERROR(VLOOKUP(A75,[1]Biogasudbytte!$A$2:$B$18,2,FALSE)*[1]Energiindhold!$C$10,0)*J75*IFERROR(VLOOKUP(A75,Biogasanlæg!$F$3:$G$8,2,FALSE),1)</f>
        <v>#REF!</v>
      </c>
      <c r="T75" s="193" t="e">
        <f t="shared" si="11"/>
        <v>#REF!</v>
      </c>
      <c r="U75" s="191" t="e">
        <f>O75*IFERROR(VLOOKUP(A75,[1]Tørstofindhold!A$2:B$24,2,FALSE),0)</f>
        <v>#REF!</v>
      </c>
      <c r="V75" s="192" t="e">
        <f>IF(D75=År1,P75,SUM(O75,P75))*IFERROR(VLOOKUP(A75,[1]Tørstofindhold!A$2:B$24,2,FALSE),0)</f>
        <v>#REF!</v>
      </c>
      <c r="W75" s="192" t="e">
        <f>J75*IFERROR(VLOOKUP(A75,[1]Tørstofindhold!A$2:B$24,2,FALSE),0)</f>
        <v>#REF!</v>
      </c>
      <c r="X75" s="193" t="e">
        <f t="shared" si="12"/>
        <v>#REF!</v>
      </c>
      <c r="Y75" s="171" t="e">
        <f t="shared" si="21"/>
        <v>#REF!</v>
      </c>
      <c r="Z75" s="103" t="e">
        <f t="shared" si="22"/>
        <v>#REF!</v>
      </c>
    </row>
    <row r="76" spans="1:26" x14ac:dyDescent="0.25">
      <c r="A76" s="194" t="str">
        <f t="shared" si="17"/>
        <v>Mælk til foder</v>
      </c>
      <c r="B76" s="194" t="str">
        <f t="shared" si="18"/>
        <v/>
      </c>
      <c r="C76" s="194">
        <f>IF(COUNTIFS('Resultater - Danmark'!$D$3:$D$482,'Resultat-Produktion &amp; forbrug'!A76,'Resultater - Danmark'!$A$3:$A$482,"Til energi")+COUNTIFS('Resultater - Danmark'!$D$3:$D$482,'Resultat-Produktion &amp; forbrug'!A76,'Resultater - Danmark'!$A$3:$A$482,"Biogasanlæg")&gt;0,1,0)</f>
        <v>0</v>
      </c>
      <c r="D76" s="194">
        <f t="shared" si="19"/>
        <v>2030</v>
      </c>
      <c r="E76" s="192" t="s">
        <v>23</v>
      </c>
      <c r="F76" s="195">
        <f>IF(E76="Vestdanmark",SUMIFS(IF(D76=År1,'Resultater - Vestdanmark'!H$3:H$482,IF(D76=År2,'Resultater - Vestdanmark'!I$3:I$482,'Resultater - Vestdanmark'!J$3:J$482)),'Resultater - Vestdanmark'!$F$3:$F$482,$A76,IF(D76=År1,'Resultater - Vestdanmark'!H$3:H$482,IF(D76=År2,'Resultater - Vestdanmark'!I$3:I$482,'Resultater - Vestdanmark'!J$3:J$482)),"&gt;0"),SUMIFS(IF(D76=År1,'Resultater - Østdanmark'!H$3:H$482,IF(D76=År2,'Resultater - Østdanmark'!I$3:I$482,'Resultater - Østdanmark'!J$3:J$482)),'Resultater - Østdanmark'!$F$3:$F$482,$A76,IF(D76=År1,'Resultater - Østdanmark'!H$3:H$482,IF(D76=År2,'Resultater - Østdanmark'!I$3:I$482,'Resultater - Østdanmark'!J$3:J$482)),"&gt;0"))</f>
        <v>0</v>
      </c>
      <c r="G76" s="195" t="e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#REF!</v>
      </c>
      <c r="H76" s="192">
        <f>IF(E76="Vestdanmark",-IF(A76="Halm",SUMIFS(IF(D76=År1,'Resultater - Vestdanmark'!H$3:H$482,IF(D76=År2,'Resultater - Vestdanmark'!I$3:I$482,'Resultater - Vestdanmark'!J$3:J$482)),'Resultater - Vestdanmark'!$F$3:$F$482,$A76,'Resultater - Vestdanmark'!H$3:H$482,"&lt;0"),0),-IF(A76="Halm",SUMIFS(IF(D76=År1,'Resultater - Østdanmark'!H$3:H$482,IF(D76=År2,'Resultater - Østdanmark'!I$3:I$482,'Resultater - Østdanmark'!J$3:J$482)),'Resultater - Østdanmark'!$F$3:$F$482,$A76,'Resultater - Østdanmark'!H$3:H$482,"&lt;0"),0))</f>
        <v>0</v>
      </c>
      <c r="I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5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7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4" t="e">
        <f t="shared" si="9"/>
        <v>#REF!</v>
      </c>
      <c r="O76" s="195">
        <f t="shared" si="20"/>
        <v>0</v>
      </c>
      <c r="P76" s="205">
        <f t="shared" si="10"/>
        <v>0</v>
      </c>
      <c r="Q76" s="192">
        <f>IFERROR(VLOOKUP(A76,[1]Energiindhold!$A$2:$C$11,3,FALSE),IFERROR(VLOOKUP(A76,[1]Biogasudbytte!$A$2:$B$18,2,FALSE)*[1]Energiindhold!$C$10,0))*O76</f>
        <v>0</v>
      </c>
      <c r="R76" s="192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92">
        <f>IFERROR(VLOOKUP(A76,[1]Biogasudbytte!$A$2:$B$18,2,FALSE)*[1]Energiindhold!$C$10,0)*J76*IFERROR(VLOOKUP(A76,Biogasanlæg!$F$3:$G$8,2,FALSE),1)</f>
        <v>0</v>
      </c>
      <c r="T76" s="193">
        <f t="shared" si="11"/>
        <v>0</v>
      </c>
      <c r="U76" s="191">
        <f>O76*IFERROR(VLOOKUP(A76,[1]Tørstofindhold!A$2:B$24,2,FALSE),0)</f>
        <v>0</v>
      </c>
      <c r="V76" s="192">
        <f>IF(D76=År1,P76,SUM(O76,P76))*IFERROR(VLOOKUP(A76,[1]Tørstofindhold!A$2:B$24,2,FALSE),0)</f>
        <v>0</v>
      </c>
      <c r="W76" s="192">
        <f>J76*IFERROR(VLOOKUP(A76,[1]Tørstofindhold!A$2:B$24,2,FALSE),0)</f>
        <v>0</v>
      </c>
      <c r="X76" s="193">
        <f t="shared" si="12"/>
        <v>0</v>
      </c>
      <c r="Y76" s="171" t="e">
        <f t="shared" si="21"/>
        <v>#REF!</v>
      </c>
      <c r="Z76" s="103" t="e">
        <f t="shared" si="22"/>
        <v>#REF!</v>
      </c>
    </row>
    <row r="77" spans="1:26" x14ac:dyDescent="0.25">
      <c r="A77" s="194" t="str">
        <f t="shared" si="17"/>
        <v>Majs</v>
      </c>
      <c r="B77" s="194" t="str">
        <f t="shared" si="18"/>
        <v>Græs og urter</v>
      </c>
      <c r="C77" s="194">
        <f>IF(COUNTIFS('Resultater - Danmark'!$D$3:$D$482,'Resultat-Produktion &amp; forbrug'!A77,'Resultater - Danmark'!$A$3:$A$482,"Til energi")+COUNTIFS('Resultater - Danmark'!$D$3:$D$482,'Resultat-Produktion &amp; forbrug'!A77,'Resultater - Danmark'!$A$3:$A$482,"Biogasanlæg")&gt;0,1,0)</f>
        <v>1</v>
      </c>
      <c r="D77" s="194">
        <f t="shared" si="19"/>
        <v>2030</v>
      </c>
      <c r="E77" s="192" t="s">
        <v>23</v>
      </c>
      <c r="F77" s="195">
        <f>IF(E77="Vestdanmark",SUMIFS(IF(D77=År1,'Resultater - Vestdanmark'!H$3:H$482,IF(D77=År2,'Resultater - Vestdanmark'!I$3:I$482,'Resultater - Vestdanmark'!J$3:J$482)),'Resultater - Vestdanmark'!$F$3:$F$482,$A77,IF(D77=År1,'Resultater - Vestdanmark'!H$3:H$482,IF(D77=År2,'Resultater - Vestdanmark'!I$3:I$482,'Resultater - Vestdanmark'!J$3:J$482)),"&gt;0"),SUMIFS(IF(D77=År1,'Resultater - Østdanmark'!H$3:H$482,IF(D77=År2,'Resultater - Østdanmark'!I$3:I$482,'Resultater - Østdanmark'!J$3:J$482)),'Resultater - Østdanmark'!$F$3:$F$482,$A77,IF(D77=År1,'Resultater - Østdanmark'!H$3:H$482,IF(D77=År2,'Resultater - Østdanmark'!I$3:I$482,'Resultater - Østdanmark'!J$3:J$482)),"&gt;0"))</f>
        <v>0</v>
      </c>
      <c r="G77" s="195" t="e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#REF!</v>
      </c>
      <c r="H77" s="192">
        <f>IF(E77="Vestdanmark",-IF(A77="Halm",SUMIFS(IF(D77=År1,'Resultater - Vestdanmark'!H$3:H$482,IF(D77=År2,'Resultater - Vestdanmark'!I$3:I$482,'Resultater - Vestdanmark'!J$3:J$482)),'Resultater - Vestdanmark'!$F$3:$F$482,$A77,'Resultater - Vestdanmark'!H$3:H$482,"&lt;0"),0),-IF(A77="Halm",SUMIFS(IF(D77=År1,'Resultater - Østdanmark'!H$3:H$482,IF(D77=År2,'Resultater - Østdanmark'!I$3:I$482,'Resultater - Østdanmark'!J$3:J$482)),'Resultater - Østdanmark'!$F$3:$F$482,$A77,'Resultater - Østdanmark'!H$3:H$482,"&lt;0"),0))</f>
        <v>0</v>
      </c>
      <c r="I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5" t="e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#REF!</v>
      </c>
      <c r="K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5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7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4" t="e">
        <f t="shared" si="9"/>
        <v>#REF!</v>
      </c>
      <c r="O77" s="195" t="e">
        <f t="shared" si="20"/>
        <v>#REF!</v>
      </c>
      <c r="P77" s="205" t="e">
        <f t="shared" si="10"/>
        <v>#REF!</v>
      </c>
      <c r="Q77" s="192" t="e">
        <f>IFERROR(VLOOKUP(A77,[1]Energiindhold!$A$2:$C$11,3,FALSE),IFERROR(VLOOKUP(A77,[1]Biogasudbytte!$A$2:$B$18,2,FALSE)*[1]Energiindhold!$C$10,0))*O77</f>
        <v>#REF!</v>
      </c>
      <c r="R77" s="192" t="e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#REF!</v>
      </c>
      <c r="S77" s="192" t="e">
        <f>IFERROR(VLOOKUP(A77,[1]Biogasudbytte!$A$2:$B$18,2,FALSE)*[1]Energiindhold!$C$10,0)*J77*IFERROR(VLOOKUP(A77,Biogasanlæg!$F$3:$G$8,2,FALSE),1)</f>
        <v>#REF!</v>
      </c>
      <c r="T77" s="193" t="e">
        <f t="shared" si="11"/>
        <v>#REF!</v>
      </c>
      <c r="U77" s="191" t="e">
        <f>O77*IFERROR(VLOOKUP(A77,[1]Tørstofindhold!A$2:B$24,2,FALSE),0)</f>
        <v>#REF!</v>
      </c>
      <c r="V77" s="192" t="e">
        <f>IF(D77=År1,P77,SUM(O77,P77))*IFERROR(VLOOKUP(A77,[1]Tørstofindhold!A$2:B$24,2,FALSE),0)</f>
        <v>#REF!</v>
      </c>
      <c r="W77" s="192" t="e">
        <f>J77*IFERROR(VLOOKUP(A77,[1]Tørstofindhold!A$2:B$24,2,FALSE),0)</f>
        <v>#REF!</v>
      </c>
      <c r="X77" s="193" t="e">
        <f t="shared" si="12"/>
        <v>#REF!</v>
      </c>
      <c r="Y77" s="171" t="e">
        <f t="shared" si="21"/>
        <v>#REF!</v>
      </c>
      <c r="Z77" s="103" t="e">
        <f t="shared" si="22"/>
        <v>#REF!</v>
      </c>
    </row>
    <row r="78" spans="1:26" x14ac:dyDescent="0.25">
      <c r="A78" s="194" t="str">
        <f t="shared" si="17"/>
        <v>Mejeriprodukter</v>
      </c>
      <c r="B78" s="194" t="str">
        <f t="shared" si="18"/>
        <v/>
      </c>
      <c r="C78" s="194">
        <f>IF(COUNTIFS('Resultater - Danmark'!$D$3:$D$482,'Resultat-Produktion &amp; forbrug'!A78,'Resultater - Danmark'!$A$3:$A$482,"Til energi")+COUNTIFS('Resultater - Danmark'!$D$3:$D$482,'Resultat-Produktion &amp; forbrug'!A78,'Resultater - Danmark'!$A$3:$A$482,"Biogasanlæg")&gt;0,1,0)</f>
        <v>0</v>
      </c>
      <c r="D78" s="194">
        <f t="shared" si="19"/>
        <v>2030</v>
      </c>
      <c r="E78" s="192" t="s">
        <v>23</v>
      </c>
      <c r="F78" s="195">
        <f>IF(E78="Vestdanmark",SUMIFS(IF(D78=År1,'Resultater - Vestdanmark'!H$3:H$482,IF(D78=År2,'Resultater - Vestdanmark'!I$3:I$482,'Resultater - Vestdanmark'!J$3:J$482)),'Resultater - Vestdanmark'!$F$3:$F$482,$A78,IF(D78=År1,'Resultater - Vestdanmark'!H$3:H$482,IF(D78=År2,'Resultater - Vestdanmark'!I$3:I$482,'Resultater - Vestdanmark'!J$3:J$482)),"&gt;0"),SUMIFS(IF(D78=År1,'Resultater - Østdanmark'!H$3:H$482,IF(D78=År2,'Resultater - Østdanmark'!I$3:I$482,'Resultater - Østdanmark'!J$3:J$482)),'Resultater - Østdanmark'!$F$3:$F$482,$A78,IF(D78=År1,'Resultater - Østdanmark'!H$3:H$482,IF(D78=År2,'Resultater - Østdanmark'!I$3:I$482,'Resultater - Østdanmark'!J$3:J$482)),"&gt;0"))</f>
        <v>0</v>
      </c>
      <c r="G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92">
        <f>IF(E78="Vestdanmark",-IF(A78="Halm",SUMIFS(IF(D78=År1,'Resultater - Vestdanmark'!H$3:H$482,IF(D78=År2,'Resultater - Vestdanmark'!I$3:I$482,'Resultater - Vestdanmark'!J$3:J$482)),'Resultater - Vestdanmark'!$F$3:$F$482,$A78,'Resultater - Vestdanmark'!H$3:H$482,"&lt;0"),0),-IF(A78="Halm",SUMIFS(IF(D78=År1,'Resultater - Østdanmark'!H$3:H$482,IF(D78=År2,'Resultater - Østdanmark'!I$3:I$482,'Resultater - Østdanmark'!J$3:J$482)),'Resultater - Østdanmark'!$F$3:$F$482,$A78,'Resultater - Østdanmark'!H$3:H$482,"&lt;0"),0))</f>
        <v>0</v>
      </c>
      <c r="I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5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7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4">
        <f t="shared" si="9"/>
        <v>-472406.87601849809</v>
      </c>
      <c r="O78" s="195">
        <f t="shared" si="20"/>
        <v>0</v>
      </c>
      <c r="P78" s="205">
        <f t="shared" si="10"/>
        <v>0</v>
      </c>
      <c r="Q78" s="192">
        <f>IFERROR(VLOOKUP(A78,[1]Energiindhold!$A$2:$C$11,3,FALSE),IFERROR(VLOOKUP(A78,[1]Biogasudbytte!$A$2:$B$18,2,FALSE)*[1]Energiindhold!$C$10,0))*O78</f>
        <v>0</v>
      </c>
      <c r="R78" s="192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92">
        <f>IFERROR(VLOOKUP(A78,[1]Biogasudbytte!$A$2:$B$18,2,FALSE)*[1]Energiindhold!$C$10,0)*J78*IFERROR(VLOOKUP(A78,Biogasanlæg!$F$3:$G$8,2,FALSE),1)</f>
        <v>0</v>
      </c>
      <c r="T78" s="193">
        <f t="shared" si="11"/>
        <v>0</v>
      </c>
      <c r="U78" s="191">
        <f>O78*IFERROR(VLOOKUP(A78,[1]Tørstofindhold!A$2:B$24,2,FALSE),0)</f>
        <v>0</v>
      </c>
      <c r="V78" s="192">
        <f>IF(D78=År1,P78,SUM(O78,P78))*IFERROR(VLOOKUP(A78,[1]Tørstofindhold!A$2:B$24,2,FALSE),0)</f>
        <v>0</v>
      </c>
      <c r="W78" s="192">
        <f>J78*IFERROR(VLOOKUP(A78,[1]Tørstofindhold!A$2:B$24,2,FALSE),0)</f>
        <v>0</v>
      </c>
      <c r="X78" s="193">
        <f t="shared" si="12"/>
        <v>0</v>
      </c>
      <c r="Y78" s="171">
        <f t="shared" si="21"/>
        <v>1</v>
      </c>
      <c r="Z78" s="103">
        <f t="shared" si="22"/>
        <v>0</v>
      </c>
    </row>
    <row r="79" spans="1:26" x14ac:dyDescent="0.25">
      <c r="A79" s="194" t="str">
        <f t="shared" si="17"/>
        <v>Muslinger</v>
      </c>
      <c r="B79" s="194" t="str">
        <f t="shared" si="18"/>
        <v>Havbiomasse</v>
      </c>
      <c r="C79" s="194">
        <f>IF(COUNTIFS('Resultater - Danmark'!$D$3:$D$482,'Resultat-Produktion &amp; forbrug'!A79,'Resultater - Danmark'!$A$3:$A$482,"Til energi")+COUNTIFS('Resultater - Danmark'!$D$3:$D$482,'Resultat-Produktion &amp; forbrug'!A79,'Resultater - Danmark'!$A$3:$A$482,"Biogasanlæg")&gt;0,1,0)</f>
        <v>1</v>
      </c>
      <c r="D79" s="194">
        <f t="shared" si="19"/>
        <v>2030</v>
      </c>
      <c r="E79" s="192" t="s">
        <v>23</v>
      </c>
      <c r="F79" s="195">
        <f>IF(E79="Vestdanmark",SUMIFS(IF(D79=År1,'Resultater - Vestdanmark'!H$3:H$482,IF(D79=År2,'Resultater - Vestdanmark'!I$3:I$482,'Resultater - Vestdanmark'!J$3:J$482)),'Resultater - Vestdanmark'!$F$3:$F$482,$A79,IF(D79=År1,'Resultater - Vestdanmark'!H$3:H$482,IF(D79=År2,'Resultater - Vestdanmark'!I$3:I$482,'Resultater - Vestdanmark'!J$3:J$482)),"&gt;0"),SUMIFS(IF(D79=År1,'Resultater - Østdanmark'!H$3:H$482,IF(D79=År2,'Resultater - Østdanmark'!I$3:I$482,'Resultater - Østdanmark'!J$3:J$482)),'Resultater - Østdanmark'!$F$3:$F$482,$A79,IF(D79=År1,'Resultater - Østdanmark'!H$3:H$482,IF(D79=År2,'Resultater - Østdanmark'!I$3:I$482,'Resultater - Østdanmark'!J$3:J$482)),"&gt;0"))</f>
        <v>0</v>
      </c>
      <c r="G79" s="195" t="e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#REF!</v>
      </c>
      <c r="H79" s="192">
        <f>IF(E79="Vestdanmark",-IF(A79="Halm",SUMIFS(IF(D79=År1,'Resultater - Vestdanmark'!H$3:H$482,IF(D79=År2,'Resultater - Vestdanmark'!I$3:I$482,'Resultater - Vestdanmark'!J$3:J$482)),'Resultater - Vestdanmark'!$F$3:$F$482,$A79,'Resultater - Vestdanmark'!H$3:H$482,"&lt;0"),0),-IF(A79="Halm",SUMIFS(IF(D79=År1,'Resultater - Østdanmark'!H$3:H$482,IF(D79=År2,'Resultater - Østdanmark'!I$3:I$482,'Resultater - Østdanmark'!J$3:J$482)),'Resultater - Østdanmark'!$F$3:$F$482,$A79,'Resultater - Østdanmark'!H$3:H$482,"&lt;0"),0))</f>
        <v>0</v>
      </c>
      <c r="I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5" t="e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#REF!</v>
      </c>
      <c r="K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5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7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4" t="e">
        <f t="shared" si="9"/>
        <v>#REF!</v>
      </c>
      <c r="O79" s="195" t="e">
        <f t="shared" si="20"/>
        <v>#REF!</v>
      </c>
      <c r="P79" s="205" t="e">
        <f t="shared" si="10"/>
        <v>#REF!</v>
      </c>
      <c r="Q79" s="192" t="e">
        <f>IFERROR(VLOOKUP(A79,[1]Energiindhold!$A$2:$C$11,3,FALSE),IFERROR(VLOOKUP(A79,[1]Biogasudbytte!$A$2:$B$18,2,FALSE)*[1]Energiindhold!$C$10,0))*O79</f>
        <v>#REF!</v>
      </c>
      <c r="R79" s="192" t="e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#REF!</v>
      </c>
      <c r="S79" s="192" t="e">
        <f>IFERROR(VLOOKUP(A79,[1]Biogasudbytte!$A$2:$B$18,2,FALSE)*[1]Energiindhold!$C$10,0)*J79*IFERROR(VLOOKUP(A79,Biogasanlæg!$F$3:$G$8,2,FALSE),1)</f>
        <v>#REF!</v>
      </c>
      <c r="T79" s="193" t="e">
        <f t="shared" si="11"/>
        <v>#REF!</v>
      </c>
      <c r="U79" s="191" t="e">
        <f>O79*IFERROR(VLOOKUP(A79,[1]Tørstofindhold!A$2:B$24,2,FALSE),0)</f>
        <v>#REF!</v>
      </c>
      <c r="V79" s="192" t="e">
        <f>IF(D79=År1,P79,SUM(O79,P79))*IFERROR(VLOOKUP(A79,[1]Tørstofindhold!A$2:B$24,2,FALSE),0)</f>
        <v>#REF!</v>
      </c>
      <c r="W79" s="192" t="e">
        <f>J79*IFERROR(VLOOKUP(A79,[1]Tørstofindhold!A$2:B$24,2,FALSE),0)</f>
        <v>#REF!</v>
      </c>
      <c r="X79" s="193" t="e">
        <f t="shared" si="12"/>
        <v>#REF!</v>
      </c>
      <c r="Y79" s="171" t="e">
        <f t="shared" si="21"/>
        <v>#REF!</v>
      </c>
      <c r="Z79" s="103" t="e">
        <f t="shared" si="22"/>
        <v>#REF!</v>
      </c>
    </row>
    <row r="80" spans="1:26" x14ac:dyDescent="0.25">
      <c r="A80" s="194" t="str">
        <f t="shared" si="17"/>
        <v>Oksekød</v>
      </c>
      <c r="B80" s="194" t="str">
        <f t="shared" si="18"/>
        <v/>
      </c>
      <c r="C80" s="194">
        <f>IF(COUNTIFS('Resultater - Danmark'!$D$3:$D$482,'Resultat-Produktion &amp; forbrug'!A80,'Resultater - Danmark'!$A$3:$A$482,"Til energi")+COUNTIFS('Resultater - Danmark'!$D$3:$D$482,'Resultat-Produktion &amp; forbrug'!A80,'Resultater - Danmark'!$A$3:$A$482,"Biogasanlæg")&gt;0,1,0)</f>
        <v>0</v>
      </c>
      <c r="D80" s="194">
        <f t="shared" si="19"/>
        <v>2030</v>
      </c>
      <c r="E80" s="192" t="s">
        <v>23</v>
      </c>
      <c r="F80" s="195">
        <f>IF(E80="Vestdanmark",SUMIFS(IF(D80=År1,'Resultater - Vestdanmark'!H$3:H$482,IF(D80=År2,'Resultater - Vestdanmark'!I$3:I$482,'Resultater - Vestdanmark'!J$3:J$482)),'Resultater - Vestdanmark'!$F$3:$F$482,$A80,IF(D80=År1,'Resultater - Vestdanmark'!H$3:H$482,IF(D80=År2,'Resultater - Vestdanmark'!I$3:I$482,'Resultater - Vestdanmark'!J$3:J$482)),"&gt;0"),SUMIFS(IF(D80=År1,'Resultater - Østdanmark'!H$3:H$482,IF(D80=År2,'Resultater - Østdanmark'!I$3:I$482,'Resultater - Østdanmark'!J$3:J$482)),'Resultater - Østdanmark'!$F$3:$F$482,$A80,IF(D80=År1,'Resultater - Østdanmark'!H$3:H$482,IF(D80=År2,'Resultater - Østdanmark'!I$3:I$482,'Resultater - Østdanmark'!J$3:J$482)),"&gt;0"))</f>
        <v>0</v>
      </c>
      <c r="G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92">
        <f>IF(E80="Vestdanmark",-IF(A80="Halm",SUMIFS(IF(D80=År1,'Resultater - Vestdanmark'!H$3:H$482,IF(D80=År2,'Resultater - Vestdanmark'!I$3:I$482,'Resultater - Vestdanmark'!J$3:J$482)),'Resultater - Vestdanmark'!$F$3:$F$482,$A80,'Resultater - Vestdanmark'!H$3:H$482,"&lt;0"),0),-IF(A80="Halm",SUMIFS(IF(D80=År1,'Resultater - Østdanmark'!H$3:H$482,IF(D80=År2,'Resultater - Østdanmark'!I$3:I$482,'Resultater - Østdanmark'!J$3:J$482)),'Resultater - Østdanmark'!$F$3:$F$482,$A80,'Resultater - Østdanmark'!H$3:H$482,"&lt;0"),0))</f>
        <v>0</v>
      </c>
      <c r="I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5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7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4">
        <f t="shared" si="9"/>
        <v>-60028.253038902265</v>
      </c>
      <c r="O80" s="195">
        <f t="shared" si="20"/>
        <v>0</v>
      </c>
      <c r="P80" s="205">
        <f t="shared" si="10"/>
        <v>0</v>
      </c>
      <c r="Q80" s="192">
        <f>IFERROR(VLOOKUP(A80,[1]Energiindhold!$A$2:$C$11,3,FALSE),IFERROR(VLOOKUP(A80,[1]Biogasudbytte!$A$2:$B$18,2,FALSE)*[1]Energiindhold!$C$10,0))*O80</f>
        <v>0</v>
      </c>
      <c r="R80" s="192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92">
        <f>IFERROR(VLOOKUP(A80,[1]Biogasudbytte!$A$2:$B$18,2,FALSE)*[1]Energiindhold!$C$10,0)*J80*IFERROR(VLOOKUP(A80,Biogasanlæg!$F$3:$G$8,2,FALSE),1)</f>
        <v>0</v>
      </c>
      <c r="T80" s="193">
        <f t="shared" si="11"/>
        <v>0</v>
      </c>
      <c r="U80" s="191">
        <f>O80*IFERROR(VLOOKUP(A80,[1]Tørstofindhold!A$2:B$24,2,FALSE),0)</f>
        <v>0</v>
      </c>
      <c r="V80" s="192">
        <f>IF(D80=År1,P80,SUM(O80,P80))*IFERROR(VLOOKUP(A80,[1]Tørstofindhold!A$2:B$24,2,FALSE),0)</f>
        <v>0</v>
      </c>
      <c r="W80" s="192">
        <f>J80*IFERROR(VLOOKUP(A80,[1]Tørstofindhold!A$2:B$24,2,FALSE),0)</f>
        <v>0</v>
      </c>
      <c r="X80" s="193">
        <f t="shared" si="12"/>
        <v>0</v>
      </c>
      <c r="Y80" s="171">
        <f t="shared" si="21"/>
        <v>1</v>
      </c>
      <c r="Z80" s="103">
        <f t="shared" si="22"/>
        <v>0</v>
      </c>
    </row>
    <row r="81" spans="1:26" x14ac:dyDescent="0.25">
      <c r="A81" s="194" t="str">
        <f t="shared" si="17"/>
        <v>Øvrige</v>
      </c>
      <c r="B81" s="194" t="str">
        <f t="shared" si="18"/>
        <v/>
      </c>
      <c r="C81" s="194">
        <f>IF(COUNTIFS('Resultater - Danmark'!$D$3:$D$482,'Resultat-Produktion &amp; forbrug'!A81,'Resultater - Danmark'!$A$3:$A$482,"Til energi")+COUNTIFS('Resultater - Danmark'!$D$3:$D$482,'Resultat-Produktion &amp; forbrug'!A81,'Resultater - Danmark'!$A$3:$A$482,"Biogasanlæg")&gt;0,1,0)</f>
        <v>0</v>
      </c>
      <c r="D81" s="194">
        <f t="shared" si="19"/>
        <v>2030</v>
      </c>
      <c r="E81" s="192" t="s">
        <v>23</v>
      </c>
      <c r="F81" s="195">
        <f>IF(E81="Vestdanmark",SUMIFS(IF(D81=År1,'Resultater - Vestdanmark'!H$3:H$482,IF(D81=År2,'Resultater - Vestdanmark'!I$3:I$482,'Resultater - Vestdanmark'!J$3:J$482)),'Resultater - Vestdanmark'!$F$3:$F$482,$A81,IF(D81=År1,'Resultater - Vestdanmark'!H$3:H$482,IF(D81=År2,'Resultater - Vestdanmark'!I$3:I$482,'Resultater - Vestdanmark'!J$3:J$482)),"&gt;0"),SUMIFS(IF(D81=År1,'Resultater - Østdanmark'!H$3:H$482,IF(D81=År2,'Resultater - Østdanmark'!I$3:I$482,'Resultater - Østdanmark'!J$3:J$482)),'Resultater - Østdanmark'!$F$3:$F$482,$A81,IF(D81=År1,'Resultater - Østdanmark'!H$3:H$482,IF(D81=År2,'Resultater - Østdanmark'!I$3:I$482,'Resultater - Østdanmark'!J$3:J$482)),"&gt;0"))</f>
        <v>0</v>
      </c>
      <c r="G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92">
        <f>IF(E81="Vestdanmark",-IF(A81="Halm",SUMIFS(IF(D81=År1,'Resultater - Vestdanmark'!H$3:H$482,IF(D81=År2,'Resultater - Vestdanmark'!I$3:I$482,'Resultater - Vestdanmark'!J$3:J$482)),'Resultater - Vestdanmark'!$F$3:$F$482,$A81,'Resultater - Vestdanmark'!H$3:H$482,"&lt;0"),0),-IF(A81="Halm",SUMIFS(IF(D81=År1,'Resultater - Østdanmark'!H$3:H$482,IF(D81=År2,'Resultater - Østdanmark'!I$3:I$482,'Resultater - Østdanmark'!J$3:J$482)),'Resultater - Østdanmark'!$F$3:$F$482,$A81,'Resultater - Østdanmark'!H$3:H$482,"&lt;0"),0))</f>
        <v>0</v>
      </c>
      <c r="I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5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7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4">
        <f t="shared" si="9"/>
        <v>0</v>
      </c>
      <c r="O81" s="195">
        <f t="shared" si="20"/>
        <v>0</v>
      </c>
      <c r="P81" s="205">
        <f t="shared" si="10"/>
        <v>0</v>
      </c>
      <c r="Q81" s="192">
        <f>IFERROR(VLOOKUP(A81,[1]Energiindhold!$A$2:$C$11,3,FALSE),IFERROR(VLOOKUP(A81,[1]Biogasudbytte!$A$2:$B$18,2,FALSE)*[1]Energiindhold!$C$10,0))*O81</f>
        <v>0</v>
      </c>
      <c r="R81" s="192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92">
        <f>IFERROR(VLOOKUP(A81,[1]Biogasudbytte!$A$2:$B$18,2,FALSE)*[1]Energiindhold!$C$10,0)*J81*IFERROR(VLOOKUP(A81,Biogasanlæg!$F$3:$G$8,2,FALSE),1)</f>
        <v>0</v>
      </c>
      <c r="T81" s="193">
        <f t="shared" si="11"/>
        <v>0</v>
      </c>
      <c r="U81" s="191">
        <f>O81*IFERROR(VLOOKUP(A81,[1]Tørstofindhold!A$2:B$24,2,FALSE),0)</f>
        <v>0</v>
      </c>
      <c r="V81" s="192">
        <f>IF(D81=År1,P81,SUM(O81,P81))*IFERROR(VLOOKUP(A81,[1]Tørstofindhold!A$2:B$24,2,FALSE),0)</f>
        <v>0</v>
      </c>
      <c r="W81" s="192">
        <f>J81*IFERROR(VLOOKUP(A81,[1]Tørstofindhold!A$2:B$24,2,FALSE),0)</f>
        <v>0</v>
      </c>
      <c r="X81" s="193">
        <f t="shared" si="12"/>
        <v>0</v>
      </c>
      <c r="Y81" s="171">
        <f t="shared" si="21"/>
        <v>0</v>
      </c>
      <c r="Z81" s="103">
        <f t="shared" si="22"/>
        <v>0</v>
      </c>
    </row>
    <row r="82" spans="1:26" x14ac:dyDescent="0.25">
      <c r="A82" s="194" t="str">
        <f t="shared" si="17"/>
        <v>Pil &amp; poppel</v>
      </c>
      <c r="B82" s="194" t="str">
        <f t="shared" si="18"/>
        <v>Vedmasse</v>
      </c>
      <c r="C82" s="194">
        <f>IF(COUNTIFS('Resultater - Danmark'!$D$3:$D$482,'Resultat-Produktion &amp; forbrug'!A82,'Resultater - Danmark'!$A$3:$A$482,"Til energi")+COUNTIFS('Resultater - Danmark'!$D$3:$D$482,'Resultat-Produktion &amp; forbrug'!A82,'Resultater - Danmark'!$A$3:$A$482,"Biogasanlæg")&gt;0,1,0)</f>
        <v>1</v>
      </c>
      <c r="D82" s="194">
        <f t="shared" si="19"/>
        <v>2030</v>
      </c>
      <c r="E82" s="192" t="s">
        <v>23</v>
      </c>
      <c r="F82" s="195">
        <f>IF(E82="Vestdanmark",SUMIFS(IF(D82=År1,'Resultater - Vestdanmark'!H$3:H$482,IF(D82=År2,'Resultater - Vestdanmark'!I$3:I$482,'Resultater - Vestdanmark'!J$3:J$482)),'Resultater - Vestdanmark'!$F$3:$F$482,$A82,IF(D82=År1,'Resultater - Vestdanmark'!H$3:H$482,IF(D82=År2,'Resultater - Vestdanmark'!I$3:I$482,'Resultater - Vestdanmark'!J$3:J$482)),"&gt;0"),SUMIFS(IF(D82=År1,'Resultater - Østdanmark'!H$3:H$482,IF(D82=År2,'Resultater - Østdanmark'!I$3:I$482,'Resultater - Østdanmark'!J$3:J$482)),'Resultater - Østdanmark'!$F$3:$F$482,$A82,IF(D82=År1,'Resultater - Østdanmark'!H$3:H$482,IF(D82=År2,'Resultater - Østdanmark'!I$3:I$482,'Resultater - Østdanmark'!J$3:J$482)),"&gt;0"))</f>
        <v>0</v>
      </c>
      <c r="G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92">
        <f>IF(E82="Vestdanmark",-IF(A82="Halm",SUMIFS(IF(D82=År1,'Resultater - Vestdanmark'!H$3:H$482,IF(D82=År2,'Resultater - Vestdanmark'!I$3:I$482,'Resultater - Vestdanmark'!J$3:J$482)),'Resultater - Vestdanmark'!$F$3:$F$482,$A82,'Resultater - Vestdanmark'!H$3:H$482,"&lt;0"),0),-IF(A82="Halm",SUMIFS(IF(D82=År1,'Resultater - Østdanmark'!H$3:H$482,IF(D82=År2,'Resultater - Østdanmark'!I$3:I$482,'Resultater - Østdanmark'!J$3:J$482)),'Resultater - Østdanmark'!$F$3:$F$482,$A82,'Resultater - Østdanmark'!H$3:H$482,"&lt;0"),0))</f>
        <v>0</v>
      </c>
      <c r="I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5" t="e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#REF!</v>
      </c>
      <c r="M82" s="157" t="e">
        <f>SUMIFS('Forbrug af biomasse'!E:E,'Forbrug af biomasse'!C:C,'Resultat-Produktion &amp; forbrug'!$A82,'Forbrug af biomasse'!D:D,'Resultat-Produktion &amp; forbrug'!$D82,'Forbrug af biomasse'!G:G,1,'Forbrug af biomasse'!B:B,$E82)</f>
        <v>#REF!</v>
      </c>
      <c r="N82" s="204" t="e">
        <f t="shared" ref="N82:N149" si="23">F82-SUM(G82:M82)</f>
        <v>#REF!</v>
      </c>
      <c r="O82" s="195" t="e">
        <f t="shared" si="20"/>
        <v>#REF!</v>
      </c>
      <c r="P82" s="205" t="e">
        <f t="shared" ref="P82:P149" si="24">SUM(J82,L82)</f>
        <v>#REF!</v>
      </c>
      <c r="Q82" s="192" t="e">
        <f>IFERROR(VLOOKUP(A82,[1]Energiindhold!$A$2:$C$11,3,FALSE),IFERROR(VLOOKUP(A82,[1]Biogasudbytte!$A$2:$B$18,2,FALSE)*[1]Energiindhold!$C$10,0))*O82</f>
        <v>#REF!</v>
      </c>
      <c r="R82" s="192" t="e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#REF!</v>
      </c>
      <c r="S82" s="192">
        <f>IFERROR(VLOOKUP(A82,[1]Biogasudbytte!$A$2:$B$18,2,FALSE)*[1]Energiindhold!$C$10,0)*J82*IFERROR(VLOOKUP(A82,Biogasanlæg!$F$3:$G$8,2,FALSE),1)</f>
        <v>0</v>
      </c>
      <c r="T82" s="193" t="e">
        <f t="shared" ref="T82:T149" si="25">R82-S82</f>
        <v>#REF!</v>
      </c>
      <c r="U82" s="191" t="e">
        <f>O82*IFERROR(VLOOKUP(A82,[1]Tørstofindhold!A$2:B$24,2,FALSE),0)</f>
        <v>#REF!</v>
      </c>
      <c r="V82" s="192" t="e">
        <f>IF(D82=År1,P82,SUM(O82,P82))*IFERROR(VLOOKUP(A82,[1]Tørstofindhold!A$2:B$24,2,FALSE),0)</f>
        <v>#REF!</v>
      </c>
      <c r="W82" s="192">
        <f>J82*IFERROR(VLOOKUP(A82,[1]Tørstofindhold!A$2:B$24,2,FALSE),0)</f>
        <v>0</v>
      </c>
      <c r="X82" s="193" t="e">
        <f t="shared" ref="X82:X149" si="26">V82-W82</f>
        <v>#REF!</v>
      </c>
      <c r="Y82" s="171" t="e">
        <f t="shared" si="21"/>
        <v>#REF!</v>
      </c>
      <c r="Z82" s="103" t="e">
        <f t="shared" si="22"/>
        <v>#REF!</v>
      </c>
    </row>
    <row r="83" spans="1:26" x14ac:dyDescent="0.25">
      <c r="A83" s="194" t="str">
        <f t="shared" ref="A83:A84" si="27">A35</f>
        <v>Pyrolysegas</v>
      </c>
      <c r="B83" s="194" t="str">
        <f t="shared" ref="B83:B84" si="28">IF(B35&lt;&gt;"",B35,"")</f>
        <v>Pyrolyseprodukter</v>
      </c>
      <c r="C83" s="194">
        <f>IF(COUNTIFS('Resultater - Danmark'!$D$3:$D$482,'Resultat-Produktion &amp; forbrug'!A83,'Resultater - Danmark'!$A$3:$A$482,"Til energi")+COUNTIFS('Resultater - Danmark'!$D$3:$D$482,'Resultat-Produktion &amp; forbrug'!A83,'Resultater - Danmark'!$A$3:$A$482,"Biogasanlæg")&gt;0,1,0)</f>
        <v>1</v>
      </c>
      <c r="D83" s="194">
        <f t="shared" si="19"/>
        <v>2030</v>
      </c>
      <c r="E83" s="192" t="s">
        <v>23</v>
      </c>
      <c r="F83" s="195">
        <f>IF(E83="Vestdanmark",SUMIFS(IF(D83=År1,'Resultater - Vestdanmark'!H$3:H$482,IF(D83=År2,'Resultater - Vestdanmark'!I$3:I$482,'Resultater - Vestdanmark'!J$3:J$482)),'Resultater - Vestdanmark'!$F$3:$F$482,$A83,IF(D83=År1,'Resultater - Vestdanmark'!H$3:H$482,IF(D83=År2,'Resultater - Vestdanmark'!I$3:I$482,'Resultater - Vestdanmark'!J$3:J$482)),"&gt;0"),SUMIFS(IF(D83=År1,'Resultater - Østdanmark'!H$3:H$482,IF(D83=År2,'Resultater - Østdanmark'!I$3:I$482,'Resultater - Østdanmark'!J$3:J$482)),'Resultater - Østdanmark'!$F$3:$F$482,$A83,IF(D83=År1,'Resultater - Østdanmark'!H$3:H$482,IF(D83=År2,'Resultater - Østdanmark'!I$3:I$482,'Resultater - Østdanmark'!J$3:J$482)),"&gt;0"))</f>
        <v>0</v>
      </c>
      <c r="G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92">
        <f>IF(E83="Vestdanmark",-IF(A83="Halm",SUMIFS(IF(D83=År1,'Resultater - Vestdanmark'!H$3:H$482,IF(D83=År2,'Resultater - Vestdanmark'!I$3:I$482,'Resultater - Vestdanmark'!J$3:J$482)),'Resultater - Vestdanmark'!$F$3:$F$482,$A83,'Resultater - Vestdanmark'!H$3:H$482,"&lt;0"),0),-IF(A83="Halm",SUMIFS(IF(D83=År1,'Resultater - Østdanmark'!H$3:H$482,IF(D83=År2,'Resultater - Østdanmark'!I$3:I$482,'Resultater - Østdanmark'!J$3:J$482)),'Resultater - Østdanmark'!$F$3:$F$482,$A83,'Resultater - Østdanmark'!H$3:H$482,"&lt;0"),0))</f>
        <v>0</v>
      </c>
      <c r="I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5" t="e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#REF!</v>
      </c>
      <c r="M83" s="157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4" t="e">
        <f t="shared" ref="N83:N84" si="29">F83-SUM(G83:M83)</f>
        <v>#REF!</v>
      </c>
      <c r="O83" s="195" t="e">
        <f t="shared" si="20"/>
        <v>#REF!</v>
      </c>
      <c r="P83" s="205" t="e">
        <f t="shared" ref="P83:P84" si="30">SUM(J83,L83)</f>
        <v>#REF!</v>
      </c>
      <c r="Q83" s="192" t="e">
        <f>IFERROR(VLOOKUP(A83,[1]Energiindhold!$A$2:$C$11,3,FALSE),IFERROR(VLOOKUP(A83,[1]Biogasudbytte!$A$2:$B$18,2,FALSE)*[1]Energiindhold!$C$10,0))*O83</f>
        <v>#REF!</v>
      </c>
      <c r="R83" s="192" t="e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#REF!</v>
      </c>
      <c r="S83" s="192">
        <f>IFERROR(VLOOKUP(A83,[1]Biogasudbytte!$A$2:$B$18,2,FALSE)*[1]Energiindhold!$C$10,0)*J83*IFERROR(VLOOKUP(A83,Biogasanlæg!$F$3:$G$8,2,FALSE),1)</f>
        <v>0</v>
      </c>
      <c r="T83" s="193" t="e">
        <f t="shared" ref="T83:T84" si="31">R83-S83</f>
        <v>#REF!</v>
      </c>
      <c r="U83" s="191" t="e">
        <f>O83*IFERROR(VLOOKUP(A83,[1]Tørstofindhold!A$2:B$24,2,FALSE),0)</f>
        <v>#REF!</v>
      </c>
      <c r="V83" s="192" t="e">
        <f>IF(D83=År1,P83,SUM(O83,P83))*IFERROR(VLOOKUP(A83,[1]Tørstofindhold!A$2:B$24,2,FALSE),0)</f>
        <v>#REF!</v>
      </c>
      <c r="W83" s="192">
        <f>J83*IFERROR(VLOOKUP(A83,[1]Tørstofindhold!A$2:B$24,2,FALSE),0)</f>
        <v>0</v>
      </c>
      <c r="X83" s="193" t="e">
        <f t="shared" ref="X83:X84" si="32">V83-W83</f>
        <v>#REF!</v>
      </c>
      <c r="Y83" s="171" t="e">
        <f t="shared" si="21"/>
        <v>#REF!</v>
      </c>
      <c r="Z83" s="103" t="e">
        <f t="shared" si="22"/>
        <v>#REF!</v>
      </c>
    </row>
    <row r="84" spans="1:26" x14ac:dyDescent="0.25">
      <c r="A84" s="194" t="str">
        <f t="shared" si="27"/>
        <v>Pyrolyseolie</v>
      </c>
      <c r="B84" s="194" t="str">
        <f t="shared" si="28"/>
        <v>Pyrolyseprodukter</v>
      </c>
      <c r="C84" s="194">
        <f>IF(COUNTIFS('Resultater - Danmark'!$D$3:$D$482,'Resultat-Produktion &amp; forbrug'!A84,'Resultater - Danmark'!$A$3:$A$482,"Til energi")+COUNTIFS('Resultater - Danmark'!$D$3:$D$482,'Resultat-Produktion &amp; forbrug'!A84,'Resultater - Danmark'!$A$3:$A$482,"Biogasanlæg")&gt;0,1,0)</f>
        <v>1</v>
      </c>
      <c r="D84" s="194">
        <f t="shared" si="19"/>
        <v>2030</v>
      </c>
      <c r="E84" s="192" t="s">
        <v>23</v>
      </c>
      <c r="F84" s="195">
        <f>IF(E84="Vestdanmark",SUMIFS(IF(D84=År1,'Resultater - Vestdanmark'!H$3:H$482,IF(D84=År2,'Resultater - Vestdanmark'!I$3:I$482,'Resultater - Vestdanmark'!J$3:J$482)),'Resultater - Vestdanmark'!$F$3:$F$482,$A84,IF(D84=År1,'Resultater - Vestdanmark'!H$3:H$482,IF(D84=År2,'Resultater - Vestdanmark'!I$3:I$482,'Resultater - Vestdanmark'!J$3:J$482)),"&gt;0"),SUMIFS(IF(D84=År1,'Resultater - Østdanmark'!H$3:H$482,IF(D84=År2,'Resultater - Østdanmark'!I$3:I$482,'Resultater - Østdanmark'!J$3:J$482)),'Resultater - Østdanmark'!$F$3:$F$482,$A84,IF(D84=År1,'Resultater - Østdanmark'!H$3:H$482,IF(D84=År2,'Resultater - Østdanmark'!I$3:I$482,'Resultater - Østdanmark'!J$3:J$482)),"&gt;0"))</f>
        <v>0</v>
      </c>
      <c r="G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92">
        <f>IF(E84="Vestdanmark",-IF(A84="Halm",SUMIFS(IF(D84=År1,'Resultater - Vestdanmark'!H$3:H$482,IF(D84=År2,'Resultater - Vestdanmark'!I$3:I$482,'Resultater - Vestdanmark'!J$3:J$482)),'Resultater - Vestdanmark'!$F$3:$F$482,$A84,'Resultater - Vestdanmark'!H$3:H$482,"&lt;0"),0),-IF(A84="Halm",SUMIFS(IF(D84=År1,'Resultater - Østdanmark'!H$3:H$482,IF(D84=År2,'Resultater - Østdanmark'!I$3:I$482,'Resultater - Østdanmark'!J$3:J$482)),'Resultater - Østdanmark'!$F$3:$F$482,$A84,'Resultater - Østdanmark'!H$3:H$482,"&lt;0"),0))</f>
        <v>0</v>
      </c>
      <c r="I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5" t="e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#REF!</v>
      </c>
      <c r="M84" s="157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4" t="e">
        <f t="shared" si="29"/>
        <v>#REF!</v>
      </c>
      <c r="O84" s="195" t="e">
        <f t="shared" si="20"/>
        <v>#REF!</v>
      </c>
      <c r="P84" s="205" t="e">
        <f t="shared" si="30"/>
        <v>#REF!</v>
      </c>
      <c r="Q84" s="192" t="e">
        <f>IFERROR(VLOOKUP(A84,[1]Energiindhold!$A$2:$C$11,3,FALSE),IFERROR(VLOOKUP(A84,[1]Biogasudbytte!$A$2:$B$18,2,FALSE)*[1]Energiindhold!$C$10,0))*O84</f>
        <v>#REF!</v>
      </c>
      <c r="R84" s="192" t="e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#REF!</v>
      </c>
      <c r="S84" s="192">
        <f>IFERROR(VLOOKUP(A84,[1]Biogasudbytte!$A$2:$B$18,2,FALSE)*[1]Energiindhold!$C$10,0)*J84*IFERROR(VLOOKUP(A84,Biogasanlæg!$F$3:$G$8,2,FALSE),1)</f>
        <v>0</v>
      </c>
      <c r="T84" s="193" t="e">
        <f t="shared" si="31"/>
        <v>#REF!</v>
      </c>
      <c r="U84" s="191" t="e">
        <f>O84*IFERROR(VLOOKUP(A84,[1]Tørstofindhold!A$2:B$24,2,FALSE),0)</f>
        <v>#REF!</v>
      </c>
      <c r="V84" s="192" t="e">
        <f>IF(D84=År1,P84,SUM(O84,P84))*IFERROR(VLOOKUP(A84,[1]Tørstofindhold!A$2:B$24,2,FALSE),0)</f>
        <v>#REF!</v>
      </c>
      <c r="W84" s="192">
        <f>J84*IFERROR(VLOOKUP(A84,[1]Tørstofindhold!A$2:B$24,2,FALSE),0)</f>
        <v>0</v>
      </c>
      <c r="X84" s="193" t="e">
        <f t="shared" si="32"/>
        <v>#REF!</v>
      </c>
      <c r="Y84" s="171" t="e">
        <f t="shared" si="21"/>
        <v>#REF!</v>
      </c>
      <c r="Z84" s="103" t="e">
        <f t="shared" si="22"/>
        <v>#REF!</v>
      </c>
    </row>
    <row r="85" spans="1:26" x14ac:dyDescent="0.25">
      <c r="A85" s="194" t="str">
        <f t="shared" ref="A85:A130" si="33">A37</f>
        <v>Råmælk</v>
      </c>
      <c r="B85" s="194" t="str">
        <f t="shared" ref="B85:B130" si="34">IF(B37&lt;&gt;"",B37,"")</f>
        <v/>
      </c>
      <c r="C85" s="194">
        <f>IF(COUNTIFS('Resultater - Danmark'!$D$3:$D$482,'Resultat-Produktion &amp; forbrug'!A85,'Resultater - Danmark'!$A$3:$A$482,"Til energi")+COUNTIFS('Resultater - Danmark'!$D$3:$D$482,'Resultat-Produktion &amp; forbrug'!A85,'Resultater - Danmark'!$A$3:$A$482,"Biogasanlæg")&gt;0,1,0)</f>
        <v>0</v>
      </c>
      <c r="D85" s="194">
        <f t="shared" si="19"/>
        <v>2030</v>
      </c>
      <c r="E85" s="192" t="s">
        <v>23</v>
      </c>
      <c r="F85" s="195">
        <f>IF(E85="Vestdanmark",SUMIFS(IF(D85=År1,'Resultater - Vestdanmark'!H$3:H$482,IF(D85=År2,'Resultater - Vestdanmark'!I$3:I$482,'Resultater - Vestdanmark'!J$3:J$482)),'Resultater - Vestdanmark'!$F$3:$F$482,$A85,IF(D85=År1,'Resultater - Vestdanmark'!H$3:H$482,IF(D85=År2,'Resultater - Vestdanmark'!I$3:I$482,'Resultater - Vestdanmark'!J$3:J$482)),"&gt;0"),SUMIFS(IF(D85=År1,'Resultater - Østdanmark'!H$3:H$482,IF(D85=År2,'Resultater - Østdanmark'!I$3:I$482,'Resultater - Østdanmark'!J$3:J$482)),'Resultater - Østdanmark'!$F$3:$F$482,$A85,IF(D85=År1,'Resultater - Østdanmark'!H$3:H$482,IF(D85=År2,'Resultater - Østdanmark'!I$3:I$482,'Resultater - Østdanmark'!J$3:J$482)),"&gt;0"))</f>
        <v>0</v>
      </c>
      <c r="G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92">
        <f>IF(E85="Vestdanmark",-IF(A85="Halm",SUMIFS(IF(D85=År1,'Resultater - Vestdanmark'!H$3:H$482,IF(D85=År2,'Resultater - Vestdanmark'!I$3:I$482,'Resultater - Vestdanmark'!J$3:J$482)),'Resultater - Vestdanmark'!$F$3:$F$482,$A85,'Resultater - Vestdanmark'!H$3:H$482,"&lt;0"),0),-IF(A85="Halm",SUMIFS(IF(D85=År1,'Resultater - Østdanmark'!H$3:H$482,IF(D85=År2,'Resultater - Østdanmark'!I$3:I$482,'Resultater - Østdanmark'!J$3:J$482)),'Resultater - Østdanmark'!$F$3:$F$482,$A85,'Resultater - Østdanmark'!H$3:H$482,"&lt;0"),0))</f>
        <v>0</v>
      </c>
      <c r="I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5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7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4">
        <f t="shared" si="23"/>
        <v>0</v>
      </c>
      <c r="O85" s="195">
        <f t="shared" si="20"/>
        <v>0</v>
      </c>
      <c r="P85" s="205">
        <f t="shared" si="24"/>
        <v>0</v>
      </c>
      <c r="Q85" s="192">
        <f>IFERROR(VLOOKUP(A85,[1]Energiindhold!$A$2:$C$11,3,FALSE),IFERROR(VLOOKUP(A85,[1]Biogasudbytte!$A$2:$B$18,2,FALSE)*[1]Energiindhold!$C$10,0))*O85</f>
        <v>0</v>
      </c>
      <c r="R85" s="192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92">
        <f>IFERROR(VLOOKUP(A85,[1]Biogasudbytte!$A$2:$B$18,2,FALSE)*[1]Energiindhold!$C$10,0)*J85*IFERROR(VLOOKUP(A85,Biogasanlæg!$F$3:$G$8,2,FALSE),1)</f>
        <v>0</v>
      </c>
      <c r="T85" s="193">
        <f t="shared" si="25"/>
        <v>0</v>
      </c>
      <c r="U85" s="191">
        <f>O85*IFERROR(VLOOKUP(A85,[1]Tørstofindhold!A$2:B$24,2,FALSE),0)</f>
        <v>0</v>
      </c>
      <c r="V85" s="192">
        <f>IF(D85=År1,P85,SUM(O85,P85))*IFERROR(VLOOKUP(A85,[1]Tørstofindhold!A$2:B$24,2,FALSE),0)</f>
        <v>0</v>
      </c>
      <c r="W85" s="192">
        <f>J85*IFERROR(VLOOKUP(A85,[1]Tørstofindhold!A$2:B$24,2,FALSE),0)</f>
        <v>0</v>
      </c>
      <c r="X85" s="193">
        <f t="shared" si="26"/>
        <v>0</v>
      </c>
      <c r="Y85" s="171">
        <f t="shared" si="21"/>
        <v>0</v>
      </c>
      <c r="Z85" s="103">
        <f t="shared" si="22"/>
        <v>0</v>
      </c>
    </row>
    <row r="86" spans="1:26" x14ac:dyDescent="0.25">
      <c r="A86" s="194" t="str">
        <f t="shared" si="33"/>
        <v>Raps</v>
      </c>
      <c r="B86" s="194" t="str">
        <f t="shared" si="34"/>
        <v/>
      </c>
      <c r="C86" s="194">
        <f>IF(COUNTIFS('Resultater - Danmark'!$D$3:$D$482,'Resultat-Produktion &amp; forbrug'!A86,'Resultater - Danmark'!$A$3:$A$482,"Til energi")+COUNTIFS('Resultater - Danmark'!$D$3:$D$482,'Resultat-Produktion &amp; forbrug'!A86,'Resultater - Danmark'!$A$3:$A$482,"Biogasanlæg")&gt;0,1,0)</f>
        <v>0</v>
      </c>
      <c r="D86" s="194">
        <f t="shared" si="19"/>
        <v>2030</v>
      </c>
      <c r="E86" s="192" t="s">
        <v>23</v>
      </c>
      <c r="F86" s="195">
        <f>IF(E86="Vestdanmark",SUMIFS(IF(D86=År1,'Resultater - Vestdanmark'!H$3:H$482,IF(D86=År2,'Resultater - Vestdanmark'!I$3:I$482,'Resultater - Vestdanmark'!J$3:J$482)),'Resultater - Vestdanmark'!$F$3:$F$482,$A86,IF(D86=År1,'Resultater - Vestdanmark'!H$3:H$482,IF(D86=År2,'Resultater - Vestdanmark'!I$3:I$482,'Resultater - Vestdanmark'!J$3:J$482)),"&gt;0"),SUMIFS(IF(D86=År1,'Resultater - Østdanmark'!H$3:H$482,IF(D86=År2,'Resultater - Østdanmark'!I$3:I$482,'Resultater - Østdanmark'!J$3:J$482)),'Resultater - Østdanmark'!$F$3:$F$482,$A86,IF(D86=År1,'Resultater - Østdanmark'!H$3:H$482,IF(D86=År2,'Resultater - Østdanmark'!I$3:I$482,'Resultater - Østdanmark'!J$3:J$482)),"&gt;0"))</f>
        <v>0</v>
      </c>
      <c r="G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92">
        <f>IF(E86="Vestdanmark",-IF(A86="Halm",SUMIFS(IF(D86=År1,'Resultater - Vestdanmark'!H$3:H$482,IF(D86=År2,'Resultater - Vestdanmark'!I$3:I$482,'Resultater - Vestdanmark'!J$3:J$482)),'Resultater - Vestdanmark'!$F$3:$F$482,$A86,'Resultater - Vestdanmark'!H$3:H$482,"&lt;0"),0),-IF(A86="Halm",SUMIFS(IF(D86=År1,'Resultater - Østdanmark'!H$3:H$482,IF(D86=År2,'Resultater - Østdanmark'!I$3:I$482,'Resultater - Østdanmark'!J$3:J$482)),'Resultater - Østdanmark'!$F$3:$F$482,$A86,'Resultater - Østdanmark'!H$3:H$482,"&lt;0"),0))</f>
        <v>0</v>
      </c>
      <c r="I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5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7" t="e">
        <f>SUMIFS('Forbrug af biomasse'!E:E,'Forbrug af biomasse'!C:C,'Resultat-Produktion &amp; forbrug'!$A86,'Forbrug af biomasse'!D:D,'Resultat-Produktion &amp; forbrug'!$D86,'Forbrug af biomasse'!G:G,1,'Forbrug af biomasse'!B:B,$E86)</f>
        <v>#REF!</v>
      </c>
      <c r="N86" s="204" t="e">
        <f t="shared" si="23"/>
        <v>#REF!</v>
      </c>
      <c r="O86" s="195">
        <f t="shared" si="20"/>
        <v>0</v>
      </c>
      <c r="P86" s="205">
        <f t="shared" si="24"/>
        <v>0</v>
      </c>
      <c r="Q86" s="192">
        <f>IFERROR(VLOOKUP(A86,[1]Energiindhold!$A$2:$C$11,3,FALSE),IFERROR(VLOOKUP(A86,[1]Biogasudbytte!$A$2:$B$18,2,FALSE)*[1]Energiindhold!$C$10,0))*O86</f>
        <v>0</v>
      </c>
      <c r="R86" s="192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92">
        <f>IFERROR(VLOOKUP(A86,[1]Biogasudbytte!$A$2:$B$18,2,FALSE)*[1]Energiindhold!$C$10,0)*J86*IFERROR(VLOOKUP(A86,Biogasanlæg!$F$3:$G$8,2,FALSE),1)</f>
        <v>0</v>
      </c>
      <c r="T86" s="193">
        <f t="shared" si="25"/>
        <v>0</v>
      </c>
      <c r="U86" s="191">
        <f>O86*IFERROR(VLOOKUP(A86,[1]Tørstofindhold!A$2:B$24,2,FALSE),0)</f>
        <v>0</v>
      </c>
      <c r="V86" s="192">
        <f>IF(D86=År1,P86,SUM(O86,P86))*IFERROR(VLOOKUP(A86,[1]Tørstofindhold!A$2:B$24,2,FALSE),0)</f>
        <v>0</v>
      </c>
      <c r="W86" s="192">
        <f>J86*IFERROR(VLOOKUP(A86,[1]Tørstofindhold!A$2:B$24,2,FALSE),0)</f>
        <v>0</v>
      </c>
      <c r="X86" s="193">
        <f t="shared" si="26"/>
        <v>0</v>
      </c>
      <c r="Y86" s="171" t="e">
        <f t="shared" si="21"/>
        <v>#REF!</v>
      </c>
      <c r="Z86" s="103" t="e">
        <f t="shared" si="22"/>
        <v>#REF!</v>
      </c>
    </row>
    <row r="87" spans="1:26" x14ac:dyDescent="0.25">
      <c r="A87" s="194" t="str">
        <f t="shared" si="33"/>
        <v>Rapskage</v>
      </c>
      <c r="B87" s="194" t="str">
        <f t="shared" si="34"/>
        <v/>
      </c>
      <c r="C87" s="194">
        <f>IF(COUNTIFS('Resultater - Danmark'!$D$3:$D$482,'Resultat-Produktion &amp; forbrug'!A87,'Resultater - Danmark'!$A$3:$A$482,"Til energi")+COUNTIFS('Resultater - Danmark'!$D$3:$D$482,'Resultat-Produktion &amp; forbrug'!A87,'Resultater - Danmark'!$A$3:$A$482,"Biogasanlæg")&gt;0,1,0)</f>
        <v>0</v>
      </c>
      <c r="D87" s="194">
        <f t="shared" si="19"/>
        <v>2030</v>
      </c>
      <c r="E87" s="192" t="s">
        <v>23</v>
      </c>
      <c r="F87" s="195">
        <f>IF(E87="Vestdanmark",SUMIFS(IF(D87=År1,'Resultater - Vestdanmark'!H$3:H$482,IF(D87=År2,'Resultater - Vestdanmark'!I$3:I$482,'Resultater - Vestdanmark'!J$3:J$482)),'Resultater - Vestdanmark'!$F$3:$F$482,$A87,IF(D87=År1,'Resultater - Vestdanmark'!H$3:H$482,IF(D87=År2,'Resultater - Vestdanmark'!I$3:I$482,'Resultater - Vestdanmark'!J$3:J$482)),"&gt;0"),SUMIFS(IF(D87=År1,'Resultater - Østdanmark'!H$3:H$482,IF(D87=År2,'Resultater - Østdanmark'!I$3:I$482,'Resultater - Østdanmark'!J$3:J$482)),'Resultater - Østdanmark'!$F$3:$F$482,$A87,IF(D87=År1,'Resultater - Østdanmark'!H$3:H$482,IF(D87=År2,'Resultater - Østdanmark'!I$3:I$482,'Resultater - Østdanmark'!J$3:J$482)),"&gt;0"))</f>
        <v>0</v>
      </c>
      <c r="G87" s="195" t="e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#REF!</v>
      </c>
      <c r="H87" s="192">
        <f>IF(E87="Vestdanmark",-IF(A87="Halm",SUMIFS(IF(D87=År1,'Resultater - Vestdanmark'!H$3:H$482,IF(D87=År2,'Resultater - Vestdanmark'!I$3:I$482,'Resultater - Vestdanmark'!J$3:J$482)),'Resultater - Vestdanmark'!$F$3:$F$482,$A87,'Resultater - Vestdanmark'!H$3:H$482,"&lt;0"),0),-IF(A87="Halm",SUMIFS(IF(D87=År1,'Resultater - Østdanmark'!H$3:H$482,IF(D87=År2,'Resultater - Østdanmark'!I$3:I$482,'Resultater - Østdanmark'!J$3:J$482)),'Resultater - Østdanmark'!$F$3:$F$482,$A87,'Resultater - Østdanmark'!H$3:H$482,"&lt;0"),0))</f>
        <v>0</v>
      </c>
      <c r="I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5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7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4" t="e">
        <f t="shared" si="23"/>
        <v>#REF!</v>
      </c>
      <c r="O87" s="195">
        <f t="shared" si="20"/>
        <v>0</v>
      </c>
      <c r="P87" s="205">
        <f t="shared" si="24"/>
        <v>0</v>
      </c>
      <c r="Q87" s="192">
        <f>IFERROR(VLOOKUP(A87,[1]Energiindhold!$A$2:$C$11,3,FALSE),IFERROR(VLOOKUP(A87,[1]Biogasudbytte!$A$2:$B$18,2,FALSE)*[1]Energiindhold!$C$10,0))*O87</f>
        <v>0</v>
      </c>
      <c r="R87" s="192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92">
        <f>IFERROR(VLOOKUP(A87,[1]Biogasudbytte!$A$2:$B$18,2,FALSE)*[1]Energiindhold!$C$10,0)*J87*IFERROR(VLOOKUP(A87,Biogasanlæg!$F$3:$G$8,2,FALSE),1)</f>
        <v>0</v>
      </c>
      <c r="T87" s="193">
        <f t="shared" si="25"/>
        <v>0</v>
      </c>
      <c r="U87" s="191">
        <f>O87*IFERROR(VLOOKUP(A87,[1]Tørstofindhold!A$2:B$24,2,FALSE),0)</f>
        <v>0</v>
      </c>
      <c r="V87" s="192">
        <f>IF(D87=År1,P87,SUM(O87,P87))*IFERROR(VLOOKUP(A87,[1]Tørstofindhold!A$2:B$24,2,FALSE),0)</f>
        <v>0</v>
      </c>
      <c r="W87" s="192">
        <f>J87*IFERROR(VLOOKUP(A87,[1]Tørstofindhold!A$2:B$24,2,FALSE),0)</f>
        <v>0</v>
      </c>
      <c r="X87" s="193">
        <f t="shared" si="26"/>
        <v>0</v>
      </c>
      <c r="Y87" s="171" t="e">
        <f t="shared" si="21"/>
        <v>#REF!</v>
      </c>
      <c r="Z87" s="103" t="e">
        <f t="shared" si="22"/>
        <v>#REF!</v>
      </c>
    </row>
    <row r="88" spans="1:26" x14ac:dyDescent="0.25">
      <c r="A88" s="194" t="str">
        <f t="shared" si="33"/>
        <v>Rapsolie</v>
      </c>
      <c r="B88" s="194" t="str">
        <f t="shared" si="34"/>
        <v>Rapsolie</v>
      </c>
      <c r="C88" s="194">
        <f>IF(COUNTIFS('Resultater - Danmark'!$D$3:$D$482,'Resultat-Produktion &amp; forbrug'!A88,'Resultater - Danmark'!$A$3:$A$482,"Til energi")+COUNTIFS('Resultater - Danmark'!$D$3:$D$482,'Resultat-Produktion &amp; forbrug'!A88,'Resultater - Danmark'!$A$3:$A$482,"Biogasanlæg")&gt;0,1,0)</f>
        <v>1</v>
      </c>
      <c r="D88" s="194">
        <f t="shared" si="19"/>
        <v>2030</v>
      </c>
      <c r="E88" s="192" t="s">
        <v>23</v>
      </c>
      <c r="F88" s="195">
        <f>IF(E88="Vestdanmark",SUMIFS(IF(D88=År1,'Resultater - Vestdanmark'!H$3:H$482,IF(D88=År2,'Resultater - Vestdanmark'!I$3:I$482,'Resultater - Vestdanmark'!J$3:J$482)),'Resultater - Vestdanmark'!$F$3:$F$482,$A88,IF(D88=År1,'Resultater - Vestdanmark'!H$3:H$482,IF(D88=År2,'Resultater - Vestdanmark'!I$3:I$482,'Resultater - Vestdanmark'!J$3:J$482)),"&gt;0"),SUMIFS(IF(D88=År1,'Resultater - Østdanmark'!H$3:H$482,IF(D88=År2,'Resultater - Østdanmark'!I$3:I$482,'Resultater - Østdanmark'!J$3:J$482)),'Resultater - Østdanmark'!$F$3:$F$482,$A88,IF(D88=År1,'Resultater - Østdanmark'!H$3:H$482,IF(D88=År2,'Resultater - Østdanmark'!I$3:I$482,'Resultater - Østdanmark'!J$3:J$482)),"&gt;0"))</f>
        <v>0</v>
      </c>
      <c r="G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92">
        <f>IF(E88="Vestdanmark",-IF(A88="Halm",SUMIFS(IF(D88=År1,'Resultater - Vestdanmark'!H$3:H$482,IF(D88=År2,'Resultater - Vestdanmark'!I$3:I$482,'Resultater - Vestdanmark'!J$3:J$482)),'Resultater - Vestdanmark'!$F$3:$F$482,$A88,'Resultater - Vestdanmark'!H$3:H$482,"&lt;0"),0),-IF(A88="Halm",SUMIFS(IF(D88=År1,'Resultater - Østdanmark'!H$3:H$482,IF(D88=År2,'Resultater - Østdanmark'!I$3:I$482,'Resultater - Østdanmark'!J$3:J$482)),'Resultater - Østdanmark'!$F$3:$F$482,$A88,'Resultater - Østdanmark'!H$3:H$482,"&lt;0"),0))</f>
        <v>0</v>
      </c>
      <c r="I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5" t="e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#REF!</v>
      </c>
      <c r="M88" s="157" t="e">
        <f>SUMIFS('Forbrug af biomasse'!E:E,'Forbrug af biomasse'!C:C,'Resultat-Produktion &amp; forbrug'!$A88,'Forbrug af biomasse'!D:D,'Resultat-Produktion &amp; forbrug'!$D88,'Forbrug af biomasse'!G:G,1,'Forbrug af biomasse'!B:B,$E88)</f>
        <v>#REF!</v>
      </c>
      <c r="N88" s="204" t="e">
        <f t="shared" si="23"/>
        <v>#REF!</v>
      </c>
      <c r="O88" s="195" t="e">
        <f t="shared" si="20"/>
        <v>#REF!</v>
      </c>
      <c r="P88" s="205" t="e">
        <f t="shared" si="24"/>
        <v>#REF!</v>
      </c>
      <c r="Q88" s="192" t="e">
        <f>IFERROR(VLOOKUP(A88,[1]Energiindhold!$A$2:$C$11,3,FALSE),IFERROR(VLOOKUP(A88,[1]Biogasudbytte!$A$2:$B$18,2,FALSE)*[1]Energiindhold!$C$10,0))*O88</f>
        <v>#REF!</v>
      </c>
      <c r="R88" s="192" t="e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#REF!</v>
      </c>
      <c r="S88" s="192">
        <f>IFERROR(VLOOKUP(A88,[1]Biogasudbytte!$A$2:$B$18,2,FALSE)*[1]Energiindhold!$C$10,0)*J88*IFERROR(VLOOKUP(A88,Biogasanlæg!$F$3:$G$8,2,FALSE),1)</f>
        <v>0</v>
      </c>
      <c r="T88" s="193" t="e">
        <f t="shared" si="25"/>
        <v>#REF!</v>
      </c>
      <c r="U88" s="191" t="e">
        <f>O88*IFERROR(VLOOKUP(A88,[1]Tørstofindhold!A$2:B$24,2,FALSE),0)</f>
        <v>#REF!</v>
      </c>
      <c r="V88" s="192" t="e">
        <f>IF(D88=År1,P88,SUM(O88,P88))*IFERROR(VLOOKUP(A88,[1]Tørstofindhold!A$2:B$24,2,FALSE),0)</f>
        <v>#REF!</v>
      </c>
      <c r="W88" s="192">
        <f>J88*IFERROR(VLOOKUP(A88,[1]Tørstofindhold!A$2:B$24,2,FALSE),0)</f>
        <v>0</v>
      </c>
      <c r="X88" s="193" t="e">
        <f t="shared" si="26"/>
        <v>#REF!</v>
      </c>
      <c r="Y88" s="171" t="e">
        <f t="shared" si="21"/>
        <v>#REF!</v>
      </c>
      <c r="Z88" s="103" t="e">
        <f t="shared" si="22"/>
        <v>#REF!</v>
      </c>
    </row>
    <row r="89" spans="1:26" x14ac:dyDescent="0.25">
      <c r="A89" s="194" t="str">
        <f t="shared" si="33"/>
        <v>Roer</v>
      </c>
      <c r="B89" s="194" t="str">
        <f t="shared" si="34"/>
        <v>Græs og urter</v>
      </c>
      <c r="C89" s="194">
        <f>IF(COUNTIFS('Resultater - Danmark'!$D$3:$D$482,'Resultat-Produktion &amp; forbrug'!A89,'Resultater - Danmark'!$A$3:$A$482,"Til energi")+COUNTIFS('Resultater - Danmark'!$D$3:$D$482,'Resultat-Produktion &amp; forbrug'!A89,'Resultater - Danmark'!$A$3:$A$482,"Biogasanlæg")&gt;0,1,0)</f>
        <v>1</v>
      </c>
      <c r="D89" s="194">
        <f t="shared" si="19"/>
        <v>2030</v>
      </c>
      <c r="E89" s="192" t="s">
        <v>23</v>
      </c>
      <c r="F89" s="195">
        <f>IF(E89="Vestdanmark",SUMIFS(IF(D89=År1,'Resultater - Vestdanmark'!H$3:H$482,IF(D89=År2,'Resultater - Vestdanmark'!I$3:I$482,'Resultater - Vestdanmark'!J$3:J$482)),'Resultater - Vestdanmark'!$F$3:$F$482,$A89,IF(D89=År1,'Resultater - Vestdanmark'!H$3:H$482,IF(D89=År2,'Resultater - Vestdanmark'!I$3:I$482,'Resultater - Vestdanmark'!J$3:J$482)),"&gt;0"),SUMIFS(IF(D89=År1,'Resultater - Østdanmark'!H$3:H$482,IF(D89=År2,'Resultater - Østdanmark'!I$3:I$482,'Resultater - Østdanmark'!J$3:J$482)),'Resultater - Østdanmark'!$F$3:$F$482,$A89,IF(D89=År1,'Resultater - Østdanmark'!H$3:H$482,IF(D89=År2,'Resultater - Østdanmark'!I$3:I$482,'Resultater - Østdanmark'!J$3:J$482)),"&gt;0"))</f>
        <v>0</v>
      </c>
      <c r="G89" s="195" t="e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#REF!</v>
      </c>
      <c r="H89" s="192">
        <f>IF(E89="Vestdanmark",-IF(A89="Halm",SUMIFS(IF(D89=År1,'Resultater - Vestdanmark'!H$3:H$482,IF(D89=År2,'Resultater - Vestdanmark'!I$3:I$482,'Resultater - Vestdanmark'!J$3:J$482)),'Resultater - Vestdanmark'!$F$3:$F$482,$A89,'Resultater - Vestdanmark'!H$3:H$482,"&lt;0"),0),-IF(A89="Halm",SUMIFS(IF(D89=År1,'Resultater - Østdanmark'!H$3:H$482,IF(D89=År2,'Resultater - Østdanmark'!I$3:I$482,'Resultater - Østdanmark'!J$3:J$482)),'Resultater - Østdanmark'!$F$3:$F$482,$A89,'Resultater - Østdanmark'!H$3:H$482,"&lt;0"),0))</f>
        <v>0</v>
      </c>
      <c r="I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5" t="e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#REF!</v>
      </c>
      <c r="K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5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7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4" t="e">
        <f t="shared" si="23"/>
        <v>#REF!</v>
      </c>
      <c r="O89" s="195" t="e">
        <f t="shared" si="20"/>
        <v>#REF!</v>
      </c>
      <c r="P89" s="205" t="e">
        <f t="shared" si="24"/>
        <v>#REF!</v>
      </c>
      <c r="Q89" s="192" t="e">
        <f>IFERROR(VLOOKUP(A89,[1]Energiindhold!$A$2:$C$11,3,FALSE),IFERROR(VLOOKUP(A89,[1]Biogasudbytte!$A$2:$B$18,2,FALSE)*[1]Energiindhold!$C$10,0))*O89</f>
        <v>#REF!</v>
      </c>
      <c r="R89" s="192" t="e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#REF!</v>
      </c>
      <c r="S89" s="192" t="e">
        <f>IFERROR(VLOOKUP(A89,[1]Biogasudbytte!$A$2:$B$18,2,FALSE)*[1]Energiindhold!$C$10,0)*J89*IFERROR(VLOOKUP(A89,Biogasanlæg!$F$3:$G$8,2,FALSE),1)</f>
        <v>#REF!</v>
      </c>
      <c r="T89" s="193" t="e">
        <f t="shared" si="25"/>
        <v>#REF!</v>
      </c>
      <c r="U89" s="191" t="e">
        <f>O89*IFERROR(VLOOKUP(A89,[1]Tørstofindhold!A$2:B$24,2,FALSE),0)</f>
        <v>#REF!</v>
      </c>
      <c r="V89" s="192" t="e">
        <f>IF(D89=År1,P89,SUM(O89,P89))*IFERROR(VLOOKUP(A89,[1]Tørstofindhold!A$2:B$24,2,FALSE),0)</f>
        <v>#REF!</v>
      </c>
      <c r="W89" s="192" t="e">
        <f>J89*IFERROR(VLOOKUP(A89,[1]Tørstofindhold!A$2:B$24,2,FALSE),0)</f>
        <v>#REF!</v>
      </c>
      <c r="X89" s="193" t="e">
        <f t="shared" si="26"/>
        <v>#REF!</v>
      </c>
      <c r="Y89" s="171" t="e">
        <f t="shared" si="21"/>
        <v>#REF!</v>
      </c>
      <c r="Z89" s="103" t="e">
        <f t="shared" si="22"/>
        <v>#REF!</v>
      </c>
    </row>
    <row r="90" spans="1:26" x14ac:dyDescent="0.25">
      <c r="A90" s="194" t="str">
        <f t="shared" si="33"/>
        <v>Slagteriaffald til andet</v>
      </c>
      <c r="B90" s="194" t="str">
        <f t="shared" si="34"/>
        <v/>
      </c>
      <c r="C90" s="194">
        <f>IF(COUNTIFS('Resultater - Danmark'!$D$3:$D$482,'Resultat-Produktion &amp; forbrug'!A90,'Resultater - Danmark'!$A$3:$A$482,"Til energi")+COUNTIFS('Resultater - Danmark'!$D$3:$D$482,'Resultat-Produktion &amp; forbrug'!A90,'Resultater - Danmark'!$A$3:$A$482,"Biogasanlæg")&gt;0,1,0)</f>
        <v>0</v>
      </c>
      <c r="D90" s="194">
        <f t="shared" si="19"/>
        <v>2030</v>
      </c>
      <c r="E90" s="192" t="s">
        <v>23</v>
      </c>
      <c r="F90" s="195">
        <f>IF(E90="Vestdanmark",SUMIFS(IF(D90=År1,'Resultater - Vestdanmark'!H$3:H$482,IF(D90=År2,'Resultater - Vestdanmark'!I$3:I$482,'Resultater - Vestdanmark'!J$3:J$482)),'Resultater - Vestdanmark'!$F$3:$F$482,$A90,IF(D90=År1,'Resultater - Vestdanmark'!H$3:H$482,IF(D90=År2,'Resultater - Vestdanmark'!I$3:I$482,'Resultater - Vestdanmark'!J$3:J$482)),"&gt;0"),SUMIFS(IF(D90=År1,'Resultater - Østdanmark'!H$3:H$482,IF(D90=År2,'Resultater - Østdanmark'!I$3:I$482,'Resultater - Østdanmark'!J$3:J$482)),'Resultater - Østdanmark'!$F$3:$F$482,$A90,IF(D90=År1,'Resultater - Østdanmark'!H$3:H$482,IF(D90=År2,'Resultater - Østdanmark'!I$3:I$482,'Resultater - Østdanmark'!J$3:J$482)),"&gt;0"))</f>
        <v>0</v>
      </c>
      <c r="G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92">
        <f>IF(E90="Vestdanmark",-IF(A90="Halm",SUMIFS(IF(D90=År1,'Resultater - Vestdanmark'!H$3:H$482,IF(D90=År2,'Resultater - Vestdanmark'!I$3:I$482,'Resultater - Vestdanmark'!J$3:J$482)),'Resultater - Vestdanmark'!$F$3:$F$482,$A90,'Resultater - Vestdanmark'!H$3:H$482,"&lt;0"),0),-IF(A90="Halm",SUMIFS(IF(D90=År1,'Resultater - Østdanmark'!H$3:H$482,IF(D90=År2,'Resultater - Østdanmark'!I$3:I$482,'Resultater - Østdanmark'!J$3:J$482)),'Resultater - Østdanmark'!$F$3:$F$482,$A90,'Resultater - Østdanmark'!H$3:H$482,"&lt;0"),0))</f>
        <v>0</v>
      </c>
      <c r="I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5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7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4">
        <f t="shared" si="23"/>
        <v>0</v>
      </c>
      <c r="O90" s="195">
        <f t="shared" si="20"/>
        <v>0</v>
      </c>
      <c r="P90" s="205">
        <f t="shared" si="24"/>
        <v>0</v>
      </c>
      <c r="Q90" s="192">
        <f>IFERROR(VLOOKUP(A90,[1]Energiindhold!$A$2:$C$11,3,FALSE),IFERROR(VLOOKUP(A90,[1]Biogasudbytte!$A$2:$B$18,2,FALSE)*[1]Energiindhold!$C$10,0))*O90</f>
        <v>0</v>
      </c>
      <c r="R90" s="192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92">
        <f>IFERROR(VLOOKUP(A90,[1]Biogasudbytte!$A$2:$B$18,2,FALSE)*[1]Energiindhold!$C$10,0)*J90*IFERROR(VLOOKUP(A90,Biogasanlæg!$F$3:$G$8,2,FALSE),1)</f>
        <v>0</v>
      </c>
      <c r="T90" s="193">
        <f t="shared" si="25"/>
        <v>0</v>
      </c>
      <c r="U90" s="191">
        <f>O90*IFERROR(VLOOKUP(A90,[1]Tørstofindhold!A$2:B$24,2,FALSE),0)</f>
        <v>0</v>
      </c>
      <c r="V90" s="192">
        <f>IF(D90=År1,P90,SUM(O90,P90))*IFERROR(VLOOKUP(A90,[1]Tørstofindhold!A$2:B$24,2,FALSE),0)</f>
        <v>0</v>
      </c>
      <c r="W90" s="192">
        <f>J90*IFERROR(VLOOKUP(A90,[1]Tørstofindhold!A$2:B$24,2,FALSE),0)</f>
        <v>0</v>
      </c>
      <c r="X90" s="193">
        <f t="shared" si="26"/>
        <v>0</v>
      </c>
      <c r="Y90" s="171">
        <f t="shared" si="21"/>
        <v>0</v>
      </c>
      <c r="Z90" s="103">
        <f t="shared" si="22"/>
        <v>0</v>
      </c>
    </row>
    <row r="91" spans="1:26" x14ac:dyDescent="0.25">
      <c r="A91" s="194" t="str">
        <f t="shared" si="33"/>
        <v>Slagteriaffald til foder</v>
      </c>
      <c r="B91" s="194" t="str">
        <f t="shared" si="34"/>
        <v/>
      </c>
      <c r="C91" s="194">
        <f>IF(COUNTIFS('Resultater - Danmark'!$D$3:$D$482,'Resultat-Produktion &amp; forbrug'!A91,'Resultater - Danmark'!$A$3:$A$482,"Til energi")+COUNTIFS('Resultater - Danmark'!$D$3:$D$482,'Resultat-Produktion &amp; forbrug'!A91,'Resultater - Danmark'!$A$3:$A$482,"Biogasanlæg")&gt;0,1,0)</f>
        <v>0</v>
      </c>
      <c r="D91" s="194">
        <f t="shared" si="19"/>
        <v>2030</v>
      </c>
      <c r="E91" s="192" t="s">
        <v>23</v>
      </c>
      <c r="F91" s="195">
        <f>IF(E91="Vestdanmark",SUMIFS(IF(D91=År1,'Resultater - Vestdanmark'!H$3:H$482,IF(D91=År2,'Resultater - Vestdanmark'!I$3:I$482,'Resultater - Vestdanmark'!J$3:J$482)),'Resultater - Vestdanmark'!$F$3:$F$482,$A91,IF(D91=År1,'Resultater - Vestdanmark'!H$3:H$482,IF(D91=År2,'Resultater - Vestdanmark'!I$3:I$482,'Resultater - Vestdanmark'!J$3:J$482)),"&gt;0"),SUMIFS(IF(D91=År1,'Resultater - Østdanmark'!H$3:H$482,IF(D91=År2,'Resultater - Østdanmark'!I$3:I$482,'Resultater - Østdanmark'!J$3:J$482)),'Resultater - Østdanmark'!$F$3:$F$482,$A91,IF(D91=År1,'Resultater - Østdanmark'!H$3:H$482,IF(D91=År2,'Resultater - Østdanmark'!I$3:I$482,'Resultater - Østdanmark'!J$3:J$482)),"&gt;0"))</f>
        <v>0</v>
      </c>
      <c r="G91" s="195" t="e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#REF!</v>
      </c>
      <c r="H91" s="192">
        <f>IF(E91="Vestdanmark",-IF(A91="Halm",SUMIFS(IF(D91=År1,'Resultater - Vestdanmark'!H$3:H$482,IF(D91=År2,'Resultater - Vestdanmark'!I$3:I$482,'Resultater - Vestdanmark'!J$3:J$482)),'Resultater - Vestdanmark'!$F$3:$F$482,$A91,'Resultater - Vestdanmark'!H$3:H$482,"&lt;0"),0),-IF(A91="Halm",SUMIFS(IF(D91=År1,'Resultater - Østdanmark'!H$3:H$482,IF(D91=År2,'Resultater - Østdanmark'!I$3:I$482,'Resultater - Østdanmark'!J$3:J$482)),'Resultater - Østdanmark'!$F$3:$F$482,$A91,'Resultater - Østdanmark'!H$3:H$482,"&lt;0"),0))</f>
        <v>0</v>
      </c>
      <c r="I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5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7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4" t="e">
        <f t="shared" si="23"/>
        <v>#REF!</v>
      </c>
      <c r="O91" s="195">
        <f t="shared" si="20"/>
        <v>0</v>
      </c>
      <c r="P91" s="205">
        <f t="shared" si="24"/>
        <v>0</v>
      </c>
      <c r="Q91" s="192">
        <f>IFERROR(VLOOKUP(A91,[1]Energiindhold!$A$2:$C$11,3,FALSE),IFERROR(VLOOKUP(A91,[1]Biogasudbytte!$A$2:$B$18,2,FALSE)*[1]Energiindhold!$C$10,0))*O91</f>
        <v>0</v>
      </c>
      <c r="R91" s="192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92">
        <f>IFERROR(VLOOKUP(A91,[1]Biogasudbytte!$A$2:$B$18,2,FALSE)*[1]Energiindhold!$C$10,0)*J91*IFERROR(VLOOKUP(A91,Biogasanlæg!$F$3:$G$8,2,FALSE),1)</f>
        <v>0</v>
      </c>
      <c r="T91" s="193">
        <f t="shared" si="25"/>
        <v>0</v>
      </c>
      <c r="U91" s="191">
        <f>O91*IFERROR(VLOOKUP(A91,[1]Tørstofindhold!A$2:B$24,2,FALSE),0)</f>
        <v>0</v>
      </c>
      <c r="V91" s="192">
        <f>IF(D91=År1,P91,SUM(O91,P91))*IFERROR(VLOOKUP(A91,[1]Tørstofindhold!A$2:B$24,2,FALSE),0)</f>
        <v>0</v>
      </c>
      <c r="W91" s="192">
        <f>J91*IFERROR(VLOOKUP(A91,[1]Tørstofindhold!A$2:B$24,2,FALSE),0)</f>
        <v>0</v>
      </c>
      <c r="X91" s="193">
        <f t="shared" si="26"/>
        <v>0</v>
      </c>
      <c r="Y91" s="171" t="e">
        <f t="shared" si="21"/>
        <v>#REF!</v>
      </c>
      <c r="Z91" s="103" t="e">
        <f t="shared" si="22"/>
        <v>#REF!</v>
      </c>
    </row>
    <row r="92" spans="1:26" x14ac:dyDescent="0.25">
      <c r="A92" s="194" t="str">
        <f t="shared" si="33"/>
        <v>Spildevandsslam</v>
      </c>
      <c r="B92" s="194" t="str">
        <f t="shared" si="34"/>
        <v>Bionedbrydeligt affald</v>
      </c>
      <c r="C92" s="194">
        <f>IF(COUNTIFS('Resultater - Danmark'!$D$3:$D$482,'Resultat-Produktion &amp; forbrug'!A92,'Resultater - Danmark'!$A$3:$A$482,"Til energi")+COUNTIFS('Resultater - Danmark'!$D$3:$D$482,'Resultat-Produktion &amp; forbrug'!A92,'Resultater - Danmark'!$A$3:$A$482,"Biogasanlæg")&gt;0,1,0)</f>
        <v>1</v>
      </c>
      <c r="D92" s="194">
        <f t="shared" si="19"/>
        <v>2030</v>
      </c>
      <c r="E92" s="192" t="s">
        <v>23</v>
      </c>
      <c r="F92" s="195">
        <f>IF(E92="Vestdanmark",SUMIFS(IF(D92=År1,'Resultater - Vestdanmark'!H$3:H$482,IF(D92=År2,'Resultater - Vestdanmark'!I$3:I$482,'Resultater - Vestdanmark'!J$3:J$482)),'Resultater - Vestdanmark'!$F$3:$F$482,$A92,IF(D92=År1,'Resultater - Vestdanmark'!H$3:H$482,IF(D92=År2,'Resultater - Vestdanmark'!I$3:I$482,'Resultater - Vestdanmark'!J$3:J$482)),"&gt;0"),SUMIFS(IF(D92=År1,'Resultater - Østdanmark'!H$3:H$482,IF(D92=År2,'Resultater - Østdanmark'!I$3:I$482,'Resultater - Østdanmark'!J$3:J$482)),'Resultater - Østdanmark'!$F$3:$F$482,$A92,IF(D92=År1,'Resultater - Østdanmark'!H$3:H$482,IF(D92=År2,'Resultater - Østdanmark'!I$3:I$482,'Resultater - Østdanmark'!J$3:J$482)),"&gt;0"))</f>
        <v>0</v>
      </c>
      <c r="G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92">
        <f>IF(E92="Vestdanmark",-IF(A92="Halm",SUMIFS(IF(D92=År1,'Resultater - Vestdanmark'!H$3:H$482,IF(D92=År2,'Resultater - Vestdanmark'!I$3:I$482,'Resultater - Vestdanmark'!J$3:J$482)),'Resultater - Vestdanmark'!$F$3:$F$482,$A92,'Resultater - Vestdanmark'!H$3:H$482,"&lt;0"),0),-IF(A92="Halm",SUMIFS(IF(D92=År1,'Resultater - Østdanmark'!H$3:H$482,IF(D92=År2,'Resultater - Østdanmark'!I$3:I$482,'Resultater - Østdanmark'!J$3:J$482)),'Resultater - Østdanmark'!$F$3:$F$482,$A92,'Resultater - Østdanmark'!H$3:H$482,"&lt;0"),0))</f>
        <v>0</v>
      </c>
      <c r="I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5" t="e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#REF!</v>
      </c>
      <c r="K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5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7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4" t="e">
        <f t="shared" si="23"/>
        <v>#REF!</v>
      </c>
      <c r="O92" s="195" t="e">
        <f t="shared" si="20"/>
        <v>#REF!</v>
      </c>
      <c r="P92" s="205" t="e">
        <f t="shared" si="24"/>
        <v>#REF!</v>
      </c>
      <c r="Q92" s="192" t="e">
        <f>IFERROR(VLOOKUP(A92,[1]Energiindhold!$A$2:$C$11,3,FALSE),IFERROR(VLOOKUP(A92,[1]Biogasudbytte!$A$2:$B$18,2,FALSE)*[1]Energiindhold!$C$10,0))*O92</f>
        <v>#REF!</v>
      </c>
      <c r="R92" s="192" t="e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#REF!</v>
      </c>
      <c r="S92" s="192" t="e">
        <f>IFERROR(VLOOKUP(A92,[1]Biogasudbytte!$A$2:$B$18,2,FALSE)*[1]Energiindhold!$C$10,0)*J92*IFERROR(VLOOKUP(A92,Biogasanlæg!$F$3:$G$8,2,FALSE),1)</f>
        <v>#REF!</v>
      </c>
      <c r="T92" s="193" t="e">
        <f t="shared" si="25"/>
        <v>#REF!</v>
      </c>
      <c r="U92" s="191" t="e">
        <f>O92*IFERROR(VLOOKUP(A92,[1]Tørstofindhold!A$2:B$24,2,FALSE),0)</f>
        <v>#REF!</v>
      </c>
      <c r="V92" s="192" t="e">
        <f>IF(D92=År1,P92,SUM(O92,P92))*IFERROR(VLOOKUP(A92,[1]Tørstofindhold!A$2:B$24,2,FALSE),0)</f>
        <v>#REF!</v>
      </c>
      <c r="W92" s="192" t="e">
        <f>J92*IFERROR(VLOOKUP(A92,[1]Tørstofindhold!A$2:B$24,2,FALSE),0)</f>
        <v>#REF!</v>
      </c>
      <c r="X92" s="193" t="e">
        <f t="shared" si="26"/>
        <v>#REF!</v>
      </c>
      <c r="Y92" s="171" t="e">
        <f t="shared" si="21"/>
        <v>#REF!</v>
      </c>
      <c r="Z92" s="103" t="e">
        <f t="shared" si="22"/>
        <v>#REF!</v>
      </c>
    </row>
    <row r="93" spans="1:26" x14ac:dyDescent="0.25">
      <c r="A93" s="194" t="str">
        <f t="shared" si="33"/>
        <v>Svinegylle</v>
      </c>
      <c r="B93" s="194" t="str">
        <f t="shared" si="34"/>
        <v>Husdyrgødning</v>
      </c>
      <c r="C93" s="194">
        <f>IF(COUNTIFS('Resultater - Danmark'!$D$3:$D$482,'Resultat-Produktion &amp; forbrug'!A93,'Resultater - Danmark'!$A$3:$A$482,"Til energi")+COUNTIFS('Resultater - Danmark'!$D$3:$D$482,'Resultat-Produktion &amp; forbrug'!A93,'Resultater - Danmark'!$A$3:$A$482,"Biogasanlæg")&gt;0,1,0)</f>
        <v>1</v>
      </c>
      <c r="D93" s="194">
        <f t="shared" si="19"/>
        <v>2030</v>
      </c>
      <c r="E93" s="192" t="s">
        <v>23</v>
      </c>
      <c r="F93" s="195">
        <f>IF(E93="Vestdanmark",SUMIFS(IF(D93=År1,'Resultater - Vestdanmark'!H$3:H$482,IF(D93=År2,'Resultater - Vestdanmark'!I$3:I$482,'Resultater - Vestdanmark'!J$3:J$482)),'Resultater - Vestdanmark'!$F$3:$F$482,$A93,IF(D93=År1,'Resultater - Vestdanmark'!H$3:H$482,IF(D93=År2,'Resultater - Vestdanmark'!I$3:I$482,'Resultater - Vestdanmark'!J$3:J$482)),"&gt;0"),SUMIFS(IF(D93=År1,'Resultater - Østdanmark'!H$3:H$482,IF(D93=År2,'Resultater - Østdanmark'!I$3:I$482,'Resultater - Østdanmark'!J$3:J$482)),'Resultater - Østdanmark'!$F$3:$F$482,$A93,IF(D93=År1,'Resultater - Østdanmark'!H$3:H$482,IF(D93=År2,'Resultater - Østdanmark'!I$3:I$482,'Resultater - Østdanmark'!J$3:J$482)),"&gt;0"))</f>
        <v>0</v>
      </c>
      <c r="G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92">
        <f>IF(E93="Vestdanmark",-IF(A93="Halm",SUMIFS(IF(D93=År1,'Resultater - Vestdanmark'!H$3:H$482,IF(D93=År2,'Resultater - Vestdanmark'!I$3:I$482,'Resultater - Vestdanmark'!J$3:J$482)),'Resultater - Vestdanmark'!$F$3:$F$482,$A93,'Resultater - Vestdanmark'!H$3:H$482,"&lt;0"),0),-IF(A93="Halm",SUMIFS(IF(D93=År1,'Resultater - Østdanmark'!H$3:H$482,IF(D93=År2,'Resultater - Østdanmark'!I$3:I$482,'Resultater - Østdanmark'!J$3:J$482)),'Resultater - Østdanmark'!$F$3:$F$482,$A93,'Resultater - Østdanmark'!H$3:H$482,"&lt;0"),0))</f>
        <v>0</v>
      </c>
      <c r="I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5" t="e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#REF!</v>
      </c>
      <c r="K93" s="195" t="e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#REF!</v>
      </c>
      <c r="L93" s="195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7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4" t="e">
        <f t="shared" si="23"/>
        <v>#REF!</v>
      </c>
      <c r="O93" s="195" t="e">
        <f t="shared" si="20"/>
        <v>#REF!</v>
      </c>
      <c r="P93" s="205" t="e">
        <f t="shared" si="24"/>
        <v>#REF!</v>
      </c>
      <c r="Q93" s="192" t="e">
        <f>IFERROR(VLOOKUP(A93,[1]Energiindhold!$A$2:$C$11,3,FALSE),IFERROR(VLOOKUP(A93,[1]Biogasudbytte!$A$2:$B$18,2,FALSE)*[1]Energiindhold!$C$10,0))*O93</f>
        <v>#REF!</v>
      </c>
      <c r="R93" s="192" t="e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#REF!</v>
      </c>
      <c r="S93" s="192" t="e">
        <f>IFERROR(VLOOKUP(A93,[1]Biogasudbytte!$A$2:$B$18,2,FALSE)*[1]Energiindhold!$C$10,0)*J93*IFERROR(VLOOKUP(A93,Biogasanlæg!$F$3:$G$8,2,FALSE),1)</f>
        <v>#REF!</v>
      </c>
      <c r="T93" s="193" t="e">
        <f t="shared" si="25"/>
        <v>#REF!</v>
      </c>
      <c r="U93" s="191" t="e">
        <f>O93*IFERROR(VLOOKUP(A93,[1]Tørstofindhold!A$2:B$24,2,FALSE),0)</f>
        <v>#REF!</v>
      </c>
      <c r="V93" s="192" t="e">
        <f>IF(D93=År1,P93,SUM(O93,P93))*IFERROR(VLOOKUP(A93,[1]Tørstofindhold!A$2:B$24,2,FALSE),0)</f>
        <v>#REF!</v>
      </c>
      <c r="W93" s="192" t="e">
        <f>J93*IFERROR(VLOOKUP(A93,[1]Tørstofindhold!A$2:B$24,2,FALSE),0)</f>
        <v>#REF!</v>
      </c>
      <c r="X93" s="193" t="e">
        <f t="shared" si="26"/>
        <v>#REF!</v>
      </c>
      <c r="Y93" s="171" t="e">
        <f t="shared" si="21"/>
        <v>#REF!</v>
      </c>
      <c r="Z93" s="103" t="e">
        <f t="shared" si="22"/>
        <v>#REF!</v>
      </c>
    </row>
    <row r="94" spans="1:26" x14ac:dyDescent="0.25">
      <c r="A94" s="194" t="str">
        <f t="shared" si="33"/>
        <v>Svinekød</v>
      </c>
      <c r="B94" s="194" t="str">
        <f t="shared" si="34"/>
        <v/>
      </c>
      <c r="C94" s="194">
        <f>IF(COUNTIFS('Resultater - Danmark'!$D$3:$D$482,'Resultat-Produktion &amp; forbrug'!A94,'Resultater - Danmark'!$A$3:$A$482,"Til energi")+COUNTIFS('Resultater - Danmark'!$D$3:$D$482,'Resultat-Produktion &amp; forbrug'!A94,'Resultater - Danmark'!$A$3:$A$482,"Biogasanlæg")&gt;0,1,0)</f>
        <v>0</v>
      </c>
      <c r="D94" s="194">
        <f t="shared" si="19"/>
        <v>2030</v>
      </c>
      <c r="E94" s="192" t="s">
        <v>23</v>
      </c>
      <c r="F94" s="195">
        <f>IF(E94="Vestdanmark",SUMIFS(IF(D94=År1,'Resultater - Vestdanmark'!H$3:H$482,IF(D94=År2,'Resultater - Vestdanmark'!I$3:I$482,'Resultater - Vestdanmark'!J$3:J$482)),'Resultater - Vestdanmark'!$F$3:$F$482,$A94,IF(D94=År1,'Resultater - Vestdanmark'!H$3:H$482,IF(D94=År2,'Resultater - Vestdanmark'!I$3:I$482,'Resultater - Vestdanmark'!J$3:J$482)),"&gt;0"),SUMIFS(IF(D94=År1,'Resultater - Østdanmark'!H$3:H$482,IF(D94=År2,'Resultater - Østdanmark'!I$3:I$482,'Resultater - Østdanmark'!J$3:J$482)),'Resultater - Østdanmark'!$F$3:$F$482,$A94,IF(D94=År1,'Resultater - Østdanmark'!H$3:H$482,IF(D94=År2,'Resultater - Østdanmark'!I$3:I$482,'Resultater - Østdanmark'!J$3:J$482)),"&gt;0"))</f>
        <v>0</v>
      </c>
      <c r="G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92">
        <f>IF(E94="Vestdanmark",-IF(A94="Halm",SUMIFS(IF(D94=År1,'Resultater - Vestdanmark'!H$3:H$482,IF(D94=År2,'Resultater - Vestdanmark'!I$3:I$482,'Resultater - Vestdanmark'!J$3:J$482)),'Resultater - Vestdanmark'!$F$3:$F$482,$A94,'Resultater - Vestdanmark'!H$3:H$482,"&lt;0"),0),-IF(A94="Halm",SUMIFS(IF(D94=År1,'Resultater - Østdanmark'!H$3:H$482,IF(D94=År2,'Resultater - Østdanmark'!I$3:I$482,'Resultater - Østdanmark'!J$3:J$482)),'Resultater - Østdanmark'!$F$3:$F$482,$A94,'Resultater - Østdanmark'!H$3:H$482,"&lt;0"),0))</f>
        <v>0</v>
      </c>
      <c r="I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5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7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4">
        <f t="shared" si="23"/>
        <v>-121875.54404868034</v>
      </c>
      <c r="O94" s="195">
        <f t="shared" si="20"/>
        <v>0</v>
      </c>
      <c r="P94" s="205">
        <f t="shared" si="24"/>
        <v>0</v>
      </c>
      <c r="Q94" s="192">
        <f>IFERROR(VLOOKUP(A94,[1]Energiindhold!$A$2:$C$11,3,FALSE),IFERROR(VLOOKUP(A94,[1]Biogasudbytte!$A$2:$B$18,2,FALSE)*[1]Energiindhold!$C$10,0))*O94</f>
        <v>0</v>
      </c>
      <c r="R94" s="192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92">
        <f>IFERROR(VLOOKUP(A94,[1]Biogasudbytte!$A$2:$B$18,2,FALSE)*[1]Energiindhold!$C$10,0)*J94*IFERROR(VLOOKUP(A94,Biogasanlæg!$F$3:$G$8,2,FALSE),1)</f>
        <v>0</v>
      </c>
      <c r="T94" s="193">
        <f t="shared" si="25"/>
        <v>0</v>
      </c>
      <c r="U94" s="191">
        <f>O94*IFERROR(VLOOKUP(A94,[1]Tørstofindhold!A$2:B$24,2,FALSE),0)</f>
        <v>0</v>
      </c>
      <c r="V94" s="192">
        <f>IF(D94=År1,P94,SUM(O94,P94))*IFERROR(VLOOKUP(A94,[1]Tørstofindhold!A$2:B$24,2,FALSE),0)</f>
        <v>0</v>
      </c>
      <c r="W94" s="192">
        <f>J94*IFERROR(VLOOKUP(A94,[1]Tørstofindhold!A$2:B$24,2,FALSE),0)</f>
        <v>0</v>
      </c>
      <c r="X94" s="193">
        <f t="shared" si="26"/>
        <v>0</v>
      </c>
      <c r="Y94" s="171">
        <f t="shared" si="21"/>
        <v>1</v>
      </c>
      <c r="Z94" s="103">
        <f t="shared" si="22"/>
        <v>0</v>
      </c>
    </row>
    <row r="95" spans="1:26" x14ac:dyDescent="0.25">
      <c r="A95" s="194" t="str">
        <f t="shared" si="33"/>
        <v>Tang</v>
      </c>
      <c r="B95" s="194" t="str">
        <f t="shared" si="34"/>
        <v>Havbiomasse</v>
      </c>
      <c r="C95" s="194">
        <f>IF(COUNTIFS('Resultater - Danmark'!$D$3:$D$482,'Resultat-Produktion &amp; forbrug'!A95,'Resultater - Danmark'!$A$3:$A$482,"Til energi")+COUNTIFS('Resultater - Danmark'!$D$3:$D$482,'Resultat-Produktion &amp; forbrug'!A95,'Resultater - Danmark'!$A$3:$A$482,"Biogasanlæg")&gt;0,1,0)</f>
        <v>1</v>
      </c>
      <c r="D95" s="194">
        <f t="shared" si="19"/>
        <v>2030</v>
      </c>
      <c r="E95" s="192" t="s">
        <v>23</v>
      </c>
      <c r="F95" s="195">
        <f>IF(E95="Vestdanmark",SUMIFS(IF(D95=År1,'Resultater - Vestdanmark'!H$3:H$482,IF(D95=År2,'Resultater - Vestdanmark'!I$3:I$482,'Resultater - Vestdanmark'!J$3:J$482)),'Resultater - Vestdanmark'!$F$3:$F$482,$A95,IF(D95=År1,'Resultater - Vestdanmark'!H$3:H$482,IF(D95=År2,'Resultater - Vestdanmark'!I$3:I$482,'Resultater - Vestdanmark'!J$3:J$482)),"&gt;0"),SUMIFS(IF(D95=År1,'Resultater - Østdanmark'!H$3:H$482,IF(D95=År2,'Resultater - Østdanmark'!I$3:I$482,'Resultater - Østdanmark'!J$3:J$482)),'Resultater - Østdanmark'!$F$3:$F$482,$A95,IF(D95=År1,'Resultater - Østdanmark'!H$3:H$482,IF(D95=År2,'Resultater - Østdanmark'!I$3:I$482,'Resultater - Østdanmark'!J$3:J$482)),"&gt;0"))</f>
        <v>0</v>
      </c>
      <c r="G95" s="195" t="e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#REF!</v>
      </c>
      <c r="H95" s="192">
        <f>IF(E95="Vestdanmark",-IF(A95="Halm",SUMIFS(IF(D95=År1,'Resultater - Vestdanmark'!H$3:H$482,IF(D95=År2,'Resultater - Vestdanmark'!I$3:I$482,'Resultater - Vestdanmark'!J$3:J$482)),'Resultater - Vestdanmark'!$F$3:$F$482,$A95,'Resultater - Vestdanmark'!H$3:H$482,"&lt;0"),0),-IF(A95="Halm",SUMIFS(IF(D95=År1,'Resultater - Østdanmark'!H$3:H$482,IF(D95=År2,'Resultater - Østdanmark'!I$3:I$482,'Resultater - Østdanmark'!J$3:J$482)),'Resultater - Østdanmark'!$F$3:$F$482,$A95,'Resultater - Østdanmark'!H$3:H$482,"&lt;0"),0))</f>
        <v>0</v>
      </c>
      <c r="I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5" t="e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#REF!</v>
      </c>
      <c r="K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5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7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4" t="e">
        <f t="shared" si="23"/>
        <v>#REF!</v>
      </c>
      <c r="O95" s="195" t="e">
        <f t="shared" si="20"/>
        <v>#REF!</v>
      </c>
      <c r="P95" s="205" t="e">
        <f t="shared" si="24"/>
        <v>#REF!</v>
      </c>
      <c r="Q95" s="192" t="e">
        <f>IFERROR(VLOOKUP(A95,[1]Energiindhold!$A$2:$C$11,3,FALSE),IFERROR(VLOOKUP(A95,[1]Biogasudbytte!$A$2:$B$18,2,FALSE)*[1]Energiindhold!$C$10,0))*O95</f>
        <v>#REF!</v>
      </c>
      <c r="R95" s="192" t="e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#REF!</v>
      </c>
      <c r="S95" s="192" t="e">
        <f>IFERROR(VLOOKUP(A95,[1]Biogasudbytte!$A$2:$B$18,2,FALSE)*[1]Energiindhold!$C$10,0)*J95*IFERROR(VLOOKUP(A95,Biogasanlæg!$F$3:$G$8,2,FALSE),1)</f>
        <v>#REF!</v>
      </c>
      <c r="T95" s="193" t="e">
        <f t="shared" si="25"/>
        <v>#REF!</v>
      </c>
      <c r="U95" s="191" t="e">
        <f>O95*IFERROR(VLOOKUP(A95,[1]Tørstofindhold!A$2:B$24,2,FALSE),0)</f>
        <v>#REF!</v>
      </c>
      <c r="V95" s="192" t="e">
        <f>IF(D95=År1,P95,SUM(O95,P95))*IFERROR(VLOOKUP(A95,[1]Tørstofindhold!A$2:B$24,2,FALSE),0)</f>
        <v>#REF!</v>
      </c>
      <c r="W95" s="192" t="e">
        <f>J95*IFERROR(VLOOKUP(A95,[1]Tørstofindhold!A$2:B$24,2,FALSE),0)</f>
        <v>#REF!</v>
      </c>
      <c r="X95" s="193" t="e">
        <f t="shared" si="26"/>
        <v>#REF!</v>
      </c>
      <c r="Y95" s="171" t="e">
        <f t="shared" si="21"/>
        <v>#REF!</v>
      </c>
      <c r="Z95" s="103" t="e">
        <f t="shared" si="22"/>
        <v>#REF!</v>
      </c>
    </row>
    <row r="96" spans="1:26" x14ac:dyDescent="0.25">
      <c r="A96" s="194" t="str">
        <f t="shared" si="33"/>
        <v>Total til biogas</v>
      </c>
      <c r="B96" s="194" t="str">
        <f t="shared" si="34"/>
        <v/>
      </c>
      <c r="C96" s="194">
        <f>IF(COUNTIFS('Resultater - Danmark'!$D$3:$D$482,'Resultat-Produktion &amp; forbrug'!A96,'Resultater - Danmark'!$A$3:$A$482,"Til energi")+COUNTIFS('Resultater - Danmark'!$D$3:$D$482,'Resultat-Produktion &amp; forbrug'!A96,'Resultater - Danmark'!$A$3:$A$482,"Biogasanlæg")&gt;0,1,0)</f>
        <v>1</v>
      </c>
      <c r="D96" s="194">
        <f t="shared" si="19"/>
        <v>2030</v>
      </c>
      <c r="E96" s="192" t="s">
        <v>23</v>
      </c>
      <c r="F96" s="195">
        <f>IF(E96="Vestdanmark",SUMIFS(IF(D96=År1,'Resultater - Vestdanmark'!H$3:H$482,IF(D96=År2,'Resultater - Vestdanmark'!I$3:I$482,'Resultater - Vestdanmark'!J$3:J$482)),'Resultater - Vestdanmark'!$F$3:$F$482,$A96,IF(D96=År1,'Resultater - Vestdanmark'!H$3:H$482,IF(D96=År2,'Resultater - Vestdanmark'!I$3:I$482,'Resultater - Vestdanmark'!J$3:J$482)),"&gt;0"),SUMIFS(IF(D96=År1,'Resultater - Østdanmark'!H$3:H$482,IF(D96=År2,'Resultater - Østdanmark'!I$3:I$482,'Resultater - Østdanmark'!J$3:J$482)),'Resultater - Østdanmark'!$F$3:$F$482,$A96,IF(D96=År1,'Resultater - Østdanmark'!H$3:H$482,IF(D96=År2,'Resultater - Østdanmark'!I$3:I$482,'Resultater - Østdanmark'!J$3:J$482)),"&gt;0"))</f>
        <v>0</v>
      </c>
      <c r="G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92">
        <f>IF(E96="Vestdanmark",-IF(A96="Halm",SUMIFS(IF(D96=År1,'Resultater - Vestdanmark'!H$3:H$482,IF(D96=År2,'Resultater - Vestdanmark'!I$3:I$482,'Resultater - Vestdanmark'!J$3:J$482)),'Resultater - Vestdanmark'!$F$3:$F$482,$A96,'Resultater - Vestdanmark'!H$3:H$482,"&lt;0"),0),-IF(A96="Halm",SUMIFS(IF(D96=År1,'Resultater - Østdanmark'!H$3:H$482,IF(D96=År2,'Resultater - Østdanmark'!I$3:I$482,'Resultater - Østdanmark'!J$3:J$482)),'Resultater - Østdanmark'!$F$3:$F$482,$A96,'Resultater - Østdanmark'!H$3:H$482,"&lt;0"),0))</f>
        <v>0</v>
      </c>
      <c r="I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5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7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4">
        <f t="shared" si="23"/>
        <v>0</v>
      </c>
      <c r="O96" s="195">
        <f t="shared" si="20"/>
        <v>0</v>
      </c>
      <c r="P96" s="205">
        <f t="shared" si="24"/>
        <v>0</v>
      </c>
      <c r="Q96" s="192">
        <f>IFERROR(VLOOKUP(A96,[1]Energiindhold!$A$2:$C$11,3,FALSE),IFERROR(VLOOKUP(A96,[1]Biogasudbytte!$A$2:$B$18,2,FALSE)*[1]Energiindhold!$C$10,0))*O96</f>
        <v>0</v>
      </c>
      <c r="R96" s="192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92">
        <f>IFERROR(VLOOKUP(A96,[1]Biogasudbytte!$A$2:$B$18,2,FALSE)*[1]Energiindhold!$C$10,0)*J96*IFERROR(VLOOKUP(A96,Biogasanlæg!$F$3:$G$8,2,FALSE),1)</f>
        <v>0</v>
      </c>
      <c r="T96" s="193">
        <f t="shared" si="25"/>
        <v>0</v>
      </c>
      <c r="U96" s="191">
        <f>O96*IFERROR(VLOOKUP(A96,[1]Tørstofindhold!A$2:B$24,2,FALSE),0)</f>
        <v>0</v>
      </c>
      <c r="V96" s="192">
        <f>IF(D96=År1,P96,SUM(O96,P96))*IFERROR(VLOOKUP(A96,[1]Tørstofindhold!A$2:B$24,2,FALSE),0)</f>
        <v>0</v>
      </c>
      <c r="W96" s="192">
        <f>J96*IFERROR(VLOOKUP(A96,[1]Tørstofindhold!A$2:B$24,2,FALSE),0)</f>
        <v>0</v>
      </c>
      <c r="X96" s="193">
        <f t="shared" si="26"/>
        <v>0</v>
      </c>
      <c r="Y96" s="171">
        <f t="shared" si="21"/>
        <v>0</v>
      </c>
      <c r="Z96" s="103">
        <f t="shared" si="22"/>
        <v>0</v>
      </c>
    </row>
    <row r="97" spans="1:26" x14ac:dyDescent="0.25">
      <c r="A97" s="194" t="str">
        <f t="shared" si="33"/>
        <v>Træ til energi</v>
      </c>
      <c r="B97" s="194" t="str">
        <f t="shared" si="34"/>
        <v>Vedmasse</v>
      </c>
      <c r="C97" s="194">
        <f>IF(COUNTIFS('Resultater - Danmark'!$D$3:$D$482,'Resultat-Produktion &amp; forbrug'!A97,'Resultater - Danmark'!$A$3:$A$482,"Til energi")+COUNTIFS('Resultater - Danmark'!$D$3:$D$482,'Resultat-Produktion &amp; forbrug'!A97,'Resultater - Danmark'!$A$3:$A$482,"Biogasanlæg")&gt;0,1,0)</f>
        <v>1</v>
      </c>
      <c r="D97" s="194">
        <f t="shared" si="19"/>
        <v>2030</v>
      </c>
      <c r="E97" s="192" t="s">
        <v>23</v>
      </c>
      <c r="F97" s="195">
        <f>IF(E97="Vestdanmark",SUMIFS(IF(D97=År1,'Resultater - Vestdanmark'!H$3:H$482,IF(D97=År2,'Resultater - Vestdanmark'!I$3:I$482,'Resultater - Vestdanmark'!J$3:J$482)),'Resultater - Vestdanmark'!$F$3:$F$482,$A97,IF(D97=År1,'Resultater - Vestdanmark'!H$3:H$482,IF(D97=År2,'Resultater - Vestdanmark'!I$3:I$482,'Resultater - Vestdanmark'!J$3:J$482)),"&gt;0"),SUMIFS(IF(D97=År1,'Resultater - Østdanmark'!H$3:H$482,IF(D97=År2,'Resultater - Østdanmark'!I$3:I$482,'Resultater - Østdanmark'!J$3:J$482)),'Resultater - Østdanmark'!$F$3:$F$482,$A97,IF(D97=År1,'Resultater - Østdanmark'!H$3:H$482,IF(D97=År2,'Resultater - Østdanmark'!I$3:I$482,'Resultater - Østdanmark'!J$3:J$482)),"&gt;0"))</f>
        <v>0</v>
      </c>
      <c r="G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92">
        <f>IF(E97="Vestdanmark",-IF(A97="Halm",SUMIFS(IF(D97=År1,'Resultater - Vestdanmark'!H$3:H$482,IF(D97=År2,'Resultater - Vestdanmark'!I$3:I$482,'Resultater - Vestdanmark'!J$3:J$482)),'Resultater - Vestdanmark'!$F$3:$F$482,$A97,'Resultater - Vestdanmark'!H$3:H$482,"&lt;0"),0),-IF(A97="Halm",SUMIFS(IF(D97=År1,'Resultater - Østdanmark'!H$3:H$482,IF(D97=År2,'Resultater - Østdanmark'!I$3:I$482,'Resultater - Østdanmark'!J$3:J$482)),'Resultater - Østdanmark'!$F$3:$F$482,$A97,'Resultater - Østdanmark'!H$3:H$482,"&lt;0"),0))</f>
        <v>0</v>
      </c>
      <c r="I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5" t="e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#REF!</v>
      </c>
      <c r="M97" s="157" t="e">
        <f>SUMIFS('Forbrug af biomasse'!E:E,'Forbrug af biomasse'!C:C,'Resultat-Produktion &amp; forbrug'!$A97,'Forbrug af biomasse'!D:D,'Resultat-Produktion &amp; forbrug'!$D97,'Forbrug af biomasse'!G:G,1,'Forbrug af biomasse'!B:B,$E97)</f>
        <v>#REF!</v>
      </c>
      <c r="N97" s="204" t="e">
        <f t="shared" si="23"/>
        <v>#REF!</v>
      </c>
      <c r="O97" s="195" t="e">
        <f t="shared" si="20"/>
        <v>#REF!</v>
      </c>
      <c r="P97" s="205" t="e">
        <f t="shared" si="24"/>
        <v>#REF!</v>
      </c>
      <c r="Q97" s="192" t="e">
        <f>IFERROR(VLOOKUP(A97,[1]Energiindhold!$A$2:$C$11,3,FALSE),IFERROR(VLOOKUP(A97,[1]Biogasudbytte!$A$2:$B$18,2,FALSE)*[1]Energiindhold!$C$10,0))*O97</f>
        <v>#REF!</v>
      </c>
      <c r="R97" s="192" t="e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#REF!</v>
      </c>
      <c r="S97" s="192">
        <f>IFERROR(VLOOKUP(A97,[1]Biogasudbytte!$A$2:$B$18,2,FALSE)*[1]Energiindhold!$C$10,0)*J97*IFERROR(VLOOKUP(A97,Biogasanlæg!$F$3:$G$8,2,FALSE),1)</f>
        <v>0</v>
      </c>
      <c r="T97" s="193" t="e">
        <f t="shared" si="25"/>
        <v>#REF!</v>
      </c>
      <c r="U97" s="191" t="e">
        <f>O97*IFERROR(VLOOKUP(A97,[1]Tørstofindhold!A$2:B$24,2,FALSE),0)</f>
        <v>#REF!</v>
      </c>
      <c r="V97" s="192" t="e">
        <f>IF(D97=År1,P97,SUM(O97,P97))*IFERROR(VLOOKUP(A97,[1]Tørstofindhold!A$2:B$24,2,FALSE),0)</f>
        <v>#REF!</v>
      </c>
      <c r="W97" s="192">
        <f>J97*IFERROR(VLOOKUP(A97,[1]Tørstofindhold!A$2:B$24,2,FALSE),0)</f>
        <v>0</v>
      </c>
      <c r="X97" s="193" t="e">
        <f t="shared" si="26"/>
        <v>#REF!</v>
      </c>
      <c r="Y97" s="171" t="e">
        <f t="shared" si="21"/>
        <v>#REF!</v>
      </c>
      <c r="Z97" s="103" t="e">
        <f t="shared" si="22"/>
        <v>#REF!</v>
      </c>
    </row>
    <row r="98" spans="1:26" x14ac:dyDescent="0.25">
      <c r="A98" s="194" t="str">
        <f t="shared" si="33"/>
        <v>Træmaterialer</v>
      </c>
      <c r="B98" s="194" t="str">
        <f t="shared" si="34"/>
        <v/>
      </c>
      <c r="C98" s="194">
        <f>IF(COUNTIFS('Resultater - Danmark'!$D$3:$D$482,'Resultat-Produktion &amp; forbrug'!A98,'Resultater - Danmark'!$A$3:$A$482,"Til energi")+COUNTIFS('Resultater - Danmark'!$D$3:$D$482,'Resultat-Produktion &amp; forbrug'!A98,'Resultater - Danmark'!$A$3:$A$482,"Biogasanlæg")&gt;0,1,0)</f>
        <v>0</v>
      </c>
      <c r="D98" s="194">
        <f t="shared" si="19"/>
        <v>2030</v>
      </c>
      <c r="E98" s="192" t="s">
        <v>23</v>
      </c>
      <c r="F98" s="195">
        <f>IF(E98="Vestdanmark",SUMIFS(IF(D98=År1,'Resultater - Vestdanmark'!H$3:H$482,IF(D98=År2,'Resultater - Vestdanmark'!I$3:I$482,'Resultater - Vestdanmark'!J$3:J$482)),'Resultater - Vestdanmark'!$F$3:$F$482,$A98,IF(D98=År1,'Resultater - Vestdanmark'!H$3:H$482,IF(D98=År2,'Resultater - Vestdanmark'!I$3:I$482,'Resultater - Vestdanmark'!J$3:J$482)),"&gt;0"),SUMIFS(IF(D98=År1,'Resultater - Østdanmark'!H$3:H$482,IF(D98=År2,'Resultater - Østdanmark'!I$3:I$482,'Resultater - Østdanmark'!J$3:J$482)),'Resultater - Østdanmark'!$F$3:$F$482,$A98,IF(D98=År1,'Resultater - Østdanmark'!H$3:H$482,IF(D98=År2,'Resultater - Østdanmark'!I$3:I$482,'Resultater - Østdanmark'!J$3:J$482)),"&gt;0"))</f>
        <v>0</v>
      </c>
      <c r="G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92">
        <f>IF(E98="Vestdanmark",-IF(A98="Halm",SUMIFS(IF(D98=År1,'Resultater - Vestdanmark'!H$3:H$482,IF(D98=År2,'Resultater - Vestdanmark'!I$3:I$482,'Resultater - Vestdanmark'!J$3:J$482)),'Resultater - Vestdanmark'!$F$3:$F$482,$A98,'Resultater - Vestdanmark'!H$3:H$482,"&lt;0"),0),-IF(A98="Halm",SUMIFS(IF(D98=År1,'Resultater - Østdanmark'!H$3:H$482,IF(D98=År2,'Resultater - Østdanmark'!I$3:I$482,'Resultater - Østdanmark'!J$3:J$482)),'Resultater - Østdanmark'!$F$3:$F$482,$A98,'Resultater - Østdanmark'!H$3:H$482,"&lt;0"),0))</f>
        <v>0</v>
      </c>
      <c r="I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5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7">
        <f>SUMIFS('Forbrug af biomasse'!E:E,'Forbrug af biomasse'!C:C,'Resultat-Produktion &amp; forbrug'!$A98,'Forbrug af biomasse'!D:D,'Resultat-Produktion &amp; forbrug'!$D98,'Forbrug af biomasse'!G:G,1,'Forbrug af biomasse'!B:B,$E98)</f>
        <v>0</v>
      </c>
      <c r="N98" s="204">
        <f t="shared" si="23"/>
        <v>0</v>
      </c>
      <c r="O98" s="195">
        <f t="shared" si="20"/>
        <v>0</v>
      </c>
      <c r="P98" s="205">
        <f t="shared" si="24"/>
        <v>0</v>
      </c>
      <c r="Q98" s="192">
        <f>IFERROR(VLOOKUP(A98,[1]Energiindhold!$A$2:$C$11,3,FALSE),IFERROR(VLOOKUP(A98,[1]Biogasudbytte!$A$2:$B$18,2,FALSE)*[1]Energiindhold!$C$10,0))*O98</f>
        <v>0</v>
      </c>
      <c r="R98" s="192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92">
        <f>IFERROR(VLOOKUP(A98,[1]Biogasudbytte!$A$2:$B$18,2,FALSE)*[1]Energiindhold!$C$10,0)*J98*IFERROR(VLOOKUP(A98,Biogasanlæg!$F$3:$G$8,2,FALSE),1)</f>
        <v>0</v>
      </c>
      <c r="T98" s="193">
        <f t="shared" si="25"/>
        <v>0</v>
      </c>
      <c r="U98" s="191">
        <f>O98*IFERROR(VLOOKUP(A98,[1]Tørstofindhold!A$2:B$24,2,FALSE),0)</f>
        <v>0</v>
      </c>
      <c r="V98" s="192">
        <f>IF(D98=År1,P98,SUM(O98,P98))*IFERROR(VLOOKUP(A98,[1]Tørstofindhold!A$2:B$24,2,FALSE),0)</f>
        <v>0</v>
      </c>
      <c r="W98" s="192">
        <f>J98*IFERROR(VLOOKUP(A98,[1]Tørstofindhold!A$2:B$24,2,FALSE),0)</f>
        <v>0</v>
      </c>
      <c r="X98" s="193">
        <f t="shared" si="26"/>
        <v>0</v>
      </c>
      <c r="Y98" s="171">
        <f t="shared" si="21"/>
        <v>0</v>
      </c>
      <c r="Z98" s="103">
        <f t="shared" si="22"/>
        <v>0</v>
      </c>
    </row>
    <row r="99" spans="1:26" x14ac:dyDescent="0.25">
      <c r="A99" s="194" t="str">
        <f t="shared" si="33"/>
        <v>Æg</v>
      </c>
      <c r="B99" s="194" t="str">
        <f t="shared" si="34"/>
        <v/>
      </c>
      <c r="C99" s="194">
        <f>IF(COUNTIFS('Resultater - Danmark'!$D$3:$D$482,'Resultat-Produktion &amp; forbrug'!A99,'Resultater - Danmark'!$A$3:$A$482,"Til energi")+COUNTIFS('Resultater - Danmark'!$D$3:$D$482,'Resultat-Produktion &amp; forbrug'!A99,'Resultater - Danmark'!$A$3:$A$482,"Biogasanlæg")&gt;0,1,0)</f>
        <v>0</v>
      </c>
      <c r="D99" s="194">
        <f t="shared" ref="D99:D146" si="35">År3</f>
        <v>2050</v>
      </c>
      <c r="E99" s="192" t="s">
        <v>23</v>
      </c>
      <c r="F99" s="195">
        <f>IF(E99="Vestdanmark",SUMIFS(IF(D99=År1,'Resultater - Vestdanmark'!H$3:H$482,IF(D99=År2,'Resultater - Vestdanmark'!I$3:I$482,'Resultater - Vestdanmark'!J$3:J$482)),'Resultater - Vestdanmark'!$F$3:$F$482,$A99,IF(D99=År1,'Resultater - Vestdanmark'!H$3:H$482,IF(D99=År2,'Resultater - Vestdanmark'!I$3:I$482,'Resultater - Vestdanmark'!J$3:J$482)),"&gt;0"),SUMIFS(IF(D99=År1,'Resultater - Østdanmark'!H$3:H$482,IF(D99=År2,'Resultater - Østdanmark'!I$3:I$482,'Resultater - Østdanmark'!J$3:J$482)),'Resultater - Østdanmark'!$F$3:$F$482,$A99,IF(D99=År1,'Resultater - Østdanmark'!H$3:H$482,IF(D99=År2,'Resultater - Østdanmark'!I$3:I$482,'Resultater - Østdanmark'!J$3:J$482)),"&gt;0"))</f>
        <v>0</v>
      </c>
      <c r="G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92">
        <f>IF(E99="Vestdanmark",-IF(A99="Halm",SUMIFS(IF(D99=År1,'Resultater - Vestdanmark'!H$3:H$482,IF(D99=År2,'Resultater - Vestdanmark'!I$3:I$482,'Resultater - Vestdanmark'!J$3:J$482)),'Resultater - Vestdanmark'!$F$3:$F$482,$A99,'Resultater - Vestdanmark'!H$3:H$482,"&lt;0"),0),-IF(A99="Halm",SUMIFS(IF(D99=År1,'Resultater - Østdanmark'!H$3:H$482,IF(D99=År2,'Resultater - Østdanmark'!I$3:I$482,'Resultater - Østdanmark'!J$3:J$482)),'Resultater - Østdanmark'!$F$3:$F$482,$A99,'Resultater - Østdanmark'!H$3:H$482,"&lt;0"),0))</f>
        <v>0</v>
      </c>
      <c r="I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5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7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4">
        <f t="shared" si="23"/>
        <v>-33849.968886444818</v>
      </c>
      <c r="O99" s="195">
        <f t="shared" si="20"/>
        <v>0</v>
      </c>
      <c r="P99" s="205">
        <f t="shared" si="24"/>
        <v>0</v>
      </c>
      <c r="Q99" s="192">
        <f>IFERROR(VLOOKUP(A99,[1]Energiindhold!$A$2:$C$11,3,FALSE),IFERROR(VLOOKUP(A99,[1]Biogasudbytte!$A$2:$B$18,2,FALSE)*[1]Energiindhold!$C$10,0))*O99</f>
        <v>0</v>
      </c>
      <c r="R99" s="192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92">
        <f>IFERROR(VLOOKUP(A99,[1]Biogasudbytte!$A$2:$B$18,2,FALSE)*[1]Energiindhold!$C$10,0)*J99*IFERROR(VLOOKUP(A99,Biogasanlæg!$F$3:$G$8,2,FALSE),1)</f>
        <v>0</v>
      </c>
      <c r="T99" s="193">
        <f t="shared" si="25"/>
        <v>0</v>
      </c>
      <c r="U99" s="191">
        <f>O99*IFERROR(VLOOKUP(A99,[1]Tørstofindhold!A$2:B$24,2,FALSE),0)</f>
        <v>0</v>
      </c>
      <c r="V99" s="192">
        <f>IF(D99=År1,P99,SUM(O99,P99))*IFERROR(VLOOKUP(A99,[1]Tørstofindhold!A$2:B$24,2,FALSE),0)</f>
        <v>0</v>
      </c>
      <c r="W99" s="192">
        <f>J99*IFERROR(VLOOKUP(A99,[1]Tørstofindhold!A$2:B$24,2,FALSE),0)</f>
        <v>0</v>
      </c>
      <c r="X99" s="193">
        <f t="shared" si="26"/>
        <v>0</v>
      </c>
      <c r="Y99" s="171">
        <f t="shared" si="21"/>
        <v>1</v>
      </c>
      <c r="Z99" s="103">
        <f t="shared" si="22"/>
        <v>0</v>
      </c>
    </row>
    <row r="100" spans="1:26" x14ac:dyDescent="0.25">
      <c r="A100" s="194" t="str">
        <f t="shared" si="33"/>
        <v>Bælgsæd</v>
      </c>
      <c r="B100" s="194" t="str">
        <f t="shared" si="34"/>
        <v/>
      </c>
      <c r="C100" s="194">
        <f>IF(COUNTIFS('Resultater - Danmark'!$D$3:$D$482,'Resultat-Produktion &amp; forbrug'!A100,'Resultater - Danmark'!$A$3:$A$482,"Til energi")+COUNTIFS('Resultater - Danmark'!$D$3:$D$482,'Resultat-Produktion &amp; forbrug'!A100,'Resultater - Danmark'!$A$3:$A$482,"Biogasanlæg")&gt;0,1,0)</f>
        <v>0</v>
      </c>
      <c r="D100" s="194">
        <f t="shared" si="35"/>
        <v>2050</v>
      </c>
      <c r="E100" s="192" t="s">
        <v>23</v>
      </c>
      <c r="F100" s="195">
        <f>IF(E100="Vestdanmark",SUMIFS(IF(D100=År1,'Resultater - Vestdanmark'!H$3:H$482,IF(D100=År2,'Resultater - Vestdanmark'!I$3:I$482,'Resultater - Vestdanmark'!J$3:J$482)),'Resultater - Vestdanmark'!$F$3:$F$482,$A100,IF(D100=År1,'Resultater - Vestdanmark'!H$3:H$482,IF(D100=År2,'Resultater - Vestdanmark'!I$3:I$482,'Resultater - Vestdanmark'!J$3:J$482)),"&gt;0"),SUMIFS(IF(D100=År1,'Resultater - Østdanmark'!H$3:H$482,IF(D100=År2,'Resultater - Østdanmark'!I$3:I$482,'Resultater - Østdanmark'!J$3:J$482)),'Resultater - Østdanmark'!$F$3:$F$482,$A100,IF(D100=År1,'Resultater - Østdanmark'!H$3:H$482,IF(D100=År2,'Resultater - Østdanmark'!I$3:I$482,'Resultater - Østdanmark'!J$3:J$482)),"&gt;0"))</f>
        <v>0</v>
      </c>
      <c r="G100" s="195" t="e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#REF!</v>
      </c>
      <c r="H100" s="192">
        <f>IF(E100="Vestdanmark",-IF(A100="Halm",SUMIFS(IF(D100=År1,'Resultater - Vestdanmark'!H$3:H$482,IF(D100=År2,'Resultater - Vestdanmark'!I$3:I$482,'Resultater - Vestdanmark'!J$3:J$482)),'Resultater - Vestdanmark'!$F$3:$F$482,$A100,'Resultater - Vestdanmark'!H$3:H$482,"&lt;0"),0),-IF(A100="Halm",SUMIFS(IF(D100=År1,'Resultater - Østdanmark'!H$3:H$482,IF(D100=År2,'Resultater - Østdanmark'!I$3:I$482,'Resultater - Østdanmark'!J$3:J$482)),'Resultater - Østdanmark'!$F$3:$F$482,$A100,'Resultater - Østdanmark'!H$3:H$482,"&lt;0"),0))</f>
        <v>0</v>
      </c>
      <c r="I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5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7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4" t="e">
        <f t="shared" si="23"/>
        <v>#REF!</v>
      </c>
      <c r="O100" s="195">
        <f t="shared" si="20"/>
        <v>0</v>
      </c>
      <c r="P100" s="205">
        <f t="shared" si="24"/>
        <v>0</v>
      </c>
      <c r="Q100" s="192">
        <f>IFERROR(VLOOKUP(A100,[1]Energiindhold!$A$2:$C$11,3,FALSE),IFERROR(VLOOKUP(A100,[1]Biogasudbytte!$A$2:$B$18,2,FALSE)*[1]Energiindhold!$C$10,0))*O100</f>
        <v>0</v>
      </c>
      <c r="R100" s="192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92">
        <f>IFERROR(VLOOKUP(A100,[1]Biogasudbytte!$A$2:$B$18,2,FALSE)*[1]Energiindhold!$C$10,0)*J100*IFERROR(VLOOKUP(A100,Biogasanlæg!$F$3:$G$8,2,FALSE),1)</f>
        <v>0</v>
      </c>
      <c r="T100" s="193">
        <f t="shared" si="25"/>
        <v>0</v>
      </c>
      <c r="U100" s="191">
        <f>O100*IFERROR(VLOOKUP(A100,[1]Tørstofindhold!A$2:B$24,2,FALSE),0)</f>
        <v>0</v>
      </c>
      <c r="V100" s="192">
        <f>IF(D100=År1,P100,SUM(O100,P100))*IFERROR(VLOOKUP(A100,[1]Tørstofindhold!A$2:B$24,2,FALSE),0)</f>
        <v>0</v>
      </c>
      <c r="W100" s="192">
        <f>J100*IFERROR(VLOOKUP(A100,[1]Tørstofindhold!A$2:B$24,2,FALSE),0)</f>
        <v>0</v>
      </c>
      <c r="X100" s="193">
        <f t="shared" si="26"/>
        <v>0</v>
      </c>
      <c r="Y100" s="171" t="e">
        <f t="shared" si="21"/>
        <v>#REF!</v>
      </c>
      <c r="Z100" s="103" t="e">
        <f t="shared" si="22"/>
        <v>#REF!</v>
      </c>
    </row>
    <row r="101" spans="1:26" x14ac:dyDescent="0.25">
      <c r="A101" s="194" t="str">
        <f t="shared" si="33"/>
        <v>Bioaffald</v>
      </c>
      <c r="B101" s="194" t="str">
        <f t="shared" si="34"/>
        <v>Bionedbrydeligt affald</v>
      </c>
      <c r="C101" s="194">
        <f>IF(COUNTIFS('Resultater - Danmark'!$D$3:$D$482,'Resultat-Produktion &amp; forbrug'!A101,'Resultater - Danmark'!$A$3:$A$482,"Til energi")+COUNTIFS('Resultater - Danmark'!$D$3:$D$482,'Resultat-Produktion &amp; forbrug'!A101,'Resultater - Danmark'!$A$3:$A$482,"Biogasanlæg")&gt;0,1,0)</f>
        <v>1</v>
      </c>
      <c r="D101" s="194">
        <f t="shared" si="35"/>
        <v>2050</v>
      </c>
      <c r="E101" s="192" t="s">
        <v>23</v>
      </c>
      <c r="F101" s="195">
        <f>IF(E101="Vestdanmark",SUMIFS(IF(D101=År1,'Resultater - Vestdanmark'!H$3:H$482,IF(D101=År2,'Resultater - Vestdanmark'!I$3:I$482,'Resultater - Vestdanmark'!J$3:J$482)),'Resultater - Vestdanmark'!$F$3:$F$482,$A101,IF(D101=År1,'Resultater - Vestdanmark'!H$3:H$482,IF(D101=År2,'Resultater - Vestdanmark'!I$3:I$482,'Resultater - Vestdanmark'!J$3:J$482)),"&gt;0"),SUMIFS(IF(D101=År1,'Resultater - Østdanmark'!H$3:H$482,IF(D101=År2,'Resultater - Østdanmark'!I$3:I$482,'Resultater - Østdanmark'!J$3:J$482)),'Resultater - Østdanmark'!$F$3:$F$482,$A101,IF(D101=År1,'Resultater - Østdanmark'!H$3:H$482,IF(D101=År2,'Resultater - Østdanmark'!I$3:I$482,'Resultater - Østdanmark'!J$3:J$482)),"&gt;0"))</f>
        <v>0</v>
      </c>
      <c r="G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92">
        <f>IF(E101="Vestdanmark",-IF(A101="Halm",SUMIFS(IF(D101=År1,'Resultater - Vestdanmark'!H$3:H$482,IF(D101=År2,'Resultater - Vestdanmark'!I$3:I$482,'Resultater - Vestdanmark'!J$3:J$482)),'Resultater - Vestdanmark'!$F$3:$F$482,$A101,'Resultater - Vestdanmark'!H$3:H$482,"&lt;0"),0),-IF(A101="Halm",SUMIFS(IF(D101=År1,'Resultater - Østdanmark'!H$3:H$482,IF(D101=År2,'Resultater - Østdanmark'!I$3:I$482,'Resultater - Østdanmark'!J$3:J$482)),'Resultater - Østdanmark'!$F$3:$F$482,$A101,'Resultater - Østdanmark'!H$3:H$482,"&lt;0"),0))</f>
        <v>0</v>
      </c>
      <c r="I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5" t="e">
        <f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#REF!</v>
      </c>
      <c r="K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5" t="e">
        <f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#REF!</v>
      </c>
      <c r="M101" s="157" t="e">
        <f>SUMIFS('Forbrug af biomasse'!E:E,'Forbrug af biomasse'!C:C,'Resultat-Produktion &amp; forbrug'!$A101,'Forbrug af biomasse'!D:D,'Resultat-Produktion &amp; forbrug'!$D101,'Forbrug af biomasse'!G:G,1,'Forbrug af biomasse'!B:B,$E101)</f>
        <v>#REF!</v>
      </c>
      <c r="N101" s="204" t="e">
        <f t="shared" si="23"/>
        <v>#REF!</v>
      </c>
      <c r="O101" s="195" t="e">
        <f t="shared" si="20"/>
        <v>#REF!</v>
      </c>
      <c r="P101" s="205" t="e">
        <f t="shared" si="24"/>
        <v>#REF!</v>
      </c>
      <c r="Q101" s="192" t="e">
        <f>IFERROR(VLOOKUP(A101,[1]Energiindhold!$A$2:$C$11,3,FALSE),IFERROR(VLOOKUP(A101,[1]Biogasudbytte!$A$2:$B$18,2,FALSE)*[1]Energiindhold!$C$10,0))*O101</f>
        <v>#REF!</v>
      </c>
      <c r="R101" s="192" t="e">
        <f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#REF!</v>
      </c>
      <c r="S101" s="192" t="e">
        <f>IFERROR(VLOOKUP(A101,[1]Biogasudbytte!$A$2:$B$18,2,FALSE)*[1]Energiindhold!$C$10,0)*J101*IFERROR(VLOOKUP(A101,Biogasanlæg!$F$3:$G$8,2,FALSE),1)</f>
        <v>#REF!</v>
      </c>
      <c r="T101" s="193" t="e">
        <f t="shared" si="25"/>
        <v>#REF!</v>
      </c>
      <c r="U101" s="191" t="e">
        <f>O101*IFERROR(VLOOKUP(A101,[1]Tørstofindhold!A$2:B$24,2,FALSE),0)</f>
        <v>#REF!</v>
      </c>
      <c r="V101" s="192" t="e">
        <f>IF(D101=År1,P101,SUM(O101,P101))*IFERROR(VLOOKUP(A101,[1]Tørstofindhold!A$2:B$24,2,FALSE),0)</f>
        <v>#REF!</v>
      </c>
      <c r="W101" s="192" t="e">
        <f>J101*IFERROR(VLOOKUP(A101,[1]Tørstofindhold!A$2:B$24,2,FALSE),0)</f>
        <v>#REF!</v>
      </c>
      <c r="X101" s="193" t="e">
        <f t="shared" si="26"/>
        <v>#REF!</v>
      </c>
      <c r="Y101" s="171" t="e">
        <f t="shared" si="21"/>
        <v>#REF!</v>
      </c>
      <c r="Z101" s="103" t="e">
        <f t="shared" si="22"/>
        <v>#REF!</v>
      </c>
    </row>
    <row r="102" spans="1:26" x14ac:dyDescent="0.25">
      <c r="A102" s="194" t="str">
        <f t="shared" si="33"/>
        <v>Biogas</v>
      </c>
      <c r="B102" s="194" t="str">
        <f t="shared" si="34"/>
        <v/>
      </c>
      <c r="C102" s="194">
        <f>IF(COUNTIFS('Resultater - Danmark'!$D$3:$D$482,'Resultat-Produktion &amp; forbrug'!A102,'Resultater - Danmark'!$A$3:$A$482,"Til energi")+COUNTIFS('Resultater - Danmark'!$D$3:$D$482,'Resultat-Produktion &amp; forbrug'!A102,'Resultater - Danmark'!$A$3:$A$482,"Biogasanlæg")&gt;0,1,0)</f>
        <v>1</v>
      </c>
      <c r="D102" s="194">
        <f t="shared" si="35"/>
        <v>2050</v>
      </c>
      <c r="E102" s="192" t="s">
        <v>23</v>
      </c>
      <c r="F102" s="195">
        <f>IF(E102="Vestdanmark",SUMIFS(IF(D102=År1,'Resultater - Vestdanmark'!H$3:H$482,IF(D102=År2,'Resultater - Vestdanmark'!I$3:I$482,'Resultater - Vestdanmark'!J$3:J$482)),'Resultater - Vestdanmark'!$F$3:$F$482,$A102,IF(D102=År1,'Resultater - Vestdanmark'!H$3:H$482,IF(D102=År2,'Resultater - Vestdanmark'!I$3:I$482,'Resultater - Vestdanmark'!J$3:J$482)),"&gt;0"),SUMIFS(IF(D102=År1,'Resultater - Østdanmark'!H$3:H$482,IF(D102=År2,'Resultater - Østdanmark'!I$3:I$482,'Resultater - Østdanmark'!J$3:J$482)),'Resultater - Østdanmark'!$F$3:$F$482,$A102,IF(D102=År1,'Resultater - Østdanmark'!H$3:H$482,IF(D102=År2,'Resultater - Østdanmark'!I$3:I$482,'Resultater - Østdanmark'!J$3:J$482)),"&gt;0"))</f>
        <v>48345002.496000007</v>
      </c>
      <c r="G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92">
        <f>IF(E102="Vestdanmark",-IF(A102="Halm",SUMIFS(IF(D102=År1,'Resultater - Vestdanmark'!H$3:H$482,IF(D102=År2,'Resultater - Vestdanmark'!I$3:I$482,'Resultater - Vestdanmark'!J$3:J$482)),'Resultater - Vestdanmark'!$F$3:$F$482,$A102,'Resultater - Vestdanmark'!H$3:H$482,"&lt;0"),0),-IF(A102="Halm",SUMIFS(IF(D102=År1,'Resultater - Østdanmark'!H$3:H$482,IF(D102=År2,'Resultater - Østdanmark'!I$3:I$482,'Resultater - Østdanmark'!J$3:J$482)),'Resultater - Østdanmark'!$F$3:$F$482,$A102,'Resultater - Østdanmark'!H$3:H$482,"&lt;0"),0))</f>
        <v>0</v>
      </c>
      <c r="I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5">
        <f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48345002.496000007</v>
      </c>
      <c r="M102" s="157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4">
        <f t="shared" si="23"/>
        <v>0</v>
      </c>
      <c r="O102" s="195">
        <f t="shared" si="20"/>
        <v>0</v>
      </c>
      <c r="P102" s="205">
        <f t="shared" si="24"/>
        <v>48345002.496000007</v>
      </c>
      <c r="Q102" s="192">
        <f>IFERROR(VLOOKUP(A102,[1]Energiindhold!$A$2:$C$11,3,FALSE),IFERROR(VLOOKUP(A102,[1]Biogasudbytte!$A$2:$B$18,2,FALSE)*[1]Energiindhold!$C$10,0))*O102</f>
        <v>0</v>
      </c>
      <c r="R102" s="192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92">
        <f>IFERROR(VLOOKUP(A102,[1]Biogasudbytte!$A$2:$B$18,2,FALSE)*[1]Energiindhold!$C$10,0)*J102*IFERROR(VLOOKUP(A102,Biogasanlæg!$F$3:$G$8,2,FALSE),1)</f>
        <v>0</v>
      </c>
      <c r="T102" s="193">
        <f t="shared" si="25"/>
        <v>0</v>
      </c>
      <c r="U102" s="191">
        <f>O102*IFERROR(VLOOKUP(A102,[1]Tørstofindhold!A$2:B$24,2,FALSE),0)</f>
        <v>0</v>
      </c>
      <c r="V102" s="192">
        <f>IF(D102=År1,P102,SUM(O102,P102))*IFERROR(VLOOKUP(A102,[1]Tørstofindhold!A$2:B$24,2,FALSE),0)</f>
        <v>0</v>
      </c>
      <c r="W102" s="192">
        <f>J102*IFERROR(VLOOKUP(A102,[1]Tørstofindhold!A$2:B$24,2,FALSE),0)</f>
        <v>0</v>
      </c>
      <c r="X102" s="193">
        <f t="shared" si="26"/>
        <v>0</v>
      </c>
      <c r="Y102" s="171">
        <f t="shared" si="21"/>
        <v>0</v>
      </c>
      <c r="Z102" s="103">
        <f t="shared" si="22"/>
        <v>0</v>
      </c>
    </row>
    <row r="103" spans="1:26" x14ac:dyDescent="0.25">
      <c r="A103" s="194" t="str">
        <f t="shared" si="33"/>
        <v>Biogasgylle</v>
      </c>
      <c r="B103" s="194" t="str">
        <f t="shared" si="34"/>
        <v/>
      </c>
      <c r="C103" s="194">
        <f>IF(COUNTIFS('Resultater - Danmark'!$D$3:$D$482,'Resultat-Produktion &amp; forbrug'!A103,'Resultater - Danmark'!$A$3:$A$482,"Til energi")+COUNTIFS('Resultater - Danmark'!$D$3:$D$482,'Resultat-Produktion &amp; forbrug'!A103,'Resultater - Danmark'!$A$3:$A$482,"Biogasanlæg")&gt;0,1,0)</f>
        <v>0</v>
      </c>
      <c r="D103" s="194">
        <f t="shared" si="35"/>
        <v>2050</v>
      </c>
      <c r="E103" s="192" t="s">
        <v>23</v>
      </c>
      <c r="F103" s="195">
        <f>IF(E103="Vestdanmark",SUMIFS(IF(D103=År1,'Resultater - Vestdanmark'!H$3:H$482,IF(D103=År2,'Resultater - Vestdanmark'!I$3:I$482,'Resultater - Vestdanmark'!J$3:J$482)),'Resultater - Vestdanmark'!$F$3:$F$482,$A103,IF(D103=År1,'Resultater - Vestdanmark'!H$3:H$482,IF(D103=År2,'Resultater - Vestdanmark'!I$3:I$482,'Resultater - Vestdanmark'!J$3:J$482)),"&gt;0"),SUMIFS(IF(D103=År1,'Resultater - Østdanmark'!H$3:H$482,IF(D103=År2,'Resultater - Østdanmark'!I$3:I$482,'Resultater - Østdanmark'!J$3:J$482)),'Resultater - Østdanmark'!$F$3:$F$482,$A103,IF(D103=År1,'Resultater - Østdanmark'!H$3:H$482,IF(D103=År2,'Resultater - Østdanmark'!I$3:I$482,'Resultater - Østdanmark'!J$3:J$482)),"&gt;0"))</f>
        <v>0</v>
      </c>
      <c r="G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92">
        <f>IF(E103="Vestdanmark",-IF(A103="Halm",SUMIFS(IF(D103=År1,'Resultater - Vestdanmark'!H$3:H$482,IF(D103=År2,'Resultater - Vestdanmark'!I$3:I$482,'Resultater - Vestdanmark'!J$3:J$482)),'Resultater - Vestdanmark'!$F$3:$F$482,$A103,'Resultater - Vestdanmark'!H$3:H$482,"&lt;0"),0),-IF(A103="Halm",SUMIFS(IF(D103=År1,'Resultater - Østdanmark'!H$3:H$482,IF(D103=År2,'Resultater - Østdanmark'!I$3:I$482,'Resultater - Østdanmark'!J$3:J$482)),'Resultater - Østdanmark'!$F$3:$F$482,$A103,'Resultater - Østdanmark'!H$3:H$482,"&lt;0"),0))</f>
        <v>0</v>
      </c>
      <c r="I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5" t="e">
        <f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#REF!</v>
      </c>
      <c r="L103" s="195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7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4" t="e">
        <f t="shared" si="23"/>
        <v>#REF!</v>
      </c>
      <c r="O103" s="195">
        <f t="shared" si="20"/>
        <v>0</v>
      </c>
      <c r="P103" s="205">
        <f t="shared" si="24"/>
        <v>0</v>
      </c>
      <c r="Q103" s="192">
        <f>IFERROR(VLOOKUP(A103,[1]Energiindhold!$A$2:$C$11,3,FALSE),IFERROR(VLOOKUP(A103,[1]Biogasudbytte!$A$2:$B$18,2,FALSE)*[1]Energiindhold!$C$10,0))*O103</f>
        <v>0</v>
      </c>
      <c r="R103" s="192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92">
        <f>IFERROR(VLOOKUP(A103,[1]Biogasudbytte!$A$2:$B$18,2,FALSE)*[1]Energiindhold!$C$10,0)*J103*IFERROR(VLOOKUP(A103,Biogasanlæg!$F$3:$G$8,2,FALSE),1)</f>
        <v>0</v>
      </c>
      <c r="T103" s="193">
        <f t="shared" si="25"/>
        <v>0</v>
      </c>
      <c r="U103" s="191">
        <f>O103*IFERROR(VLOOKUP(A103,[1]Tørstofindhold!A$2:B$24,2,FALSE),0)</f>
        <v>0</v>
      </c>
      <c r="V103" s="192">
        <f>IF(D103=År1,P103,SUM(O103,P103))*IFERROR(VLOOKUP(A103,[1]Tørstofindhold!A$2:B$24,2,FALSE),0)</f>
        <v>0</v>
      </c>
      <c r="W103" s="192">
        <f>J103*IFERROR(VLOOKUP(A103,[1]Tørstofindhold!A$2:B$24,2,FALSE),0)</f>
        <v>0</v>
      </c>
      <c r="X103" s="193">
        <f t="shared" si="26"/>
        <v>0</v>
      </c>
      <c r="Y103" s="171" t="e">
        <f t="shared" si="21"/>
        <v>#REF!</v>
      </c>
      <c r="Z103" s="103" t="e">
        <f t="shared" si="22"/>
        <v>#REF!</v>
      </c>
    </row>
    <row r="104" spans="1:26" x14ac:dyDescent="0.25">
      <c r="A104" s="194" t="str">
        <f t="shared" si="33"/>
        <v>Brun saft</v>
      </c>
      <c r="B104" s="194" t="str">
        <f t="shared" si="34"/>
        <v>Bionedbrydeligt affald</v>
      </c>
      <c r="C104" s="194">
        <f>IF(COUNTIFS('Resultater - Danmark'!$D$3:$D$482,'Resultat-Produktion &amp; forbrug'!A104,'Resultater - Danmark'!$A$3:$A$482,"Til energi")+COUNTIFS('Resultater - Danmark'!$D$3:$D$482,'Resultat-Produktion &amp; forbrug'!A104,'Resultater - Danmark'!$A$3:$A$482,"Biogasanlæg")&gt;0,1,0)</f>
        <v>1</v>
      </c>
      <c r="D104" s="194">
        <f t="shared" si="35"/>
        <v>2050</v>
      </c>
      <c r="E104" s="192" t="s">
        <v>23</v>
      </c>
      <c r="F104" s="195">
        <f>IF(E104="Vestdanmark",SUMIFS(IF(D104=År1,'Resultater - Vestdanmark'!H$3:H$482,IF(D104=År2,'Resultater - Vestdanmark'!I$3:I$482,'Resultater - Vestdanmark'!J$3:J$482)),'Resultater - Vestdanmark'!$F$3:$F$482,$A104,IF(D104=År1,'Resultater - Vestdanmark'!H$3:H$482,IF(D104=År2,'Resultater - Vestdanmark'!I$3:I$482,'Resultater - Vestdanmark'!J$3:J$482)),"&gt;0"),SUMIFS(IF(D104=År1,'Resultater - Østdanmark'!H$3:H$482,IF(D104=År2,'Resultater - Østdanmark'!I$3:I$482,'Resultater - Østdanmark'!J$3:J$482)),'Resultater - Østdanmark'!$F$3:$F$482,$A104,IF(D104=År1,'Resultater - Østdanmark'!H$3:H$482,IF(D104=År2,'Resultater - Østdanmark'!I$3:I$482,'Resultater - Østdanmark'!J$3:J$482)),"&gt;0"))</f>
        <v>0</v>
      </c>
      <c r="G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92">
        <f>IF(E104="Vestdanmark",-IF(A104="Halm",SUMIFS(IF(D104=År1,'Resultater - Vestdanmark'!H$3:H$482,IF(D104=År2,'Resultater - Vestdanmark'!I$3:I$482,'Resultater - Vestdanmark'!J$3:J$482)),'Resultater - Vestdanmark'!$F$3:$F$482,$A104,'Resultater - Vestdanmark'!H$3:H$482,"&lt;0"),0),-IF(A104="Halm",SUMIFS(IF(D104=År1,'Resultater - Østdanmark'!H$3:H$482,IF(D104=År2,'Resultater - Østdanmark'!I$3:I$482,'Resultater - Østdanmark'!J$3:J$482)),'Resultater - Østdanmark'!$F$3:$F$482,$A104,'Resultater - Østdanmark'!H$3:H$482,"&lt;0"),0))</f>
        <v>0</v>
      </c>
      <c r="I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5" t="e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#REF!</v>
      </c>
      <c r="K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5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7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4" t="e">
        <f t="shared" si="23"/>
        <v>#REF!</v>
      </c>
      <c r="O104" s="195" t="e">
        <f t="shared" si="20"/>
        <v>#REF!</v>
      </c>
      <c r="P104" s="205" t="e">
        <f t="shared" si="24"/>
        <v>#REF!</v>
      </c>
      <c r="Q104" s="192" t="e">
        <f>IFERROR(VLOOKUP(A104,[1]Energiindhold!$A$2:$C$11,3,FALSE),IFERROR(VLOOKUP(A104,[1]Biogasudbytte!$A$2:$B$18,2,FALSE)*[1]Energiindhold!$C$10,0))*O104</f>
        <v>#REF!</v>
      </c>
      <c r="R104" s="192" t="e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#REF!</v>
      </c>
      <c r="S104" s="192" t="e">
        <f>IFERROR(VLOOKUP(A104,[1]Biogasudbytte!$A$2:$B$18,2,FALSE)*[1]Energiindhold!$C$10,0)*J104*IFERROR(VLOOKUP(A104,Biogasanlæg!$F$3:$G$8,2,FALSE),1)</f>
        <v>#REF!</v>
      </c>
      <c r="T104" s="193" t="e">
        <f t="shared" si="25"/>
        <v>#REF!</v>
      </c>
      <c r="U104" s="191" t="e">
        <f>O104*IFERROR(VLOOKUP(A104,[1]Tørstofindhold!A$2:B$24,2,FALSE),0)</f>
        <v>#REF!</v>
      </c>
      <c r="V104" s="192" t="e">
        <f>IF(D104=År1,P104,SUM(O104,P104))*IFERROR(VLOOKUP(A104,[1]Tørstofindhold!A$2:B$24,2,FALSE),0)</f>
        <v>#REF!</v>
      </c>
      <c r="W104" s="192" t="e">
        <f>J104*IFERROR(VLOOKUP(A104,[1]Tørstofindhold!A$2:B$24,2,FALSE),0)</f>
        <v>#REF!</v>
      </c>
      <c r="X104" s="193" t="e">
        <f t="shared" si="26"/>
        <v>#REF!</v>
      </c>
      <c r="Y104" s="171" t="e">
        <f t="shared" si="21"/>
        <v>#REF!</v>
      </c>
      <c r="Z104" s="103" t="e">
        <f t="shared" si="22"/>
        <v>#REF!</v>
      </c>
    </row>
    <row r="105" spans="1:26" x14ac:dyDescent="0.25">
      <c r="A105" s="194" t="str">
        <f t="shared" si="33"/>
        <v>Dybstrøelse</v>
      </c>
      <c r="B105" s="194" t="str">
        <f t="shared" si="34"/>
        <v>Husdyrgødning</v>
      </c>
      <c r="C105" s="194">
        <f>IF(COUNTIFS('Resultater - Danmark'!$D$3:$D$482,'Resultat-Produktion &amp; forbrug'!A105,'Resultater - Danmark'!$A$3:$A$482,"Til energi")+COUNTIFS('Resultater - Danmark'!$D$3:$D$482,'Resultat-Produktion &amp; forbrug'!A105,'Resultater - Danmark'!$A$3:$A$482,"Biogasanlæg")&gt;0,1,0)</f>
        <v>1</v>
      </c>
      <c r="D105" s="194">
        <f t="shared" si="35"/>
        <v>2050</v>
      </c>
      <c r="E105" s="192" t="s">
        <v>23</v>
      </c>
      <c r="F105" s="195">
        <f>IF(E105="Vestdanmark",SUMIFS(IF(D105=År1,'Resultater - Vestdanmark'!H$3:H$482,IF(D105=År2,'Resultater - Vestdanmark'!I$3:I$482,'Resultater - Vestdanmark'!J$3:J$482)),'Resultater - Vestdanmark'!$F$3:$F$482,$A105,IF(D105=År1,'Resultater - Vestdanmark'!H$3:H$482,IF(D105=År2,'Resultater - Vestdanmark'!I$3:I$482,'Resultater - Vestdanmark'!J$3:J$482)),"&gt;0"),SUMIFS(IF(D105=År1,'Resultater - Østdanmark'!H$3:H$482,IF(D105=År2,'Resultater - Østdanmark'!I$3:I$482,'Resultater - Østdanmark'!J$3:J$482)),'Resultater - Østdanmark'!$F$3:$F$482,$A105,IF(D105=År1,'Resultater - Østdanmark'!H$3:H$482,IF(D105=År2,'Resultater - Østdanmark'!I$3:I$482,'Resultater - Østdanmark'!J$3:J$482)),"&gt;0"))</f>
        <v>0</v>
      </c>
      <c r="G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92">
        <f>IF(E105="Vestdanmark",-IF(A105="Halm",SUMIFS(IF(D105=År1,'Resultater - Vestdanmark'!H$3:H$482,IF(D105=År2,'Resultater - Vestdanmark'!I$3:I$482,'Resultater - Vestdanmark'!J$3:J$482)),'Resultater - Vestdanmark'!$F$3:$F$482,$A105,'Resultater - Vestdanmark'!H$3:H$482,"&lt;0"),0),-IF(A105="Halm",SUMIFS(IF(D105=År1,'Resultater - Østdanmark'!H$3:H$482,IF(D105=År2,'Resultater - Østdanmark'!I$3:I$482,'Resultater - Østdanmark'!J$3:J$482)),'Resultater - Østdanmark'!$F$3:$F$482,$A105,'Resultater - Østdanmark'!H$3:H$482,"&lt;0"),0))</f>
        <v>0</v>
      </c>
      <c r="I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5" t="e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#REF!</v>
      </c>
      <c r="K105" s="195" t="e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#REF!</v>
      </c>
      <c r="L105" s="195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7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4" t="e">
        <f t="shared" si="23"/>
        <v>#REF!</v>
      </c>
      <c r="O105" s="195" t="e">
        <f t="shared" si="20"/>
        <v>#REF!</v>
      </c>
      <c r="P105" s="205" t="e">
        <f t="shared" si="24"/>
        <v>#REF!</v>
      </c>
      <c r="Q105" s="192" t="e">
        <f>IFERROR(VLOOKUP(A105,[1]Energiindhold!$A$2:$C$11,3,FALSE),IFERROR(VLOOKUP(A105,[1]Biogasudbytte!$A$2:$B$18,2,FALSE)*[1]Energiindhold!$C$10,0))*O105</f>
        <v>#REF!</v>
      </c>
      <c r="R105" s="192" t="e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#REF!</v>
      </c>
      <c r="S105" s="192" t="e">
        <f>IFERROR(VLOOKUP(A105,[1]Biogasudbytte!$A$2:$B$18,2,FALSE)*[1]Energiindhold!$C$10,0)*J105*IFERROR(VLOOKUP(A105,Biogasanlæg!$F$3:$G$8,2,FALSE),1)</f>
        <v>#REF!</v>
      </c>
      <c r="T105" s="193" t="e">
        <f t="shared" si="25"/>
        <v>#REF!</v>
      </c>
      <c r="U105" s="191" t="e">
        <f>O105*IFERROR(VLOOKUP(A105,[1]Tørstofindhold!A$2:B$24,2,FALSE),0)</f>
        <v>#REF!</v>
      </c>
      <c r="V105" s="192" t="e">
        <f>IF(D105=År1,P105,SUM(O105,P105))*IFERROR(VLOOKUP(A105,[1]Tørstofindhold!A$2:B$24,2,FALSE),0)</f>
        <v>#REF!</v>
      </c>
      <c r="W105" s="192" t="e">
        <f>J105*IFERROR(VLOOKUP(A105,[1]Tørstofindhold!A$2:B$24,2,FALSE),0)</f>
        <v>#REF!</v>
      </c>
      <c r="X105" s="193" t="e">
        <f t="shared" si="26"/>
        <v>#REF!</v>
      </c>
      <c r="Y105" s="171" t="e">
        <f t="shared" si="21"/>
        <v>#REF!</v>
      </c>
      <c r="Z105" s="103" t="e">
        <f t="shared" si="22"/>
        <v>#REF!</v>
      </c>
    </row>
    <row r="106" spans="1:26" x14ac:dyDescent="0.25">
      <c r="A106" s="194" t="str">
        <f t="shared" si="33"/>
        <v>Fiberfraktion</v>
      </c>
      <c r="B106" s="194" t="str">
        <f t="shared" si="34"/>
        <v/>
      </c>
      <c r="C106" s="194">
        <f>IF(COUNTIFS('Resultater - Danmark'!$D$3:$D$482,'Resultat-Produktion &amp; forbrug'!A106,'Resultater - Danmark'!$A$3:$A$482,"Til energi")+COUNTIFS('Resultater - Danmark'!$D$3:$D$482,'Resultat-Produktion &amp; forbrug'!A106,'Resultater - Danmark'!$A$3:$A$482,"Biogasanlæg")&gt;0,1,0)</f>
        <v>0</v>
      </c>
      <c r="D106" s="194">
        <f t="shared" si="35"/>
        <v>2050</v>
      </c>
      <c r="E106" s="192" t="s">
        <v>23</v>
      </c>
      <c r="F106" s="195">
        <f>IF(E106="Vestdanmark",SUMIFS(IF(D106=År1,'Resultater - Vestdanmark'!H$3:H$482,IF(D106=År2,'Resultater - Vestdanmark'!I$3:I$482,'Resultater - Vestdanmark'!J$3:J$482)),'Resultater - Vestdanmark'!$F$3:$F$482,$A106,IF(D106=År1,'Resultater - Vestdanmark'!H$3:H$482,IF(D106=År2,'Resultater - Vestdanmark'!I$3:I$482,'Resultater - Vestdanmark'!J$3:J$482)),"&gt;0"),SUMIFS(IF(D106=År1,'Resultater - Østdanmark'!H$3:H$482,IF(D106=År2,'Resultater - Østdanmark'!I$3:I$482,'Resultater - Østdanmark'!J$3:J$482)),'Resultater - Østdanmark'!$F$3:$F$482,$A106,IF(D106=År1,'Resultater - Østdanmark'!H$3:H$482,IF(D106=År2,'Resultater - Østdanmark'!I$3:I$482,'Resultater - Østdanmark'!J$3:J$482)),"&gt;0"))</f>
        <v>0</v>
      </c>
      <c r="G106" s="195" t="e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#REF!</v>
      </c>
      <c r="H106" s="192">
        <f>IF(E106="Vestdanmark",-IF(A106="Halm",SUMIFS(IF(D106=År1,'Resultater - Vestdanmark'!H$3:H$482,IF(D106=År2,'Resultater - Vestdanmark'!I$3:I$482,'Resultater - Vestdanmark'!J$3:J$482)),'Resultater - Vestdanmark'!$F$3:$F$482,$A106,'Resultater - Vestdanmark'!H$3:H$482,"&lt;0"),0),-IF(A106="Halm",SUMIFS(IF(D106=År1,'Resultater - Østdanmark'!H$3:H$482,IF(D106=År2,'Resultater - Østdanmark'!I$3:I$482,'Resultater - Østdanmark'!J$3:J$482)),'Resultater - Østdanmark'!$F$3:$F$482,$A106,'Resultater - Østdanmark'!H$3:H$482,"&lt;0"),0))</f>
        <v>0</v>
      </c>
      <c r="I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5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7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4" t="e">
        <f t="shared" si="23"/>
        <v>#REF!</v>
      </c>
      <c r="O106" s="195">
        <f t="shared" si="20"/>
        <v>0</v>
      </c>
      <c r="P106" s="205">
        <f t="shared" si="24"/>
        <v>0</v>
      </c>
      <c r="Q106" s="192">
        <f>IFERROR(VLOOKUP(A106,[1]Energiindhold!$A$2:$C$11,3,FALSE),IFERROR(VLOOKUP(A106,[1]Biogasudbytte!$A$2:$B$18,2,FALSE)*[1]Energiindhold!$C$10,0))*O106</f>
        <v>0</v>
      </c>
      <c r="R106" s="192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92">
        <f>IFERROR(VLOOKUP(A106,[1]Biogasudbytte!$A$2:$B$18,2,FALSE)*[1]Energiindhold!$C$10,0)*J106*IFERROR(VLOOKUP(A106,Biogasanlæg!$F$3:$G$8,2,FALSE),1)</f>
        <v>0</v>
      </c>
      <c r="T106" s="193">
        <f t="shared" si="25"/>
        <v>0</v>
      </c>
      <c r="U106" s="191">
        <f>O106*IFERROR(VLOOKUP(A106,[1]Tørstofindhold!A$2:B$24,2,FALSE),0)</f>
        <v>0</v>
      </c>
      <c r="V106" s="192">
        <f>IF(D106=År1,P106,SUM(O106,P106))*IFERROR(VLOOKUP(A106,[1]Tørstofindhold!A$2:B$24,2,FALSE),0)</f>
        <v>0</v>
      </c>
      <c r="W106" s="192">
        <f>J106*IFERROR(VLOOKUP(A106,[1]Tørstofindhold!A$2:B$24,2,FALSE),0)</f>
        <v>0</v>
      </c>
      <c r="X106" s="193">
        <f t="shared" si="26"/>
        <v>0</v>
      </c>
      <c r="Y106" s="171" t="e">
        <f t="shared" si="21"/>
        <v>#REF!</v>
      </c>
      <c r="Z106" s="103" t="e">
        <f t="shared" si="22"/>
        <v>#REF!</v>
      </c>
    </row>
    <row r="107" spans="1:26" x14ac:dyDescent="0.25">
      <c r="A107" s="194" t="str">
        <f t="shared" si="33"/>
        <v>Fjerkrægylle</v>
      </c>
      <c r="B107" s="194" t="str">
        <f t="shared" si="34"/>
        <v>Husdyrgødning</v>
      </c>
      <c r="C107" s="194">
        <f>IF(COUNTIFS('Resultater - Danmark'!$D$3:$D$482,'Resultat-Produktion &amp; forbrug'!A107,'Resultater - Danmark'!$A$3:$A$482,"Til energi")+COUNTIFS('Resultater - Danmark'!$D$3:$D$482,'Resultat-Produktion &amp; forbrug'!A107,'Resultater - Danmark'!$A$3:$A$482,"Biogasanlæg")&gt;0,1,0)</f>
        <v>1</v>
      </c>
      <c r="D107" s="194">
        <f t="shared" si="35"/>
        <v>2050</v>
      </c>
      <c r="E107" s="192" t="s">
        <v>23</v>
      </c>
      <c r="F107" s="195">
        <f>IF(E107="Vestdanmark",SUMIFS(IF(D107=År1,'Resultater - Vestdanmark'!H$3:H$482,IF(D107=År2,'Resultater - Vestdanmark'!I$3:I$482,'Resultater - Vestdanmark'!J$3:J$482)),'Resultater - Vestdanmark'!$F$3:$F$482,$A107,IF(D107=År1,'Resultater - Vestdanmark'!H$3:H$482,IF(D107=År2,'Resultater - Vestdanmark'!I$3:I$482,'Resultater - Vestdanmark'!J$3:J$482)),"&gt;0"),SUMIFS(IF(D107=År1,'Resultater - Østdanmark'!H$3:H$482,IF(D107=År2,'Resultater - Østdanmark'!I$3:I$482,'Resultater - Østdanmark'!J$3:J$482)),'Resultater - Østdanmark'!$F$3:$F$482,$A107,IF(D107=År1,'Resultater - Østdanmark'!H$3:H$482,IF(D107=År2,'Resultater - Østdanmark'!I$3:I$482,'Resultater - Østdanmark'!J$3:J$482)),"&gt;0"))</f>
        <v>0</v>
      </c>
      <c r="G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92">
        <f>IF(E107="Vestdanmark",-IF(A107="Halm",SUMIFS(IF(D107=År1,'Resultater - Vestdanmark'!H$3:H$482,IF(D107=År2,'Resultater - Vestdanmark'!I$3:I$482,'Resultater - Vestdanmark'!J$3:J$482)),'Resultater - Vestdanmark'!$F$3:$F$482,$A107,'Resultater - Vestdanmark'!H$3:H$482,"&lt;0"),0),-IF(A107="Halm",SUMIFS(IF(D107=År1,'Resultater - Østdanmark'!H$3:H$482,IF(D107=År2,'Resultater - Østdanmark'!I$3:I$482,'Resultater - Østdanmark'!J$3:J$482)),'Resultater - Østdanmark'!$F$3:$F$482,$A107,'Resultater - Østdanmark'!H$3:H$482,"&lt;0"),0))</f>
        <v>0</v>
      </c>
      <c r="I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5" t="e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#REF!</v>
      </c>
      <c r="K107" s="195" t="e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#REF!</v>
      </c>
      <c r="L107" s="195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7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4" t="e">
        <f t="shared" si="23"/>
        <v>#REF!</v>
      </c>
      <c r="O107" s="195" t="e">
        <f t="shared" si="20"/>
        <v>#REF!</v>
      </c>
      <c r="P107" s="205" t="e">
        <f t="shared" si="24"/>
        <v>#REF!</v>
      </c>
      <c r="Q107" s="192" t="e">
        <f>IFERROR(VLOOKUP(A107,[1]Energiindhold!$A$2:$C$11,3,FALSE),IFERROR(VLOOKUP(A107,[1]Biogasudbytte!$A$2:$B$18,2,FALSE)*[1]Energiindhold!$C$10,0))*O107</f>
        <v>#REF!</v>
      </c>
      <c r="R107" s="192" t="e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#REF!</v>
      </c>
      <c r="S107" s="192" t="e">
        <f>IFERROR(VLOOKUP(A107,[1]Biogasudbytte!$A$2:$B$18,2,FALSE)*[1]Energiindhold!$C$10,0)*J107*IFERROR(VLOOKUP(A107,Biogasanlæg!$F$3:$G$8,2,FALSE),1)</f>
        <v>#REF!</v>
      </c>
      <c r="T107" s="193" t="e">
        <f t="shared" si="25"/>
        <v>#REF!</v>
      </c>
      <c r="U107" s="191" t="e">
        <f>O107*IFERROR(VLOOKUP(A107,[1]Tørstofindhold!A$2:B$24,2,FALSE),0)</f>
        <v>#REF!</v>
      </c>
      <c r="V107" s="192" t="e">
        <f>IF(D107=År1,P107,SUM(O107,P107))*IFERROR(VLOOKUP(A107,[1]Tørstofindhold!A$2:B$24,2,FALSE),0)</f>
        <v>#REF!</v>
      </c>
      <c r="W107" s="192" t="e">
        <f>J107*IFERROR(VLOOKUP(A107,[1]Tørstofindhold!A$2:B$24,2,FALSE),0)</f>
        <v>#REF!</v>
      </c>
      <c r="X107" s="193" t="e">
        <f t="shared" si="26"/>
        <v>#REF!</v>
      </c>
      <c r="Y107" s="171" t="e">
        <f t="shared" si="21"/>
        <v>#REF!</v>
      </c>
      <c r="Z107" s="103" t="e">
        <f t="shared" si="22"/>
        <v>#REF!</v>
      </c>
    </row>
    <row r="108" spans="1:26" x14ac:dyDescent="0.25">
      <c r="A108" s="194" t="str">
        <f t="shared" si="33"/>
        <v>Fjerkrækød</v>
      </c>
      <c r="B108" s="194" t="str">
        <f t="shared" si="34"/>
        <v/>
      </c>
      <c r="C108" s="194">
        <f>IF(COUNTIFS('Resultater - Danmark'!$D$3:$D$482,'Resultat-Produktion &amp; forbrug'!A108,'Resultater - Danmark'!$A$3:$A$482,"Til energi")+COUNTIFS('Resultater - Danmark'!$D$3:$D$482,'Resultat-Produktion &amp; forbrug'!A108,'Resultater - Danmark'!$A$3:$A$482,"Biogasanlæg")&gt;0,1,0)</f>
        <v>0</v>
      </c>
      <c r="D108" s="194">
        <f t="shared" si="35"/>
        <v>2050</v>
      </c>
      <c r="E108" s="192" t="s">
        <v>23</v>
      </c>
      <c r="F108" s="195">
        <f>IF(E108="Vestdanmark",SUMIFS(IF(D108=År1,'Resultater - Vestdanmark'!H$3:H$482,IF(D108=År2,'Resultater - Vestdanmark'!I$3:I$482,'Resultater - Vestdanmark'!J$3:J$482)),'Resultater - Vestdanmark'!$F$3:$F$482,$A108,IF(D108=År1,'Resultater - Vestdanmark'!H$3:H$482,IF(D108=År2,'Resultater - Vestdanmark'!I$3:I$482,'Resultater - Vestdanmark'!J$3:J$482)),"&gt;0"),SUMIFS(IF(D108=År1,'Resultater - Østdanmark'!H$3:H$482,IF(D108=År2,'Resultater - Østdanmark'!I$3:I$482,'Resultater - Østdanmark'!J$3:J$482)),'Resultater - Østdanmark'!$F$3:$F$482,$A108,IF(D108=År1,'Resultater - Østdanmark'!H$3:H$482,IF(D108=År2,'Resultater - Østdanmark'!I$3:I$482,'Resultater - Østdanmark'!J$3:J$482)),"&gt;0"))</f>
        <v>0</v>
      </c>
      <c r="G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92">
        <f>IF(E108="Vestdanmark",-IF(A108="Halm",SUMIFS(IF(D108=År1,'Resultater - Vestdanmark'!H$3:H$482,IF(D108=År2,'Resultater - Vestdanmark'!I$3:I$482,'Resultater - Vestdanmark'!J$3:J$482)),'Resultater - Vestdanmark'!$F$3:$F$482,$A108,'Resultater - Vestdanmark'!H$3:H$482,"&lt;0"),0),-IF(A108="Halm",SUMIFS(IF(D108=År1,'Resultater - Østdanmark'!H$3:H$482,IF(D108=År2,'Resultater - Østdanmark'!I$3:I$482,'Resultater - Østdanmark'!J$3:J$482)),'Resultater - Østdanmark'!$F$3:$F$482,$A108,'Resultater - Østdanmark'!H$3:H$482,"&lt;0"),0))</f>
        <v>0</v>
      </c>
      <c r="I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5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7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4">
        <f t="shared" si="23"/>
        <v>-36670.799626981883</v>
      </c>
      <c r="O108" s="195">
        <f t="shared" si="20"/>
        <v>0</v>
      </c>
      <c r="P108" s="205">
        <f t="shared" si="24"/>
        <v>0</v>
      </c>
      <c r="Q108" s="192">
        <f>IFERROR(VLOOKUP(A108,[1]Energiindhold!$A$2:$C$11,3,FALSE),IFERROR(VLOOKUP(A108,[1]Biogasudbytte!$A$2:$B$18,2,FALSE)*[1]Energiindhold!$C$10,0))*O108</f>
        <v>0</v>
      </c>
      <c r="R108" s="192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92">
        <f>IFERROR(VLOOKUP(A108,[1]Biogasudbytte!$A$2:$B$18,2,FALSE)*[1]Energiindhold!$C$10,0)*J108*IFERROR(VLOOKUP(A108,Biogasanlæg!$F$3:$G$8,2,FALSE),1)</f>
        <v>0</v>
      </c>
      <c r="T108" s="193">
        <f t="shared" si="25"/>
        <v>0</v>
      </c>
      <c r="U108" s="191">
        <f>O108*IFERROR(VLOOKUP(A108,[1]Tørstofindhold!A$2:B$24,2,FALSE),0)</f>
        <v>0</v>
      </c>
      <c r="V108" s="192">
        <f>IF(D108=År1,P108,SUM(O108,P108))*IFERROR(VLOOKUP(A108,[1]Tørstofindhold!A$2:B$24,2,FALSE),0)</f>
        <v>0</v>
      </c>
      <c r="W108" s="192">
        <f>J108*IFERROR(VLOOKUP(A108,[1]Tørstofindhold!A$2:B$24,2,FALSE),0)</f>
        <v>0</v>
      </c>
      <c r="X108" s="193">
        <f t="shared" si="26"/>
        <v>0</v>
      </c>
      <c r="Y108" s="171">
        <f t="shared" si="21"/>
        <v>1</v>
      </c>
      <c r="Z108" s="103">
        <f t="shared" si="22"/>
        <v>0</v>
      </c>
    </row>
    <row r="109" spans="1:26" x14ac:dyDescent="0.25">
      <c r="A109" s="194" t="str">
        <f t="shared" si="33"/>
        <v>Frø</v>
      </c>
      <c r="B109" s="194" t="str">
        <f t="shared" si="34"/>
        <v/>
      </c>
      <c r="C109" s="194">
        <f>IF(COUNTIFS('Resultater - Danmark'!$D$3:$D$482,'Resultat-Produktion &amp; forbrug'!A109,'Resultater - Danmark'!$A$3:$A$482,"Til energi")+COUNTIFS('Resultater - Danmark'!$D$3:$D$482,'Resultat-Produktion &amp; forbrug'!A109,'Resultater - Danmark'!$A$3:$A$482,"Biogasanlæg")&gt;0,1,0)</f>
        <v>0</v>
      </c>
      <c r="D109" s="194">
        <f t="shared" si="35"/>
        <v>2050</v>
      </c>
      <c r="E109" s="192" t="s">
        <v>23</v>
      </c>
      <c r="F109" s="195">
        <f>IF(E109="Vestdanmark",SUMIFS(IF(D109=År1,'Resultater - Vestdanmark'!H$3:H$482,IF(D109=År2,'Resultater - Vestdanmark'!I$3:I$482,'Resultater - Vestdanmark'!J$3:J$482)),'Resultater - Vestdanmark'!$F$3:$F$482,$A109,IF(D109=År1,'Resultater - Vestdanmark'!H$3:H$482,IF(D109=År2,'Resultater - Vestdanmark'!I$3:I$482,'Resultater - Vestdanmark'!J$3:J$482)),"&gt;0"),SUMIFS(IF(D109=År1,'Resultater - Østdanmark'!H$3:H$482,IF(D109=År2,'Resultater - Østdanmark'!I$3:I$482,'Resultater - Østdanmark'!J$3:J$482)),'Resultater - Østdanmark'!$F$3:$F$482,$A109,IF(D109=År1,'Resultater - Østdanmark'!H$3:H$482,IF(D109=År2,'Resultater - Østdanmark'!I$3:I$482,'Resultater - Østdanmark'!J$3:J$482)),"&gt;0"))</f>
        <v>0</v>
      </c>
      <c r="G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92">
        <f>IF(E109="Vestdanmark",-IF(A109="Halm",SUMIFS(IF(D109=År1,'Resultater - Vestdanmark'!H$3:H$482,IF(D109=År2,'Resultater - Vestdanmark'!I$3:I$482,'Resultater - Vestdanmark'!J$3:J$482)),'Resultater - Vestdanmark'!$F$3:$F$482,$A109,'Resultater - Vestdanmark'!H$3:H$482,"&lt;0"),0),-IF(A109="Halm",SUMIFS(IF(D109=År1,'Resultater - Østdanmark'!H$3:H$482,IF(D109=År2,'Resultater - Østdanmark'!I$3:I$482,'Resultater - Østdanmark'!J$3:J$482)),'Resultater - Østdanmark'!$F$3:$F$482,$A109,'Resultater - Østdanmark'!H$3:H$482,"&lt;0"),0))</f>
        <v>0</v>
      </c>
      <c r="I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5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7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4">
        <f t="shared" si="23"/>
        <v>0</v>
      </c>
      <c r="O109" s="195">
        <f t="shared" si="20"/>
        <v>0</v>
      </c>
      <c r="P109" s="205">
        <f t="shared" si="24"/>
        <v>0</v>
      </c>
      <c r="Q109" s="192">
        <f>IFERROR(VLOOKUP(A109,[1]Energiindhold!$A$2:$C$11,3,FALSE),IFERROR(VLOOKUP(A109,[1]Biogasudbytte!$A$2:$B$18,2,FALSE)*[1]Energiindhold!$C$10,0))*O109</f>
        <v>0</v>
      </c>
      <c r="R109" s="192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92">
        <f>IFERROR(VLOOKUP(A109,[1]Biogasudbytte!$A$2:$B$18,2,FALSE)*[1]Energiindhold!$C$10,0)*J109*IFERROR(VLOOKUP(A109,Biogasanlæg!$F$3:$G$8,2,FALSE),1)</f>
        <v>0</v>
      </c>
      <c r="T109" s="193">
        <f t="shared" si="25"/>
        <v>0</v>
      </c>
      <c r="U109" s="191">
        <f>O109*IFERROR(VLOOKUP(A109,[1]Tørstofindhold!A$2:B$24,2,FALSE),0)</f>
        <v>0</v>
      </c>
      <c r="V109" s="192">
        <f>IF(D109=År1,P109,SUM(O109,P109))*IFERROR(VLOOKUP(A109,[1]Tørstofindhold!A$2:B$24,2,FALSE),0)</f>
        <v>0</v>
      </c>
      <c r="W109" s="192">
        <f>J109*IFERROR(VLOOKUP(A109,[1]Tørstofindhold!A$2:B$24,2,FALSE),0)</f>
        <v>0</v>
      </c>
      <c r="X109" s="193">
        <f t="shared" si="26"/>
        <v>0</v>
      </c>
      <c r="Y109" s="171">
        <f t="shared" si="21"/>
        <v>0</v>
      </c>
      <c r="Z109" s="103">
        <f t="shared" si="22"/>
        <v>0</v>
      </c>
    </row>
    <row r="110" spans="1:26" x14ac:dyDescent="0.25">
      <c r="A110" s="194" t="str">
        <f t="shared" si="33"/>
        <v>Frugt</v>
      </c>
      <c r="B110" s="194" t="str">
        <f t="shared" si="34"/>
        <v/>
      </c>
      <c r="C110" s="194">
        <f>IF(COUNTIFS('Resultater - Danmark'!$D$3:$D$482,'Resultat-Produktion &amp; forbrug'!A110,'Resultater - Danmark'!$A$3:$A$482,"Til energi")+COUNTIFS('Resultater - Danmark'!$D$3:$D$482,'Resultat-Produktion &amp; forbrug'!A110,'Resultater - Danmark'!$A$3:$A$482,"Biogasanlæg")&gt;0,1,0)</f>
        <v>0</v>
      </c>
      <c r="D110" s="194">
        <f t="shared" si="35"/>
        <v>2050</v>
      </c>
      <c r="E110" s="192" t="s">
        <v>23</v>
      </c>
      <c r="F110" s="195">
        <f>IF(E110="Vestdanmark",SUMIFS(IF(D110=År1,'Resultater - Vestdanmark'!H$3:H$482,IF(D110=År2,'Resultater - Vestdanmark'!I$3:I$482,'Resultater - Vestdanmark'!J$3:J$482)),'Resultater - Vestdanmark'!$F$3:$F$482,$A110,IF(D110=År1,'Resultater - Vestdanmark'!H$3:H$482,IF(D110=År2,'Resultater - Vestdanmark'!I$3:I$482,'Resultater - Vestdanmark'!J$3:J$482)),"&gt;0"),SUMIFS(IF(D110=År1,'Resultater - Østdanmark'!H$3:H$482,IF(D110=År2,'Resultater - Østdanmark'!I$3:I$482,'Resultater - Østdanmark'!J$3:J$482)),'Resultater - Østdanmark'!$F$3:$F$482,$A110,IF(D110=År1,'Resultater - Østdanmark'!H$3:H$482,IF(D110=År2,'Resultater - Østdanmark'!I$3:I$482,'Resultater - Østdanmark'!J$3:J$482)),"&gt;0"))</f>
        <v>0</v>
      </c>
      <c r="G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92">
        <f>IF(E110="Vestdanmark",-IF(A110="Halm",SUMIFS(IF(D110=År1,'Resultater - Vestdanmark'!H$3:H$482,IF(D110=År2,'Resultater - Vestdanmark'!I$3:I$482,'Resultater - Vestdanmark'!J$3:J$482)),'Resultater - Vestdanmark'!$F$3:$F$482,$A110,'Resultater - Vestdanmark'!H$3:H$482,"&lt;0"),0),-IF(A110="Halm",SUMIFS(IF(D110=År1,'Resultater - Østdanmark'!H$3:H$482,IF(D110=År2,'Resultater - Østdanmark'!I$3:I$482,'Resultater - Østdanmark'!J$3:J$482)),'Resultater - Østdanmark'!$F$3:$F$482,$A110,'Resultater - Østdanmark'!H$3:H$482,"&lt;0"),0))</f>
        <v>0</v>
      </c>
      <c r="I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5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7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4">
        <f t="shared" si="23"/>
        <v>-267978.92035102146</v>
      </c>
      <c r="O110" s="195">
        <f t="shared" si="20"/>
        <v>0</v>
      </c>
      <c r="P110" s="205">
        <f t="shared" si="24"/>
        <v>0</v>
      </c>
      <c r="Q110" s="192">
        <f>IFERROR(VLOOKUP(A110,[1]Energiindhold!$A$2:$C$11,3,FALSE),IFERROR(VLOOKUP(A110,[1]Biogasudbytte!$A$2:$B$18,2,FALSE)*[1]Energiindhold!$C$10,0))*O110</f>
        <v>0</v>
      </c>
      <c r="R110" s="192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92">
        <f>IFERROR(VLOOKUP(A110,[1]Biogasudbytte!$A$2:$B$18,2,FALSE)*[1]Energiindhold!$C$10,0)*J110*IFERROR(VLOOKUP(A110,Biogasanlæg!$F$3:$G$8,2,FALSE),1)</f>
        <v>0</v>
      </c>
      <c r="T110" s="193">
        <f t="shared" si="25"/>
        <v>0</v>
      </c>
      <c r="U110" s="191">
        <f>O110*IFERROR(VLOOKUP(A110,[1]Tørstofindhold!A$2:B$24,2,FALSE),0)</f>
        <v>0</v>
      </c>
      <c r="V110" s="192">
        <f>IF(D110=År1,P110,SUM(O110,P110))*IFERROR(VLOOKUP(A110,[1]Tørstofindhold!A$2:B$24,2,FALSE),0)</f>
        <v>0</v>
      </c>
      <c r="W110" s="192">
        <f>J110*IFERROR(VLOOKUP(A110,[1]Tørstofindhold!A$2:B$24,2,FALSE),0)</f>
        <v>0</v>
      </c>
      <c r="X110" s="193">
        <f t="shared" si="26"/>
        <v>0</v>
      </c>
      <c r="Y110" s="171">
        <f t="shared" si="21"/>
        <v>1</v>
      </c>
      <c r="Z110" s="103">
        <f t="shared" si="22"/>
        <v>0</v>
      </c>
    </row>
    <row r="111" spans="1:26" x14ac:dyDescent="0.25">
      <c r="A111" s="194" t="str">
        <f t="shared" si="33"/>
        <v>Glycerin</v>
      </c>
      <c r="B111" s="194" t="str">
        <f t="shared" si="34"/>
        <v>Glycerin</v>
      </c>
      <c r="C111" s="194">
        <f>IF(COUNTIFS('Resultater - Danmark'!$D$3:$D$482,'Resultat-Produktion &amp; forbrug'!A111,'Resultater - Danmark'!$A$3:$A$482,"Til energi")+COUNTIFS('Resultater - Danmark'!$D$3:$D$482,'Resultat-Produktion &amp; forbrug'!A111,'Resultater - Danmark'!$A$3:$A$482,"Biogasanlæg")&gt;0,1,0)</f>
        <v>1</v>
      </c>
      <c r="D111" s="194">
        <f t="shared" si="35"/>
        <v>2050</v>
      </c>
      <c r="E111" s="192" t="s">
        <v>23</v>
      </c>
      <c r="F111" s="195">
        <f>IF(E111="Vestdanmark",SUMIFS(IF(D111=År1,'Resultater - Vestdanmark'!H$3:H$482,IF(D111=År2,'Resultater - Vestdanmark'!I$3:I$482,'Resultater - Vestdanmark'!J$3:J$482)),'Resultater - Vestdanmark'!$F$3:$F$482,$A111,IF(D111=År1,'Resultater - Vestdanmark'!H$3:H$482,IF(D111=År2,'Resultater - Vestdanmark'!I$3:I$482,'Resultater - Vestdanmark'!J$3:J$482)),"&gt;0"),SUMIFS(IF(D111=År1,'Resultater - Østdanmark'!H$3:H$482,IF(D111=År2,'Resultater - Østdanmark'!I$3:I$482,'Resultater - Østdanmark'!J$3:J$482)),'Resultater - Østdanmark'!$F$3:$F$482,$A111,IF(D111=År1,'Resultater - Østdanmark'!H$3:H$482,IF(D111=År2,'Resultater - Østdanmark'!I$3:I$482,'Resultater - Østdanmark'!J$3:J$482)),"&gt;0"))</f>
        <v>0</v>
      </c>
      <c r="G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92">
        <f>IF(E111="Vestdanmark",-IF(A111="Halm",SUMIFS(IF(D111=År1,'Resultater - Vestdanmark'!H$3:H$482,IF(D111=År2,'Resultater - Vestdanmark'!I$3:I$482,'Resultater - Vestdanmark'!J$3:J$482)),'Resultater - Vestdanmark'!$F$3:$F$482,$A111,'Resultater - Vestdanmark'!H$3:H$482,"&lt;0"),0),-IF(A111="Halm",SUMIFS(IF(D111=År1,'Resultater - Østdanmark'!H$3:H$482,IF(D111=År2,'Resultater - Østdanmark'!I$3:I$482,'Resultater - Østdanmark'!J$3:J$482)),'Resultater - Østdanmark'!$F$3:$F$482,$A111,'Resultater - Østdanmark'!H$3:H$482,"&lt;0"),0))</f>
        <v>0</v>
      </c>
      <c r="I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5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7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4">
        <f t="shared" si="23"/>
        <v>-114193.60000000001</v>
      </c>
      <c r="O111" s="195">
        <f t="shared" si="20"/>
        <v>0</v>
      </c>
      <c r="P111" s="205">
        <f t="shared" si="24"/>
        <v>114193.60000000001</v>
      </c>
      <c r="Q111" s="192">
        <f>IFERROR(VLOOKUP(A111,[1]Energiindhold!$A$2:$C$11,3,FALSE),IFERROR(VLOOKUP(A111,[1]Biogasudbytte!$A$2:$B$18,2,FALSE)*[1]Energiindhold!$C$10,0))*O111</f>
        <v>0</v>
      </c>
      <c r="R111" s="192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92">
        <f>IFERROR(VLOOKUP(A111,[1]Biogasudbytte!$A$2:$B$18,2,FALSE)*[1]Energiindhold!$C$10,0)*J111*IFERROR(VLOOKUP(A111,Biogasanlæg!$F$3:$G$8,2,FALSE),1)</f>
        <v>1.7355855896064003</v>
      </c>
      <c r="T111" s="193">
        <f t="shared" si="25"/>
        <v>0</v>
      </c>
      <c r="U111" s="191">
        <f>O111*IFERROR(VLOOKUP(A111,[1]Tørstofindhold!A$2:B$24,2,FALSE),0)</f>
        <v>0</v>
      </c>
      <c r="V111" s="192">
        <f>IF(D111=År1,P111,SUM(O111,P111))*IFERROR(VLOOKUP(A111,[1]Tørstofindhold!A$2:B$24,2,FALSE),0)</f>
        <v>102774.24</v>
      </c>
      <c r="W111" s="192">
        <f>J111*IFERROR(VLOOKUP(A111,[1]Tørstofindhold!A$2:B$24,2,FALSE),0)</f>
        <v>102774.24</v>
      </c>
      <c r="X111" s="193">
        <f t="shared" si="26"/>
        <v>0</v>
      </c>
      <c r="Y111" s="171">
        <f t="shared" si="21"/>
        <v>1</v>
      </c>
      <c r="Z111" s="103">
        <f t="shared" si="22"/>
        <v>0</v>
      </c>
    </row>
    <row r="112" spans="1:26" x14ac:dyDescent="0.25">
      <c r="A112" s="194" t="str">
        <f t="shared" si="33"/>
        <v>Græs</v>
      </c>
      <c r="B112" s="194" t="str">
        <f t="shared" si="34"/>
        <v>Græs og urter</v>
      </c>
      <c r="C112" s="194">
        <f>IF(COUNTIFS('Resultater - Danmark'!$D$3:$D$482,'Resultat-Produktion &amp; forbrug'!A112,'Resultater - Danmark'!$A$3:$A$482,"Til energi")+COUNTIFS('Resultater - Danmark'!$D$3:$D$482,'Resultat-Produktion &amp; forbrug'!A112,'Resultater - Danmark'!$A$3:$A$482,"Biogasanlæg")&gt;0,1,0)</f>
        <v>1</v>
      </c>
      <c r="D112" s="194">
        <f t="shared" si="35"/>
        <v>2050</v>
      </c>
      <c r="E112" s="192" t="s">
        <v>23</v>
      </c>
      <c r="F112" s="195">
        <f>IF(E112="Vestdanmark",SUMIFS(IF(D112=År1,'Resultater - Vestdanmark'!H$3:H$482,IF(D112=År2,'Resultater - Vestdanmark'!I$3:I$482,'Resultater - Vestdanmark'!J$3:J$482)),'Resultater - Vestdanmark'!$F$3:$F$482,$A112,IF(D112=År1,'Resultater - Vestdanmark'!H$3:H$482,IF(D112=År2,'Resultater - Vestdanmark'!I$3:I$482,'Resultater - Vestdanmark'!J$3:J$482)),"&gt;0"),SUMIFS(IF(D112=År1,'Resultater - Østdanmark'!H$3:H$482,IF(D112=År2,'Resultater - Østdanmark'!I$3:I$482,'Resultater - Østdanmark'!J$3:J$482)),'Resultater - Østdanmark'!$F$3:$F$482,$A112,IF(D112=År1,'Resultater - Østdanmark'!H$3:H$482,IF(D112=År2,'Resultater - Østdanmark'!I$3:I$482,'Resultater - Østdanmark'!J$3:J$482)),"&gt;0"))</f>
        <v>0</v>
      </c>
      <c r="G112" s="195" t="e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#REF!</v>
      </c>
      <c r="H112" s="192">
        <f>IF(E112="Vestdanmark",-IF(A112="Halm",SUMIFS(IF(D112=År1,'Resultater - Vestdanmark'!H$3:H$482,IF(D112=År2,'Resultater - Vestdanmark'!I$3:I$482,'Resultater - Vestdanmark'!J$3:J$482)),'Resultater - Vestdanmark'!$F$3:$F$482,$A112,'Resultater - Vestdanmark'!H$3:H$482,"&lt;0"),0),-IF(A112="Halm",SUMIFS(IF(D112=År1,'Resultater - Østdanmark'!H$3:H$482,IF(D112=År2,'Resultater - Østdanmark'!I$3:I$482,'Resultater - Østdanmark'!J$3:J$482)),'Resultater - Østdanmark'!$F$3:$F$482,$A112,'Resultater - Østdanmark'!H$3:H$482,"&lt;0"),0))</f>
        <v>0</v>
      </c>
      <c r="I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5" t="e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#REF!</v>
      </c>
      <c r="K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5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7" t="e">
        <f>SUMIFS('Forbrug af biomasse'!E:E,'Forbrug af biomasse'!C:C,'Resultat-Produktion &amp; forbrug'!$A112,'Forbrug af biomasse'!D:D,'Resultat-Produktion &amp; forbrug'!$D112,'Forbrug af biomasse'!G:G,1,'Forbrug af biomasse'!B:B,$E112)</f>
        <v>#REF!</v>
      </c>
      <c r="N112" s="204" t="e">
        <f t="shared" si="23"/>
        <v>#REF!</v>
      </c>
      <c r="O112" s="195" t="e">
        <f t="shared" si="20"/>
        <v>#REF!</v>
      </c>
      <c r="P112" s="205" t="e">
        <f t="shared" si="24"/>
        <v>#REF!</v>
      </c>
      <c r="Q112" s="192" t="e">
        <f>IFERROR(VLOOKUP(A112,[1]Energiindhold!$A$2:$C$11,3,FALSE),IFERROR(VLOOKUP(A112,[1]Biogasudbytte!$A$2:$B$18,2,FALSE)*[1]Energiindhold!$C$10,0))*O112</f>
        <v>#REF!</v>
      </c>
      <c r="R112" s="192" t="e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#REF!</v>
      </c>
      <c r="S112" s="192" t="e">
        <f>IFERROR(VLOOKUP(A112,[1]Biogasudbytte!$A$2:$B$18,2,FALSE)*[1]Energiindhold!$C$10,0)*J112*IFERROR(VLOOKUP(A112,Biogasanlæg!$F$3:$G$8,2,FALSE),1)</f>
        <v>#REF!</v>
      </c>
      <c r="T112" s="193" t="e">
        <f t="shared" si="25"/>
        <v>#REF!</v>
      </c>
      <c r="U112" s="191" t="e">
        <f>O112*IFERROR(VLOOKUP(A112,[1]Tørstofindhold!A$2:B$24,2,FALSE),0)</f>
        <v>#REF!</v>
      </c>
      <c r="V112" s="192" t="e">
        <f>IF(D112=År1,P112,SUM(O112,P112))*IFERROR(VLOOKUP(A112,[1]Tørstofindhold!A$2:B$24,2,FALSE),0)</f>
        <v>#REF!</v>
      </c>
      <c r="W112" s="192" t="e">
        <f>J112*IFERROR(VLOOKUP(A112,[1]Tørstofindhold!A$2:B$24,2,FALSE),0)</f>
        <v>#REF!</v>
      </c>
      <c r="X112" s="193" t="e">
        <f t="shared" si="26"/>
        <v>#REF!</v>
      </c>
      <c r="Y112" s="171" t="e">
        <f t="shared" si="21"/>
        <v>#REF!</v>
      </c>
      <c r="Z112" s="103" t="e">
        <f t="shared" si="22"/>
        <v>#REF!</v>
      </c>
    </row>
    <row r="113" spans="1:26" x14ac:dyDescent="0.25">
      <c r="A113" s="194" t="str">
        <f t="shared" si="33"/>
        <v>Græsprotein</v>
      </c>
      <c r="B113" s="194" t="str">
        <f t="shared" si="34"/>
        <v/>
      </c>
      <c r="C113" s="194">
        <f>IF(COUNTIFS('Resultater - Danmark'!$D$3:$D$482,'Resultat-Produktion &amp; forbrug'!A113,'Resultater - Danmark'!$A$3:$A$482,"Til energi")+COUNTIFS('Resultater - Danmark'!$D$3:$D$482,'Resultat-Produktion &amp; forbrug'!A113,'Resultater - Danmark'!$A$3:$A$482,"Biogasanlæg")&gt;0,1,0)</f>
        <v>0</v>
      </c>
      <c r="D113" s="194">
        <f t="shared" si="35"/>
        <v>2050</v>
      </c>
      <c r="E113" s="192" t="s">
        <v>23</v>
      </c>
      <c r="F113" s="195">
        <f>IF(E113="Vestdanmark",SUMIFS(IF(D113=År1,'Resultater - Vestdanmark'!H$3:H$482,IF(D113=År2,'Resultater - Vestdanmark'!I$3:I$482,'Resultater - Vestdanmark'!J$3:J$482)),'Resultater - Vestdanmark'!$F$3:$F$482,$A113,IF(D113=År1,'Resultater - Vestdanmark'!H$3:H$482,IF(D113=År2,'Resultater - Vestdanmark'!I$3:I$482,'Resultater - Vestdanmark'!J$3:J$482)),"&gt;0"),SUMIFS(IF(D113=År1,'Resultater - Østdanmark'!H$3:H$482,IF(D113=År2,'Resultater - Østdanmark'!I$3:I$482,'Resultater - Østdanmark'!J$3:J$482)),'Resultater - Østdanmark'!$F$3:$F$482,$A113,IF(D113=År1,'Resultater - Østdanmark'!H$3:H$482,IF(D113=År2,'Resultater - Østdanmark'!I$3:I$482,'Resultater - Østdanmark'!J$3:J$482)),"&gt;0"))</f>
        <v>0</v>
      </c>
      <c r="G113" s="195" t="e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#REF!</v>
      </c>
      <c r="H113" s="192">
        <f>IF(E113="Vestdanmark",-IF(A113="Halm",SUMIFS(IF(D113=År1,'Resultater - Vestdanmark'!H$3:H$482,IF(D113=År2,'Resultater - Vestdanmark'!I$3:I$482,'Resultater - Vestdanmark'!J$3:J$482)),'Resultater - Vestdanmark'!$F$3:$F$482,$A113,'Resultater - Vestdanmark'!H$3:H$482,"&lt;0"),0),-IF(A113="Halm",SUMIFS(IF(D113=År1,'Resultater - Østdanmark'!H$3:H$482,IF(D113=År2,'Resultater - Østdanmark'!I$3:I$482,'Resultater - Østdanmark'!J$3:J$482)),'Resultater - Østdanmark'!$F$3:$F$482,$A113,'Resultater - Østdanmark'!H$3:H$482,"&lt;0"),0))</f>
        <v>0</v>
      </c>
      <c r="I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5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7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4" t="e">
        <f t="shared" si="23"/>
        <v>#REF!</v>
      </c>
      <c r="O113" s="195">
        <f t="shared" si="20"/>
        <v>0</v>
      </c>
      <c r="P113" s="205">
        <f t="shared" si="24"/>
        <v>0</v>
      </c>
      <c r="Q113" s="192">
        <f>IFERROR(VLOOKUP(A113,[1]Energiindhold!$A$2:$C$11,3,FALSE),IFERROR(VLOOKUP(A113,[1]Biogasudbytte!$A$2:$B$18,2,FALSE)*[1]Energiindhold!$C$10,0))*O113</f>
        <v>0</v>
      </c>
      <c r="R113" s="192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92">
        <f>IFERROR(VLOOKUP(A113,[1]Biogasudbytte!$A$2:$B$18,2,FALSE)*[1]Energiindhold!$C$10,0)*J113*IFERROR(VLOOKUP(A113,Biogasanlæg!$F$3:$G$8,2,FALSE),1)</f>
        <v>0</v>
      </c>
      <c r="T113" s="193">
        <f t="shared" si="25"/>
        <v>0</v>
      </c>
      <c r="U113" s="191">
        <f>O113*IFERROR(VLOOKUP(A113,[1]Tørstofindhold!A$2:B$24,2,FALSE),0)</f>
        <v>0</v>
      </c>
      <c r="V113" s="192">
        <f>IF(D113=År1,P113,SUM(O113,P113))*IFERROR(VLOOKUP(A113,[1]Tørstofindhold!A$2:B$24,2,FALSE),0)</f>
        <v>0</v>
      </c>
      <c r="W113" s="192">
        <f>J113*IFERROR(VLOOKUP(A113,[1]Tørstofindhold!A$2:B$24,2,FALSE),0)</f>
        <v>0</v>
      </c>
      <c r="X113" s="193">
        <f t="shared" si="26"/>
        <v>0</v>
      </c>
      <c r="Y113" s="171" t="e">
        <f t="shared" si="21"/>
        <v>#REF!</v>
      </c>
      <c r="Z113" s="103" t="e">
        <f t="shared" si="22"/>
        <v>#REF!</v>
      </c>
    </row>
    <row r="114" spans="1:26" x14ac:dyDescent="0.25">
      <c r="A114" s="194" t="str">
        <f t="shared" si="33"/>
        <v>Grøntsager</v>
      </c>
      <c r="B114" s="194" t="str">
        <f t="shared" si="34"/>
        <v/>
      </c>
      <c r="C114" s="194">
        <f>IF(COUNTIFS('Resultater - Danmark'!$D$3:$D$482,'Resultat-Produktion &amp; forbrug'!A114,'Resultater - Danmark'!$A$3:$A$482,"Til energi")+COUNTIFS('Resultater - Danmark'!$D$3:$D$482,'Resultat-Produktion &amp; forbrug'!A114,'Resultater - Danmark'!$A$3:$A$482,"Biogasanlæg")&gt;0,1,0)</f>
        <v>0</v>
      </c>
      <c r="D114" s="194">
        <f t="shared" si="35"/>
        <v>2050</v>
      </c>
      <c r="E114" s="192" t="s">
        <v>23</v>
      </c>
      <c r="F114" s="195">
        <f>IF(E114="Vestdanmark",SUMIFS(IF(D114=År1,'Resultater - Vestdanmark'!H$3:H$482,IF(D114=År2,'Resultater - Vestdanmark'!I$3:I$482,'Resultater - Vestdanmark'!J$3:J$482)),'Resultater - Vestdanmark'!$F$3:$F$482,$A114,IF(D114=År1,'Resultater - Vestdanmark'!H$3:H$482,IF(D114=År2,'Resultater - Vestdanmark'!I$3:I$482,'Resultater - Vestdanmark'!J$3:J$482)),"&gt;0"),SUMIFS(IF(D114=År1,'Resultater - Østdanmark'!H$3:H$482,IF(D114=År2,'Resultater - Østdanmark'!I$3:I$482,'Resultater - Østdanmark'!J$3:J$482)),'Resultater - Østdanmark'!$F$3:$F$482,$A114,IF(D114=År1,'Resultater - Østdanmark'!H$3:H$482,IF(D114=År2,'Resultater - Østdanmark'!I$3:I$482,'Resultater - Østdanmark'!J$3:J$482)),"&gt;0"))</f>
        <v>0</v>
      </c>
      <c r="G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92">
        <f>IF(E114="Vestdanmark",-IF(A114="Halm",SUMIFS(IF(D114=År1,'Resultater - Vestdanmark'!H$3:H$482,IF(D114=År2,'Resultater - Vestdanmark'!I$3:I$482,'Resultater - Vestdanmark'!J$3:J$482)),'Resultater - Vestdanmark'!$F$3:$F$482,$A114,'Resultater - Vestdanmark'!H$3:H$482,"&lt;0"),0),-IF(A114="Halm",SUMIFS(IF(D114=År1,'Resultater - Østdanmark'!H$3:H$482,IF(D114=År2,'Resultater - Østdanmark'!I$3:I$482,'Resultater - Østdanmark'!J$3:J$482)),'Resultater - Østdanmark'!$F$3:$F$482,$A114,'Resultater - Østdanmark'!H$3:H$482,"&lt;0"),0))</f>
        <v>0</v>
      </c>
      <c r="I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5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7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4">
        <f t="shared" si="23"/>
        <v>-280672.65868343826</v>
      </c>
      <c r="O114" s="195">
        <f t="shared" si="20"/>
        <v>0</v>
      </c>
      <c r="P114" s="205">
        <f t="shared" si="24"/>
        <v>0</v>
      </c>
      <c r="Q114" s="192">
        <f>IFERROR(VLOOKUP(A114,[1]Energiindhold!$A$2:$C$11,3,FALSE),IFERROR(VLOOKUP(A114,[1]Biogasudbytte!$A$2:$B$18,2,FALSE)*[1]Energiindhold!$C$10,0))*O114</f>
        <v>0</v>
      </c>
      <c r="R114" s="192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92">
        <f>IFERROR(VLOOKUP(A114,[1]Biogasudbytte!$A$2:$B$18,2,FALSE)*[1]Energiindhold!$C$10,0)*J114*IFERROR(VLOOKUP(A114,Biogasanlæg!$F$3:$G$8,2,FALSE),1)</f>
        <v>0</v>
      </c>
      <c r="T114" s="193">
        <f t="shared" si="25"/>
        <v>0</v>
      </c>
      <c r="U114" s="191">
        <f>O114*IFERROR(VLOOKUP(A114,[1]Tørstofindhold!A$2:B$24,2,FALSE),0)</f>
        <v>0</v>
      </c>
      <c r="V114" s="192">
        <f>IF(D114=År1,P114,SUM(O114,P114))*IFERROR(VLOOKUP(A114,[1]Tørstofindhold!A$2:B$24,2,FALSE),0)</f>
        <v>0</v>
      </c>
      <c r="W114" s="192">
        <f>J114*IFERROR(VLOOKUP(A114,[1]Tørstofindhold!A$2:B$24,2,FALSE),0)</f>
        <v>0</v>
      </c>
      <c r="X114" s="193">
        <f t="shared" si="26"/>
        <v>0</v>
      </c>
      <c r="Y114" s="171">
        <f t="shared" si="21"/>
        <v>1</v>
      </c>
      <c r="Z114" s="103">
        <f t="shared" si="22"/>
        <v>0</v>
      </c>
    </row>
    <row r="115" spans="1:26" x14ac:dyDescent="0.25">
      <c r="A115" s="194" t="str">
        <f t="shared" si="33"/>
        <v>Halm</v>
      </c>
      <c r="B115" s="194" t="str">
        <f t="shared" si="34"/>
        <v>Halm og strå</v>
      </c>
      <c r="C115" s="194">
        <f>IF(COUNTIFS('Resultater - Danmark'!$D$3:$D$482,'Resultat-Produktion &amp; forbrug'!A115,'Resultater - Danmark'!$A$3:$A$482,"Til energi")+COUNTIFS('Resultater - Danmark'!$D$3:$D$482,'Resultat-Produktion &amp; forbrug'!A115,'Resultater - Danmark'!$A$3:$A$482,"Biogasanlæg")&gt;0,1,0)</f>
        <v>1</v>
      </c>
      <c r="D115" s="194">
        <f t="shared" si="35"/>
        <v>2050</v>
      </c>
      <c r="E115" s="192" t="s">
        <v>23</v>
      </c>
      <c r="F115" s="195">
        <f>IF(E115="Vestdanmark",SUMIFS(IF(D115=År1,'Resultater - Vestdanmark'!H$3:H$482,IF(D115=År2,'Resultater - Vestdanmark'!I$3:I$482,'Resultater - Vestdanmark'!J$3:J$482)),'Resultater - Vestdanmark'!$F$3:$F$482,$A115,IF(D115=År1,'Resultater - Vestdanmark'!H$3:H$482,IF(D115=År2,'Resultater - Vestdanmark'!I$3:I$482,'Resultater - Vestdanmark'!J$3:J$482)),"&gt;0"),SUMIFS(IF(D115=År1,'Resultater - Østdanmark'!H$3:H$482,IF(D115=År2,'Resultater - Østdanmark'!I$3:I$482,'Resultater - Østdanmark'!J$3:J$482)),'Resultater - Østdanmark'!$F$3:$F$482,$A115,IF(D115=År1,'Resultater - Østdanmark'!H$3:H$482,IF(D115=År2,'Resultater - Østdanmark'!I$3:I$482,'Resultater - Østdanmark'!J$3:J$482)),"&gt;0"))</f>
        <v>0</v>
      </c>
      <c r="G115" s="195" t="e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#REF!</v>
      </c>
      <c r="H115" s="192">
        <f>IF(E115="Vestdanmark",-IF(A115="Halm",SUMIFS(IF(D115=År1,'Resultater - Vestdanmark'!H$3:H$482,IF(D115=År2,'Resultater - Vestdanmark'!I$3:I$482,'Resultater - Vestdanmark'!J$3:J$482)),'Resultater - Vestdanmark'!$F$3:$F$482,$A115,'Resultater - Vestdanmark'!H$3:H$482,"&lt;0"),0),-IF(A115="Halm",SUMIFS(IF(D115=År1,'Resultater - Østdanmark'!H$3:H$482,IF(D115=År2,'Resultater - Østdanmark'!I$3:I$482,'Resultater - Østdanmark'!J$3:J$482)),'Resultater - Østdanmark'!$F$3:$F$482,$A115,'Resultater - Østdanmark'!H$3:H$482,"&lt;0"),0))</f>
        <v>0</v>
      </c>
      <c r="I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5" t="e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#REF!</v>
      </c>
      <c r="K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5" t="e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#REF!</v>
      </c>
      <c r="M115" s="157" t="e">
        <f>SUMIFS('Forbrug af biomasse'!E:E,'Forbrug af biomasse'!C:C,'Resultat-Produktion &amp; forbrug'!$A115,'Forbrug af biomasse'!D:D,'Resultat-Produktion &amp; forbrug'!$D115,'Forbrug af biomasse'!G:G,1,'Forbrug af biomasse'!B:B,$E115)</f>
        <v>#REF!</v>
      </c>
      <c r="N115" s="204" t="e">
        <f t="shared" si="23"/>
        <v>#REF!</v>
      </c>
      <c r="O115" s="195" t="e">
        <f t="shared" si="20"/>
        <v>#REF!</v>
      </c>
      <c r="P115" s="205" t="e">
        <f t="shared" si="24"/>
        <v>#REF!</v>
      </c>
      <c r="Q115" s="192" t="e">
        <f>IFERROR(VLOOKUP(A115,[1]Energiindhold!$A$2:$C$11,3,FALSE),IFERROR(VLOOKUP(A115,[1]Biogasudbytte!$A$2:$B$18,2,FALSE)*[1]Energiindhold!$C$10,0))*O115</f>
        <v>#REF!</v>
      </c>
      <c r="R115" s="192" t="e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#REF!</v>
      </c>
      <c r="S115" s="192" t="e">
        <f>IFERROR(VLOOKUP(A115,[1]Biogasudbytte!$A$2:$B$18,2,FALSE)*[1]Energiindhold!$C$10,0)*J115*IFERROR(VLOOKUP(A115,Biogasanlæg!$F$3:$G$8,2,FALSE),1)</f>
        <v>#REF!</v>
      </c>
      <c r="T115" s="193" t="e">
        <f t="shared" si="25"/>
        <v>#REF!</v>
      </c>
      <c r="U115" s="191" t="e">
        <f>O115*IFERROR(VLOOKUP(A115,[1]Tørstofindhold!A$2:B$24,2,FALSE),0)</f>
        <v>#REF!</v>
      </c>
      <c r="V115" s="192" t="e">
        <f>IF(D115=År1,P115,SUM(O115,P115))*IFERROR(VLOOKUP(A115,[1]Tørstofindhold!A$2:B$24,2,FALSE),0)</f>
        <v>#REF!</v>
      </c>
      <c r="W115" s="192" t="e">
        <f>J115*IFERROR(VLOOKUP(A115,[1]Tørstofindhold!A$2:B$24,2,FALSE),0)</f>
        <v>#REF!</v>
      </c>
      <c r="X115" s="193" t="e">
        <f t="shared" si="26"/>
        <v>#REF!</v>
      </c>
      <c r="Y115" s="171" t="e">
        <f t="shared" si="21"/>
        <v>#REF!</v>
      </c>
      <c r="Z115" s="103" t="e">
        <f t="shared" si="22"/>
        <v>#REF!</v>
      </c>
    </row>
    <row r="116" spans="1:26" x14ac:dyDescent="0.25">
      <c r="A116" s="194" t="str">
        <f t="shared" si="33"/>
        <v>Have/parkaffald</v>
      </c>
      <c r="B116" s="194" t="str">
        <f t="shared" si="34"/>
        <v>Bionedbrydeligt affald</v>
      </c>
      <c r="C116" s="194">
        <f>IF(COUNTIFS('Resultater - Danmark'!$D$3:$D$482,'Resultat-Produktion &amp; forbrug'!A116,'Resultater - Danmark'!$A$3:$A$482,"Til energi")+COUNTIFS('Resultater - Danmark'!$D$3:$D$482,'Resultat-Produktion &amp; forbrug'!A116,'Resultater - Danmark'!$A$3:$A$482,"Biogasanlæg")&gt;0,1,0)</f>
        <v>1</v>
      </c>
      <c r="D116" s="194">
        <f t="shared" si="35"/>
        <v>2050</v>
      </c>
      <c r="E116" s="192" t="s">
        <v>23</v>
      </c>
      <c r="F116" s="195">
        <f>IF(E116="Vestdanmark",SUMIFS(IF(D116=År1,'Resultater - Vestdanmark'!H$3:H$482,IF(D116=År2,'Resultater - Vestdanmark'!I$3:I$482,'Resultater - Vestdanmark'!J$3:J$482)),'Resultater - Vestdanmark'!$F$3:$F$482,$A116,IF(D116=År1,'Resultater - Vestdanmark'!H$3:H$482,IF(D116=År2,'Resultater - Vestdanmark'!I$3:I$482,'Resultater - Vestdanmark'!J$3:J$482)),"&gt;0"),SUMIFS(IF(D116=År1,'Resultater - Østdanmark'!H$3:H$482,IF(D116=År2,'Resultater - Østdanmark'!I$3:I$482,'Resultater - Østdanmark'!J$3:J$482)),'Resultater - Østdanmark'!$F$3:$F$482,$A116,IF(D116=År1,'Resultater - Østdanmark'!H$3:H$482,IF(D116=År2,'Resultater - Østdanmark'!I$3:I$482,'Resultater - Østdanmark'!J$3:J$482)),"&gt;0"))</f>
        <v>0</v>
      </c>
      <c r="G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92">
        <f>IF(E116="Vestdanmark",-IF(A116="Halm",SUMIFS(IF(D116=År1,'Resultater - Vestdanmark'!H$3:H$482,IF(D116=År2,'Resultater - Vestdanmark'!I$3:I$482,'Resultater - Vestdanmark'!J$3:J$482)),'Resultater - Vestdanmark'!$F$3:$F$482,$A116,'Resultater - Vestdanmark'!H$3:H$482,"&lt;0"),0),-IF(A116="Halm",SUMIFS(IF(D116=År1,'Resultater - Østdanmark'!H$3:H$482,IF(D116=År2,'Resultater - Østdanmark'!I$3:I$482,'Resultater - Østdanmark'!J$3:J$482)),'Resultater - Østdanmark'!$F$3:$F$482,$A116,'Resultater - Østdanmark'!H$3:H$482,"&lt;0"),0))</f>
        <v>0</v>
      </c>
      <c r="I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5" t="e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#REF!</v>
      </c>
      <c r="K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5" t="e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#REF!</v>
      </c>
      <c r="M116" s="157" t="e">
        <f>SUMIFS('Forbrug af biomasse'!E:E,'Forbrug af biomasse'!C:C,'Resultat-Produktion &amp; forbrug'!$A116,'Forbrug af biomasse'!D:D,'Resultat-Produktion &amp; forbrug'!$D116,'Forbrug af biomasse'!G:G,1,'Forbrug af biomasse'!B:B,$E116)</f>
        <v>#REF!</v>
      </c>
      <c r="N116" s="204" t="e">
        <f t="shared" si="23"/>
        <v>#REF!</v>
      </c>
      <c r="O116" s="195" t="e">
        <f t="shared" si="20"/>
        <v>#REF!</v>
      </c>
      <c r="P116" s="205" t="e">
        <f t="shared" si="24"/>
        <v>#REF!</v>
      </c>
      <c r="Q116" s="192" t="e">
        <f>IFERROR(VLOOKUP(A116,[1]Energiindhold!$A$2:$C$11,3,FALSE),IFERROR(VLOOKUP(A116,[1]Biogasudbytte!$A$2:$B$18,2,FALSE)*[1]Energiindhold!$C$10,0))*O116</f>
        <v>#REF!</v>
      </c>
      <c r="R116" s="192" t="e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#REF!</v>
      </c>
      <c r="S116" s="192" t="e">
        <f>IFERROR(VLOOKUP(A116,[1]Biogasudbytte!$A$2:$B$18,2,FALSE)*[1]Energiindhold!$C$10,0)*J116*IFERROR(VLOOKUP(A116,Biogasanlæg!$F$3:$G$8,2,FALSE),1)</f>
        <v>#REF!</v>
      </c>
      <c r="T116" s="193" t="e">
        <f t="shared" si="25"/>
        <v>#REF!</v>
      </c>
      <c r="U116" s="191" t="e">
        <f>O116*IFERROR(VLOOKUP(A116,[1]Tørstofindhold!A$2:B$24,2,FALSE),0)</f>
        <v>#REF!</v>
      </c>
      <c r="V116" s="192" t="e">
        <f>IF(D116=År1,P116,SUM(O116,P116))*IFERROR(VLOOKUP(A116,[1]Tørstofindhold!A$2:B$24,2,FALSE),0)</f>
        <v>#REF!</v>
      </c>
      <c r="W116" s="192" t="e">
        <f>J116*IFERROR(VLOOKUP(A116,[1]Tørstofindhold!A$2:B$24,2,FALSE),0)</f>
        <v>#REF!</v>
      </c>
      <c r="X116" s="193" t="e">
        <f t="shared" si="26"/>
        <v>#REF!</v>
      </c>
      <c r="Y116" s="171" t="e">
        <f t="shared" si="21"/>
        <v>#REF!</v>
      </c>
      <c r="Z116" s="103" t="e">
        <f t="shared" si="22"/>
        <v>#REF!</v>
      </c>
    </row>
    <row r="117" spans="1:26" x14ac:dyDescent="0.25">
      <c r="A117" s="194" t="str">
        <f t="shared" si="33"/>
        <v>Import af foder</v>
      </c>
      <c r="B117" s="194" t="str">
        <f t="shared" si="34"/>
        <v/>
      </c>
      <c r="C117" s="194">
        <f>IF(COUNTIFS('Resultater - Danmark'!$D$3:$D$482,'Resultat-Produktion &amp; forbrug'!A117,'Resultater - Danmark'!$A$3:$A$482,"Til energi")+COUNTIFS('Resultater - Danmark'!$D$3:$D$482,'Resultat-Produktion &amp; forbrug'!A117,'Resultater - Danmark'!$A$3:$A$482,"Biogasanlæg")&gt;0,1,0)</f>
        <v>0</v>
      </c>
      <c r="D117" s="194">
        <f t="shared" si="35"/>
        <v>2050</v>
      </c>
      <c r="E117" s="192" t="s">
        <v>23</v>
      </c>
      <c r="F117" s="195">
        <f>IF(E117="Vestdanmark",SUMIFS(IF(D117=År1,'Resultater - Vestdanmark'!H$3:H$482,IF(D117=År2,'Resultater - Vestdanmark'!I$3:I$482,'Resultater - Vestdanmark'!J$3:J$482)),'Resultater - Vestdanmark'!$F$3:$F$482,$A117,IF(D117=År1,'Resultater - Vestdanmark'!H$3:H$482,IF(D117=År2,'Resultater - Vestdanmark'!I$3:I$482,'Resultater - Vestdanmark'!J$3:J$482)),"&gt;0"),SUMIFS(IF(D117=År1,'Resultater - Østdanmark'!H$3:H$482,IF(D117=År2,'Resultater - Østdanmark'!I$3:I$482,'Resultater - Østdanmark'!J$3:J$482)),'Resultater - Østdanmark'!$F$3:$F$482,$A117,IF(D117=År1,'Resultater - Østdanmark'!H$3:H$482,IF(D117=År2,'Resultater - Østdanmark'!I$3:I$482,'Resultater - Østdanmark'!J$3:J$482)),"&gt;0"))</f>
        <v>0</v>
      </c>
      <c r="G117" s="195" t="e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#REF!</v>
      </c>
      <c r="H117" s="192">
        <f>IF(E117="Vestdanmark",-IF(A117="Halm",SUMIFS(IF(D117=År1,'Resultater - Vestdanmark'!H$3:H$482,IF(D117=År2,'Resultater - Vestdanmark'!I$3:I$482,'Resultater - Vestdanmark'!J$3:J$482)),'Resultater - Vestdanmark'!$F$3:$F$482,$A117,'Resultater - Vestdanmark'!H$3:H$482,"&lt;0"),0),-IF(A117="Halm",SUMIFS(IF(D117=År1,'Resultater - Østdanmark'!H$3:H$482,IF(D117=År2,'Resultater - Østdanmark'!I$3:I$482,'Resultater - Østdanmark'!J$3:J$482)),'Resultater - Østdanmark'!$F$3:$F$482,$A117,'Resultater - Østdanmark'!H$3:H$482,"&lt;0"),0))</f>
        <v>0</v>
      </c>
      <c r="I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5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7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4" t="e">
        <f t="shared" si="23"/>
        <v>#REF!</v>
      </c>
      <c r="O117" s="195">
        <f t="shared" si="20"/>
        <v>0</v>
      </c>
      <c r="P117" s="205">
        <f t="shared" si="24"/>
        <v>0</v>
      </c>
      <c r="Q117" s="192">
        <f>IFERROR(VLOOKUP(A117,[1]Energiindhold!$A$2:$C$11,3,FALSE),IFERROR(VLOOKUP(A117,[1]Biogasudbytte!$A$2:$B$18,2,FALSE)*[1]Energiindhold!$C$10,0))*O117</f>
        <v>0</v>
      </c>
      <c r="R117" s="192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92">
        <f>IFERROR(VLOOKUP(A117,[1]Biogasudbytte!$A$2:$B$18,2,FALSE)*[1]Energiindhold!$C$10,0)*J117*IFERROR(VLOOKUP(A117,Biogasanlæg!$F$3:$G$8,2,FALSE),1)</f>
        <v>0</v>
      </c>
      <c r="T117" s="193">
        <f t="shared" si="25"/>
        <v>0</v>
      </c>
      <c r="U117" s="191">
        <f>O117*IFERROR(VLOOKUP(A117,[1]Tørstofindhold!A$2:B$24,2,FALSE),0)</f>
        <v>0</v>
      </c>
      <c r="V117" s="192">
        <f>IF(D117=År1,P117,SUM(O117,P117))*IFERROR(VLOOKUP(A117,[1]Tørstofindhold!A$2:B$24,2,FALSE),0)</f>
        <v>0</v>
      </c>
      <c r="W117" s="192">
        <f>J117*IFERROR(VLOOKUP(A117,[1]Tørstofindhold!A$2:B$24,2,FALSE),0)</f>
        <v>0</v>
      </c>
      <c r="X117" s="193">
        <f t="shared" si="26"/>
        <v>0</v>
      </c>
      <c r="Y117" s="171" t="e">
        <f t="shared" si="21"/>
        <v>#REF!</v>
      </c>
      <c r="Z117" s="103" t="e">
        <f t="shared" si="22"/>
        <v>#REF!</v>
      </c>
    </row>
    <row r="118" spans="1:26" x14ac:dyDescent="0.25">
      <c r="A118" s="194" t="str">
        <f t="shared" si="33"/>
        <v>Industriaffald</v>
      </c>
      <c r="B118" s="194" t="str">
        <f t="shared" si="34"/>
        <v>Bionedbrydeligt affald</v>
      </c>
      <c r="C118" s="194">
        <f>IF(COUNTIFS('Resultater - Danmark'!$D$3:$D$482,'Resultat-Produktion &amp; forbrug'!A118,'Resultater - Danmark'!$A$3:$A$482,"Til energi")+COUNTIFS('Resultater - Danmark'!$D$3:$D$482,'Resultat-Produktion &amp; forbrug'!A118,'Resultater - Danmark'!$A$3:$A$482,"Biogasanlæg")&gt;0,1,0)</f>
        <v>1</v>
      </c>
      <c r="D118" s="194">
        <f t="shared" si="35"/>
        <v>2050</v>
      </c>
      <c r="E118" s="192" t="s">
        <v>23</v>
      </c>
      <c r="F118" s="195">
        <f>IF(E118="Vestdanmark",SUMIFS(IF(D118=År1,'Resultater - Vestdanmark'!H$3:H$482,IF(D118=År2,'Resultater - Vestdanmark'!I$3:I$482,'Resultater - Vestdanmark'!J$3:J$482)),'Resultater - Vestdanmark'!$F$3:$F$482,$A118,IF(D118=År1,'Resultater - Vestdanmark'!H$3:H$482,IF(D118=År2,'Resultater - Vestdanmark'!I$3:I$482,'Resultater - Vestdanmark'!J$3:J$482)),"&gt;0"),SUMIFS(IF(D118=År1,'Resultater - Østdanmark'!H$3:H$482,IF(D118=År2,'Resultater - Østdanmark'!I$3:I$482,'Resultater - Østdanmark'!J$3:J$482)),'Resultater - Østdanmark'!$F$3:$F$482,$A118,IF(D118=År1,'Resultater - Østdanmark'!H$3:H$482,IF(D118=År2,'Resultater - Østdanmark'!I$3:I$482,'Resultater - Østdanmark'!J$3:J$482)),"&gt;0"))</f>
        <v>0</v>
      </c>
      <c r="G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92">
        <f>IF(E118="Vestdanmark",-IF(A118="Halm",SUMIFS(IF(D118=År1,'Resultater - Vestdanmark'!H$3:H$482,IF(D118=År2,'Resultater - Vestdanmark'!I$3:I$482,'Resultater - Vestdanmark'!J$3:J$482)),'Resultater - Vestdanmark'!$F$3:$F$482,$A118,'Resultater - Vestdanmark'!H$3:H$482,"&lt;0"),0),-IF(A118="Halm",SUMIFS(IF(D118=År1,'Resultater - Østdanmark'!H$3:H$482,IF(D118=År2,'Resultater - Østdanmark'!I$3:I$482,'Resultater - Østdanmark'!J$3:J$482)),'Resultater - Østdanmark'!$F$3:$F$482,$A118,'Resultater - Østdanmark'!H$3:H$482,"&lt;0"),0))</f>
        <v>0</v>
      </c>
      <c r="I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5" t="e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#REF!</v>
      </c>
      <c r="K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5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7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4" t="e">
        <f t="shared" si="23"/>
        <v>#REF!</v>
      </c>
      <c r="O118" s="195" t="e">
        <f t="shared" si="20"/>
        <v>#REF!</v>
      </c>
      <c r="P118" s="205" t="e">
        <f t="shared" si="24"/>
        <v>#REF!</v>
      </c>
      <c r="Q118" s="192" t="e">
        <f>IFERROR(VLOOKUP(A118,[1]Energiindhold!$A$2:$C$11,3,FALSE),IFERROR(VLOOKUP(A118,[1]Biogasudbytte!$A$2:$B$18,2,FALSE)*[1]Energiindhold!$C$10,0))*O118</f>
        <v>#REF!</v>
      </c>
      <c r="R118" s="192" t="e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#REF!</v>
      </c>
      <c r="S118" s="192" t="e">
        <f>IFERROR(VLOOKUP(A118,[1]Biogasudbytte!$A$2:$B$18,2,FALSE)*[1]Energiindhold!$C$10,0)*J118*IFERROR(VLOOKUP(A118,Biogasanlæg!$F$3:$G$8,2,FALSE),1)</f>
        <v>#REF!</v>
      </c>
      <c r="T118" s="193" t="e">
        <f t="shared" si="25"/>
        <v>#REF!</v>
      </c>
      <c r="U118" s="191" t="e">
        <f>O118*IFERROR(VLOOKUP(A118,[1]Tørstofindhold!A$2:B$24,2,FALSE),0)</f>
        <v>#REF!</v>
      </c>
      <c r="V118" s="192" t="e">
        <f>IF(D118=År1,P118,SUM(O118,P118))*IFERROR(VLOOKUP(A118,[1]Tørstofindhold!A$2:B$24,2,FALSE),0)</f>
        <v>#REF!</v>
      </c>
      <c r="W118" s="192" t="e">
        <f>J118*IFERROR(VLOOKUP(A118,[1]Tørstofindhold!A$2:B$24,2,FALSE),0)</f>
        <v>#REF!</v>
      </c>
      <c r="X118" s="193" t="e">
        <f t="shared" si="26"/>
        <v>#REF!</v>
      </c>
      <c r="Y118" s="171" t="e">
        <f t="shared" si="21"/>
        <v>#REF!</v>
      </c>
      <c r="Z118" s="103" t="e">
        <f t="shared" si="22"/>
        <v>#REF!</v>
      </c>
    </row>
    <row r="119" spans="1:26" x14ac:dyDescent="0.25">
      <c r="A119" s="194" t="str">
        <f t="shared" si="33"/>
        <v>Juletræer</v>
      </c>
      <c r="B119" s="194" t="str">
        <f t="shared" si="34"/>
        <v/>
      </c>
      <c r="C119" s="194">
        <f>IF(COUNTIFS('Resultater - Danmark'!$D$3:$D$482,'Resultat-Produktion &amp; forbrug'!A119,'Resultater - Danmark'!$A$3:$A$482,"Til energi")+COUNTIFS('Resultater - Danmark'!$D$3:$D$482,'Resultat-Produktion &amp; forbrug'!A119,'Resultater - Danmark'!$A$3:$A$482,"Biogasanlæg")&gt;0,1,0)</f>
        <v>0</v>
      </c>
      <c r="D119" s="194">
        <f t="shared" si="35"/>
        <v>2050</v>
      </c>
      <c r="E119" s="192" t="s">
        <v>23</v>
      </c>
      <c r="F119" s="195">
        <f>IF(E119="Vestdanmark",SUMIFS(IF(D119=År1,'Resultater - Vestdanmark'!H$3:H$482,IF(D119=År2,'Resultater - Vestdanmark'!I$3:I$482,'Resultater - Vestdanmark'!J$3:J$482)),'Resultater - Vestdanmark'!$F$3:$F$482,$A119,IF(D119=År1,'Resultater - Vestdanmark'!H$3:H$482,IF(D119=År2,'Resultater - Vestdanmark'!I$3:I$482,'Resultater - Vestdanmark'!J$3:J$482)),"&gt;0"),SUMIFS(IF(D119=År1,'Resultater - Østdanmark'!H$3:H$482,IF(D119=År2,'Resultater - Østdanmark'!I$3:I$482,'Resultater - Østdanmark'!J$3:J$482)),'Resultater - Østdanmark'!$F$3:$F$482,$A119,IF(D119=År1,'Resultater - Østdanmark'!H$3:H$482,IF(D119=År2,'Resultater - Østdanmark'!I$3:I$482,'Resultater - Østdanmark'!J$3:J$482)),"&gt;0"))</f>
        <v>0</v>
      </c>
      <c r="G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92">
        <f>IF(E119="Vestdanmark",-IF(A119="Halm",SUMIFS(IF(D119=År1,'Resultater - Vestdanmark'!H$3:H$482,IF(D119=År2,'Resultater - Vestdanmark'!I$3:I$482,'Resultater - Vestdanmark'!J$3:J$482)),'Resultater - Vestdanmark'!$F$3:$F$482,$A119,'Resultater - Vestdanmark'!H$3:H$482,"&lt;0"),0),-IF(A119="Halm",SUMIFS(IF(D119=År1,'Resultater - Østdanmark'!H$3:H$482,IF(D119=År2,'Resultater - Østdanmark'!I$3:I$482,'Resultater - Østdanmark'!J$3:J$482)),'Resultater - Østdanmark'!$F$3:$F$482,$A119,'Resultater - Østdanmark'!H$3:H$482,"&lt;0"),0))</f>
        <v>0</v>
      </c>
      <c r="I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5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7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4">
        <f t="shared" si="23"/>
        <v>0</v>
      </c>
      <c r="O119" s="195">
        <f t="shared" si="20"/>
        <v>0</v>
      </c>
      <c r="P119" s="205">
        <f t="shared" si="24"/>
        <v>0</v>
      </c>
      <c r="Q119" s="192">
        <f>IFERROR(VLOOKUP(A119,[1]Energiindhold!$A$2:$C$11,3,FALSE),IFERROR(VLOOKUP(A119,[1]Biogasudbytte!$A$2:$B$18,2,FALSE)*[1]Energiindhold!$C$10,0))*O119</f>
        <v>0</v>
      </c>
      <c r="R119" s="192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92">
        <f>IFERROR(VLOOKUP(A119,[1]Biogasudbytte!$A$2:$B$18,2,FALSE)*[1]Energiindhold!$C$10,0)*J119*IFERROR(VLOOKUP(A119,Biogasanlæg!$F$3:$G$8,2,FALSE),1)</f>
        <v>0</v>
      </c>
      <c r="T119" s="193">
        <f t="shared" si="25"/>
        <v>0</v>
      </c>
      <c r="U119" s="191">
        <f>O119*IFERROR(VLOOKUP(A119,[1]Tørstofindhold!A$2:B$24,2,FALSE),0)</f>
        <v>0</v>
      </c>
      <c r="V119" s="192">
        <f>IF(D119=År1,P119,SUM(O119,P119))*IFERROR(VLOOKUP(A119,[1]Tørstofindhold!A$2:B$24,2,FALSE),0)</f>
        <v>0</v>
      </c>
      <c r="W119" s="192">
        <f>J119*IFERROR(VLOOKUP(A119,[1]Tørstofindhold!A$2:B$24,2,FALSE),0)</f>
        <v>0</v>
      </c>
      <c r="X119" s="193">
        <f t="shared" si="26"/>
        <v>0</v>
      </c>
      <c r="Y119" s="171">
        <f t="shared" si="21"/>
        <v>0</v>
      </c>
      <c r="Z119" s="103">
        <f t="shared" si="22"/>
        <v>0</v>
      </c>
    </row>
    <row r="120" spans="1:26" x14ac:dyDescent="0.25">
      <c r="A120" s="194" t="str">
        <f t="shared" si="33"/>
        <v>Kartofler</v>
      </c>
      <c r="B120" s="194" t="str">
        <f t="shared" si="34"/>
        <v/>
      </c>
      <c r="C120" s="194">
        <f>IF(COUNTIFS('Resultater - Danmark'!$D$3:$D$482,'Resultat-Produktion &amp; forbrug'!A120,'Resultater - Danmark'!$A$3:$A$482,"Til energi")+COUNTIFS('Resultater - Danmark'!$D$3:$D$482,'Resultat-Produktion &amp; forbrug'!A120,'Resultater - Danmark'!$A$3:$A$482,"Biogasanlæg")&gt;0,1,0)</f>
        <v>0</v>
      </c>
      <c r="D120" s="194">
        <f t="shared" si="35"/>
        <v>2050</v>
      </c>
      <c r="E120" s="192" t="s">
        <v>23</v>
      </c>
      <c r="F120" s="195">
        <f>IF(E120="Vestdanmark",SUMIFS(IF(D120=År1,'Resultater - Vestdanmark'!H$3:H$482,IF(D120=År2,'Resultater - Vestdanmark'!I$3:I$482,'Resultater - Vestdanmark'!J$3:J$482)),'Resultater - Vestdanmark'!$F$3:$F$482,$A120,IF(D120=År1,'Resultater - Vestdanmark'!H$3:H$482,IF(D120=År2,'Resultater - Vestdanmark'!I$3:I$482,'Resultater - Vestdanmark'!J$3:J$482)),"&gt;0"),SUMIFS(IF(D120=År1,'Resultater - Østdanmark'!H$3:H$482,IF(D120=År2,'Resultater - Østdanmark'!I$3:I$482,'Resultater - Østdanmark'!J$3:J$482)),'Resultater - Østdanmark'!$F$3:$F$482,$A120,IF(D120=År1,'Resultater - Østdanmark'!H$3:H$482,IF(D120=År2,'Resultater - Østdanmark'!I$3:I$482,'Resultater - Østdanmark'!J$3:J$482)),"&gt;0"))</f>
        <v>0</v>
      </c>
      <c r="G120" s="195" t="e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#REF!</v>
      </c>
      <c r="H120" s="192">
        <f>IF(E120="Vestdanmark",-IF(A120="Halm",SUMIFS(IF(D120=År1,'Resultater - Vestdanmark'!H$3:H$482,IF(D120=År2,'Resultater - Vestdanmark'!I$3:I$482,'Resultater - Vestdanmark'!J$3:J$482)),'Resultater - Vestdanmark'!$F$3:$F$482,$A120,'Resultater - Vestdanmark'!H$3:H$482,"&lt;0"),0),-IF(A120="Halm",SUMIFS(IF(D120=År1,'Resultater - Østdanmark'!H$3:H$482,IF(D120=År2,'Resultater - Østdanmark'!I$3:I$482,'Resultater - Østdanmark'!J$3:J$482)),'Resultater - Østdanmark'!$F$3:$F$482,$A120,'Resultater - Østdanmark'!H$3:H$482,"&lt;0"),0))</f>
        <v>0</v>
      </c>
      <c r="I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5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7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4" t="e">
        <f t="shared" si="23"/>
        <v>#REF!</v>
      </c>
      <c r="O120" s="195">
        <f t="shared" si="20"/>
        <v>0</v>
      </c>
      <c r="P120" s="205">
        <f t="shared" si="24"/>
        <v>0</v>
      </c>
      <c r="Q120" s="192">
        <f>IFERROR(VLOOKUP(A120,[1]Energiindhold!$A$2:$C$11,3,FALSE),IFERROR(VLOOKUP(A120,[1]Biogasudbytte!$A$2:$B$18,2,FALSE)*[1]Energiindhold!$C$10,0))*O120</f>
        <v>0</v>
      </c>
      <c r="R120" s="192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92">
        <f>IFERROR(VLOOKUP(A120,[1]Biogasudbytte!$A$2:$B$18,2,FALSE)*[1]Energiindhold!$C$10,0)*J120*IFERROR(VLOOKUP(A120,Biogasanlæg!$F$3:$G$8,2,FALSE),1)</f>
        <v>0</v>
      </c>
      <c r="T120" s="193">
        <f t="shared" si="25"/>
        <v>0</v>
      </c>
      <c r="U120" s="191">
        <f>O120*IFERROR(VLOOKUP(A120,[1]Tørstofindhold!A$2:B$24,2,FALSE),0)</f>
        <v>0</v>
      </c>
      <c r="V120" s="192">
        <f>IF(D120=År1,P120,SUM(O120,P120))*IFERROR(VLOOKUP(A120,[1]Tørstofindhold!A$2:B$24,2,FALSE),0)</f>
        <v>0</v>
      </c>
      <c r="W120" s="192">
        <f>J120*IFERROR(VLOOKUP(A120,[1]Tørstofindhold!A$2:B$24,2,FALSE),0)</f>
        <v>0</v>
      </c>
      <c r="X120" s="193">
        <f t="shared" si="26"/>
        <v>0</v>
      </c>
      <c r="Y120" s="171" t="e">
        <f t="shared" si="21"/>
        <v>#REF!</v>
      </c>
      <c r="Z120" s="103" t="e">
        <f t="shared" si="22"/>
        <v>#REF!</v>
      </c>
    </row>
    <row r="121" spans="1:26" x14ac:dyDescent="0.25">
      <c r="A121" s="194" t="str">
        <f t="shared" si="33"/>
        <v>Korn</v>
      </c>
      <c r="B121" s="194" t="str">
        <f t="shared" si="34"/>
        <v>Halm og strå</v>
      </c>
      <c r="C121" s="194">
        <f>IF(COUNTIFS('Resultater - Danmark'!$D$3:$D$482,'Resultat-Produktion &amp; forbrug'!A121,'Resultater - Danmark'!$A$3:$A$482,"Til energi")+COUNTIFS('Resultater - Danmark'!$D$3:$D$482,'Resultat-Produktion &amp; forbrug'!A121,'Resultater - Danmark'!$A$3:$A$482,"Biogasanlæg")&gt;0,1,0)</f>
        <v>1</v>
      </c>
      <c r="D121" s="194">
        <f t="shared" si="35"/>
        <v>2050</v>
      </c>
      <c r="E121" s="192" t="s">
        <v>23</v>
      </c>
      <c r="F121" s="195">
        <f>IF(E121="Vestdanmark",SUMIFS(IF(D121=År1,'Resultater - Vestdanmark'!H$3:H$482,IF(D121=År2,'Resultater - Vestdanmark'!I$3:I$482,'Resultater - Vestdanmark'!J$3:J$482)),'Resultater - Vestdanmark'!$F$3:$F$482,$A121,IF(D121=År1,'Resultater - Vestdanmark'!H$3:H$482,IF(D121=År2,'Resultater - Vestdanmark'!I$3:I$482,'Resultater - Vestdanmark'!J$3:J$482)),"&gt;0"),SUMIFS(IF(D121=År1,'Resultater - Østdanmark'!H$3:H$482,IF(D121=År2,'Resultater - Østdanmark'!I$3:I$482,'Resultater - Østdanmark'!J$3:J$482)),'Resultater - Østdanmark'!$F$3:$F$482,$A121,IF(D121=År1,'Resultater - Østdanmark'!H$3:H$482,IF(D121=År2,'Resultater - Østdanmark'!I$3:I$482,'Resultater - Østdanmark'!J$3:J$482)),"&gt;0"))</f>
        <v>0</v>
      </c>
      <c r="G121" s="195" t="e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#REF!</v>
      </c>
      <c r="H121" s="192">
        <f>IF(E121="Vestdanmark",-IF(A121="Halm",SUMIFS(IF(D121=År1,'Resultater - Vestdanmark'!H$3:H$482,IF(D121=År2,'Resultater - Vestdanmark'!I$3:I$482,'Resultater - Vestdanmark'!J$3:J$482)),'Resultater - Vestdanmark'!$F$3:$F$482,$A121,'Resultater - Vestdanmark'!H$3:H$482,"&lt;0"),0),-IF(A121="Halm",SUMIFS(IF(D121=År1,'Resultater - Østdanmark'!H$3:H$482,IF(D121=År2,'Resultater - Østdanmark'!I$3:I$482,'Resultater - Østdanmark'!J$3:J$482)),'Resultater - Østdanmark'!$F$3:$F$482,$A121,'Resultater - Østdanmark'!H$3:H$482,"&lt;0"),0))</f>
        <v>0</v>
      </c>
      <c r="I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5" t="e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#REF!</v>
      </c>
      <c r="K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5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7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4" t="e">
        <f t="shared" si="23"/>
        <v>#REF!</v>
      </c>
      <c r="O121" s="195" t="e">
        <f t="shared" si="20"/>
        <v>#REF!</v>
      </c>
      <c r="P121" s="205" t="e">
        <f t="shared" si="24"/>
        <v>#REF!</v>
      </c>
      <c r="Q121" s="192" t="e">
        <f>IFERROR(VLOOKUP(A121,[1]Energiindhold!$A$2:$C$11,3,FALSE),IFERROR(VLOOKUP(A121,[1]Biogasudbytte!$A$2:$B$18,2,FALSE)*[1]Energiindhold!$C$10,0))*O121</f>
        <v>#REF!</v>
      </c>
      <c r="R121" s="192" t="e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#REF!</v>
      </c>
      <c r="S121" s="192" t="e">
        <f>IFERROR(VLOOKUP(A121,[1]Biogasudbytte!$A$2:$B$18,2,FALSE)*[1]Energiindhold!$C$10,0)*J121*IFERROR(VLOOKUP(A121,Biogasanlæg!$F$3:$G$8,2,FALSE),1)</f>
        <v>#REF!</v>
      </c>
      <c r="T121" s="193" t="e">
        <f t="shared" si="25"/>
        <v>#REF!</v>
      </c>
      <c r="U121" s="191" t="e">
        <f>O121*IFERROR(VLOOKUP(A121,[1]Tørstofindhold!A$2:B$24,2,FALSE),0)</f>
        <v>#REF!</v>
      </c>
      <c r="V121" s="192" t="e">
        <f>IF(D121=År1,P121,SUM(O121,P121))*IFERROR(VLOOKUP(A121,[1]Tørstofindhold!A$2:B$24,2,FALSE),0)</f>
        <v>#REF!</v>
      </c>
      <c r="W121" s="192" t="e">
        <f>J121*IFERROR(VLOOKUP(A121,[1]Tørstofindhold!A$2:B$24,2,FALSE),0)</f>
        <v>#REF!</v>
      </c>
      <c r="X121" s="193" t="e">
        <f t="shared" si="26"/>
        <v>#REF!</v>
      </c>
      <c r="Y121" s="171" t="e">
        <f t="shared" si="21"/>
        <v>#REF!</v>
      </c>
      <c r="Z121" s="103" t="e">
        <f t="shared" si="22"/>
        <v>#REF!</v>
      </c>
    </row>
    <row r="122" spans="1:26" x14ac:dyDescent="0.25">
      <c r="A122" s="194" t="str">
        <f t="shared" si="33"/>
        <v>Kunstgødning</v>
      </c>
      <c r="B122" s="194" t="str">
        <f t="shared" si="34"/>
        <v/>
      </c>
      <c r="C122" s="194">
        <f>IF(COUNTIFS('Resultater - Danmark'!$D$3:$D$482,'Resultat-Produktion &amp; forbrug'!A122,'Resultater - Danmark'!$A$3:$A$482,"Til energi")+COUNTIFS('Resultater - Danmark'!$D$3:$D$482,'Resultat-Produktion &amp; forbrug'!A122,'Resultater - Danmark'!$A$3:$A$482,"Biogasanlæg")&gt;0,1,0)</f>
        <v>0</v>
      </c>
      <c r="D122" s="194">
        <f t="shared" si="35"/>
        <v>2050</v>
      </c>
      <c r="E122" s="192" t="s">
        <v>23</v>
      </c>
      <c r="F122" s="195">
        <f>IF(E122="Vestdanmark",SUMIFS(IF(D122=År1,'Resultater - Vestdanmark'!H$3:H$482,IF(D122=År2,'Resultater - Vestdanmark'!I$3:I$482,'Resultater - Vestdanmark'!J$3:J$482)),'Resultater - Vestdanmark'!$F$3:$F$482,$A122,IF(D122=År1,'Resultater - Vestdanmark'!H$3:H$482,IF(D122=År2,'Resultater - Vestdanmark'!I$3:I$482,'Resultater - Vestdanmark'!J$3:J$482)),"&gt;0"),SUMIFS(IF(D122=År1,'Resultater - Østdanmark'!H$3:H$482,IF(D122=År2,'Resultater - Østdanmark'!I$3:I$482,'Resultater - Østdanmark'!J$3:J$482)),'Resultater - Østdanmark'!$F$3:$F$482,$A122,IF(D122=År1,'Resultater - Østdanmark'!H$3:H$482,IF(D122=År2,'Resultater - Østdanmark'!I$3:I$482,'Resultater - Østdanmark'!J$3:J$482)),"&gt;0"))</f>
        <v>0</v>
      </c>
      <c r="G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92">
        <f>IF(E122="Vestdanmark",-IF(A122="Halm",SUMIFS(IF(D122=År1,'Resultater - Vestdanmark'!H$3:H$482,IF(D122=År2,'Resultater - Vestdanmark'!I$3:I$482,'Resultater - Vestdanmark'!J$3:J$482)),'Resultater - Vestdanmark'!$F$3:$F$482,$A122,'Resultater - Vestdanmark'!H$3:H$482,"&lt;0"),0),-IF(A122="Halm",SUMIFS(IF(D122=År1,'Resultater - Østdanmark'!H$3:H$482,IF(D122=År2,'Resultater - Østdanmark'!I$3:I$482,'Resultater - Østdanmark'!J$3:J$482)),'Resultater - Østdanmark'!$F$3:$F$482,$A122,'Resultater - Østdanmark'!H$3:H$482,"&lt;0"),0))</f>
        <v>0</v>
      </c>
      <c r="I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5" t="e">
        <f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#REF!</v>
      </c>
      <c r="L122" s="195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7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4" t="e">
        <f t="shared" si="23"/>
        <v>#REF!</v>
      </c>
      <c r="O122" s="195">
        <f t="shared" si="20"/>
        <v>0</v>
      </c>
      <c r="P122" s="205">
        <f t="shared" si="24"/>
        <v>0</v>
      </c>
      <c r="Q122" s="192">
        <f>IFERROR(VLOOKUP(A122,[1]Energiindhold!$A$2:$C$11,3,FALSE),IFERROR(VLOOKUP(A122,[1]Biogasudbytte!$A$2:$B$18,2,FALSE)*[1]Energiindhold!$C$10,0))*O122</f>
        <v>0</v>
      </c>
      <c r="R122" s="192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92">
        <f>IFERROR(VLOOKUP(A122,[1]Biogasudbytte!$A$2:$B$18,2,FALSE)*[1]Energiindhold!$C$10,0)*J122*IFERROR(VLOOKUP(A122,Biogasanlæg!$F$3:$G$8,2,FALSE),1)</f>
        <v>0</v>
      </c>
      <c r="T122" s="193">
        <f t="shared" si="25"/>
        <v>0</v>
      </c>
      <c r="U122" s="191">
        <f>O122*IFERROR(VLOOKUP(A122,[1]Tørstofindhold!A$2:B$24,2,FALSE),0)</f>
        <v>0</v>
      </c>
      <c r="V122" s="192">
        <f>IF(D122=År1,P122,SUM(O122,P122))*IFERROR(VLOOKUP(A122,[1]Tørstofindhold!A$2:B$24,2,FALSE),0)</f>
        <v>0</v>
      </c>
      <c r="W122" s="192">
        <f>J122*IFERROR(VLOOKUP(A122,[1]Tørstofindhold!A$2:B$24,2,FALSE),0)</f>
        <v>0</v>
      </c>
      <c r="X122" s="193">
        <f t="shared" si="26"/>
        <v>0</v>
      </c>
      <c r="Y122" s="171" t="e">
        <f t="shared" si="21"/>
        <v>#REF!</v>
      </c>
      <c r="Z122" s="103" t="e">
        <f t="shared" si="22"/>
        <v>#REF!</v>
      </c>
    </row>
    <row r="123" spans="1:26" x14ac:dyDescent="0.25">
      <c r="A123" s="194" t="str">
        <f t="shared" si="33"/>
        <v>Kvæggylle</v>
      </c>
      <c r="B123" s="194" t="str">
        <f t="shared" si="34"/>
        <v>Husdyrgødning</v>
      </c>
      <c r="C123" s="194">
        <f>IF(COUNTIFS('Resultater - Danmark'!$D$3:$D$482,'Resultat-Produktion &amp; forbrug'!A123,'Resultater - Danmark'!$A$3:$A$482,"Til energi")+COUNTIFS('Resultater - Danmark'!$D$3:$D$482,'Resultat-Produktion &amp; forbrug'!A123,'Resultater - Danmark'!$A$3:$A$482,"Biogasanlæg")&gt;0,1,0)</f>
        <v>1</v>
      </c>
      <c r="D123" s="194">
        <f t="shared" si="35"/>
        <v>2050</v>
      </c>
      <c r="E123" s="192" t="s">
        <v>23</v>
      </c>
      <c r="F123" s="195">
        <f>IF(E123="Vestdanmark",SUMIFS(IF(D123=År1,'Resultater - Vestdanmark'!H$3:H$482,IF(D123=År2,'Resultater - Vestdanmark'!I$3:I$482,'Resultater - Vestdanmark'!J$3:J$482)),'Resultater - Vestdanmark'!$F$3:$F$482,$A123,IF(D123=År1,'Resultater - Vestdanmark'!H$3:H$482,IF(D123=År2,'Resultater - Vestdanmark'!I$3:I$482,'Resultater - Vestdanmark'!J$3:J$482)),"&gt;0"),SUMIFS(IF(D123=År1,'Resultater - Østdanmark'!H$3:H$482,IF(D123=År2,'Resultater - Østdanmark'!I$3:I$482,'Resultater - Østdanmark'!J$3:J$482)),'Resultater - Østdanmark'!$F$3:$F$482,$A123,IF(D123=År1,'Resultater - Østdanmark'!H$3:H$482,IF(D123=År2,'Resultater - Østdanmark'!I$3:I$482,'Resultater - Østdanmark'!J$3:J$482)),"&gt;0"))</f>
        <v>0</v>
      </c>
      <c r="G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92">
        <f>IF(E123="Vestdanmark",-IF(A123="Halm",SUMIFS(IF(D123=År1,'Resultater - Vestdanmark'!H$3:H$482,IF(D123=År2,'Resultater - Vestdanmark'!I$3:I$482,'Resultater - Vestdanmark'!J$3:J$482)),'Resultater - Vestdanmark'!$F$3:$F$482,$A123,'Resultater - Vestdanmark'!H$3:H$482,"&lt;0"),0),-IF(A123="Halm",SUMIFS(IF(D123=År1,'Resultater - Østdanmark'!H$3:H$482,IF(D123=År2,'Resultater - Østdanmark'!I$3:I$482,'Resultater - Østdanmark'!J$3:J$482)),'Resultater - Østdanmark'!$F$3:$F$482,$A123,'Resultater - Østdanmark'!H$3:H$482,"&lt;0"),0))</f>
        <v>0</v>
      </c>
      <c r="I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5" t="e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#REF!</v>
      </c>
      <c r="K123" s="195" t="e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#REF!</v>
      </c>
      <c r="L123" s="195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7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4" t="e">
        <f t="shared" si="23"/>
        <v>#REF!</v>
      </c>
      <c r="O123" s="195" t="e">
        <f t="shared" si="20"/>
        <v>#REF!</v>
      </c>
      <c r="P123" s="205" t="e">
        <f t="shared" si="24"/>
        <v>#REF!</v>
      </c>
      <c r="Q123" s="192" t="e">
        <f>IFERROR(VLOOKUP(A123,[1]Energiindhold!$A$2:$C$11,3,FALSE),IFERROR(VLOOKUP(A123,[1]Biogasudbytte!$A$2:$B$18,2,FALSE)*[1]Energiindhold!$C$10,0))*O123</f>
        <v>#REF!</v>
      </c>
      <c r="R123" s="192" t="e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#REF!</v>
      </c>
      <c r="S123" s="192" t="e">
        <f>IFERROR(VLOOKUP(A123,[1]Biogasudbytte!$A$2:$B$18,2,FALSE)*[1]Energiindhold!$C$10,0)*J123*IFERROR(VLOOKUP(A123,Biogasanlæg!$F$3:$G$8,2,FALSE),1)</f>
        <v>#REF!</v>
      </c>
      <c r="T123" s="193" t="e">
        <f t="shared" si="25"/>
        <v>#REF!</v>
      </c>
      <c r="U123" s="191" t="e">
        <f>O123*IFERROR(VLOOKUP(A123,[1]Tørstofindhold!A$2:B$24,2,FALSE),0)</f>
        <v>#REF!</v>
      </c>
      <c r="V123" s="192" t="e">
        <f>IF(D123=År1,P123,SUM(O123,P123))*IFERROR(VLOOKUP(A123,[1]Tørstofindhold!A$2:B$24,2,FALSE),0)</f>
        <v>#REF!</v>
      </c>
      <c r="W123" s="192" t="e">
        <f>J123*IFERROR(VLOOKUP(A123,[1]Tørstofindhold!A$2:B$24,2,FALSE),0)</f>
        <v>#REF!</v>
      </c>
      <c r="X123" s="193" t="e">
        <f t="shared" si="26"/>
        <v>#REF!</v>
      </c>
      <c r="Y123" s="171" t="e">
        <f t="shared" si="21"/>
        <v>#REF!</v>
      </c>
      <c r="Z123" s="103" t="e">
        <f t="shared" si="22"/>
        <v>#REF!</v>
      </c>
    </row>
    <row r="124" spans="1:26" x14ac:dyDescent="0.25">
      <c r="A124" s="194" t="str">
        <f t="shared" si="33"/>
        <v>Mælk til foder</v>
      </c>
      <c r="B124" s="194" t="str">
        <f t="shared" si="34"/>
        <v/>
      </c>
      <c r="C124" s="194">
        <f>IF(COUNTIFS('Resultater - Danmark'!$D$3:$D$482,'Resultat-Produktion &amp; forbrug'!A124,'Resultater - Danmark'!$A$3:$A$482,"Til energi")+COUNTIFS('Resultater - Danmark'!$D$3:$D$482,'Resultat-Produktion &amp; forbrug'!A124,'Resultater - Danmark'!$A$3:$A$482,"Biogasanlæg")&gt;0,1,0)</f>
        <v>0</v>
      </c>
      <c r="D124" s="194">
        <f t="shared" si="35"/>
        <v>2050</v>
      </c>
      <c r="E124" s="192" t="s">
        <v>23</v>
      </c>
      <c r="F124" s="195">
        <f>IF(E124="Vestdanmark",SUMIFS(IF(D124=År1,'Resultater - Vestdanmark'!H$3:H$482,IF(D124=År2,'Resultater - Vestdanmark'!I$3:I$482,'Resultater - Vestdanmark'!J$3:J$482)),'Resultater - Vestdanmark'!$F$3:$F$482,$A124,IF(D124=År1,'Resultater - Vestdanmark'!H$3:H$482,IF(D124=År2,'Resultater - Vestdanmark'!I$3:I$482,'Resultater - Vestdanmark'!J$3:J$482)),"&gt;0"),SUMIFS(IF(D124=År1,'Resultater - Østdanmark'!H$3:H$482,IF(D124=År2,'Resultater - Østdanmark'!I$3:I$482,'Resultater - Østdanmark'!J$3:J$482)),'Resultater - Østdanmark'!$F$3:$F$482,$A124,IF(D124=År1,'Resultater - Østdanmark'!H$3:H$482,IF(D124=År2,'Resultater - Østdanmark'!I$3:I$482,'Resultater - Østdanmark'!J$3:J$482)),"&gt;0"))</f>
        <v>0</v>
      </c>
      <c r="G124" s="195" t="e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#REF!</v>
      </c>
      <c r="H124" s="192">
        <f>IF(E124="Vestdanmark",-IF(A124="Halm",SUMIFS(IF(D124=År1,'Resultater - Vestdanmark'!H$3:H$482,IF(D124=År2,'Resultater - Vestdanmark'!I$3:I$482,'Resultater - Vestdanmark'!J$3:J$482)),'Resultater - Vestdanmark'!$F$3:$F$482,$A124,'Resultater - Vestdanmark'!H$3:H$482,"&lt;0"),0),-IF(A124="Halm",SUMIFS(IF(D124=År1,'Resultater - Østdanmark'!H$3:H$482,IF(D124=År2,'Resultater - Østdanmark'!I$3:I$482,'Resultater - Østdanmark'!J$3:J$482)),'Resultater - Østdanmark'!$F$3:$F$482,$A124,'Resultater - Østdanmark'!H$3:H$482,"&lt;0"),0))</f>
        <v>0</v>
      </c>
      <c r="I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5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7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4" t="e">
        <f t="shared" si="23"/>
        <v>#REF!</v>
      </c>
      <c r="O124" s="195">
        <f t="shared" si="20"/>
        <v>0</v>
      </c>
      <c r="P124" s="205">
        <f t="shared" si="24"/>
        <v>0</v>
      </c>
      <c r="Q124" s="192">
        <f>IFERROR(VLOOKUP(A124,[1]Energiindhold!$A$2:$C$11,3,FALSE),IFERROR(VLOOKUP(A124,[1]Biogasudbytte!$A$2:$B$18,2,FALSE)*[1]Energiindhold!$C$10,0))*O124</f>
        <v>0</v>
      </c>
      <c r="R124" s="192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92">
        <f>IFERROR(VLOOKUP(A124,[1]Biogasudbytte!$A$2:$B$18,2,FALSE)*[1]Energiindhold!$C$10,0)*J124*IFERROR(VLOOKUP(A124,Biogasanlæg!$F$3:$G$8,2,FALSE),1)</f>
        <v>0</v>
      </c>
      <c r="T124" s="193">
        <f t="shared" si="25"/>
        <v>0</v>
      </c>
      <c r="U124" s="191">
        <f>O124*IFERROR(VLOOKUP(A124,[1]Tørstofindhold!A$2:B$24,2,FALSE),0)</f>
        <v>0</v>
      </c>
      <c r="V124" s="192">
        <f>IF(D124=År1,P124,SUM(O124,P124))*IFERROR(VLOOKUP(A124,[1]Tørstofindhold!A$2:B$24,2,FALSE),0)</f>
        <v>0</v>
      </c>
      <c r="W124" s="192">
        <f>J124*IFERROR(VLOOKUP(A124,[1]Tørstofindhold!A$2:B$24,2,FALSE),0)</f>
        <v>0</v>
      </c>
      <c r="X124" s="193">
        <f t="shared" si="26"/>
        <v>0</v>
      </c>
      <c r="Y124" s="171" t="e">
        <f t="shared" si="21"/>
        <v>#REF!</v>
      </c>
      <c r="Z124" s="103" t="e">
        <f t="shared" si="22"/>
        <v>#REF!</v>
      </c>
    </row>
    <row r="125" spans="1:26" x14ac:dyDescent="0.25">
      <c r="A125" s="194" t="str">
        <f t="shared" si="33"/>
        <v>Majs</v>
      </c>
      <c r="B125" s="194" t="str">
        <f t="shared" si="34"/>
        <v>Græs og urter</v>
      </c>
      <c r="C125" s="194">
        <f>IF(COUNTIFS('Resultater - Danmark'!$D$3:$D$482,'Resultat-Produktion &amp; forbrug'!A125,'Resultater - Danmark'!$A$3:$A$482,"Til energi")+COUNTIFS('Resultater - Danmark'!$D$3:$D$482,'Resultat-Produktion &amp; forbrug'!A125,'Resultater - Danmark'!$A$3:$A$482,"Biogasanlæg")&gt;0,1,0)</f>
        <v>1</v>
      </c>
      <c r="D125" s="194">
        <f t="shared" si="35"/>
        <v>2050</v>
      </c>
      <c r="E125" s="192" t="s">
        <v>23</v>
      </c>
      <c r="F125" s="195">
        <f>IF(E125="Vestdanmark",SUMIFS(IF(D125=År1,'Resultater - Vestdanmark'!H$3:H$482,IF(D125=År2,'Resultater - Vestdanmark'!I$3:I$482,'Resultater - Vestdanmark'!J$3:J$482)),'Resultater - Vestdanmark'!$F$3:$F$482,$A125,IF(D125=År1,'Resultater - Vestdanmark'!H$3:H$482,IF(D125=År2,'Resultater - Vestdanmark'!I$3:I$482,'Resultater - Vestdanmark'!J$3:J$482)),"&gt;0"),SUMIFS(IF(D125=År1,'Resultater - Østdanmark'!H$3:H$482,IF(D125=År2,'Resultater - Østdanmark'!I$3:I$482,'Resultater - Østdanmark'!J$3:J$482)),'Resultater - Østdanmark'!$F$3:$F$482,$A125,IF(D125=År1,'Resultater - Østdanmark'!H$3:H$482,IF(D125=År2,'Resultater - Østdanmark'!I$3:I$482,'Resultater - Østdanmark'!J$3:J$482)),"&gt;0"))</f>
        <v>0</v>
      </c>
      <c r="G125" s="195" t="e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#REF!</v>
      </c>
      <c r="H125" s="192">
        <f>IF(E125="Vestdanmark",-IF(A125="Halm",SUMIFS(IF(D125=År1,'Resultater - Vestdanmark'!H$3:H$482,IF(D125=År2,'Resultater - Vestdanmark'!I$3:I$482,'Resultater - Vestdanmark'!J$3:J$482)),'Resultater - Vestdanmark'!$F$3:$F$482,$A125,'Resultater - Vestdanmark'!H$3:H$482,"&lt;0"),0),-IF(A125="Halm",SUMIFS(IF(D125=År1,'Resultater - Østdanmark'!H$3:H$482,IF(D125=År2,'Resultater - Østdanmark'!I$3:I$482,'Resultater - Østdanmark'!J$3:J$482)),'Resultater - Østdanmark'!$F$3:$F$482,$A125,'Resultater - Østdanmark'!H$3:H$482,"&lt;0"),0))</f>
        <v>0</v>
      </c>
      <c r="I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5" t="e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#REF!</v>
      </c>
      <c r="K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5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7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4" t="e">
        <f t="shared" si="23"/>
        <v>#REF!</v>
      </c>
      <c r="O125" s="195" t="e">
        <f t="shared" si="20"/>
        <v>#REF!</v>
      </c>
      <c r="P125" s="205" t="e">
        <f t="shared" si="24"/>
        <v>#REF!</v>
      </c>
      <c r="Q125" s="192" t="e">
        <f>IFERROR(VLOOKUP(A125,[1]Energiindhold!$A$2:$C$11,3,FALSE),IFERROR(VLOOKUP(A125,[1]Biogasudbytte!$A$2:$B$18,2,FALSE)*[1]Energiindhold!$C$10,0))*O125</f>
        <v>#REF!</v>
      </c>
      <c r="R125" s="192" t="e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#REF!</v>
      </c>
      <c r="S125" s="192" t="e">
        <f>IFERROR(VLOOKUP(A125,[1]Biogasudbytte!$A$2:$B$18,2,FALSE)*[1]Energiindhold!$C$10,0)*J125*IFERROR(VLOOKUP(A125,Biogasanlæg!$F$3:$G$8,2,FALSE),1)</f>
        <v>#REF!</v>
      </c>
      <c r="T125" s="193" t="e">
        <f t="shared" si="25"/>
        <v>#REF!</v>
      </c>
      <c r="U125" s="191" t="e">
        <f>O125*IFERROR(VLOOKUP(A125,[1]Tørstofindhold!A$2:B$24,2,FALSE),0)</f>
        <v>#REF!</v>
      </c>
      <c r="V125" s="192" t="e">
        <f>IF(D125=År1,P125,SUM(O125,P125))*IFERROR(VLOOKUP(A125,[1]Tørstofindhold!A$2:B$24,2,FALSE),0)</f>
        <v>#REF!</v>
      </c>
      <c r="W125" s="192" t="e">
        <f>J125*IFERROR(VLOOKUP(A125,[1]Tørstofindhold!A$2:B$24,2,FALSE),0)</f>
        <v>#REF!</v>
      </c>
      <c r="X125" s="193" t="e">
        <f t="shared" si="26"/>
        <v>#REF!</v>
      </c>
      <c r="Y125" s="171" t="e">
        <f t="shared" si="21"/>
        <v>#REF!</v>
      </c>
      <c r="Z125" s="103" t="e">
        <f t="shared" si="22"/>
        <v>#REF!</v>
      </c>
    </row>
    <row r="126" spans="1:26" x14ac:dyDescent="0.25">
      <c r="A126" s="194" t="str">
        <f t="shared" si="33"/>
        <v>Mejeriprodukter</v>
      </c>
      <c r="B126" s="194" t="str">
        <f t="shared" si="34"/>
        <v/>
      </c>
      <c r="C126" s="194">
        <f>IF(COUNTIFS('Resultater - Danmark'!$D$3:$D$482,'Resultat-Produktion &amp; forbrug'!A126,'Resultater - Danmark'!$A$3:$A$482,"Til energi")+COUNTIFS('Resultater - Danmark'!$D$3:$D$482,'Resultat-Produktion &amp; forbrug'!A126,'Resultater - Danmark'!$A$3:$A$482,"Biogasanlæg")&gt;0,1,0)</f>
        <v>0</v>
      </c>
      <c r="D126" s="194">
        <f t="shared" si="35"/>
        <v>2050</v>
      </c>
      <c r="E126" s="192" t="s">
        <v>23</v>
      </c>
      <c r="F126" s="195">
        <f>IF(E126="Vestdanmark",SUMIFS(IF(D126=År1,'Resultater - Vestdanmark'!H$3:H$482,IF(D126=År2,'Resultater - Vestdanmark'!I$3:I$482,'Resultater - Vestdanmark'!J$3:J$482)),'Resultater - Vestdanmark'!$F$3:$F$482,$A126,IF(D126=År1,'Resultater - Vestdanmark'!H$3:H$482,IF(D126=År2,'Resultater - Vestdanmark'!I$3:I$482,'Resultater - Vestdanmark'!J$3:J$482)),"&gt;0"),SUMIFS(IF(D126=År1,'Resultater - Østdanmark'!H$3:H$482,IF(D126=År2,'Resultater - Østdanmark'!I$3:I$482,'Resultater - Østdanmark'!J$3:J$482)),'Resultater - Østdanmark'!$F$3:$F$482,$A126,IF(D126=År1,'Resultater - Østdanmark'!H$3:H$482,IF(D126=År2,'Resultater - Østdanmark'!I$3:I$482,'Resultater - Østdanmark'!J$3:J$482)),"&gt;0"))</f>
        <v>0</v>
      </c>
      <c r="G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92">
        <f>IF(E126="Vestdanmark",-IF(A126="Halm",SUMIFS(IF(D126=År1,'Resultater - Vestdanmark'!H$3:H$482,IF(D126=År2,'Resultater - Vestdanmark'!I$3:I$482,'Resultater - Vestdanmark'!J$3:J$482)),'Resultater - Vestdanmark'!$F$3:$F$482,$A126,'Resultater - Vestdanmark'!H$3:H$482,"&lt;0"),0),-IF(A126="Halm",SUMIFS(IF(D126=År1,'Resultater - Østdanmark'!H$3:H$482,IF(D126=År2,'Resultater - Østdanmark'!I$3:I$482,'Resultater - Østdanmark'!J$3:J$482)),'Resultater - Østdanmark'!$F$3:$F$482,$A126,'Resultater - Østdanmark'!H$3:H$482,"&lt;0"),0))</f>
        <v>0</v>
      </c>
      <c r="I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5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7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4">
        <f t="shared" si="23"/>
        <v>-490824.54885344987</v>
      </c>
      <c r="O126" s="195">
        <f t="shared" si="20"/>
        <v>0</v>
      </c>
      <c r="P126" s="205">
        <f t="shared" si="24"/>
        <v>0</v>
      </c>
      <c r="Q126" s="192">
        <f>IFERROR(VLOOKUP(A126,[1]Energiindhold!$A$2:$C$11,3,FALSE),IFERROR(VLOOKUP(A126,[1]Biogasudbytte!$A$2:$B$18,2,FALSE)*[1]Energiindhold!$C$10,0))*O126</f>
        <v>0</v>
      </c>
      <c r="R126" s="192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92">
        <f>IFERROR(VLOOKUP(A126,[1]Biogasudbytte!$A$2:$B$18,2,FALSE)*[1]Energiindhold!$C$10,0)*J126*IFERROR(VLOOKUP(A126,Biogasanlæg!$F$3:$G$8,2,FALSE),1)</f>
        <v>0</v>
      </c>
      <c r="T126" s="193">
        <f t="shared" si="25"/>
        <v>0</v>
      </c>
      <c r="U126" s="191">
        <f>O126*IFERROR(VLOOKUP(A126,[1]Tørstofindhold!A$2:B$24,2,FALSE),0)</f>
        <v>0</v>
      </c>
      <c r="V126" s="192">
        <f>IF(D126=År1,P126,SUM(O126,P126))*IFERROR(VLOOKUP(A126,[1]Tørstofindhold!A$2:B$24,2,FALSE),0)</f>
        <v>0</v>
      </c>
      <c r="W126" s="192">
        <f>J126*IFERROR(VLOOKUP(A126,[1]Tørstofindhold!A$2:B$24,2,FALSE),0)</f>
        <v>0</v>
      </c>
      <c r="X126" s="193">
        <f t="shared" si="26"/>
        <v>0</v>
      </c>
      <c r="Y126" s="171">
        <f t="shared" si="21"/>
        <v>1</v>
      </c>
      <c r="Z126" s="103">
        <f t="shared" si="22"/>
        <v>0</v>
      </c>
    </row>
    <row r="127" spans="1:26" x14ac:dyDescent="0.25">
      <c r="A127" s="194" t="str">
        <f t="shared" si="33"/>
        <v>Muslinger</v>
      </c>
      <c r="B127" s="194" t="str">
        <f t="shared" si="34"/>
        <v>Havbiomasse</v>
      </c>
      <c r="C127" s="194">
        <f>IF(COUNTIFS('Resultater - Danmark'!$D$3:$D$482,'Resultat-Produktion &amp; forbrug'!A127,'Resultater - Danmark'!$A$3:$A$482,"Til energi")+COUNTIFS('Resultater - Danmark'!$D$3:$D$482,'Resultat-Produktion &amp; forbrug'!A127,'Resultater - Danmark'!$A$3:$A$482,"Biogasanlæg")&gt;0,1,0)</f>
        <v>1</v>
      </c>
      <c r="D127" s="194">
        <f t="shared" si="35"/>
        <v>2050</v>
      </c>
      <c r="E127" s="192" t="s">
        <v>23</v>
      </c>
      <c r="F127" s="195">
        <f>IF(E127="Vestdanmark",SUMIFS(IF(D127=År1,'Resultater - Vestdanmark'!H$3:H$482,IF(D127=År2,'Resultater - Vestdanmark'!I$3:I$482,'Resultater - Vestdanmark'!J$3:J$482)),'Resultater - Vestdanmark'!$F$3:$F$482,$A127,IF(D127=År1,'Resultater - Vestdanmark'!H$3:H$482,IF(D127=År2,'Resultater - Vestdanmark'!I$3:I$482,'Resultater - Vestdanmark'!J$3:J$482)),"&gt;0"),SUMIFS(IF(D127=År1,'Resultater - Østdanmark'!H$3:H$482,IF(D127=År2,'Resultater - Østdanmark'!I$3:I$482,'Resultater - Østdanmark'!J$3:J$482)),'Resultater - Østdanmark'!$F$3:$F$482,$A127,IF(D127=År1,'Resultater - Østdanmark'!H$3:H$482,IF(D127=År2,'Resultater - Østdanmark'!I$3:I$482,'Resultater - Østdanmark'!J$3:J$482)),"&gt;0"))</f>
        <v>0</v>
      </c>
      <c r="G127" s="195" t="e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#REF!</v>
      </c>
      <c r="H127" s="192">
        <f>IF(E127="Vestdanmark",-IF(A127="Halm",SUMIFS(IF(D127=År1,'Resultater - Vestdanmark'!H$3:H$482,IF(D127=År2,'Resultater - Vestdanmark'!I$3:I$482,'Resultater - Vestdanmark'!J$3:J$482)),'Resultater - Vestdanmark'!$F$3:$F$482,$A127,'Resultater - Vestdanmark'!H$3:H$482,"&lt;0"),0),-IF(A127="Halm",SUMIFS(IF(D127=År1,'Resultater - Østdanmark'!H$3:H$482,IF(D127=År2,'Resultater - Østdanmark'!I$3:I$482,'Resultater - Østdanmark'!J$3:J$482)),'Resultater - Østdanmark'!$F$3:$F$482,$A127,'Resultater - Østdanmark'!H$3:H$482,"&lt;0"),0))</f>
        <v>0</v>
      </c>
      <c r="I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5" t="e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#REF!</v>
      </c>
      <c r="K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5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7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4" t="e">
        <f t="shared" si="23"/>
        <v>#REF!</v>
      </c>
      <c r="O127" s="195" t="e">
        <f t="shared" si="20"/>
        <v>#REF!</v>
      </c>
      <c r="P127" s="205" t="e">
        <f t="shared" si="24"/>
        <v>#REF!</v>
      </c>
      <c r="Q127" s="192" t="e">
        <f>IFERROR(VLOOKUP(A127,[1]Energiindhold!$A$2:$C$11,3,FALSE),IFERROR(VLOOKUP(A127,[1]Biogasudbytte!$A$2:$B$18,2,FALSE)*[1]Energiindhold!$C$10,0))*O127</f>
        <v>#REF!</v>
      </c>
      <c r="R127" s="192" t="e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#REF!</v>
      </c>
      <c r="S127" s="192" t="e">
        <f>IFERROR(VLOOKUP(A127,[1]Biogasudbytte!$A$2:$B$18,2,FALSE)*[1]Energiindhold!$C$10,0)*J127*IFERROR(VLOOKUP(A127,Biogasanlæg!$F$3:$G$8,2,FALSE),1)</f>
        <v>#REF!</v>
      </c>
      <c r="T127" s="193" t="e">
        <f t="shared" si="25"/>
        <v>#REF!</v>
      </c>
      <c r="U127" s="191" t="e">
        <f>O127*IFERROR(VLOOKUP(A127,[1]Tørstofindhold!A$2:B$24,2,FALSE),0)</f>
        <v>#REF!</v>
      </c>
      <c r="V127" s="192" t="e">
        <f>IF(D127=År1,P127,SUM(O127,P127))*IFERROR(VLOOKUP(A127,[1]Tørstofindhold!A$2:B$24,2,FALSE),0)</f>
        <v>#REF!</v>
      </c>
      <c r="W127" s="192" t="e">
        <f>J127*IFERROR(VLOOKUP(A127,[1]Tørstofindhold!A$2:B$24,2,FALSE),0)</f>
        <v>#REF!</v>
      </c>
      <c r="X127" s="193" t="e">
        <f t="shared" si="26"/>
        <v>#REF!</v>
      </c>
      <c r="Y127" s="171" t="e">
        <f t="shared" si="21"/>
        <v>#REF!</v>
      </c>
      <c r="Z127" s="103" t="e">
        <f t="shared" si="22"/>
        <v>#REF!</v>
      </c>
    </row>
    <row r="128" spans="1:26" x14ac:dyDescent="0.25">
      <c r="A128" s="194" t="str">
        <f t="shared" si="33"/>
        <v>Oksekød</v>
      </c>
      <c r="B128" s="194" t="str">
        <f t="shared" si="34"/>
        <v/>
      </c>
      <c r="C128" s="194">
        <f>IF(COUNTIFS('Resultater - Danmark'!$D$3:$D$482,'Resultat-Produktion &amp; forbrug'!A128,'Resultater - Danmark'!$A$3:$A$482,"Til energi")+COUNTIFS('Resultater - Danmark'!$D$3:$D$482,'Resultat-Produktion &amp; forbrug'!A128,'Resultater - Danmark'!$A$3:$A$482,"Biogasanlæg")&gt;0,1,0)</f>
        <v>0</v>
      </c>
      <c r="D128" s="194">
        <f t="shared" si="35"/>
        <v>2050</v>
      </c>
      <c r="E128" s="192" t="s">
        <v>23</v>
      </c>
      <c r="F128" s="195">
        <f>IF(E128="Vestdanmark",SUMIFS(IF(D128=År1,'Resultater - Vestdanmark'!H$3:H$482,IF(D128=År2,'Resultater - Vestdanmark'!I$3:I$482,'Resultater - Vestdanmark'!J$3:J$482)),'Resultater - Vestdanmark'!$F$3:$F$482,$A128,IF(D128=År1,'Resultater - Vestdanmark'!H$3:H$482,IF(D128=År2,'Resultater - Vestdanmark'!I$3:I$482,'Resultater - Vestdanmark'!J$3:J$482)),"&gt;0"),SUMIFS(IF(D128=År1,'Resultater - Østdanmark'!H$3:H$482,IF(D128=År2,'Resultater - Østdanmark'!I$3:I$482,'Resultater - Østdanmark'!J$3:J$482)),'Resultater - Østdanmark'!$F$3:$F$482,$A128,IF(D128=År1,'Resultater - Østdanmark'!H$3:H$482,IF(D128=År2,'Resultater - Østdanmark'!I$3:I$482,'Resultater - Østdanmark'!J$3:J$482)),"&gt;0"))</f>
        <v>0</v>
      </c>
      <c r="G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92">
        <f>IF(E128="Vestdanmark",-IF(A128="Halm",SUMIFS(IF(D128=År1,'Resultater - Vestdanmark'!H$3:H$482,IF(D128=År2,'Resultater - Vestdanmark'!I$3:I$482,'Resultater - Vestdanmark'!J$3:J$482)),'Resultater - Vestdanmark'!$F$3:$F$482,$A128,'Resultater - Vestdanmark'!H$3:H$482,"&lt;0"),0),-IF(A128="Halm",SUMIFS(IF(D128=År1,'Resultater - Østdanmark'!H$3:H$482,IF(D128=År2,'Resultater - Østdanmark'!I$3:I$482,'Resultater - Østdanmark'!J$3:J$482)),'Resultater - Østdanmark'!$F$3:$F$482,$A128,'Resultater - Østdanmark'!H$3:H$482,"&lt;0"),0))</f>
        <v>0</v>
      </c>
      <c r="I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5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7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4">
        <f t="shared" si="23"/>
        <v>-62368.567673274578</v>
      </c>
      <c r="O128" s="195">
        <f t="shared" si="20"/>
        <v>0</v>
      </c>
      <c r="P128" s="205">
        <f t="shared" si="24"/>
        <v>0</v>
      </c>
      <c r="Q128" s="192">
        <f>IFERROR(VLOOKUP(A128,[1]Energiindhold!$A$2:$C$11,3,FALSE),IFERROR(VLOOKUP(A128,[1]Biogasudbytte!$A$2:$B$18,2,FALSE)*[1]Energiindhold!$C$10,0))*O128</f>
        <v>0</v>
      </c>
      <c r="R128" s="192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92">
        <f>IFERROR(VLOOKUP(A128,[1]Biogasudbytte!$A$2:$B$18,2,FALSE)*[1]Energiindhold!$C$10,0)*J128*IFERROR(VLOOKUP(A128,Biogasanlæg!$F$3:$G$8,2,FALSE),1)</f>
        <v>0</v>
      </c>
      <c r="T128" s="193">
        <f t="shared" si="25"/>
        <v>0</v>
      </c>
      <c r="U128" s="191">
        <f>O128*IFERROR(VLOOKUP(A128,[1]Tørstofindhold!A$2:B$24,2,FALSE),0)</f>
        <v>0</v>
      </c>
      <c r="V128" s="192">
        <f>IF(D128=År1,P128,SUM(O128,P128))*IFERROR(VLOOKUP(A128,[1]Tørstofindhold!A$2:B$24,2,FALSE),0)</f>
        <v>0</v>
      </c>
      <c r="W128" s="192">
        <f>J128*IFERROR(VLOOKUP(A128,[1]Tørstofindhold!A$2:B$24,2,FALSE),0)</f>
        <v>0</v>
      </c>
      <c r="X128" s="193">
        <f t="shared" si="26"/>
        <v>0</v>
      </c>
      <c r="Y128" s="171">
        <f t="shared" si="21"/>
        <v>1</v>
      </c>
      <c r="Z128" s="103">
        <f t="shared" si="22"/>
        <v>0</v>
      </c>
    </row>
    <row r="129" spans="1:26" x14ac:dyDescent="0.25">
      <c r="A129" s="194" t="str">
        <f t="shared" si="33"/>
        <v>Øvrige</v>
      </c>
      <c r="B129" s="194" t="str">
        <f t="shared" si="34"/>
        <v/>
      </c>
      <c r="C129" s="194">
        <f>IF(COUNTIFS('Resultater - Danmark'!$D$3:$D$482,'Resultat-Produktion &amp; forbrug'!A129,'Resultater - Danmark'!$A$3:$A$482,"Til energi")+COUNTIFS('Resultater - Danmark'!$D$3:$D$482,'Resultat-Produktion &amp; forbrug'!A129,'Resultater - Danmark'!$A$3:$A$482,"Biogasanlæg")&gt;0,1,0)</f>
        <v>0</v>
      </c>
      <c r="D129" s="194">
        <f t="shared" si="35"/>
        <v>2050</v>
      </c>
      <c r="E129" s="192" t="s">
        <v>23</v>
      </c>
      <c r="F129" s="195">
        <f>IF(E129="Vestdanmark",SUMIFS(IF(D129=År1,'Resultater - Vestdanmark'!H$3:H$482,IF(D129=År2,'Resultater - Vestdanmark'!I$3:I$482,'Resultater - Vestdanmark'!J$3:J$482)),'Resultater - Vestdanmark'!$F$3:$F$482,$A129,IF(D129=År1,'Resultater - Vestdanmark'!H$3:H$482,IF(D129=År2,'Resultater - Vestdanmark'!I$3:I$482,'Resultater - Vestdanmark'!J$3:J$482)),"&gt;0"),SUMIFS(IF(D129=År1,'Resultater - Østdanmark'!H$3:H$482,IF(D129=År2,'Resultater - Østdanmark'!I$3:I$482,'Resultater - Østdanmark'!J$3:J$482)),'Resultater - Østdanmark'!$F$3:$F$482,$A129,IF(D129=År1,'Resultater - Østdanmark'!H$3:H$482,IF(D129=År2,'Resultater - Østdanmark'!I$3:I$482,'Resultater - Østdanmark'!J$3:J$482)),"&gt;0"))</f>
        <v>0</v>
      </c>
      <c r="G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92">
        <f>IF(E129="Vestdanmark",-IF(A129="Halm",SUMIFS(IF(D129=År1,'Resultater - Vestdanmark'!H$3:H$482,IF(D129=År2,'Resultater - Vestdanmark'!I$3:I$482,'Resultater - Vestdanmark'!J$3:J$482)),'Resultater - Vestdanmark'!$F$3:$F$482,$A129,'Resultater - Vestdanmark'!H$3:H$482,"&lt;0"),0),-IF(A129="Halm",SUMIFS(IF(D129=År1,'Resultater - Østdanmark'!H$3:H$482,IF(D129=År2,'Resultater - Østdanmark'!I$3:I$482,'Resultater - Østdanmark'!J$3:J$482)),'Resultater - Østdanmark'!$F$3:$F$482,$A129,'Resultater - Østdanmark'!H$3:H$482,"&lt;0"),0))</f>
        <v>0</v>
      </c>
      <c r="I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5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7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4">
        <f t="shared" si="23"/>
        <v>0</v>
      </c>
      <c r="O129" s="195">
        <f t="shared" si="20"/>
        <v>0</v>
      </c>
      <c r="P129" s="205">
        <f t="shared" si="24"/>
        <v>0</v>
      </c>
      <c r="Q129" s="192">
        <f>IFERROR(VLOOKUP(A129,[1]Energiindhold!$A$2:$C$11,3,FALSE),IFERROR(VLOOKUP(A129,[1]Biogasudbytte!$A$2:$B$18,2,FALSE)*[1]Energiindhold!$C$10,0))*O129</f>
        <v>0</v>
      </c>
      <c r="R129" s="192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92">
        <f>IFERROR(VLOOKUP(A129,[1]Biogasudbytte!$A$2:$B$18,2,FALSE)*[1]Energiindhold!$C$10,0)*J129*IFERROR(VLOOKUP(A129,Biogasanlæg!$F$3:$G$8,2,FALSE),1)</f>
        <v>0</v>
      </c>
      <c r="T129" s="193">
        <f t="shared" si="25"/>
        <v>0</v>
      </c>
      <c r="U129" s="191">
        <f>O129*IFERROR(VLOOKUP(A129,[1]Tørstofindhold!A$2:B$24,2,FALSE),0)</f>
        <v>0</v>
      </c>
      <c r="V129" s="192">
        <f>IF(D129=År1,P129,SUM(O129,P129))*IFERROR(VLOOKUP(A129,[1]Tørstofindhold!A$2:B$24,2,FALSE),0)</f>
        <v>0</v>
      </c>
      <c r="W129" s="192">
        <f>J129*IFERROR(VLOOKUP(A129,[1]Tørstofindhold!A$2:B$24,2,FALSE),0)</f>
        <v>0</v>
      </c>
      <c r="X129" s="193">
        <f t="shared" si="26"/>
        <v>0</v>
      </c>
      <c r="Y129" s="171">
        <f t="shared" si="21"/>
        <v>0</v>
      </c>
      <c r="Z129" s="103">
        <f t="shared" si="22"/>
        <v>0</v>
      </c>
    </row>
    <row r="130" spans="1:26" x14ac:dyDescent="0.25">
      <c r="A130" s="194" t="str">
        <f t="shared" si="33"/>
        <v>Pil &amp; poppel</v>
      </c>
      <c r="B130" s="194" t="str">
        <f t="shared" si="34"/>
        <v>Vedmasse</v>
      </c>
      <c r="C130" s="194">
        <f>IF(COUNTIFS('Resultater - Danmark'!$D$3:$D$482,'Resultat-Produktion &amp; forbrug'!A130,'Resultater - Danmark'!$A$3:$A$482,"Til energi")+COUNTIFS('Resultater - Danmark'!$D$3:$D$482,'Resultat-Produktion &amp; forbrug'!A130,'Resultater - Danmark'!$A$3:$A$482,"Biogasanlæg")&gt;0,1,0)</f>
        <v>1</v>
      </c>
      <c r="D130" s="194">
        <f t="shared" si="35"/>
        <v>2050</v>
      </c>
      <c r="E130" s="192" t="s">
        <v>23</v>
      </c>
      <c r="F130" s="195">
        <f>IF(E130="Vestdanmark",SUMIFS(IF(D130=År1,'Resultater - Vestdanmark'!H$3:H$482,IF(D130=År2,'Resultater - Vestdanmark'!I$3:I$482,'Resultater - Vestdanmark'!J$3:J$482)),'Resultater - Vestdanmark'!$F$3:$F$482,$A130,IF(D130=År1,'Resultater - Vestdanmark'!H$3:H$482,IF(D130=År2,'Resultater - Vestdanmark'!I$3:I$482,'Resultater - Vestdanmark'!J$3:J$482)),"&gt;0"),SUMIFS(IF(D130=År1,'Resultater - Østdanmark'!H$3:H$482,IF(D130=År2,'Resultater - Østdanmark'!I$3:I$482,'Resultater - Østdanmark'!J$3:J$482)),'Resultater - Østdanmark'!$F$3:$F$482,$A130,IF(D130=År1,'Resultater - Østdanmark'!H$3:H$482,IF(D130=År2,'Resultater - Østdanmark'!I$3:I$482,'Resultater - Østdanmark'!J$3:J$482)),"&gt;0"))</f>
        <v>0</v>
      </c>
      <c r="G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92">
        <f>IF(E130="Vestdanmark",-IF(A130="Halm",SUMIFS(IF(D130=År1,'Resultater - Vestdanmark'!H$3:H$482,IF(D130=År2,'Resultater - Vestdanmark'!I$3:I$482,'Resultater - Vestdanmark'!J$3:J$482)),'Resultater - Vestdanmark'!$F$3:$F$482,$A130,'Resultater - Vestdanmark'!H$3:H$482,"&lt;0"),0),-IF(A130="Halm",SUMIFS(IF(D130=År1,'Resultater - Østdanmark'!H$3:H$482,IF(D130=År2,'Resultater - Østdanmark'!I$3:I$482,'Resultater - Østdanmark'!J$3:J$482)),'Resultater - Østdanmark'!$F$3:$F$482,$A130,'Resultater - Østdanmark'!H$3:H$482,"&lt;0"),0))</f>
        <v>0</v>
      </c>
      <c r="I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5" t="e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#REF!</v>
      </c>
      <c r="M130" s="157" t="e">
        <f>SUMIFS('Forbrug af biomasse'!E:E,'Forbrug af biomasse'!C:C,'Resultat-Produktion &amp; forbrug'!$A130,'Forbrug af biomasse'!D:D,'Resultat-Produktion &amp; forbrug'!$D130,'Forbrug af biomasse'!G:G,1,'Forbrug af biomasse'!B:B,$E130)</f>
        <v>#REF!</v>
      </c>
      <c r="N130" s="204" t="e">
        <f t="shared" si="23"/>
        <v>#REF!</v>
      </c>
      <c r="O130" s="195" t="e">
        <f t="shared" si="20"/>
        <v>#REF!</v>
      </c>
      <c r="P130" s="205" t="e">
        <f t="shared" si="24"/>
        <v>#REF!</v>
      </c>
      <c r="Q130" s="192" t="e">
        <f>IFERROR(VLOOKUP(A130,[1]Energiindhold!$A$2:$C$11,3,FALSE),IFERROR(VLOOKUP(A130,[1]Biogasudbytte!$A$2:$B$18,2,FALSE)*[1]Energiindhold!$C$10,0))*O130</f>
        <v>#REF!</v>
      </c>
      <c r="R130" s="192" t="e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#REF!</v>
      </c>
      <c r="S130" s="192">
        <f>IFERROR(VLOOKUP(A130,[1]Biogasudbytte!$A$2:$B$18,2,FALSE)*[1]Energiindhold!$C$10,0)*J130*IFERROR(VLOOKUP(A130,Biogasanlæg!$F$3:$G$8,2,FALSE),1)</f>
        <v>0</v>
      </c>
      <c r="T130" s="193" t="e">
        <f t="shared" si="25"/>
        <v>#REF!</v>
      </c>
      <c r="U130" s="191" t="e">
        <f>O130*IFERROR(VLOOKUP(A130,[1]Tørstofindhold!A$2:B$24,2,FALSE),0)</f>
        <v>#REF!</v>
      </c>
      <c r="V130" s="192" t="e">
        <f>IF(D130=År1,P130,SUM(O130,P130))*IFERROR(VLOOKUP(A130,[1]Tørstofindhold!A$2:B$24,2,FALSE),0)</f>
        <v>#REF!</v>
      </c>
      <c r="W130" s="192">
        <f>J130*IFERROR(VLOOKUP(A130,[1]Tørstofindhold!A$2:B$24,2,FALSE),0)</f>
        <v>0</v>
      </c>
      <c r="X130" s="193" t="e">
        <f t="shared" si="26"/>
        <v>#REF!</v>
      </c>
      <c r="Y130" s="171" t="e">
        <f t="shared" si="21"/>
        <v>#REF!</v>
      </c>
      <c r="Z130" s="103" t="e">
        <f t="shared" si="22"/>
        <v>#REF!</v>
      </c>
    </row>
    <row r="131" spans="1:26" x14ac:dyDescent="0.25">
      <c r="A131" s="194" t="str">
        <f t="shared" ref="A131:A132" si="36">A83</f>
        <v>Pyrolysegas</v>
      </c>
      <c r="B131" s="194" t="str">
        <f t="shared" ref="B131:B132" si="37">IF(B83&lt;&gt;"",B83,"")</f>
        <v>Pyrolyseprodukter</v>
      </c>
      <c r="C131" s="194">
        <f>IF(COUNTIFS('Resultater - Danmark'!$D$3:$D$482,'Resultat-Produktion &amp; forbrug'!A131,'Resultater - Danmark'!$A$3:$A$482,"Til energi")+COUNTIFS('Resultater - Danmark'!$D$3:$D$482,'Resultat-Produktion &amp; forbrug'!A131,'Resultater - Danmark'!$A$3:$A$482,"Biogasanlæg")&gt;0,1,0)</f>
        <v>1</v>
      </c>
      <c r="D131" s="194">
        <f t="shared" si="35"/>
        <v>2050</v>
      </c>
      <c r="E131" s="192" t="s">
        <v>23</v>
      </c>
      <c r="F131" s="195">
        <f>IF(E131="Vestdanmark",SUMIFS(IF(D131=År1,'Resultater - Vestdanmark'!H$3:H$482,IF(D131=År2,'Resultater - Vestdanmark'!I$3:I$482,'Resultater - Vestdanmark'!J$3:J$482)),'Resultater - Vestdanmark'!$F$3:$F$482,$A131,IF(D131=År1,'Resultater - Vestdanmark'!H$3:H$482,IF(D131=År2,'Resultater - Vestdanmark'!I$3:I$482,'Resultater - Vestdanmark'!J$3:J$482)),"&gt;0"),SUMIFS(IF(D131=År1,'Resultater - Østdanmark'!H$3:H$482,IF(D131=År2,'Resultater - Østdanmark'!I$3:I$482,'Resultater - Østdanmark'!J$3:J$482)),'Resultater - Østdanmark'!$F$3:$F$482,$A131,IF(D131=År1,'Resultater - Østdanmark'!H$3:H$482,IF(D131=År2,'Resultater - Østdanmark'!I$3:I$482,'Resultater - Østdanmark'!J$3:J$482)),"&gt;0"))</f>
        <v>0</v>
      </c>
      <c r="G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92">
        <f>IF(E131="Vestdanmark",-IF(A131="Halm",SUMIFS(IF(D131=År1,'Resultater - Vestdanmark'!H$3:H$482,IF(D131=År2,'Resultater - Vestdanmark'!I$3:I$482,'Resultater - Vestdanmark'!J$3:J$482)),'Resultater - Vestdanmark'!$F$3:$F$482,$A131,'Resultater - Vestdanmark'!H$3:H$482,"&lt;0"),0),-IF(A131="Halm",SUMIFS(IF(D131=År1,'Resultater - Østdanmark'!H$3:H$482,IF(D131=År2,'Resultater - Østdanmark'!I$3:I$482,'Resultater - Østdanmark'!J$3:J$482)),'Resultater - Østdanmark'!$F$3:$F$482,$A131,'Resultater - Østdanmark'!H$3:H$482,"&lt;0"),0))</f>
        <v>0</v>
      </c>
      <c r="I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5" t="e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#REF!</v>
      </c>
      <c r="M131" s="157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4" t="e">
        <f t="shared" ref="N131:N132" si="38">F131-SUM(G131:M131)</f>
        <v>#REF!</v>
      </c>
      <c r="O131" s="195" t="e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#REF!</v>
      </c>
      <c r="P131" s="205" t="e">
        <f t="shared" ref="P131:P132" si="40">SUM(J131,L131)</f>
        <v>#REF!</v>
      </c>
      <c r="Q131" s="192" t="e">
        <f>IFERROR(VLOOKUP(A131,[1]Energiindhold!$A$2:$C$11,3,FALSE),IFERROR(VLOOKUP(A131,[1]Biogasudbytte!$A$2:$B$18,2,FALSE)*[1]Energiindhold!$C$10,0))*O131</f>
        <v>#REF!</v>
      </c>
      <c r="R131" s="192" t="e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#REF!</v>
      </c>
      <c r="S131" s="192">
        <f>IFERROR(VLOOKUP(A131,[1]Biogasudbytte!$A$2:$B$18,2,FALSE)*[1]Energiindhold!$C$10,0)*J131*IFERROR(VLOOKUP(A131,Biogasanlæg!$F$3:$G$8,2,FALSE),1)</f>
        <v>0</v>
      </c>
      <c r="T131" s="193" t="e">
        <f t="shared" ref="T131:T132" si="41">R131-S131</f>
        <v>#REF!</v>
      </c>
      <c r="U131" s="191" t="e">
        <f>O131*IFERROR(VLOOKUP(A131,[1]Tørstofindhold!A$2:B$24,2,FALSE),0)</f>
        <v>#REF!</v>
      </c>
      <c r="V131" s="192" t="e">
        <f>IF(D131=År1,P131,SUM(O131,P131))*IFERROR(VLOOKUP(A131,[1]Tørstofindhold!A$2:B$24,2,FALSE),0)</f>
        <v>#REF!</v>
      </c>
      <c r="W131" s="192">
        <f>J131*IFERROR(VLOOKUP(A131,[1]Tørstofindhold!A$2:B$24,2,FALSE),0)</f>
        <v>0</v>
      </c>
      <c r="X131" s="193" t="e">
        <f t="shared" ref="X131:X132" si="42">V131-W131</f>
        <v>#REF!</v>
      </c>
      <c r="Y131" s="171" t="e">
        <f t="shared" ref="Y131:Y194" si="43">IF(SUMIFS($N$3:$N$290,$A$3:$A$290,A131,$D$3:$D$290,D131)&lt;0,1,0)</f>
        <v>#REF!</v>
      </c>
      <c r="Z131" s="103" t="e">
        <f t="shared" ref="Z131:Z194" si="44">IF(SUMIFS($N$3:$N$290,$A$3:$A$290,A131,$D$3:$D$290,D131)&gt;0,1,0)</f>
        <v>#REF!</v>
      </c>
    </row>
    <row r="132" spans="1:26" x14ac:dyDescent="0.25">
      <c r="A132" s="194" t="str">
        <f t="shared" si="36"/>
        <v>Pyrolyseolie</v>
      </c>
      <c r="B132" s="194" t="str">
        <f t="shared" si="37"/>
        <v>Pyrolyseprodukter</v>
      </c>
      <c r="C132" s="194">
        <f>IF(COUNTIFS('Resultater - Danmark'!$D$3:$D$482,'Resultat-Produktion &amp; forbrug'!A132,'Resultater - Danmark'!$A$3:$A$482,"Til energi")+COUNTIFS('Resultater - Danmark'!$D$3:$D$482,'Resultat-Produktion &amp; forbrug'!A132,'Resultater - Danmark'!$A$3:$A$482,"Biogasanlæg")&gt;0,1,0)</f>
        <v>1</v>
      </c>
      <c r="D132" s="194">
        <f t="shared" si="35"/>
        <v>2050</v>
      </c>
      <c r="E132" s="192" t="s">
        <v>23</v>
      </c>
      <c r="F132" s="195">
        <f>IF(E132="Vestdanmark",SUMIFS(IF(D132=År1,'Resultater - Vestdanmark'!H$3:H$482,IF(D132=År2,'Resultater - Vestdanmark'!I$3:I$482,'Resultater - Vestdanmark'!J$3:J$482)),'Resultater - Vestdanmark'!$F$3:$F$482,$A132,IF(D132=År1,'Resultater - Vestdanmark'!H$3:H$482,IF(D132=År2,'Resultater - Vestdanmark'!I$3:I$482,'Resultater - Vestdanmark'!J$3:J$482)),"&gt;0"),SUMIFS(IF(D132=År1,'Resultater - Østdanmark'!H$3:H$482,IF(D132=År2,'Resultater - Østdanmark'!I$3:I$482,'Resultater - Østdanmark'!J$3:J$482)),'Resultater - Østdanmark'!$F$3:$F$482,$A132,IF(D132=År1,'Resultater - Østdanmark'!H$3:H$482,IF(D132=År2,'Resultater - Østdanmark'!I$3:I$482,'Resultater - Østdanmark'!J$3:J$482)),"&gt;0"))</f>
        <v>0</v>
      </c>
      <c r="G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92">
        <f>IF(E132="Vestdanmark",-IF(A132="Halm",SUMIFS(IF(D132=År1,'Resultater - Vestdanmark'!H$3:H$482,IF(D132=År2,'Resultater - Vestdanmark'!I$3:I$482,'Resultater - Vestdanmark'!J$3:J$482)),'Resultater - Vestdanmark'!$F$3:$F$482,$A132,'Resultater - Vestdanmark'!H$3:H$482,"&lt;0"),0),-IF(A132="Halm",SUMIFS(IF(D132=År1,'Resultater - Østdanmark'!H$3:H$482,IF(D132=År2,'Resultater - Østdanmark'!I$3:I$482,'Resultater - Østdanmark'!J$3:J$482)),'Resultater - Østdanmark'!$F$3:$F$482,$A132,'Resultater - Østdanmark'!H$3:H$482,"&lt;0"),0))</f>
        <v>0</v>
      </c>
      <c r="I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5" t="e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#REF!</v>
      </c>
      <c r="M132" s="157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4" t="e">
        <f t="shared" si="38"/>
        <v>#REF!</v>
      </c>
      <c r="O132" s="195" t="e">
        <f t="shared" si="39"/>
        <v>#REF!</v>
      </c>
      <c r="P132" s="205" t="e">
        <f t="shared" si="40"/>
        <v>#REF!</v>
      </c>
      <c r="Q132" s="192" t="e">
        <f>IFERROR(VLOOKUP(A132,[1]Energiindhold!$A$2:$C$11,3,FALSE),IFERROR(VLOOKUP(A132,[1]Biogasudbytte!$A$2:$B$18,2,FALSE)*[1]Energiindhold!$C$10,0))*O132</f>
        <v>#REF!</v>
      </c>
      <c r="R132" s="192" t="e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#REF!</v>
      </c>
      <c r="S132" s="192">
        <f>IFERROR(VLOOKUP(A132,[1]Biogasudbytte!$A$2:$B$18,2,FALSE)*[1]Energiindhold!$C$10,0)*J132*IFERROR(VLOOKUP(A132,Biogasanlæg!$F$3:$G$8,2,FALSE),1)</f>
        <v>0</v>
      </c>
      <c r="T132" s="193" t="e">
        <f t="shared" si="41"/>
        <v>#REF!</v>
      </c>
      <c r="U132" s="191" t="e">
        <f>O132*IFERROR(VLOOKUP(A132,[1]Tørstofindhold!A$2:B$24,2,FALSE),0)</f>
        <v>#REF!</v>
      </c>
      <c r="V132" s="192" t="e">
        <f>IF(D132=År1,P132,SUM(O132,P132))*IFERROR(VLOOKUP(A132,[1]Tørstofindhold!A$2:B$24,2,FALSE),0)</f>
        <v>#REF!</v>
      </c>
      <c r="W132" s="192">
        <f>J132*IFERROR(VLOOKUP(A132,[1]Tørstofindhold!A$2:B$24,2,FALSE),0)</f>
        <v>0</v>
      </c>
      <c r="X132" s="193" t="e">
        <f t="shared" si="42"/>
        <v>#REF!</v>
      </c>
      <c r="Y132" s="171" t="e">
        <f t="shared" si="43"/>
        <v>#REF!</v>
      </c>
      <c r="Z132" s="103" t="e">
        <f t="shared" si="44"/>
        <v>#REF!</v>
      </c>
    </row>
    <row r="133" spans="1:26" x14ac:dyDescent="0.25">
      <c r="A133" s="194" t="str">
        <f t="shared" ref="A133:A146" si="45">A85</f>
        <v>Råmælk</v>
      </c>
      <c r="B133" s="194" t="str">
        <f t="shared" ref="B133:B146" si="46">IF(B85&lt;&gt;"",B85,"")</f>
        <v/>
      </c>
      <c r="C133" s="194">
        <f>IF(COUNTIFS('Resultater - Danmark'!$D$3:$D$482,'Resultat-Produktion &amp; forbrug'!A133,'Resultater - Danmark'!$A$3:$A$482,"Til energi")+COUNTIFS('Resultater - Danmark'!$D$3:$D$482,'Resultat-Produktion &amp; forbrug'!A133,'Resultater - Danmark'!$A$3:$A$482,"Biogasanlæg")&gt;0,1,0)</f>
        <v>0</v>
      </c>
      <c r="D133" s="194">
        <f t="shared" si="35"/>
        <v>2050</v>
      </c>
      <c r="E133" s="192" t="s">
        <v>23</v>
      </c>
      <c r="F133" s="195">
        <f>IF(E133="Vestdanmark",SUMIFS(IF(D133=År1,'Resultater - Vestdanmark'!H$3:H$482,IF(D133=År2,'Resultater - Vestdanmark'!I$3:I$482,'Resultater - Vestdanmark'!J$3:J$482)),'Resultater - Vestdanmark'!$F$3:$F$482,$A133,IF(D133=År1,'Resultater - Vestdanmark'!H$3:H$482,IF(D133=År2,'Resultater - Vestdanmark'!I$3:I$482,'Resultater - Vestdanmark'!J$3:J$482)),"&gt;0"),SUMIFS(IF(D133=År1,'Resultater - Østdanmark'!H$3:H$482,IF(D133=År2,'Resultater - Østdanmark'!I$3:I$482,'Resultater - Østdanmark'!J$3:J$482)),'Resultater - Østdanmark'!$F$3:$F$482,$A133,IF(D133=År1,'Resultater - Østdanmark'!H$3:H$482,IF(D133=År2,'Resultater - Østdanmark'!I$3:I$482,'Resultater - Østdanmark'!J$3:J$482)),"&gt;0"))</f>
        <v>0</v>
      </c>
      <c r="G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92">
        <f>IF(E133="Vestdanmark",-IF(A133="Halm",SUMIFS(IF(D133=År1,'Resultater - Vestdanmark'!H$3:H$482,IF(D133=År2,'Resultater - Vestdanmark'!I$3:I$482,'Resultater - Vestdanmark'!J$3:J$482)),'Resultater - Vestdanmark'!$F$3:$F$482,$A133,'Resultater - Vestdanmark'!H$3:H$482,"&lt;0"),0),-IF(A133="Halm",SUMIFS(IF(D133=År1,'Resultater - Østdanmark'!H$3:H$482,IF(D133=År2,'Resultater - Østdanmark'!I$3:I$482,'Resultater - Østdanmark'!J$3:J$482)),'Resultater - Østdanmark'!$F$3:$F$482,$A133,'Resultater - Østdanmark'!H$3:H$482,"&lt;0"),0))</f>
        <v>0</v>
      </c>
      <c r="I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5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7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4">
        <f t="shared" si="23"/>
        <v>0</v>
      </c>
      <c r="O133" s="195">
        <f t="shared" si="39"/>
        <v>0</v>
      </c>
      <c r="P133" s="205">
        <f t="shared" si="24"/>
        <v>0</v>
      </c>
      <c r="Q133" s="192">
        <f>IFERROR(VLOOKUP(A133,[1]Energiindhold!$A$2:$C$11,3,FALSE),IFERROR(VLOOKUP(A133,[1]Biogasudbytte!$A$2:$B$18,2,FALSE)*[1]Energiindhold!$C$10,0))*O133</f>
        <v>0</v>
      </c>
      <c r="R133" s="192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92">
        <f>IFERROR(VLOOKUP(A133,[1]Biogasudbytte!$A$2:$B$18,2,FALSE)*[1]Energiindhold!$C$10,0)*J133*IFERROR(VLOOKUP(A133,Biogasanlæg!$F$3:$G$8,2,FALSE),1)</f>
        <v>0</v>
      </c>
      <c r="T133" s="193">
        <f t="shared" si="25"/>
        <v>0</v>
      </c>
      <c r="U133" s="191">
        <f>O133*IFERROR(VLOOKUP(A133,[1]Tørstofindhold!A$2:B$24,2,FALSE),0)</f>
        <v>0</v>
      </c>
      <c r="V133" s="192">
        <f>IF(D133=År1,P133,SUM(O133,P133))*IFERROR(VLOOKUP(A133,[1]Tørstofindhold!A$2:B$24,2,FALSE),0)</f>
        <v>0</v>
      </c>
      <c r="W133" s="192">
        <f>J133*IFERROR(VLOOKUP(A133,[1]Tørstofindhold!A$2:B$24,2,FALSE),0)</f>
        <v>0</v>
      </c>
      <c r="X133" s="193">
        <f t="shared" si="26"/>
        <v>0</v>
      </c>
      <c r="Y133" s="171">
        <f t="shared" si="43"/>
        <v>0</v>
      </c>
      <c r="Z133" s="103">
        <f t="shared" si="44"/>
        <v>0</v>
      </c>
    </row>
    <row r="134" spans="1:26" x14ac:dyDescent="0.25">
      <c r="A134" s="194" t="str">
        <f t="shared" si="45"/>
        <v>Raps</v>
      </c>
      <c r="B134" s="194" t="str">
        <f t="shared" si="46"/>
        <v/>
      </c>
      <c r="C134" s="194">
        <f>IF(COUNTIFS('Resultater - Danmark'!$D$3:$D$482,'Resultat-Produktion &amp; forbrug'!A134,'Resultater - Danmark'!$A$3:$A$482,"Til energi")+COUNTIFS('Resultater - Danmark'!$D$3:$D$482,'Resultat-Produktion &amp; forbrug'!A134,'Resultater - Danmark'!$A$3:$A$482,"Biogasanlæg")&gt;0,1,0)</f>
        <v>0</v>
      </c>
      <c r="D134" s="194">
        <f t="shared" si="35"/>
        <v>2050</v>
      </c>
      <c r="E134" s="192" t="s">
        <v>23</v>
      </c>
      <c r="F134" s="195">
        <f>IF(E134="Vestdanmark",SUMIFS(IF(D134=År1,'Resultater - Vestdanmark'!H$3:H$482,IF(D134=År2,'Resultater - Vestdanmark'!I$3:I$482,'Resultater - Vestdanmark'!J$3:J$482)),'Resultater - Vestdanmark'!$F$3:$F$482,$A134,IF(D134=År1,'Resultater - Vestdanmark'!H$3:H$482,IF(D134=År2,'Resultater - Vestdanmark'!I$3:I$482,'Resultater - Vestdanmark'!J$3:J$482)),"&gt;0"),SUMIFS(IF(D134=År1,'Resultater - Østdanmark'!H$3:H$482,IF(D134=År2,'Resultater - Østdanmark'!I$3:I$482,'Resultater - Østdanmark'!J$3:J$482)),'Resultater - Østdanmark'!$F$3:$F$482,$A134,IF(D134=År1,'Resultater - Østdanmark'!H$3:H$482,IF(D134=År2,'Resultater - Østdanmark'!I$3:I$482,'Resultater - Østdanmark'!J$3:J$482)),"&gt;0"))</f>
        <v>0</v>
      </c>
      <c r="G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92">
        <f>IF(E134="Vestdanmark",-IF(A134="Halm",SUMIFS(IF(D134=År1,'Resultater - Vestdanmark'!H$3:H$482,IF(D134=År2,'Resultater - Vestdanmark'!I$3:I$482,'Resultater - Vestdanmark'!J$3:J$482)),'Resultater - Vestdanmark'!$F$3:$F$482,$A134,'Resultater - Vestdanmark'!H$3:H$482,"&lt;0"),0),-IF(A134="Halm",SUMIFS(IF(D134=År1,'Resultater - Østdanmark'!H$3:H$482,IF(D134=År2,'Resultater - Østdanmark'!I$3:I$482,'Resultater - Østdanmark'!J$3:J$482)),'Resultater - Østdanmark'!$F$3:$F$482,$A134,'Resultater - Østdanmark'!H$3:H$482,"&lt;0"),0))</f>
        <v>0</v>
      </c>
      <c r="I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5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7" t="e">
        <f>SUMIFS('Forbrug af biomasse'!E:E,'Forbrug af biomasse'!C:C,'Resultat-Produktion &amp; forbrug'!$A134,'Forbrug af biomasse'!D:D,'Resultat-Produktion &amp; forbrug'!$D134,'Forbrug af biomasse'!G:G,1,'Forbrug af biomasse'!B:B,$E134)</f>
        <v>#REF!</v>
      </c>
      <c r="N134" s="204" t="e">
        <f t="shared" si="23"/>
        <v>#REF!</v>
      </c>
      <c r="O134" s="195">
        <f t="shared" si="39"/>
        <v>0</v>
      </c>
      <c r="P134" s="205">
        <f t="shared" si="24"/>
        <v>0</v>
      </c>
      <c r="Q134" s="192">
        <f>IFERROR(VLOOKUP(A134,[1]Energiindhold!$A$2:$C$11,3,FALSE),IFERROR(VLOOKUP(A134,[1]Biogasudbytte!$A$2:$B$18,2,FALSE)*[1]Energiindhold!$C$10,0))*O134</f>
        <v>0</v>
      </c>
      <c r="R134" s="192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92">
        <f>IFERROR(VLOOKUP(A134,[1]Biogasudbytte!$A$2:$B$18,2,FALSE)*[1]Energiindhold!$C$10,0)*J134*IFERROR(VLOOKUP(A134,Biogasanlæg!$F$3:$G$8,2,FALSE),1)</f>
        <v>0</v>
      </c>
      <c r="T134" s="193">
        <f t="shared" si="25"/>
        <v>0</v>
      </c>
      <c r="U134" s="191">
        <f>O134*IFERROR(VLOOKUP(A134,[1]Tørstofindhold!A$2:B$24,2,FALSE),0)</f>
        <v>0</v>
      </c>
      <c r="V134" s="192">
        <f>IF(D134=År1,P134,SUM(O134,P134))*IFERROR(VLOOKUP(A134,[1]Tørstofindhold!A$2:B$24,2,FALSE),0)</f>
        <v>0</v>
      </c>
      <c r="W134" s="192">
        <f>J134*IFERROR(VLOOKUP(A134,[1]Tørstofindhold!A$2:B$24,2,FALSE),0)</f>
        <v>0</v>
      </c>
      <c r="X134" s="193">
        <f t="shared" si="26"/>
        <v>0</v>
      </c>
      <c r="Y134" s="171" t="e">
        <f t="shared" si="43"/>
        <v>#REF!</v>
      </c>
      <c r="Z134" s="103" t="e">
        <f t="shared" si="44"/>
        <v>#REF!</v>
      </c>
    </row>
    <row r="135" spans="1:26" x14ac:dyDescent="0.25">
      <c r="A135" s="194" t="str">
        <f t="shared" si="45"/>
        <v>Rapskage</v>
      </c>
      <c r="B135" s="194" t="str">
        <f t="shared" si="46"/>
        <v/>
      </c>
      <c r="C135" s="194">
        <f>IF(COUNTIFS('Resultater - Danmark'!$D$3:$D$482,'Resultat-Produktion &amp; forbrug'!A135,'Resultater - Danmark'!$A$3:$A$482,"Til energi")+COUNTIFS('Resultater - Danmark'!$D$3:$D$482,'Resultat-Produktion &amp; forbrug'!A135,'Resultater - Danmark'!$A$3:$A$482,"Biogasanlæg")&gt;0,1,0)</f>
        <v>0</v>
      </c>
      <c r="D135" s="194">
        <f t="shared" si="35"/>
        <v>2050</v>
      </c>
      <c r="E135" s="192" t="s">
        <v>23</v>
      </c>
      <c r="F135" s="195">
        <f>IF(E135="Vestdanmark",SUMIFS(IF(D135=År1,'Resultater - Vestdanmark'!H$3:H$482,IF(D135=År2,'Resultater - Vestdanmark'!I$3:I$482,'Resultater - Vestdanmark'!J$3:J$482)),'Resultater - Vestdanmark'!$F$3:$F$482,$A135,IF(D135=År1,'Resultater - Vestdanmark'!H$3:H$482,IF(D135=År2,'Resultater - Vestdanmark'!I$3:I$482,'Resultater - Vestdanmark'!J$3:J$482)),"&gt;0"),SUMIFS(IF(D135=År1,'Resultater - Østdanmark'!H$3:H$482,IF(D135=År2,'Resultater - Østdanmark'!I$3:I$482,'Resultater - Østdanmark'!J$3:J$482)),'Resultater - Østdanmark'!$F$3:$F$482,$A135,IF(D135=År1,'Resultater - Østdanmark'!H$3:H$482,IF(D135=År2,'Resultater - Østdanmark'!I$3:I$482,'Resultater - Østdanmark'!J$3:J$482)),"&gt;0"))</f>
        <v>0</v>
      </c>
      <c r="G135" s="195" t="e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#REF!</v>
      </c>
      <c r="H135" s="192">
        <f>IF(E135="Vestdanmark",-IF(A135="Halm",SUMIFS(IF(D135=År1,'Resultater - Vestdanmark'!H$3:H$482,IF(D135=År2,'Resultater - Vestdanmark'!I$3:I$482,'Resultater - Vestdanmark'!J$3:J$482)),'Resultater - Vestdanmark'!$F$3:$F$482,$A135,'Resultater - Vestdanmark'!H$3:H$482,"&lt;0"),0),-IF(A135="Halm",SUMIFS(IF(D135=År1,'Resultater - Østdanmark'!H$3:H$482,IF(D135=År2,'Resultater - Østdanmark'!I$3:I$482,'Resultater - Østdanmark'!J$3:J$482)),'Resultater - Østdanmark'!$F$3:$F$482,$A135,'Resultater - Østdanmark'!H$3:H$482,"&lt;0"),0))</f>
        <v>0</v>
      </c>
      <c r="I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5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7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4" t="e">
        <f t="shared" si="23"/>
        <v>#REF!</v>
      </c>
      <c r="O135" s="195">
        <f t="shared" si="39"/>
        <v>0</v>
      </c>
      <c r="P135" s="205">
        <f t="shared" si="24"/>
        <v>0</v>
      </c>
      <c r="Q135" s="192">
        <f>IFERROR(VLOOKUP(A135,[1]Energiindhold!$A$2:$C$11,3,FALSE),IFERROR(VLOOKUP(A135,[1]Biogasudbytte!$A$2:$B$18,2,FALSE)*[1]Energiindhold!$C$10,0))*O135</f>
        <v>0</v>
      </c>
      <c r="R135" s="192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92">
        <f>IFERROR(VLOOKUP(A135,[1]Biogasudbytte!$A$2:$B$18,2,FALSE)*[1]Energiindhold!$C$10,0)*J135*IFERROR(VLOOKUP(A135,Biogasanlæg!$F$3:$G$8,2,FALSE),1)</f>
        <v>0</v>
      </c>
      <c r="T135" s="193">
        <f t="shared" si="25"/>
        <v>0</v>
      </c>
      <c r="U135" s="191">
        <f>O135*IFERROR(VLOOKUP(A135,[1]Tørstofindhold!A$2:B$24,2,FALSE),0)</f>
        <v>0</v>
      </c>
      <c r="V135" s="192">
        <f>IF(D135=År1,P135,SUM(O135,P135))*IFERROR(VLOOKUP(A135,[1]Tørstofindhold!A$2:B$24,2,FALSE),0)</f>
        <v>0</v>
      </c>
      <c r="W135" s="192">
        <f>J135*IFERROR(VLOOKUP(A135,[1]Tørstofindhold!A$2:B$24,2,FALSE),0)</f>
        <v>0</v>
      </c>
      <c r="X135" s="193">
        <f t="shared" si="26"/>
        <v>0</v>
      </c>
      <c r="Y135" s="171" t="e">
        <f t="shared" si="43"/>
        <v>#REF!</v>
      </c>
      <c r="Z135" s="103" t="e">
        <f t="shared" si="44"/>
        <v>#REF!</v>
      </c>
    </row>
    <row r="136" spans="1:26" x14ac:dyDescent="0.25">
      <c r="A136" s="194" t="str">
        <f t="shared" si="45"/>
        <v>Rapsolie</v>
      </c>
      <c r="B136" s="194" t="str">
        <f t="shared" si="46"/>
        <v>Rapsolie</v>
      </c>
      <c r="C136" s="194">
        <f>IF(COUNTIFS('Resultater - Danmark'!$D$3:$D$482,'Resultat-Produktion &amp; forbrug'!A136,'Resultater - Danmark'!$A$3:$A$482,"Til energi")+COUNTIFS('Resultater - Danmark'!$D$3:$D$482,'Resultat-Produktion &amp; forbrug'!A136,'Resultater - Danmark'!$A$3:$A$482,"Biogasanlæg")&gt;0,1,0)</f>
        <v>1</v>
      </c>
      <c r="D136" s="194">
        <f t="shared" si="35"/>
        <v>2050</v>
      </c>
      <c r="E136" s="192" t="s">
        <v>23</v>
      </c>
      <c r="F136" s="195">
        <f>IF(E136="Vestdanmark",SUMIFS(IF(D136=År1,'Resultater - Vestdanmark'!H$3:H$482,IF(D136=År2,'Resultater - Vestdanmark'!I$3:I$482,'Resultater - Vestdanmark'!J$3:J$482)),'Resultater - Vestdanmark'!$F$3:$F$482,$A136,IF(D136=År1,'Resultater - Vestdanmark'!H$3:H$482,IF(D136=År2,'Resultater - Vestdanmark'!I$3:I$482,'Resultater - Vestdanmark'!J$3:J$482)),"&gt;0"),SUMIFS(IF(D136=År1,'Resultater - Østdanmark'!H$3:H$482,IF(D136=År2,'Resultater - Østdanmark'!I$3:I$482,'Resultater - Østdanmark'!J$3:J$482)),'Resultater - Østdanmark'!$F$3:$F$482,$A136,IF(D136=År1,'Resultater - Østdanmark'!H$3:H$482,IF(D136=År2,'Resultater - Østdanmark'!I$3:I$482,'Resultater - Østdanmark'!J$3:J$482)),"&gt;0"))</f>
        <v>0</v>
      </c>
      <c r="G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92">
        <f>IF(E136="Vestdanmark",-IF(A136="Halm",SUMIFS(IF(D136=År1,'Resultater - Vestdanmark'!H$3:H$482,IF(D136=År2,'Resultater - Vestdanmark'!I$3:I$482,'Resultater - Vestdanmark'!J$3:J$482)),'Resultater - Vestdanmark'!$F$3:$F$482,$A136,'Resultater - Vestdanmark'!H$3:H$482,"&lt;0"),0),-IF(A136="Halm",SUMIFS(IF(D136=År1,'Resultater - Østdanmark'!H$3:H$482,IF(D136=År2,'Resultater - Østdanmark'!I$3:I$482,'Resultater - Østdanmark'!J$3:J$482)),'Resultater - Østdanmark'!$F$3:$F$482,$A136,'Resultater - Østdanmark'!H$3:H$482,"&lt;0"),0))</f>
        <v>0</v>
      </c>
      <c r="I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5" t="e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#REF!</v>
      </c>
      <c r="M136" s="157" t="e">
        <f>SUMIFS('Forbrug af biomasse'!E:E,'Forbrug af biomasse'!C:C,'Resultat-Produktion &amp; forbrug'!$A136,'Forbrug af biomasse'!D:D,'Resultat-Produktion &amp; forbrug'!$D136,'Forbrug af biomasse'!G:G,1,'Forbrug af biomasse'!B:B,$E136)</f>
        <v>#REF!</v>
      </c>
      <c r="N136" s="204" t="e">
        <f t="shared" si="23"/>
        <v>#REF!</v>
      </c>
      <c r="O136" s="195" t="e">
        <f t="shared" si="39"/>
        <v>#REF!</v>
      </c>
      <c r="P136" s="205" t="e">
        <f t="shared" si="24"/>
        <v>#REF!</v>
      </c>
      <c r="Q136" s="192" t="e">
        <f>IFERROR(VLOOKUP(A136,[1]Energiindhold!$A$2:$C$11,3,FALSE),IFERROR(VLOOKUP(A136,[1]Biogasudbytte!$A$2:$B$18,2,FALSE)*[1]Energiindhold!$C$10,0))*O136</f>
        <v>#REF!</v>
      </c>
      <c r="R136" s="192" t="e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#REF!</v>
      </c>
      <c r="S136" s="192">
        <f>IFERROR(VLOOKUP(A136,[1]Biogasudbytte!$A$2:$B$18,2,FALSE)*[1]Energiindhold!$C$10,0)*J136*IFERROR(VLOOKUP(A136,Biogasanlæg!$F$3:$G$8,2,FALSE),1)</f>
        <v>0</v>
      </c>
      <c r="T136" s="193" t="e">
        <f t="shared" si="25"/>
        <v>#REF!</v>
      </c>
      <c r="U136" s="191" t="e">
        <f>O136*IFERROR(VLOOKUP(A136,[1]Tørstofindhold!A$2:B$24,2,FALSE),0)</f>
        <v>#REF!</v>
      </c>
      <c r="V136" s="192" t="e">
        <f>IF(D136=År1,P136,SUM(O136,P136))*IFERROR(VLOOKUP(A136,[1]Tørstofindhold!A$2:B$24,2,FALSE),0)</f>
        <v>#REF!</v>
      </c>
      <c r="W136" s="192">
        <f>J136*IFERROR(VLOOKUP(A136,[1]Tørstofindhold!A$2:B$24,2,FALSE),0)</f>
        <v>0</v>
      </c>
      <c r="X136" s="193" t="e">
        <f t="shared" si="26"/>
        <v>#REF!</v>
      </c>
      <c r="Y136" s="171" t="e">
        <f t="shared" si="43"/>
        <v>#REF!</v>
      </c>
      <c r="Z136" s="103" t="e">
        <f t="shared" si="44"/>
        <v>#REF!</v>
      </c>
    </row>
    <row r="137" spans="1:26" x14ac:dyDescent="0.25">
      <c r="A137" s="194" t="str">
        <f t="shared" si="45"/>
        <v>Roer</v>
      </c>
      <c r="B137" s="194" t="str">
        <f t="shared" si="46"/>
        <v>Græs og urter</v>
      </c>
      <c r="C137" s="194">
        <f>IF(COUNTIFS('Resultater - Danmark'!$D$3:$D$482,'Resultat-Produktion &amp; forbrug'!A137,'Resultater - Danmark'!$A$3:$A$482,"Til energi")+COUNTIFS('Resultater - Danmark'!$D$3:$D$482,'Resultat-Produktion &amp; forbrug'!A137,'Resultater - Danmark'!$A$3:$A$482,"Biogasanlæg")&gt;0,1,0)</f>
        <v>1</v>
      </c>
      <c r="D137" s="194">
        <f t="shared" si="35"/>
        <v>2050</v>
      </c>
      <c r="E137" s="192" t="s">
        <v>23</v>
      </c>
      <c r="F137" s="195">
        <f>IF(E137="Vestdanmark",SUMIFS(IF(D137=År1,'Resultater - Vestdanmark'!H$3:H$482,IF(D137=År2,'Resultater - Vestdanmark'!I$3:I$482,'Resultater - Vestdanmark'!J$3:J$482)),'Resultater - Vestdanmark'!$F$3:$F$482,$A137,IF(D137=År1,'Resultater - Vestdanmark'!H$3:H$482,IF(D137=År2,'Resultater - Vestdanmark'!I$3:I$482,'Resultater - Vestdanmark'!J$3:J$482)),"&gt;0"),SUMIFS(IF(D137=År1,'Resultater - Østdanmark'!H$3:H$482,IF(D137=År2,'Resultater - Østdanmark'!I$3:I$482,'Resultater - Østdanmark'!J$3:J$482)),'Resultater - Østdanmark'!$F$3:$F$482,$A137,IF(D137=År1,'Resultater - Østdanmark'!H$3:H$482,IF(D137=År2,'Resultater - Østdanmark'!I$3:I$482,'Resultater - Østdanmark'!J$3:J$482)),"&gt;0"))</f>
        <v>0</v>
      </c>
      <c r="G137" s="195" t="e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#REF!</v>
      </c>
      <c r="H137" s="192">
        <f>IF(E137="Vestdanmark",-IF(A137="Halm",SUMIFS(IF(D137=År1,'Resultater - Vestdanmark'!H$3:H$482,IF(D137=År2,'Resultater - Vestdanmark'!I$3:I$482,'Resultater - Vestdanmark'!J$3:J$482)),'Resultater - Vestdanmark'!$F$3:$F$482,$A137,'Resultater - Vestdanmark'!H$3:H$482,"&lt;0"),0),-IF(A137="Halm",SUMIFS(IF(D137=År1,'Resultater - Østdanmark'!H$3:H$482,IF(D137=År2,'Resultater - Østdanmark'!I$3:I$482,'Resultater - Østdanmark'!J$3:J$482)),'Resultater - Østdanmark'!$F$3:$F$482,$A137,'Resultater - Østdanmark'!H$3:H$482,"&lt;0"),0))</f>
        <v>0</v>
      </c>
      <c r="I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5" t="e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#REF!</v>
      </c>
      <c r="K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5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7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4" t="e">
        <f t="shared" si="23"/>
        <v>#REF!</v>
      </c>
      <c r="O137" s="195" t="e">
        <f t="shared" si="39"/>
        <v>#REF!</v>
      </c>
      <c r="P137" s="205" t="e">
        <f t="shared" si="24"/>
        <v>#REF!</v>
      </c>
      <c r="Q137" s="192" t="e">
        <f>IFERROR(VLOOKUP(A137,[1]Energiindhold!$A$2:$C$11,3,FALSE),IFERROR(VLOOKUP(A137,[1]Biogasudbytte!$A$2:$B$18,2,FALSE)*[1]Energiindhold!$C$10,0))*O137</f>
        <v>#REF!</v>
      </c>
      <c r="R137" s="192" t="e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#REF!</v>
      </c>
      <c r="S137" s="192" t="e">
        <f>IFERROR(VLOOKUP(A137,[1]Biogasudbytte!$A$2:$B$18,2,FALSE)*[1]Energiindhold!$C$10,0)*J137*IFERROR(VLOOKUP(A137,Biogasanlæg!$F$3:$G$8,2,FALSE),1)</f>
        <v>#REF!</v>
      </c>
      <c r="T137" s="193" t="e">
        <f t="shared" si="25"/>
        <v>#REF!</v>
      </c>
      <c r="U137" s="191" t="e">
        <f>O137*IFERROR(VLOOKUP(A137,[1]Tørstofindhold!A$2:B$24,2,FALSE),0)</f>
        <v>#REF!</v>
      </c>
      <c r="V137" s="192" t="e">
        <f>IF(D137=År1,P137,SUM(O137,P137))*IFERROR(VLOOKUP(A137,[1]Tørstofindhold!A$2:B$24,2,FALSE),0)</f>
        <v>#REF!</v>
      </c>
      <c r="W137" s="192" t="e">
        <f>J137*IFERROR(VLOOKUP(A137,[1]Tørstofindhold!A$2:B$24,2,FALSE),0)</f>
        <v>#REF!</v>
      </c>
      <c r="X137" s="193" t="e">
        <f t="shared" si="26"/>
        <v>#REF!</v>
      </c>
      <c r="Y137" s="171" t="e">
        <f t="shared" si="43"/>
        <v>#REF!</v>
      </c>
      <c r="Z137" s="103" t="e">
        <f t="shared" si="44"/>
        <v>#REF!</v>
      </c>
    </row>
    <row r="138" spans="1:26" x14ac:dyDescent="0.25">
      <c r="A138" s="194" t="str">
        <f t="shared" si="45"/>
        <v>Slagteriaffald til andet</v>
      </c>
      <c r="B138" s="194" t="str">
        <f t="shared" si="46"/>
        <v/>
      </c>
      <c r="C138" s="194">
        <f>IF(COUNTIFS('Resultater - Danmark'!$D$3:$D$482,'Resultat-Produktion &amp; forbrug'!A138,'Resultater - Danmark'!$A$3:$A$482,"Til energi")+COUNTIFS('Resultater - Danmark'!$D$3:$D$482,'Resultat-Produktion &amp; forbrug'!A138,'Resultater - Danmark'!$A$3:$A$482,"Biogasanlæg")&gt;0,1,0)</f>
        <v>0</v>
      </c>
      <c r="D138" s="194">
        <f t="shared" si="35"/>
        <v>2050</v>
      </c>
      <c r="E138" s="192" t="s">
        <v>23</v>
      </c>
      <c r="F138" s="195">
        <f>IF(E138="Vestdanmark",SUMIFS(IF(D138=År1,'Resultater - Vestdanmark'!H$3:H$482,IF(D138=År2,'Resultater - Vestdanmark'!I$3:I$482,'Resultater - Vestdanmark'!J$3:J$482)),'Resultater - Vestdanmark'!$F$3:$F$482,$A138,IF(D138=År1,'Resultater - Vestdanmark'!H$3:H$482,IF(D138=År2,'Resultater - Vestdanmark'!I$3:I$482,'Resultater - Vestdanmark'!J$3:J$482)),"&gt;0"),SUMIFS(IF(D138=År1,'Resultater - Østdanmark'!H$3:H$482,IF(D138=År2,'Resultater - Østdanmark'!I$3:I$482,'Resultater - Østdanmark'!J$3:J$482)),'Resultater - Østdanmark'!$F$3:$F$482,$A138,IF(D138=År1,'Resultater - Østdanmark'!H$3:H$482,IF(D138=År2,'Resultater - Østdanmark'!I$3:I$482,'Resultater - Østdanmark'!J$3:J$482)),"&gt;0"))</f>
        <v>0</v>
      </c>
      <c r="G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92">
        <f>IF(E138="Vestdanmark",-IF(A138="Halm",SUMIFS(IF(D138=År1,'Resultater - Vestdanmark'!H$3:H$482,IF(D138=År2,'Resultater - Vestdanmark'!I$3:I$482,'Resultater - Vestdanmark'!J$3:J$482)),'Resultater - Vestdanmark'!$F$3:$F$482,$A138,'Resultater - Vestdanmark'!H$3:H$482,"&lt;0"),0),-IF(A138="Halm",SUMIFS(IF(D138=År1,'Resultater - Østdanmark'!H$3:H$482,IF(D138=År2,'Resultater - Østdanmark'!I$3:I$482,'Resultater - Østdanmark'!J$3:J$482)),'Resultater - Østdanmark'!$F$3:$F$482,$A138,'Resultater - Østdanmark'!H$3:H$482,"&lt;0"),0))</f>
        <v>0</v>
      </c>
      <c r="I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5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7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4">
        <f t="shared" si="23"/>
        <v>0</v>
      </c>
      <c r="O138" s="195">
        <f t="shared" si="39"/>
        <v>0</v>
      </c>
      <c r="P138" s="205">
        <f t="shared" si="24"/>
        <v>0</v>
      </c>
      <c r="Q138" s="192">
        <f>IFERROR(VLOOKUP(A138,[1]Energiindhold!$A$2:$C$11,3,FALSE),IFERROR(VLOOKUP(A138,[1]Biogasudbytte!$A$2:$B$18,2,FALSE)*[1]Energiindhold!$C$10,0))*O138</f>
        <v>0</v>
      </c>
      <c r="R138" s="192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92">
        <f>IFERROR(VLOOKUP(A138,[1]Biogasudbytte!$A$2:$B$18,2,FALSE)*[1]Energiindhold!$C$10,0)*J138*IFERROR(VLOOKUP(A138,Biogasanlæg!$F$3:$G$8,2,FALSE),1)</f>
        <v>0</v>
      </c>
      <c r="T138" s="193">
        <f t="shared" si="25"/>
        <v>0</v>
      </c>
      <c r="U138" s="191">
        <f>O138*IFERROR(VLOOKUP(A138,[1]Tørstofindhold!A$2:B$24,2,FALSE),0)</f>
        <v>0</v>
      </c>
      <c r="V138" s="192">
        <f>IF(D138=År1,P138,SUM(O138,P138))*IFERROR(VLOOKUP(A138,[1]Tørstofindhold!A$2:B$24,2,FALSE),0)</f>
        <v>0</v>
      </c>
      <c r="W138" s="192">
        <f>J138*IFERROR(VLOOKUP(A138,[1]Tørstofindhold!A$2:B$24,2,FALSE),0)</f>
        <v>0</v>
      </c>
      <c r="X138" s="193">
        <f t="shared" si="26"/>
        <v>0</v>
      </c>
      <c r="Y138" s="171">
        <f t="shared" si="43"/>
        <v>0</v>
      </c>
      <c r="Z138" s="103">
        <f t="shared" si="44"/>
        <v>0</v>
      </c>
    </row>
    <row r="139" spans="1:26" x14ac:dyDescent="0.25">
      <c r="A139" s="194" t="str">
        <f t="shared" si="45"/>
        <v>Slagteriaffald til foder</v>
      </c>
      <c r="B139" s="194" t="str">
        <f t="shared" si="46"/>
        <v/>
      </c>
      <c r="C139" s="194">
        <f>IF(COUNTIFS('Resultater - Danmark'!$D$3:$D$482,'Resultat-Produktion &amp; forbrug'!A139,'Resultater - Danmark'!$A$3:$A$482,"Til energi")+COUNTIFS('Resultater - Danmark'!$D$3:$D$482,'Resultat-Produktion &amp; forbrug'!A139,'Resultater - Danmark'!$A$3:$A$482,"Biogasanlæg")&gt;0,1,0)</f>
        <v>0</v>
      </c>
      <c r="D139" s="194">
        <f t="shared" si="35"/>
        <v>2050</v>
      </c>
      <c r="E139" s="192" t="s">
        <v>23</v>
      </c>
      <c r="F139" s="195">
        <f>IF(E139="Vestdanmark",SUMIFS(IF(D139=År1,'Resultater - Vestdanmark'!H$3:H$482,IF(D139=År2,'Resultater - Vestdanmark'!I$3:I$482,'Resultater - Vestdanmark'!J$3:J$482)),'Resultater - Vestdanmark'!$F$3:$F$482,$A139,IF(D139=År1,'Resultater - Vestdanmark'!H$3:H$482,IF(D139=År2,'Resultater - Vestdanmark'!I$3:I$482,'Resultater - Vestdanmark'!J$3:J$482)),"&gt;0"),SUMIFS(IF(D139=År1,'Resultater - Østdanmark'!H$3:H$482,IF(D139=År2,'Resultater - Østdanmark'!I$3:I$482,'Resultater - Østdanmark'!J$3:J$482)),'Resultater - Østdanmark'!$F$3:$F$482,$A139,IF(D139=År1,'Resultater - Østdanmark'!H$3:H$482,IF(D139=År2,'Resultater - Østdanmark'!I$3:I$482,'Resultater - Østdanmark'!J$3:J$482)),"&gt;0"))</f>
        <v>0</v>
      </c>
      <c r="G139" s="195" t="e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#REF!</v>
      </c>
      <c r="H139" s="192">
        <f>IF(E139="Vestdanmark",-IF(A139="Halm",SUMIFS(IF(D139=År1,'Resultater - Vestdanmark'!H$3:H$482,IF(D139=År2,'Resultater - Vestdanmark'!I$3:I$482,'Resultater - Vestdanmark'!J$3:J$482)),'Resultater - Vestdanmark'!$F$3:$F$482,$A139,'Resultater - Vestdanmark'!H$3:H$482,"&lt;0"),0),-IF(A139="Halm",SUMIFS(IF(D139=År1,'Resultater - Østdanmark'!H$3:H$482,IF(D139=År2,'Resultater - Østdanmark'!I$3:I$482,'Resultater - Østdanmark'!J$3:J$482)),'Resultater - Østdanmark'!$F$3:$F$482,$A139,'Resultater - Østdanmark'!H$3:H$482,"&lt;0"),0))</f>
        <v>0</v>
      </c>
      <c r="I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5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7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4" t="e">
        <f t="shared" si="23"/>
        <v>#REF!</v>
      </c>
      <c r="O139" s="195">
        <f t="shared" si="39"/>
        <v>0</v>
      </c>
      <c r="P139" s="205">
        <f t="shared" si="24"/>
        <v>0</v>
      </c>
      <c r="Q139" s="192">
        <f>IFERROR(VLOOKUP(A139,[1]Energiindhold!$A$2:$C$11,3,FALSE),IFERROR(VLOOKUP(A139,[1]Biogasudbytte!$A$2:$B$18,2,FALSE)*[1]Energiindhold!$C$10,0))*O139</f>
        <v>0</v>
      </c>
      <c r="R139" s="192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92">
        <f>IFERROR(VLOOKUP(A139,[1]Biogasudbytte!$A$2:$B$18,2,FALSE)*[1]Energiindhold!$C$10,0)*J139*IFERROR(VLOOKUP(A139,Biogasanlæg!$F$3:$G$8,2,FALSE),1)</f>
        <v>0</v>
      </c>
      <c r="T139" s="193">
        <f t="shared" si="25"/>
        <v>0</v>
      </c>
      <c r="U139" s="191">
        <f>O139*IFERROR(VLOOKUP(A139,[1]Tørstofindhold!A$2:B$24,2,FALSE),0)</f>
        <v>0</v>
      </c>
      <c r="V139" s="192">
        <f>IF(D139=År1,P139,SUM(O139,P139))*IFERROR(VLOOKUP(A139,[1]Tørstofindhold!A$2:B$24,2,FALSE),0)</f>
        <v>0</v>
      </c>
      <c r="W139" s="192">
        <f>J139*IFERROR(VLOOKUP(A139,[1]Tørstofindhold!A$2:B$24,2,FALSE),0)</f>
        <v>0</v>
      </c>
      <c r="X139" s="193">
        <f t="shared" si="26"/>
        <v>0</v>
      </c>
      <c r="Y139" s="171" t="e">
        <f t="shared" si="43"/>
        <v>#REF!</v>
      </c>
      <c r="Z139" s="103" t="e">
        <f t="shared" si="44"/>
        <v>#REF!</v>
      </c>
    </row>
    <row r="140" spans="1:26" x14ac:dyDescent="0.25">
      <c r="A140" s="194" t="str">
        <f t="shared" si="45"/>
        <v>Spildevandsslam</v>
      </c>
      <c r="B140" s="194" t="str">
        <f t="shared" si="46"/>
        <v>Bionedbrydeligt affald</v>
      </c>
      <c r="C140" s="194">
        <f>IF(COUNTIFS('Resultater - Danmark'!$D$3:$D$482,'Resultat-Produktion &amp; forbrug'!A140,'Resultater - Danmark'!$A$3:$A$482,"Til energi")+COUNTIFS('Resultater - Danmark'!$D$3:$D$482,'Resultat-Produktion &amp; forbrug'!A140,'Resultater - Danmark'!$A$3:$A$482,"Biogasanlæg")&gt;0,1,0)</f>
        <v>1</v>
      </c>
      <c r="D140" s="194">
        <f t="shared" si="35"/>
        <v>2050</v>
      </c>
      <c r="E140" s="192" t="s">
        <v>23</v>
      </c>
      <c r="F140" s="195">
        <f>IF(E140="Vestdanmark",SUMIFS(IF(D140=År1,'Resultater - Vestdanmark'!H$3:H$482,IF(D140=År2,'Resultater - Vestdanmark'!I$3:I$482,'Resultater - Vestdanmark'!J$3:J$482)),'Resultater - Vestdanmark'!$F$3:$F$482,$A140,IF(D140=År1,'Resultater - Vestdanmark'!H$3:H$482,IF(D140=År2,'Resultater - Vestdanmark'!I$3:I$482,'Resultater - Vestdanmark'!J$3:J$482)),"&gt;0"),SUMIFS(IF(D140=År1,'Resultater - Østdanmark'!H$3:H$482,IF(D140=År2,'Resultater - Østdanmark'!I$3:I$482,'Resultater - Østdanmark'!J$3:J$482)),'Resultater - Østdanmark'!$F$3:$F$482,$A140,IF(D140=År1,'Resultater - Østdanmark'!H$3:H$482,IF(D140=År2,'Resultater - Østdanmark'!I$3:I$482,'Resultater - Østdanmark'!J$3:J$482)),"&gt;0"))</f>
        <v>0</v>
      </c>
      <c r="G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92">
        <f>IF(E140="Vestdanmark",-IF(A140="Halm",SUMIFS(IF(D140=År1,'Resultater - Vestdanmark'!H$3:H$482,IF(D140=År2,'Resultater - Vestdanmark'!I$3:I$482,'Resultater - Vestdanmark'!J$3:J$482)),'Resultater - Vestdanmark'!$F$3:$F$482,$A140,'Resultater - Vestdanmark'!H$3:H$482,"&lt;0"),0),-IF(A140="Halm",SUMIFS(IF(D140=År1,'Resultater - Østdanmark'!H$3:H$482,IF(D140=År2,'Resultater - Østdanmark'!I$3:I$482,'Resultater - Østdanmark'!J$3:J$482)),'Resultater - Østdanmark'!$F$3:$F$482,$A140,'Resultater - Østdanmark'!H$3:H$482,"&lt;0"),0))</f>
        <v>0</v>
      </c>
      <c r="I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5" t="e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#REF!</v>
      </c>
      <c r="K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5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7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4" t="e">
        <f t="shared" si="23"/>
        <v>#REF!</v>
      </c>
      <c r="O140" s="195" t="e">
        <f t="shared" si="39"/>
        <v>#REF!</v>
      </c>
      <c r="P140" s="205" t="e">
        <f t="shared" si="24"/>
        <v>#REF!</v>
      </c>
      <c r="Q140" s="192" t="e">
        <f>IFERROR(VLOOKUP(A140,[1]Energiindhold!$A$2:$C$11,3,FALSE),IFERROR(VLOOKUP(A140,[1]Biogasudbytte!$A$2:$B$18,2,FALSE)*[1]Energiindhold!$C$10,0))*O140</f>
        <v>#REF!</v>
      </c>
      <c r="R140" s="192" t="e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#REF!</v>
      </c>
      <c r="S140" s="192" t="e">
        <f>IFERROR(VLOOKUP(A140,[1]Biogasudbytte!$A$2:$B$18,2,FALSE)*[1]Energiindhold!$C$10,0)*J140*IFERROR(VLOOKUP(A140,Biogasanlæg!$F$3:$G$8,2,FALSE),1)</f>
        <v>#REF!</v>
      </c>
      <c r="T140" s="193" t="e">
        <f t="shared" si="25"/>
        <v>#REF!</v>
      </c>
      <c r="U140" s="191" t="e">
        <f>O140*IFERROR(VLOOKUP(A140,[1]Tørstofindhold!A$2:B$24,2,FALSE),0)</f>
        <v>#REF!</v>
      </c>
      <c r="V140" s="192" t="e">
        <f>IF(D140=År1,P140,SUM(O140,P140))*IFERROR(VLOOKUP(A140,[1]Tørstofindhold!A$2:B$24,2,FALSE),0)</f>
        <v>#REF!</v>
      </c>
      <c r="W140" s="192" t="e">
        <f>J140*IFERROR(VLOOKUP(A140,[1]Tørstofindhold!A$2:B$24,2,FALSE),0)</f>
        <v>#REF!</v>
      </c>
      <c r="X140" s="193" t="e">
        <f t="shared" si="26"/>
        <v>#REF!</v>
      </c>
      <c r="Y140" s="171" t="e">
        <f t="shared" si="43"/>
        <v>#REF!</v>
      </c>
      <c r="Z140" s="103" t="e">
        <f t="shared" si="44"/>
        <v>#REF!</v>
      </c>
    </row>
    <row r="141" spans="1:26" x14ac:dyDescent="0.25">
      <c r="A141" s="194" t="str">
        <f t="shared" si="45"/>
        <v>Svinegylle</v>
      </c>
      <c r="B141" s="194" t="str">
        <f t="shared" si="46"/>
        <v>Husdyrgødning</v>
      </c>
      <c r="C141" s="194">
        <f>IF(COUNTIFS('Resultater - Danmark'!$D$3:$D$482,'Resultat-Produktion &amp; forbrug'!A141,'Resultater - Danmark'!$A$3:$A$482,"Til energi")+COUNTIFS('Resultater - Danmark'!$D$3:$D$482,'Resultat-Produktion &amp; forbrug'!A141,'Resultater - Danmark'!$A$3:$A$482,"Biogasanlæg")&gt;0,1,0)</f>
        <v>1</v>
      </c>
      <c r="D141" s="194">
        <f t="shared" si="35"/>
        <v>2050</v>
      </c>
      <c r="E141" s="192" t="s">
        <v>23</v>
      </c>
      <c r="F141" s="195">
        <f>IF(E141="Vestdanmark",SUMIFS(IF(D141=År1,'Resultater - Vestdanmark'!H$3:H$482,IF(D141=År2,'Resultater - Vestdanmark'!I$3:I$482,'Resultater - Vestdanmark'!J$3:J$482)),'Resultater - Vestdanmark'!$F$3:$F$482,$A141,IF(D141=År1,'Resultater - Vestdanmark'!H$3:H$482,IF(D141=År2,'Resultater - Vestdanmark'!I$3:I$482,'Resultater - Vestdanmark'!J$3:J$482)),"&gt;0"),SUMIFS(IF(D141=År1,'Resultater - Østdanmark'!H$3:H$482,IF(D141=År2,'Resultater - Østdanmark'!I$3:I$482,'Resultater - Østdanmark'!J$3:J$482)),'Resultater - Østdanmark'!$F$3:$F$482,$A141,IF(D141=År1,'Resultater - Østdanmark'!H$3:H$482,IF(D141=År2,'Resultater - Østdanmark'!I$3:I$482,'Resultater - Østdanmark'!J$3:J$482)),"&gt;0"))</f>
        <v>0</v>
      </c>
      <c r="G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92">
        <f>IF(E141="Vestdanmark",-IF(A141="Halm",SUMIFS(IF(D141=År1,'Resultater - Vestdanmark'!H$3:H$482,IF(D141=År2,'Resultater - Vestdanmark'!I$3:I$482,'Resultater - Vestdanmark'!J$3:J$482)),'Resultater - Vestdanmark'!$F$3:$F$482,$A141,'Resultater - Vestdanmark'!H$3:H$482,"&lt;0"),0),-IF(A141="Halm",SUMIFS(IF(D141=År1,'Resultater - Østdanmark'!H$3:H$482,IF(D141=År2,'Resultater - Østdanmark'!I$3:I$482,'Resultater - Østdanmark'!J$3:J$482)),'Resultater - Østdanmark'!$F$3:$F$482,$A141,'Resultater - Østdanmark'!H$3:H$482,"&lt;0"),0))</f>
        <v>0</v>
      </c>
      <c r="I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5" t="e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#REF!</v>
      </c>
      <c r="K141" s="195" t="e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#REF!</v>
      </c>
      <c r="L141" s="195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7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4" t="e">
        <f t="shared" si="23"/>
        <v>#REF!</v>
      </c>
      <c r="O141" s="195" t="e">
        <f t="shared" si="39"/>
        <v>#REF!</v>
      </c>
      <c r="P141" s="205" t="e">
        <f t="shared" si="24"/>
        <v>#REF!</v>
      </c>
      <c r="Q141" s="192" t="e">
        <f>IFERROR(VLOOKUP(A141,[1]Energiindhold!$A$2:$C$11,3,FALSE),IFERROR(VLOOKUP(A141,[1]Biogasudbytte!$A$2:$B$18,2,FALSE)*[1]Energiindhold!$C$10,0))*O141</f>
        <v>#REF!</v>
      </c>
      <c r="R141" s="192" t="e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#REF!</v>
      </c>
      <c r="S141" s="192" t="e">
        <f>IFERROR(VLOOKUP(A141,[1]Biogasudbytte!$A$2:$B$18,2,FALSE)*[1]Energiindhold!$C$10,0)*J141*IFERROR(VLOOKUP(A141,Biogasanlæg!$F$3:$G$8,2,FALSE),1)</f>
        <v>#REF!</v>
      </c>
      <c r="T141" s="193" t="e">
        <f t="shared" si="25"/>
        <v>#REF!</v>
      </c>
      <c r="U141" s="191" t="e">
        <f>O141*IFERROR(VLOOKUP(A141,[1]Tørstofindhold!A$2:B$24,2,FALSE),0)</f>
        <v>#REF!</v>
      </c>
      <c r="V141" s="192" t="e">
        <f>IF(D141=År1,P141,SUM(O141,P141))*IFERROR(VLOOKUP(A141,[1]Tørstofindhold!A$2:B$24,2,FALSE),0)</f>
        <v>#REF!</v>
      </c>
      <c r="W141" s="192" t="e">
        <f>J141*IFERROR(VLOOKUP(A141,[1]Tørstofindhold!A$2:B$24,2,FALSE),0)</f>
        <v>#REF!</v>
      </c>
      <c r="X141" s="193" t="e">
        <f t="shared" si="26"/>
        <v>#REF!</v>
      </c>
      <c r="Y141" s="171" t="e">
        <f t="shared" si="43"/>
        <v>#REF!</v>
      </c>
      <c r="Z141" s="103" t="e">
        <f t="shared" si="44"/>
        <v>#REF!</v>
      </c>
    </row>
    <row r="142" spans="1:26" x14ac:dyDescent="0.25">
      <c r="A142" s="194" t="str">
        <f t="shared" si="45"/>
        <v>Svinekød</v>
      </c>
      <c r="B142" s="194" t="str">
        <f t="shared" si="46"/>
        <v/>
      </c>
      <c r="C142" s="194">
        <f>IF(COUNTIFS('Resultater - Danmark'!$D$3:$D$482,'Resultat-Produktion &amp; forbrug'!A142,'Resultater - Danmark'!$A$3:$A$482,"Til energi")+COUNTIFS('Resultater - Danmark'!$D$3:$D$482,'Resultat-Produktion &amp; forbrug'!A142,'Resultater - Danmark'!$A$3:$A$482,"Biogasanlæg")&gt;0,1,0)</f>
        <v>0</v>
      </c>
      <c r="D142" s="194">
        <f t="shared" si="35"/>
        <v>2050</v>
      </c>
      <c r="E142" s="192" t="s">
        <v>23</v>
      </c>
      <c r="F142" s="195">
        <f>IF(E142="Vestdanmark",SUMIFS(IF(D142=År1,'Resultater - Vestdanmark'!H$3:H$482,IF(D142=År2,'Resultater - Vestdanmark'!I$3:I$482,'Resultater - Vestdanmark'!J$3:J$482)),'Resultater - Vestdanmark'!$F$3:$F$482,$A142,IF(D142=År1,'Resultater - Vestdanmark'!H$3:H$482,IF(D142=År2,'Resultater - Vestdanmark'!I$3:I$482,'Resultater - Vestdanmark'!J$3:J$482)),"&gt;0"),SUMIFS(IF(D142=År1,'Resultater - Østdanmark'!H$3:H$482,IF(D142=År2,'Resultater - Østdanmark'!I$3:I$482,'Resultater - Østdanmark'!J$3:J$482)),'Resultater - Østdanmark'!$F$3:$F$482,$A142,IF(D142=År1,'Resultater - Østdanmark'!H$3:H$482,IF(D142=År2,'Resultater - Østdanmark'!I$3:I$482,'Resultater - Østdanmark'!J$3:J$482)),"&gt;0"))</f>
        <v>0</v>
      </c>
      <c r="G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92">
        <f>IF(E142="Vestdanmark",-IF(A142="Halm",SUMIFS(IF(D142=År1,'Resultater - Vestdanmark'!H$3:H$482,IF(D142=År2,'Resultater - Vestdanmark'!I$3:I$482,'Resultater - Vestdanmark'!J$3:J$482)),'Resultater - Vestdanmark'!$F$3:$F$482,$A142,'Resultater - Vestdanmark'!H$3:H$482,"&lt;0"),0),-IF(A142="Halm",SUMIFS(IF(D142=År1,'Resultater - Østdanmark'!H$3:H$482,IF(D142=År2,'Resultater - Østdanmark'!I$3:I$482,'Resultater - Østdanmark'!J$3:J$482)),'Resultater - Østdanmark'!$F$3:$F$482,$A142,'Resultater - Østdanmark'!H$3:H$482,"&lt;0"),0))</f>
        <v>0</v>
      </c>
      <c r="I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5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7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4">
        <f t="shared" si="23"/>
        <v>-126627.09194270898</v>
      </c>
      <c r="O142" s="195">
        <f t="shared" si="39"/>
        <v>0</v>
      </c>
      <c r="P142" s="205">
        <f t="shared" si="24"/>
        <v>0</v>
      </c>
      <c r="Q142" s="192">
        <f>IFERROR(VLOOKUP(A142,[1]Energiindhold!$A$2:$C$11,3,FALSE),IFERROR(VLOOKUP(A142,[1]Biogasudbytte!$A$2:$B$18,2,FALSE)*[1]Energiindhold!$C$10,0))*O142</f>
        <v>0</v>
      </c>
      <c r="R142" s="192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92">
        <f>IFERROR(VLOOKUP(A142,[1]Biogasudbytte!$A$2:$B$18,2,FALSE)*[1]Energiindhold!$C$10,0)*J142*IFERROR(VLOOKUP(A142,Biogasanlæg!$F$3:$G$8,2,FALSE),1)</f>
        <v>0</v>
      </c>
      <c r="T142" s="193">
        <f t="shared" si="25"/>
        <v>0</v>
      </c>
      <c r="U142" s="191">
        <f>O142*IFERROR(VLOOKUP(A142,[1]Tørstofindhold!A$2:B$24,2,FALSE),0)</f>
        <v>0</v>
      </c>
      <c r="V142" s="192">
        <f>IF(D142=År1,P142,SUM(O142,P142))*IFERROR(VLOOKUP(A142,[1]Tørstofindhold!A$2:B$24,2,FALSE),0)</f>
        <v>0</v>
      </c>
      <c r="W142" s="192">
        <f>J142*IFERROR(VLOOKUP(A142,[1]Tørstofindhold!A$2:B$24,2,FALSE),0)</f>
        <v>0</v>
      </c>
      <c r="X142" s="193">
        <f t="shared" si="26"/>
        <v>0</v>
      </c>
      <c r="Y142" s="171">
        <f t="shared" si="43"/>
        <v>1</v>
      </c>
      <c r="Z142" s="103">
        <f t="shared" si="44"/>
        <v>0</v>
      </c>
    </row>
    <row r="143" spans="1:26" x14ac:dyDescent="0.25">
      <c r="A143" s="194" t="str">
        <f t="shared" si="45"/>
        <v>Tang</v>
      </c>
      <c r="B143" s="194" t="str">
        <f t="shared" si="46"/>
        <v>Havbiomasse</v>
      </c>
      <c r="C143" s="194">
        <f>IF(COUNTIFS('Resultater - Danmark'!$D$3:$D$482,'Resultat-Produktion &amp; forbrug'!A143,'Resultater - Danmark'!$A$3:$A$482,"Til energi")+COUNTIFS('Resultater - Danmark'!$D$3:$D$482,'Resultat-Produktion &amp; forbrug'!A143,'Resultater - Danmark'!$A$3:$A$482,"Biogasanlæg")&gt;0,1,0)</f>
        <v>1</v>
      </c>
      <c r="D143" s="194">
        <f t="shared" si="35"/>
        <v>2050</v>
      </c>
      <c r="E143" s="192" t="s">
        <v>23</v>
      </c>
      <c r="F143" s="195">
        <f>IF(E143="Vestdanmark",SUMIFS(IF(D143=År1,'Resultater - Vestdanmark'!H$3:H$482,IF(D143=År2,'Resultater - Vestdanmark'!I$3:I$482,'Resultater - Vestdanmark'!J$3:J$482)),'Resultater - Vestdanmark'!$F$3:$F$482,$A143,IF(D143=År1,'Resultater - Vestdanmark'!H$3:H$482,IF(D143=År2,'Resultater - Vestdanmark'!I$3:I$482,'Resultater - Vestdanmark'!J$3:J$482)),"&gt;0"),SUMIFS(IF(D143=År1,'Resultater - Østdanmark'!H$3:H$482,IF(D143=År2,'Resultater - Østdanmark'!I$3:I$482,'Resultater - Østdanmark'!J$3:J$482)),'Resultater - Østdanmark'!$F$3:$F$482,$A143,IF(D143=År1,'Resultater - Østdanmark'!H$3:H$482,IF(D143=År2,'Resultater - Østdanmark'!I$3:I$482,'Resultater - Østdanmark'!J$3:J$482)),"&gt;0"))</f>
        <v>0</v>
      </c>
      <c r="G143" s="195" t="e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#REF!</v>
      </c>
      <c r="H143" s="192">
        <f>IF(E143="Vestdanmark",-IF(A143="Halm",SUMIFS(IF(D143=År1,'Resultater - Vestdanmark'!H$3:H$482,IF(D143=År2,'Resultater - Vestdanmark'!I$3:I$482,'Resultater - Vestdanmark'!J$3:J$482)),'Resultater - Vestdanmark'!$F$3:$F$482,$A143,'Resultater - Vestdanmark'!H$3:H$482,"&lt;0"),0),-IF(A143="Halm",SUMIFS(IF(D143=År1,'Resultater - Østdanmark'!H$3:H$482,IF(D143=År2,'Resultater - Østdanmark'!I$3:I$482,'Resultater - Østdanmark'!J$3:J$482)),'Resultater - Østdanmark'!$F$3:$F$482,$A143,'Resultater - Østdanmark'!H$3:H$482,"&lt;0"),0))</f>
        <v>0</v>
      </c>
      <c r="I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5" t="e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#REF!</v>
      </c>
      <c r="K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5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7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4" t="e">
        <f t="shared" si="23"/>
        <v>#REF!</v>
      </c>
      <c r="O143" s="195" t="e">
        <f t="shared" si="39"/>
        <v>#REF!</v>
      </c>
      <c r="P143" s="205" t="e">
        <f t="shared" si="24"/>
        <v>#REF!</v>
      </c>
      <c r="Q143" s="192" t="e">
        <f>IFERROR(VLOOKUP(A143,[1]Energiindhold!$A$2:$C$11,3,FALSE),IFERROR(VLOOKUP(A143,[1]Biogasudbytte!$A$2:$B$18,2,FALSE)*[1]Energiindhold!$C$10,0))*O143</f>
        <v>#REF!</v>
      </c>
      <c r="R143" s="192" t="e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#REF!</v>
      </c>
      <c r="S143" s="192" t="e">
        <f>IFERROR(VLOOKUP(A143,[1]Biogasudbytte!$A$2:$B$18,2,FALSE)*[1]Energiindhold!$C$10,0)*J143*IFERROR(VLOOKUP(A143,Biogasanlæg!$F$3:$G$8,2,FALSE),1)</f>
        <v>#REF!</v>
      </c>
      <c r="T143" s="193" t="e">
        <f t="shared" si="25"/>
        <v>#REF!</v>
      </c>
      <c r="U143" s="191" t="e">
        <f>O143*IFERROR(VLOOKUP(A143,[1]Tørstofindhold!A$2:B$24,2,FALSE),0)</f>
        <v>#REF!</v>
      </c>
      <c r="V143" s="192" t="e">
        <f>IF(D143=År1,P143,SUM(O143,P143))*IFERROR(VLOOKUP(A143,[1]Tørstofindhold!A$2:B$24,2,FALSE),0)</f>
        <v>#REF!</v>
      </c>
      <c r="W143" s="192" t="e">
        <f>J143*IFERROR(VLOOKUP(A143,[1]Tørstofindhold!A$2:B$24,2,FALSE),0)</f>
        <v>#REF!</v>
      </c>
      <c r="X143" s="193" t="e">
        <f t="shared" si="26"/>
        <v>#REF!</v>
      </c>
      <c r="Y143" s="171" t="e">
        <f t="shared" si="43"/>
        <v>#REF!</v>
      </c>
      <c r="Z143" s="103" t="e">
        <f t="shared" si="44"/>
        <v>#REF!</v>
      </c>
    </row>
    <row r="144" spans="1:26" x14ac:dyDescent="0.25">
      <c r="A144" s="194" t="str">
        <f t="shared" si="45"/>
        <v>Total til biogas</v>
      </c>
      <c r="B144" s="194" t="str">
        <f t="shared" si="46"/>
        <v/>
      </c>
      <c r="C144" s="194">
        <f>IF(COUNTIFS('Resultater - Danmark'!$D$3:$D$482,'Resultat-Produktion &amp; forbrug'!A144,'Resultater - Danmark'!$A$3:$A$482,"Til energi")+COUNTIFS('Resultater - Danmark'!$D$3:$D$482,'Resultat-Produktion &amp; forbrug'!A144,'Resultater - Danmark'!$A$3:$A$482,"Biogasanlæg")&gt;0,1,0)</f>
        <v>1</v>
      </c>
      <c r="D144" s="194">
        <f t="shared" si="35"/>
        <v>2050</v>
      </c>
      <c r="E144" s="192" t="s">
        <v>23</v>
      </c>
      <c r="F144" s="195">
        <f>IF(E144="Vestdanmark",SUMIFS(IF(D144=År1,'Resultater - Vestdanmark'!H$3:H$482,IF(D144=År2,'Resultater - Vestdanmark'!I$3:I$482,'Resultater - Vestdanmark'!J$3:J$482)),'Resultater - Vestdanmark'!$F$3:$F$482,$A144,IF(D144=År1,'Resultater - Vestdanmark'!H$3:H$482,IF(D144=År2,'Resultater - Vestdanmark'!I$3:I$482,'Resultater - Vestdanmark'!J$3:J$482)),"&gt;0"),SUMIFS(IF(D144=År1,'Resultater - Østdanmark'!H$3:H$482,IF(D144=År2,'Resultater - Østdanmark'!I$3:I$482,'Resultater - Østdanmark'!J$3:J$482)),'Resultater - Østdanmark'!$F$3:$F$482,$A144,IF(D144=År1,'Resultater - Østdanmark'!H$3:H$482,IF(D144=År2,'Resultater - Østdanmark'!I$3:I$482,'Resultater - Østdanmark'!J$3:J$482)),"&gt;0"))</f>
        <v>0</v>
      </c>
      <c r="G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92">
        <f>IF(E144="Vestdanmark",-IF(A144="Halm",SUMIFS(IF(D144=År1,'Resultater - Vestdanmark'!H$3:H$482,IF(D144=År2,'Resultater - Vestdanmark'!I$3:I$482,'Resultater - Vestdanmark'!J$3:J$482)),'Resultater - Vestdanmark'!$F$3:$F$482,$A144,'Resultater - Vestdanmark'!H$3:H$482,"&lt;0"),0),-IF(A144="Halm",SUMIFS(IF(D144=År1,'Resultater - Østdanmark'!H$3:H$482,IF(D144=År2,'Resultater - Østdanmark'!I$3:I$482,'Resultater - Østdanmark'!J$3:J$482)),'Resultater - Østdanmark'!$F$3:$F$482,$A144,'Resultater - Østdanmark'!H$3:H$482,"&lt;0"),0))</f>
        <v>0</v>
      </c>
      <c r="I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5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7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4">
        <f t="shared" si="23"/>
        <v>0</v>
      </c>
      <c r="O144" s="195">
        <f t="shared" si="39"/>
        <v>0</v>
      </c>
      <c r="P144" s="205">
        <f t="shared" si="24"/>
        <v>0</v>
      </c>
      <c r="Q144" s="192">
        <f>IFERROR(VLOOKUP(A144,[1]Energiindhold!$A$2:$C$11,3,FALSE),IFERROR(VLOOKUP(A144,[1]Biogasudbytte!$A$2:$B$18,2,FALSE)*[1]Energiindhold!$C$10,0))*O144</f>
        <v>0</v>
      </c>
      <c r="R144" s="192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92">
        <f>IFERROR(VLOOKUP(A144,[1]Biogasudbytte!$A$2:$B$18,2,FALSE)*[1]Energiindhold!$C$10,0)*J144*IFERROR(VLOOKUP(A144,Biogasanlæg!$F$3:$G$8,2,FALSE),1)</f>
        <v>0</v>
      </c>
      <c r="T144" s="193">
        <f t="shared" si="25"/>
        <v>0</v>
      </c>
      <c r="U144" s="191">
        <f>O144*IFERROR(VLOOKUP(A144,[1]Tørstofindhold!A$2:B$24,2,FALSE),0)</f>
        <v>0</v>
      </c>
      <c r="V144" s="192">
        <f>IF(D144=År1,P144,SUM(O144,P144))*IFERROR(VLOOKUP(A144,[1]Tørstofindhold!A$2:B$24,2,FALSE),0)</f>
        <v>0</v>
      </c>
      <c r="W144" s="192">
        <f>J144*IFERROR(VLOOKUP(A144,[1]Tørstofindhold!A$2:B$24,2,FALSE),0)</f>
        <v>0</v>
      </c>
      <c r="X144" s="193">
        <f t="shared" si="26"/>
        <v>0</v>
      </c>
      <c r="Y144" s="171">
        <f t="shared" si="43"/>
        <v>0</v>
      </c>
      <c r="Z144" s="103">
        <f t="shared" si="44"/>
        <v>0</v>
      </c>
    </row>
    <row r="145" spans="1:26" x14ac:dyDescent="0.25">
      <c r="A145" s="194" t="str">
        <f t="shared" si="45"/>
        <v>Træ til energi</v>
      </c>
      <c r="B145" s="194" t="str">
        <f t="shared" si="46"/>
        <v>Vedmasse</v>
      </c>
      <c r="C145" s="194">
        <f>IF(COUNTIFS('Resultater - Danmark'!$D$3:$D$482,'Resultat-Produktion &amp; forbrug'!A145,'Resultater - Danmark'!$A$3:$A$482,"Til energi")+COUNTIFS('Resultater - Danmark'!$D$3:$D$482,'Resultat-Produktion &amp; forbrug'!A145,'Resultater - Danmark'!$A$3:$A$482,"Biogasanlæg")&gt;0,1,0)</f>
        <v>1</v>
      </c>
      <c r="D145" s="194">
        <f t="shared" si="35"/>
        <v>2050</v>
      </c>
      <c r="E145" s="192" t="s">
        <v>23</v>
      </c>
      <c r="F145" s="195">
        <f>IF(E145="Vestdanmark",SUMIFS(IF(D145=År1,'Resultater - Vestdanmark'!H$3:H$482,IF(D145=År2,'Resultater - Vestdanmark'!I$3:I$482,'Resultater - Vestdanmark'!J$3:J$482)),'Resultater - Vestdanmark'!$F$3:$F$482,$A145,IF(D145=År1,'Resultater - Vestdanmark'!H$3:H$482,IF(D145=År2,'Resultater - Vestdanmark'!I$3:I$482,'Resultater - Vestdanmark'!J$3:J$482)),"&gt;0"),SUMIFS(IF(D145=År1,'Resultater - Østdanmark'!H$3:H$482,IF(D145=År2,'Resultater - Østdanmark'!I$3:I$482,'Resultater - Østdanmark'!J$3:J$482)),'Resultater - Østdanmark'!$F$3:$F$482,$A145,IF(D145=År1,'Resultater - Østdanmark'!H$3:H$482,IF(D145=År2,'Resultater - Østdanmark'!I$3:I$482,'Resultater - Østdanmark'!J$3:J$482)),"&gt;0"))</f>
        <v>0</v>
      </c>
      <c r="G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92">
        <f>IF(E145="Vestdanmark",-IF(A145="Halm",SUMIFS(IF(D145=År1,'Resultater - Vestdanmark'!H$3:H$482,IF(D145=År2,'Resultater - Vestdanmark'!I$3:I$482,'Resultater - Vestdanmark'!J$3:J$482)),'Resultater - Vestdanmark'!$F$3:$F$482,$A145,'Resultater - Vestdanmark'!H$3:H$482,"&lt;0"),0),-IF(A145="Halm",SUMIFS(IF(D145=År1,'Resultater - Østdanmark'!H$3:H$482,IF(D145=År2,'Resultater - Østdanmark'!I$3:I$482,'Resultater - Østdanmark'!J$3:J$482)),'Resultater - Østdanmark'!$F$3:$F$482,$A145,'Resultater - Østdanmark'!H$3:H$482,"&lt;0"),0))</f>
        <v>0</v>
      </c>
      <c r="I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5" t="e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#REF!</v>
      </c>
      <c r="M145" s="157" t="e">
        <f>SUMIFS('Forbrug af biomasse'!E:E,'Forbrug af biomasse'!C:C,'Resultat-Produktion &amp; forbrug'!$A145,'Forbrug af biomasse'!D:D,'Resultat-Produktion &amp; forbrug'!$D145,'Forbrug af biomasse'!G:G,1,'Forbrug af biomasse'!B:B,$E145)</f>
        <v>#REF!</v>
      </c>
      <c r="N145" s="204" t="e">
        <f t="shared" si="23"/>
        <v>#REF!</v>
      </c>
      <c r="O145" s="195" t="e">
        <f t="shared" si="39"/>
        <v>#REF!</v>
      </c>
      <c r="P145" s="205" t="e">
        <f t="shared" si="24"/>
        <v>#REF!</v>
      </c>
      <c r="Q145" s="192" t="e">
        <f>IFERROR(VLOOKUP(A145,[1]Energiindhold!$A$2:$C$11,3,FALSE),IFERROR(VLOOKUP(A145,[1]Biogasudbytte!$A$2:$B$18,2,FALSE)*[1]Energiindhold!$C$10,0))*O145</f>
        <v>#REF!</v>
      </c>
      <c r="R145" s="192" t="e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#REF!</v>
      </c>
      <c r="S145" s="192">
        <f>IFERROR(VLOOKUP(A145,[1]Biogasudbytte!$A$2:$B$18,2,FALSE)*[1]Energiindhold!$C$10,0)*J145*IFERROR(VLOOKUP(A145,Biogasanlæg!$F$3:$G$8,2,FALSE),1)</f>
        <v>0</v>
      </c>
      <c r="T145" s="193" t="e">
        <f t="shared" si="25"/>
        <v>#REF!</v>
      </c>
      <c r="U145" s="191" t="e">
        <f>O145*IFERROR(VLOOKUP(A145,[1]Tørstofindhold!A$2:B$24,2,FALSE),0)</f>
        <v>#REF!</v>
      </c>
      <c r="V145" s="192" t="e">
        <f>IF(D145=År1,P145,SUM(O145,P145))*IFERROR(VLOOKUP(A145,[1]Tørstofindhold!A$2:B$24,2,FALSE),0)</f>
        <v>#REF!</v>
      </c>
      <c r="W145" s="192">
        <f>J145*IFERROR(VLOOKUP(A145,[1]Tørstofindhold!A$2:B$24,2,FALSE),0)</f>
        <v>0</v>
      </c>
      <c r="X145" s="193" t="e">
        <f t="shared" si="26"/>
        <v>#REF!</v>
      </c>
      <c r="Y145" s="171" t="e">
        <f t="shared" si="43"/>
        <v>#REF!</v>
      </c>
      <c r="Z145" s="103" t="e">
        <f t="shared" si="44"/>
        <v>#REF!</v>
      </c>
    </row>
    <row r="146" spans="1:26" x14ac:dyDescent="0.25">
      <c r="A146" s="194" t="str">
        <f t="shared" si="45"/>
        <v>Træmaterialer</v>
      </c>
      <c r="B146" s="194" t="str">
        <f t="shared" si="46"/>
        <v/>
      </c>
      <c r="C146" s="194">
        <f>IF(COUNTIFS('Resultater - Danmark'!$D$3:$D$482,'Resultat-Produktion &amp; forbrug'!A146,'Resultater - Danmark'!$A$3:$A$482,"Til energi")+COUNTIFS('Resultater - Danmark'!$D$3:$D$482,'Resultat-Produktion &amp; forbrug'!A146,'Resultater - Danmark'!$A$3:$A$482,"Biogasanlæg")&gt;0,1,0)</f>
        <v>0</v>
      </c>
      <c r="D146" s="194">
        <f t="shared" si="35"/>
        <v>2050</v>
      </c>
      <c r="E146" s="192" t="s">
        <v>23</v>
      </c>
      <c r="F146" s="195">
        <f>IF(E146="Vestdanmark",SUMIFS(IF(D146=År1,'Resultater - Vestdanmark'!H$3:H$482,IF(D146=År2,'Resultater - Vestdanmark'!I$3:I$482,'Resultater - Vestdanmark'!J$3:J$482)),'Resultater - Vestdanmark'!$F$3:$F$482,$A146,IF(D146=År1,'Resultater - Vestdanmark'!H$3:H$482,IF(D146=År2,'Resultater - Vestdanmark'!I$3:I$482,'Resultater - Vestdanmark'!J$3:J$482)),"&gt;0"),SUMIFS(IF(D146=År1,'Resultater - Østdanmark'!H$3:H$482,IF(D146=År2,'Resultater - Østdanmark'!I$3:I$482,'Resultater - Østdanmark'!J$3:J$482)),'Resultater - Østdanmark'!$F$3:$F$482,$A146,IF(D146=År1,'Resultater - Østdanmark'!H$3:H$482,IF(D146=År2,'Resultater - Østdanmark'!I$3:I$482,'Resultater - Østdanmark'!J$3:J$482)),"&gt;0"))</f>
        <v>0</v>
      </c>
      <c r="G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92">
        <f>IF(E146="Vestdanmark",-IF(A146="Halm",SUMIFS(IF(D146=År1,'Resultater - Vestdanmark'!H$3:H$482,IF(D146=År2,'Resultater - Vestdanmark'!I$3:I$482,'Resultater - Vestdanmark'!J$3:J$482)),'Resultater - Vestdanmark'!$F$3:$F$482,$A146,'Resultater - Vestdanmark'!H$3:H$482,"&lt;0"),0),-IF(A146="Halm",SUMIFS(IF(D146=År1,'Resultater - Østdanmark'!H$3:H$482,IF(D146=År2,'Resultater - Østdanmark'!I$3:I$482,'Resultater - Østdanmark'!J$3:J$482)),'Resultater - Østdanmark'!$F$3:$F$482,$A146,'Resultater - Østdanmark'!H$3:H$482,"&lt;0"),0))</f>
        <v>0</v>
      </c>
      <c r="I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5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7">
        <f>SUMIFS('Forbrug af biomasse'!E:E,'Forbrug af biomasse'!C:C,'Resultat-Produktion &amp; forbrug'!$A146,'Forbrug af biomasse'!D:D,'Resultat-Produktion &amp; forbrug'!$D146,'Forbrug af biomasse'!G:G,1,'Forbrug af biomasse'!B:B,$E146)</f>
        <v>0</v>
      </c>
      <c r="N146" s="204">
        <f t="shared" si="23"/>
        <v>0</v>
      </c>
      <c r="O146" s="195">
        <f t="shared" si="39"/>
        <v>0</v>
      </c>
      <c r="P146" s="205">
        <f t="shared" si="24"/>
        <v>0</v>
      </c>
      <c r="Q146" s="192">
        <f>IFERROR(VLOOKUP(A146,[1]Energiindhold!$A$2:$C$11,3,FALSE),IFERROR(VLOOKUP(A146,[1]Biogasudbytte!$A$2:$B$18,2,FALSE)*[1]Energiindhold!$C$10,0))*O146</f>
        <v>0</v>
      </c>
      <c r="R146" s="192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92">
        <f>IFERROR(VLOOKUP(A146,[1]Biogasudbytte!$A$2:$B$18,2,FALSE)*[1]Energiindhold!$C$10,0)*J146*IFERROR(VLOOKUP(A146,Biogasanlæg!$F$3:$G$8,2,FALSE),1)</f>
        <v>0</v>
      </c>
      <c r="T146" s="193">
        <f t="shared" si="25"/>
        <v>0</v>
      </c>
      <c r="U146" s="191">
        <f>O146*IFERROR(VLOOKUP(A146,[1]Tørstofindhold!A$2:B$24,2,FALSE),0)</f>
        <v>0</v>
      </c>
      <c r="V146" s="192">
        <f>IF(D146=År1,P146,SUM(O146,P146))*IFERROR(VLOOKUP(A146,[1]Tørstofindhold!A$2:B$24,2,FALSE),0)</f>
        <v>0</v>
      </c>
      <c r="W146" s="192">
        <f>J146*IFERROR(VLOOKUP(A146,[1]Tørstofindhold!A$2:B$24,2,FALSE),0)</f>
        <v>0</v>
      </c>
      <c r="X146" s="193">
        <f t="shared" si="26"/>
        <v>0</v>
      </c>
      <c r="Y146" s="171">
        <f t="shared" si="43"/>
        <v>0</v>
      </c>
      <c r="Z146" s="103">
        <f t="shared" si="44"/>
        <v>0</v>
      </c>
    </row>
    <row r="147" spans="1:26" x14ac:dyDescent="0.25">
      <c r="A147" s="194" t="s">
        <v>15</v>
      </c>
      <c r="B147" s="194"/>
      <c r="C147" s="194">
        <f>IF(COUNTIFS('Resultater - Danmark'!$D$3:$D$482,'Resultat-Produktion &amp; forbrug'!A147,'Resultater - Danmark'!$A$3:$A$482,"Til energi")+COUNTIFS('Resultater - Danmark'!$D$3:$D$482,'Resultat-Produktion &amp; forbrug'!A147,'Resultater - Danmark'!$A$3:$A$482,"Biogasanlæg")&gt;0,1,0)</f>
        <v>0</v>
      </c>
      <c r="D147" s="194">
        <f t="shared" ref="D147:D194" si="47">År1</f>
        <v>2019</v>
      </c>
      <c r="E147" s="192" t="s">
        <v>24</v>
      </c>
      <c r="F147" s="195">
        <f>IF(E147="Vestdanmark",SUMIFS(IF(D147=År1,'Resultater - Vestdanmark'!H$3:H$482,IF(D147=År2,'Resultater - Vestdanmark'!I$3:I$482,'Resultater - Vestdanmark'!J$3:J$482)),'Resultater - Vestdanmark'!$F$3:$F$482,$A147,IF(D147=År1,'Resultater - Vestdanmark'!H$3:H$482,IF(D147=År2,'Resultater - Vestdanmark'!I$3:I$482,'Resultater - Vestdanmark'!J$3:J$482)),"&gt;0"),SUMIFS(IF(D147=År1,'Resultater - Østdanmark'!H$3:H$482,IF(D147=År2,'Resultater - Østdanmark'!I$3:I$482,'Resultater - Østdanmark'!J$3:J$482)),'Resultater - Østdanmark'!$F$3:$F$482,$A147,IF(D147=År1,'Resultater - Østdanmark'!H$3:H$482,IF(D147=År2,'Resultater - Østdanmark'!I$3:I$482,'Resultater - Østdanmark'!J$3:J$482)),"&gt;0"))</f>
        <v>0</v>
      </c>
      <c r="G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92">
        <f>IF(E147="Vestdanmark",-IF(A147="Halm",SUMIFS(IF(D147=År1,'Resultater - Vestdanmark'!H$3:H$482,IF(D147=År2,'Resultater - Vestdanmark'!I$3:I$482,'Resultater - Vestdanmark'!J$3:J$482)),'Resultater - Vestdanmark'!$F$3:$F$482,$A147,'Resultater - Vestdanmark'!H$3:H$482,"&lt;0"),0),-IF(A147="Halm",SUMIFS(IF(D147=År1,'Resultater - Østdanmark'!H$3:H$482,IF(D147=År2,'Resultater - Østdanmark'!I$3:I$482,'Resultater - Østdanmark'!J$3:J$482)),'Resultater - Østdanmark'!$F$3:$F$482,$A147,'Resultater - Østdanmark'!H$3:H$482,"&lt;0"),0))</f>
        <v>0</v>
      </c>
      <c r="I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5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7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4">
        <f t="shared" si="23"/>
        <v>-26880.542267330831</v>
      </c>
      <c r="O147" s="195">
        <f t="shared" si="39"/>
        <v>0</v>
      </c>
      <c r="P147" s="205">
        <f t="shared" si="24"/>
        <v>0</v>
      </c>
      <c r="Q147" s="192">
        <f>IFERROR(VLOOKUP(A147,[1]Energiindhold!$A$2:$C$11,3,FALSE),IFERROR(VLOOKUP(A147,[1]Biogasudbytte!$A$2:$B$18,2,FALSE)*[1]Energiindhold!$C$10,0))*O147</f>
        <v>0</v>
      </c>
      <c r="R147" s="192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92">
        <f>IFERROR(VLOOKUP(A147,[1]Biogasudbytte!$A$2:$B$18,2,FALSE)*[1]Energiindhold!$C$10,0)*J147*IFERROR(VLOOKUP(A147,Biogasanlæg!$F$3:$G$8,2,FALSE),1)</f>
        <v>0</v>
      </c>
      <c r="T147" s="193">
        <f t="shared" si="25"/>
        <v>0</v>
      </c>
      <c r="U147" s="191">
        <f>O147*IFERROR(VLOOKUP(A147,[1]Tørstofindhold!A$2:B$24,2,FALSE),0)</f>
        <v>0</v>
      </c>
      <c r="V147" s="192">
        <f>IF(D147=År1,P147,SUM(O147,P147))*IFERROR(VLOOKUP(A147,[1]Tørstofindhold!A$2:B$24,2,FALSE),0)</f>
        <v>0</v>
      </c>
      <c r="W147" s="192">
        <f>J147*IFERROR(VLOOKUP(A147,[1]Tørstofindhold!A$2:B$24,2,FALSE),0)</f>
        <v>0</v>
      </c>
      <c r="X147" s="193">
        <f t="shared" si="26"/>
        <v>0</v>
      </c>
      <c r="Y147" s="171">
        <f t="shared" si="43"/>
        <v>1</v>
      </c>
      <c r="Z147" s="103">
        <f t="shared" si="44"/>
        <v>0</v>
      </c>
    </row>
    <row r="148" spans="1:26" x14ac:dyDescent="0.25">
      <c r="A148" s="194" t="s">
        <v>49</v>
      </c>
      <c r="B148" s="194"/>
      <c r="C148" s="194">
        <f>IF(COUNTIFS('Resultater - Danmark'!$D$3:$D$482,'Resultat-Produktion &amp; forbrug'!A148,'Resultater - Danmark'!$A$3:$A$482,"Til energi")+COUNTIFS('Resultater - Danmark'!$D$3:$D$482,'Resultat-Produktion &amp; forbrug'!A148,'Resultater - Danmark'!$A$3:$A$482,"Biogasanlæg")&gt;0,1,0)</f>
        <v>0</v>
      </c>
      <c r="D148" s="194">
        <f t="shared" si="47"/>
        <v>2019</v>
      </c>
      <c r="E148" s="192" t="s">
        <v>24</v>
      </c>
      <c r="F148" s="195">
        <f>IF(E148="Vestdanmark",SUMIFS(IF(D148=År1,'Resultater - Vestdanmark'!H$3:H$482,IF(D148=År2,'Resultater - Vestdanmark'!I$3:I$482,'Resultater - Vestdanmark'!J$3:J$482)),'Resultater - Vestdanmark'!$F$3:$F$482,$A148,IF(D148=År1,'Resultater - Vestdanmark'!H$3:H$482,IF(D148=År2,'Resultater - Vestdanmark'!I$3:I$482,'Resultater - Vestdanmark'!J$3:J$482)),"&gt;0"),SUMIFS(IF(D148=År1,'Resultater - Østdanmark'!H$3:H$482,IF(D148=År2,'Resultater - Østdanmark'!I$3:I$482,'Resultater - Østdanmark'!J$3:J$482)),'Resultater - Østdanmark'!$F$3:$F$482,$A148,IF(D148=År1,'Resultater - Østdanmark'!H$3:H$482,IF(D148=År2,'Resultater - Østdanmark'!I$3:I$482,'Resultater - Østdanmark'!J$3:J$482)),"&gt;0"))</f>
        <v>0</v>
      </c>
      <c r="G148" s="195" t="e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#REF!</v>
      </c>
      <c r="H148" s="192">
        <f>IF(E148="Vestdanmark",-IF(A148="Halm",SUMIFS(IF(D148=År1,'Resultater - Vestdanmark'!H$3:H$482,IF(D148=År2,'Resultater - Vestdanmark'!I$3:I$482,'Resultater - Vestdanmark'!J$3:J$482)),'Resultater - Vestdanmark'!$F$3:$F$482,$A148,'Resultater - Vestdanmark'!H$3:H$482,"&lt;0"),0),-IF(A148="Halm",SUMIFS(IF(D148=År1,'Resultater - Østdanmark'!H$3:H$482,IF(D148=År2,'Resultater - Østdanmark'!I$3:I$482,'Resultater - Østdanmark'!J$3:J$482)),'Resultater - Østdanmark'!$F$3:$F$482,$A148,'Resultater - Østdanmark'!H$3:H$482,"&lt;0"),0))</f>
        <v>0</v>
      </c>
      <c r="I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5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7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4" t="e">
        <f t="shared" si="23"/>
        <v>#REF!</v>
      </c>
      <c r="O148" s="195">
        <f t="shared" si="39"/>
        <v>0</v>
      </c>
      <c r="P148" s="205">
        <f t="shared" si="24"/>
        <v>0</v>
      </c>
      <c r="Q148" s="192">
        <f>IFERROR(VLOOKUP(A148,[1]Energiindhold!$A$2:$C$11,3,FALSE),IFERROR(VLOOKUP(A148,[1]Biogasudbytte!$A$2:$B$18,2,FALSE)*[1]Energiindhold!$C$10,0))*O148</f>
        <v>0</v>
      </c>
      <c r="R148" s="192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92">
        <f>IFERROR(VLOOKUP(A148,[1]Biogasudbytte!$A$2:$B$18,2,FALSE)*[1]Energiindhold!$C$10,0)*J148*IFERROR(VLOOKUP(A148,Biogasanlæg!$F$3:$G$8,2,FALSE),1)</f>
        <v>0</v>
      </c>
      <c r="T148" s="193">
        <f t="shared" si="25"/>
        <v>0</v>
      </c>
      <c r="U148" s="191">
        <f>O148*IFERROR(VLOOKUP(A148,[1]Tørstofindhold!A$2:B$24,2,FALSE),0)</f>
        <v>0</v>
      </c>
      <c r="V148" s="192">
        <f>IF(D148=År1,P148,SUM(O148,P148))*IFERROR(VLOOKUP(A148,[1]Tørstofindhold!A$2:B$24,2,FALSE),0)</f>
        <v>0</v>
      </c>
      <c r="W148" s="192">
        <f>J148*IFERROR(VLOOKUP(A148,[1]Tørstofindhold!A$2:B$24,2,FALSE),0)</f>
        <v>0</v>
      </c>
      <c r="X148" s="193">
        <f t="shared" si="26"/>
        <v>0</v>
      </c>
      <c r="Y148" s="171" t="e">
        <f t="shared" si="43"/>
        <v>#REF!</v>
      </c>
      <c r="Z148" s="103" t="e">
        <f t="shared" si="44"/>
        <v>#REF!</v>
      </c>
    </row>
    <row r="149" spans="1:26" x14ac:dyDescent="0.25">
      <c r="A149" s="194" t="s">
        <v>103</v>
      </c>
      <c r="B149" s="194" t="s">
        <v>232</v>
      </c>
      <c r="C149" s="194">
        <f>IF(COUNTIFS('Resultater - Danmark'!$D$3:$D$482,'Resultat-Produktion &amp; forbrug'!A149,'Resultater - Danmark'!$A$3:$A$482,"Til energi")+COUNTIFS('Resultater - Danmark'!$D$3:$D$482,'Resultat-Produktion &amp; forbrug'!A149,'Resultater - Danmark'!$A$3:$A$482,"Biogasanlæg")&gt;0,1,0)</f>
        <v>1</v>
      </c>
      <c r="D149" s="194">
        <f t="shared" si="47"/>
        <v>2019</v>
      </c>
      <c r="E149" s="192" t="s">
        <v>24</v>
      </c>
      <c r="F149" s="195">
        <f>IF(E149="Vestdanmark",SUMIFS(IF(D149=År1,'Resultater - Vestdanmark'!H$3:H$482,IF(D149=År2,'Resultater - Vestdanmark'!I$3:I$482,'Resultater - Vestdanmark'!J$3:J$482)),'Resultater - Vestdanmark'!$F$3:$F$482,$A149,IF(D149=År1,'Resultater - Vestdanmark'!H$3:H$482,IF(D149=År2,'Resultater - Vestdanmark'!I$3:I$482,'Resultater - Vestdanmark'!J$3:J$482)),"&gt;0"),SUMIFS(IF(D149=År1,'Resultater - Østdanmark'!H$3:H$482,IF(D149=År2,'Resultater - Østdanmark'!I$3:I$482,'Resultater - Østdanmark'!J$3:J$482)),'Resultater - Østdanmark'!$F$3:$F$482,$A149,IF(D149=År1,'Resultater - Østdanmark'!H$3:H$482,IF(D149=År2,'Resultater - Østdanmark'!I$3:I$482,'Resultater - Østdanmark'!J$3:J$482)),"&gt;0"))</f>
        <v>0</v>
      </c>
      <c r="G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92">
        <f>IF(E149="Vestdanmark",-IF(A149="Halm",SUMIFS(IF(D149=År1,'Resultater - Vestdanmark'!H$3:H$482,IF(D149=År2,'Resultater - Vestdanmark'!I$3:I$482,'Resultater - Vestdanmark'!J$3:J$482)),'Resultater - Vestdanmark'!$F$3:$F$482,$A149,'Resultater - Vestdanmark'!H$3:H$482,"&lt;0"),0),-IF(A149="Halm",SUMIFS(IF(D149=År1,'Resultater - Østdanmark'!H$3:H$482,IF(D149=År2,'Resultater - Østdanmark'!I$3:I$482,'Resultater - Østdanmark'!J$3:J$482)),'Resultater - Østdanmark'!$F$3:$F$482,$A149,'Resultater - Østdanmark'!H$3:H$482,"&lt;0"),0))</f>
        <v>0</v>
      </c>
      <c r="I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5" t="e">
        <f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#REF!</v>
      </c>
      <c r="K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5" t="e">
        <f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#REF!</v>
      </c>
      <c r="M149" s="157" t="e">
        <f>SUMIFS('Forbrug af biomasse'!E:E,'Forbrug af biomasse'!C:C,'Resultat-Produktion &amp; forbrug'!$A149,'Forbrug af biomasse'!D:D,'Resultat-Produktion &amp; forbrug'!$D149,'Forbrug af biomasse'!G:G,1,'Forbrug af biomasse'!B:B,$E149)</f>
        <v>#REF!</v>
      </c>
      <c r="N149" s="204" t="e">
        <f t="shared" si="23"/>
        <v>#REF!</v>
      </c>
      <c r="O149" s="195" t="e">
        <f t="shared" si="39"/>
        <v>#REF!</v>
      </c>
      <c r="P149" s="205" t="e">
        <f t="shared" si="24"/>
        <v>#REF!</v>
      </c>
      <c r="Q149" s="192" t="e">
        <f>IFERROR(VLOOKUP(A149,[1]Energiindhold!$A$2:$C$11,3,FALSE),IFERROR(VLOOKUP(A149,[1]Biogasudbytte!$A$2:$B$18,2,FALSE)*[1]Energiindhold!$C$10,0))*O149</f>
        <v>#REF!</v>
      </c>
      <c r="R149" s="192" t="e">
        <f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#REF!</v>
      </c>
      <c r="S149" s="192" t="e">
        <f>IFERROR(VLOOKUP(A149,[1]Biogasudbytte!$A$2:$B$18,2,FALSE)*[1]Energiindhold!$C$10,0)*J149*IFERROR(VLOOKUP(A149,Biogasanlæg!$F$3:$G$8,2,FALSE),1)</f>
        <v>#REF!</v>
      </c>
      <c r="T149" s="193" t="e">
        <f t="shared" si="25"/>
        <v>#REF!</v>
      </c>
      <c r="U149" s="191" t="e">
        <f>O149*IFERROR(VLOOKUP(A149,[1]Tørstofindhold!A$2:B$24,2,FALSE),0)</f>
        <v>#REF!</v>
      </c>
      <c r="V149" s="192" t="e">
        <f>IF(D149=År1,P149,SUM(O149,P149))*IFERROR(VLOOKUP(A149,[1]Tørstofindhold!A$2:B$24,2,FALSE),0)</f>
        <v>#REF!</v>
      </c>
      <c r="W149" s="192" t="e">
        <f>J149*IFERROR(VLOOKUP(A149,[1]Tørstofindhold!A$2:B$24,2,FALSE),0)</f>
        <v>#REF!</v>
      </c>
      <c r="X149" s="193" t="e">
        <f t="shared" si="26"/>
        <v>#REF!</v>
      </c>
      <c r="Y149" s="171" t="e">
        <f t="shared" si="43"/>
        <v>#REF!</v>
      </c>
      <c r="Z149" s="103" t="e">
        <f t="shared" si="44"/>
        <v>#REF!</v>
      </c>
    </row>
    <row r="150" spans="1:26" x14ac:dyDescent="0.25">
      <c r="A150" s="194" t="s">
        <v>110</v>
      </c>
      <c r="B150" s="194"/>
      <c r="C150" s="194">
        <f>IF(COUNTIFS('Resultater - Danmark'!$D$3:$D$482,'Resultat-Produktion &amp; forbrug'!A150,'Resultater - Danmark'!$A$3:$A$482,"Til energi")+COUNTIFS('Resultater - Danmark'!$D$3:$D$482,'Resultat-Produktion &amp; forbrug'!A150,'Resultater - Danmark'!$A$3:$A$482,"Biogasanlæg")&gt;0,1,0)</f>
        <v>1</v>
      </c>
      <c r="D150" s="194">
        <f t="shared" si="47"/>
        <v>2019</v>
      </c>
      <c r="E150" s="192" t="s">
        <v>24</v>
      </c>
      <c r="F150" s="195">
        <f>IF(E150="Vestdanmark",SUMIFS(IF(D150=År1,'Resultater - Vestdanmark'!H$3:H$482,IF(D150=År2,'Resultater - Vestdanmark'!I$3:I$482,'Resultater - Vestdanmark'!J$3:J$482)),'Resultater - Vestdanmark'!$F$3:$F$482,$A150,IF(D150=År1,'Resultater - Vestdanmark'!H$3:H$482,IF(D150=År2,'Resultater - Vestdanmark'!I$3:I$482,'Resultater - Vestdanmark'!J$3:J$482)),"&gt;0"),SUMIFS(IF(D150=År1,'Resultater - Østdanmark'!H$3:H$482,IF(D150=År2,'Resultater - Østdanmark'!I$3:I$482,'Resultater - Østdanmark'!J$3:J$482)),'Resultater - Østdanmark'!$F$3:$F$482,$A150,IF(D150=År1,'Resultater - Østdanmark'!H$3:H$482,IF(D150=År2,'Resultater - Østdanmark'!I$3:I$482,'Resultater - Østdanmark'!J$3:J$482)),"&gt;0"))</f>
        <v>12086250.624000002</v>
      </c>
      <c r="G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92">
        <f>IF(E150="Vestdanmark",-IF(A150="Halm",SUMIFS(IF(D150=År1,'Resultater - Vestdanmark'!H$3:H$482,IF(D150=År2,'Resultater - Vestdanmark'!I$3:I$482,'Resultater - Vestdanmark'!J$3:J$482)),'Resultater - Vestdanmark'!$F$3:$F$482,$A150,'Resultater - Vestdanmark'!H$3:H$482,"&lt;0"),0),-IF(A150="Halm",SUMIFS(IF(D150=År1,'Resultater - Østdanmark'!H$3:H$482,IF(D150=År2,'Resultater - Østdanmark'!I$3:I$482,'Resultater - Østdanmark'!J$3:J$482)),'Resultater - Østdanmark'!$F$3:$F$482,$A150,'Resultater - Østdanmark'!H$3:H$482,"&lt;0"),0))</f>
        <v>0</v>
      </c>
      <c r="I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5">
        <f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12086250.624000002</v>
      </c>
      <c r="M150" s="157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4">
        <f t="shared" ref="N150:N215" si="48">F150-SUM(G150:M150)</f>
        <v>0</v>
      </c>
      <c r="O150" s="195">
        <f t="shared" si="39"/>
        <v>0</v>
      </c>
      <c r="P150" s="205">
        <f t="shared" ref="P150:P215" si="49">SUM(J150,L150)</f>
        <v>12086250.624000002</v>
      </c>
      <c r="Q150" s="192">
        <f>IFERROR(VLOOKUP(A150,[1]Energiindhold!$A$2:$C$11,3,FALSE),IFERROR(VLOOKUP(A150,[1]Biogasudbytte!$A$2:$B$18,2,FALSE)*[1]Energiindhold!$C$10,0))*O150</f>
        <v>0</v>
      </c>
      <c r="R150" s="192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92">
        <f>IFERROR(VLOOKUP(A150,[1]Biogasudbytte!$A$2:$B$18,2,FALSE)*[1]Energiindhold!$C$10,0)*J150*IFERROR(VLOOKUP(A150,Biogasanlæg!$F$3:$G$8,2,FALSE),1)</f>
        <v>0</v>
      </c>
      <c r="T150" s="193">
        <f t="shared" ref="T150:T215" si="50">R150-S150</f>
        <v>0</v>
      </c>
      <c r="U150" s="191">
        <f>O150*IFERROR(VLOOKUP(A150,[1]Tørstofindhold!A$2:B$24,2,FALSE),0)</f>
        <v>0</v>
      </c>
      <c r="V150" s="192">
        <f>IF(D150=År1,P150,SUM(O150,P150))*IFERROR(VLOOKUP(A150,[1]Tørstofindhold!A$2:B$24,2,FALSE),0)</f>
        <v>0</v>
      </c>
      <c r="W150" s="192">
        <f>J150*IFERROR(VLOOKUP(A150,[1]Tørstofindhold!A$2:B$24,2,FALSE),0)</f>
        <v>0</v>
      </c>
      <c r="X150" s="193">
        <f t="shared" ref="X150:X215" si="51">V150-W150</f>
        <v>0</v>
      </c>
      <c r="Y150" s="171">
        <f t="shared" si="43"/>
        <v>0</v>
      </c>
      <c r="Z150" s="103">
        <f t="shared" si="44"/>
        <v>0</v>
      </c>
    </row>
    <row r="151" spans="1:26" x14ac:dyDescent="0.25">
      <c r="A151" s="194" t="s">
        <v>111</v>
      </c>
      <c r="B151" s="194"/>
      <c r="C151" s="194">
        <f>IF(COUNTIFS('Resultater - Danmark'!$D$3:$D$482,'Resultat-Produktion &amp; forbrug'!A151,'Resultater - Danmark'!$A$3:$A$482,"Til energi")+COUNTIFS('Resultater - Danmark'!$D$3:$D$482,'Resultat-Produktion &amp; forbrug'!A151,'Resultater - Danmark'!$A$3:$A$482,"Biogasanlæg")&gt;0,1,0)</f>
        <v>0</v>
      </c>
      <c r="D151" s="194">
        <f t="shared" si="47"/>
        <v>2019</v>
      </c>
      <c r="E151" s="192" t="s">
        <v>24</v>
      </c>
      <c r="F151" s="195">
        <f>IF(E151="Vestdanmark",SUMIFS(IF(D151=År1,'Resultater - Vestdanmark'!H$3:H$482,IF(D151=År2,'Resultater - Vestdanmark'!I$3:I$482,'Resultater - Vestdanmark'!J$3:J$482)),'Resultater - Vestdanmark'!$F$3:$F$482,$A151,IF(D151=År1,'Resultater - Vestdanmark'!H$3:H$482,IF(D151=År2,'Resultater - Vestdanmark'!I$3:I$482,'Resultater - Vestdanmark'!J$3:J$482)),"&gt;0"),SUMIFS(IF(D151=År1,'Resultater - Østdanmark'!H$3:H$482,IF(D151=År2,'Resultater - Østdanmark'!I$3:I$482,'Resultater - Østdanmark'!J$3:J$482)),'Resultater - Østdanmark'!$F$3:$F$482,$A151,IF(D151=År1,'Resultater - Østdanmark'!H$3:H$482,IF(D151=År2,'Resultater - Østdanmark'!I$3:I$482,'Resultater - Østdanmark'!J$3:J$482)),"&gt;0"))</f>
        <v>0</v>
      </c>
      <c r="G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92">
        <f>IF(E151="Vestdanmark",-IF(A151="Halm",SUMIFS(IF(D151=År1,'Resultater - Vestdanmark'!H$3:H$482,IF(D151=År2,'Resultater - Vestdanmark'!I$3:I$482,'Resultater - Vestdanmark'!J$3:J$482)),'Resultater - Vestdanmark'!$F$3:$F$482,$A151,'Resultater - Vestdanmark'!H$3:H$482,"&lt;0"),0),-IF(A151="Halm",SUMIFS(IF(D151=År1,'Resultater - Østdanmark'!H$3:H$482,IF(D151=År2,'Resultater - Østdanmark'!I$3:I$482,'Resultater - Østdanmark'!J$3:J$482)),'Resultater - Østdanmark'!$F$3:$F$482,$A151,'Resultater - Østdanmark'!H$3:H$482,"&lt;0"),0))</f>
        <v>0</v>
      </c>
      <c r="I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5" t="e">
        <f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#REF!</v>
      </c>
      <c r="L151" s="195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7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4" t="e">
        <f t="shared" si="48"/>
        <v>#REF!</v>
      </c>
      <c r="O151" s="195">
        <f t="shared" si="39"/>
        <v>0</v>
      </c>
      <c r="P151" s="205">
        <f t="shared" si="49"/>
        <v>0</v>
      </c>
      <c r="Q151" s="192">
        <f>IFERROR(VLOOKUP(A151,[1]Energiindhold!$A$2:$C$11,3,FALSE),IFERROR(VLOOKUP(A151,[1]Biogasudbytte!$A$2:$B$18,2,FALSE)*[1]Energiindhold!$C$10,0))*O151</f>
        <v>0</v>
      </c>
      <c r="R151" s="192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92">
        <f>IFERROR(VLOOKUP(A151,[1]Biogasudbytte!$A$2:$B$18,2,FALSE)*[1]Energiindhold!$C$10,0)*J151*IFERROR(VLOOKUP(A151,Biogasanlæg!$F$3:$G$8,2,FALSE),1)</f>
        <v>0</v>
      </c>
      <c r="T151" s="193">
        <f t="shared" si="50"/>
        <v>0</v>
      </c>
      <c r="U151" s="191">
        <f>O151*IFERROR(VLOOKUP(A151,[1]Tørstofindhold!A$2:B$24,2,FALSE),0)</f>
        <v>0</v>
      </c>
      <c r="V151" s="192">
        <f>IF(D151=År1,P151,SUM(O151,P151))*IFERROR(VLOOKUP(A151,[1]Tørstofindhold!A$2:B$24,2,FALSE),0)</f>
        <v>0</v>
      </c>
      <c r="W151" s="192">
        <f>J151*IFERROR(VLOOKUP(A151,[1]Tørstofindhold!A$2:B$24,2,FALSE),0)</f>
        <v>0</v>
      </c>
      <c r="X151" s="193">
        <f t="shared" si="51"/>
        <v>0</v>
      </c>
      <c r="Y151" s="171" t="e">
        <f t="shared" si="43"/>
        <v>#REF!</v>
      </c>
      <c r="Z151" s="103" t="e">
        <f t="shared" si="44"/>
        <v>#REF!</v>
      </c>
    </row>
    <row r="152" spans="1:26" x14ac:dyDescent="0.25">
      <c r="A152" s="194" t="s">
        <v>210</v>
      </c>
      <c r="B152" s="194" t="s">
        <v>232</v>
      </c>
      <c r="C152" s="194">
        <f>IF(COUNTIFS('Resultater - Danmark'!$D$3:$D$482,'Resultat-Produktion &amp; forbrug'!A152,'Resultater - Danmark'!$A$3:$A$482,"Til energi")+COUNTIFS('Resultater - Danmark'!$D$3:$D$482,'Resultat-Produktion &amp; forbrug'!A152,'Resultater - Danmark'!$A$3:$A$482,"Biogasanlæg")&gt;0,1,0)</f>
        <v>1</v>
      </c>
      <c r="D152" s="194">
        <f t="shared" si="47"/>
        <v>2019</v>
      </c>
      <c r="E152" s="192" t="s">
        <v>24</v>
      </c>
      <c r="F152" s="195">
        <f>IF(E152="Vestdanmark",SUMIFS(IF(D152=År1,'Resultater - Vestdanmark'!H$3:H$482,IF(D152=År2,'Resultater - Vestdanmark'!I$3:I$482,'Resultater - Vestdanmark'!J$3:J$482)),'Resultater - Vestdanmark'!$F$3:$F$482,$A152,IF(D152=År1,'Resultater - Vestdanmark'!H$3:H$482,IF(D152=År2,'Resultater - Vestdanmark'!I$3:I$482,'Resultater - Vestdanmark'!J$3:J$482)),"&gt;0"),SUMIFS(IF(D152=År1,'Resultater - Østdanmark'!H$3:H$482,IF(D152=År2,'Resultater - Østdanmark'!I$3:I$482,'Resultater - Østdanmark'!J$3:J$482)),'Resultater - Østdanmark'!$F$3:$F$482,$A152,IF(D152=År1,'Resultater - Østdanmark'!H$3:H$482,IF(D152=År2,'Resultater - Østdanmark'!I$3:I$482,'Resultater - Østdanmark'!J$3:J$482)),"&gt;0"))</f>
        <v>0</v>
      </c>
      <c r="G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92">
        <f>IF(E152="Vestdanmark",-IF(A152="Halm",SUMIFS(IF(D152=År1,'Resultater - Vestdanmark'!H$3:H$482,IF(D152=År2,'Resultater - Vestdanmark'!I$3:I$482,'Resultater - Vestdanmark'!J$3:J$482)),'Resultater - Vestdanmark'!$F$3:$F$482,$A152,'Resultater - Vestdanmark'!H$3:H$482,"&lt;0"),0),-IF(A152="Halm",SUMIFS(IF(D152=År1,'Resultater - Østdanmark'!H$3:H$482,IF(D152=År2,'Resultater - Østdanmark'!I$3:I$482,'Resultater - Østdanmark'!J$3:J$482)),'Resultater - Østdanmark'!$F$3:$F$482,$A152,'Resultater - Østdanmark'!H$3:H$482,"&lt;0"),0))</f>
        <v>0</v>
      </c>
      <c r="I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5" t="e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#REF!</v>
      </c>
      <c r="K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5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7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4" t="e">
        <f t="shared" si="48"/>
        <v>#REF!</v>
      </c>
      <c r="O152" s="195" t="e">
        <f t="shared" si="39"/>
        <v>#REF!</v>
      </c>
      <c r="P152" s="205" t="e">
        <f t="shared" si="49"/>
        <v>#REF!</v>
      </c>
      <c r="Q152" s="192" t="e">
        <f>IFERROR(VLOOKUP(A152,[1]Energiindhold!$A$2:$C$11,3,FALSE),IFERROR(VLOOKUP(A152,[1]Biogasudbytte!$A$2:$B$18,2,FALSE)*[1]Energiindhold!$C$10,0))*O152</f>
        <v>#REF!</v>
      </c>
      <c r="R152" s="192" t="e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#REF!</v>
      </c>
      <c r="S152" s="192" t="e">
        <f>IFERROR(VLOOKUP(A152,[1]Biogasudbytte!$A$2:$B$18,2,FALSE)*[1]Energiindhold!$C$10,0)*J152*IFERROR(VLOOKUP(A152,Biogasanlæg!$F$3:$G$8,2,FALSE),1)</f>
        <v>#REF!</v>
      </c>
      <c r="T152" s="193" t="e">
        <f t="shared" si="50"/>
        <v>#REF!</v>
      </c>
      <c r="U152" s="191" t="e">
        <f>O152*IFERROR(VLOOKUP(A152,[1]Tørstofindhold!A$2:B$24,2,FALSE),0)</f>
        <v>#REF!</v>
      </c>
      <c r="V152" s="192" t="e">
        <f>IF(D152=År1,P152,SUM(O152,P152))*IFERROR(VLOOKUP(A152,[1]Tørstofindhold!A$2:B$24,2,FALSE),0)</f>
        <v>#REF!</v>
      </c>
      <c r="W152" s="192" t="e">
        <f>J152*IFERROR(VLOOKUP(A152,[1]Tørstofindhold!A$2:B$24,2,FALSE),0)</f>
        <v>#REF!</v>
      </c>
      <c r="X152" s="193" t="e">
        <f t="shared" si="51"/>
        <v>#REF!</v>
      </c>
      <c r="Y152" s="171" t="e">
        <f t="shared" si="43"/>
        <v>#REF!</v>
      </c>
      <c r="Z152" s="103" t="e">
        <f t="shared" si="44"/>
        <v>#REF!</v>
      </c>
    </row>
    <row r="153" spans="1:26" x14ac:dyDescent="0.25">
      <c r="A153" s="192" t="s">
        <v>102</v>
      </c>
      <c r="B153" s="194" t="s">
        <v>224</v>
      </c>
      <c r="C153" s="194">
        <f>IF(COUNTIFS('Resultater - Danmark'!$D$3:$D$482,'Resultat-Produktion &amp; forbrug'!A153,'Resultater - Danmark'!$A$3:$A$482,"Til energi")+COUNTIFS('Resultater - Danmark'!$D$3:$D$482,'Resultat-Produktion &amp; forbrug'!A153,'Resultater - Danmark'!$A$3:$A$482,"Biogasanlæg")&gt;0,1,0)</f>
        <v>1</v>
      </c>
      <c r="D153" s="194">
        <f t="shared" si="47"/>
        <v>2019</v>
      </c>
      <c r="E153" s="192" t="s">
        <v>24</v>
      </c>
      <c r="F153" s="195">
        <f>IF(E153="Vestdanmark",SUMIFS(IF(D153=År1,'Resultater - Vestdanmark'!H$3:H$482,IF(D153=År2,'Resultater - Vestdanmark'!I$3:I$482,'Resultater - Vestdanmark'!J$3:J$482)),'Resultater - Vestdanmark'!$F$3:$F$482,$A153,IF(D153=År1,'Resultater - Vestdanmark'!H$3:H$482,IF(D153=År2,'Resultater - Vestdanmark'!I$3:I$482,'Resultater - Vestdanmark'!J$3:J$482)),"&gt;0"),SUMIFS(IF(D153=År1,'Resultater - Østdanmark'!H$3:H$482,IF(D153=År2,'Resultater - Østdanmark'!I$3:I$482,'Resultater - Østdanmark'!J$3:J$482)),'Resultater - Østdanmark'!$F$3:$F$482,$A153,IF(D153=År1,'Resultater - Østdanmark'!H$3:H$482,IF(D153=År2,'Resultater - Østdanmark'!I$3:I$482,'Resultater - Østdanmark'!J$3:J$482)),"&gt;0"))</f>
        <v>0</v>
      </c>
      <c r="G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92">
        <f>IF(E153="Vestdanmark",-IF(A153="Halm",SUMIFS(IF(D153=År1,'Resultater - Vestdanmark'!H$3:H$482,IF(D153=År2,'Resultater - Vestdanmark'!I$3:I$482,'Resultater - Vestdanmark'!J$3:J$482)),'Resultater - Vestdanmark'!$F$3:$F$482,$A153,'Resultater - Vestdanmark'!H$3:H$482,"&lt;0"),0),-IF(A153="Halm",SUMIFS(IF(D153=År1,'Resultater - Østdanmark'!H$3:H$482,IF(D153=År2,'Resultater - Østdanmark'!I$3:I$482,'Resultater - Østdanmark'!J$3:J$482)),'Resultater - Østdanmark'!$F$3:$F$482,$A153,'Resultater - Østdanmark'!H$3:H$482,"&lt;0"),0))</f>
        <v>0</v>
      </c>
      <c r="I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5" t="e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#REF!</v>
      </c>
      <c r="K153" s="195" t="e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#REF!</v>
      </c>
      <c r="L153" s="195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7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4" t="e">
        <f t="shared" si="48"/>
        <v>#REF!</v>
      </c>
      <c r="O153" s="195" t="e">
        <f t="shared" si="39"/>
        <v>#REF!</v>
      </c>
      <c r="P153" s="205" t="e">
        <f t="shared" si="49"/>
        <v>#REF!</v>
      </c>
      <c r="Q153" s="192" t="e">
        <f>IFERROR(VLOOKUP(A153,[1]Energiindhold!$A$2:$C$11,3,FALSE),IFERROR(VLOOKUP(A153,[1]Biogasudbytte!$A$2:$B$18,2,FALSE)*[1]Energiindhold!$C$10,0))*O153</f>
        <v>#REF!</v>
      </c>
      <c r="R153" s="192" t="e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#REF!</v>
      </c>
      <c r="S153" s="192" t="e">
        <f>IFERROR(VLOOKUP(A153,[1]Biogasudbytte!$A$2:$B$18,2,FALSE)*[1]Energiindhold!$C$10,0)*J153*IFERROR(VLOOKUP(A153,Biogasanlæg!$F$3:$G$8,2,FALSE),1)</f>
        <v>#REF!</v>
      </c>
      <c r="T153" s="193" t="e">
        <f t="shared" si="50"/>
        <v>#REF!</v>
      </c>
      <c r="U153" s="191" t="e">
        <f>O153*IFERROR(VLOOKUP(A153,[1]Tørstofindhold!A$2:B$24,2,FALSE),0)</f>
        <v>#REF!</v>
      </c>
      <c r="V153" s="192" t="e">
        <f>IF(D153=År1,P153,SUM(O153,P153))*IFERROR(VLOOKUP(A153,[1]Tørstofindhold!A$2:B$24,2,FALSE),0)</f>
        <v>#REF!</v>
      </c>
      <c r="W153" s="192" t="e">
        <f>J153*IFERROR(VLOOKUP(A153,[1]Tørstofindhold!A$2:B$24,2,FALSE),0)</f>
        <v>#REF!</v>
      </c>
      <c r="X153" s="193" t="e">
        <f t="shared" si="51"/>
        <v>#REF!</v>
      </c>
      <c r="Y153" s="171" t="e">
        <f t="shared" si="43"/>
        <v>#REF!</v>
      </c>
      <c r="Z153" s="103" t="e">
        <f t="shared" si="44"/>
        <v>#REF!</v>
      </c>
    </row>
    <row r="154" spans="1:26" x14ac:dyDescent="0.25">
      <c r="A154" s="192" t="s">
        <v>206</v>
      </c>
      <c r="B154" s="194"/>
      <c r="C154" s="194">
        <f>IF(COUNTIFS('Resultater - Danmark'!$D$3:$D$482,'Resultat-Produktion &amp; forbrug'!A154,'Resultater - Danmark'!$A$3:$A$482,"Til energi")+COUNTIFS('Resultater - Danmark'!$D$3:$D$482,'Resultat-Produktion &amp; forbrug'!A154,'Resultater - Danmark'!$A$3:$A$482,"Biogasanlæg")&gt;0,1,0)</f>
        <v>0</v>
      </c>
      <c r="D154" s="194">
        <f t="shared" si="47"/>
        <v>2019</v>
      </c>
      <c r="E154" s="192" t="s">
        <v>24</v>
      </c>
      <c r="F154" s="195">
        <f>IF(E154="Vestdanmark",SUMIFS(IF(D154=År1,'Resultater - Vestdanmark'!H$3:H$482,IF(D154=År2,'Resultater - Vestdanmark'!I$3:I$482,'Resultater - Vestdanmark'!J$3:J$482)),'Resultater - Vestdanmark'!$F$3:$F$482,$A154,IF(D154=År1,'Resultater - Vestdanmark'!H$3:H$482,IF(D154=År2,'Resultater - Vestdanmark'!I$3:I$482,'Resultater - Vestdanmark'!J$3:J$482)),"&gt;0"),SUMIFS(IF(D154=År1,'Resultater - Østdanmark'!H$3:H$482,IF(D154=År2,'Resultater - Østdanmark'!I$3:I$482,'Resultater - Østdanmark'!J$3:J$482)),'Resultater - Østdanmark'!$F$3:$F$482,$A154,IF(D154=År1,'Resultater - Østdanmark'!H$3:H$482,IF(D154=År2,'Resultater - Østdanmark'!I$3:I$482,'Resultater - Østdanmark'!J$3:J$482)),"&gt;0"))</f>
        <v>0</v>
      </c>
      <c r="G154" s="195" t="e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#REF!</v>
      </c>
      <c r="H154" s="192">
        <f>IF(E154="Vestdanmark",-IF(A154="Halm",SUMIFS(IF(D154=År1,'Resultater - Vestdanmark'!H$3:H$482,IF(D154=År2,'Resultater - Vestdanmark'!I$3:I$482,'Resultater - Vestdanmark'!J$3:J$482)),'Resultater - Vestdanmark'!$F$3:$F$482,$A154,'Resultater - Vestdanmark'!H$3:H$482,"&lt;0"),0),-IF(A154="Halm",SUMIFS(IF(D154=År1,'Resultater - Østdanmark'!H$3:H$482,IF(D154=År2,'Resultater - Østdanmark'!I$3:I$482,'Resultater - Østdanmark'!J$3:J$482)),'Resultater - Østdanmark'!$F$3:$F$482,$A154,'Resultater - Østdanmark'!H$3:H$482,"&lt;0"),0))</f>
        <v>0</v>
      </c>
      <c r="I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5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7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4" t="e">
        <f t="shared" si="48"/>
        <v>#REF!</v>
      </c>
      <c r="O154" s="195">
        <f t="shared" si="39"/>
        <v>0</v>
      </c>
      <c r="P154" s="205">
        <f t="shared" si="49"/>
        <v>0</v>
      </c>
      <c r="Q154" s="192">
        <f>IFERROR(VLOOKUP(A154,[1]Energiindhold!$A$2:$C$11,3,FALSE),IFERROR(VLOOKUP(A154,[1]Biogasudbytte!$A$2:$B$18,2,FALSE)*[1]Energiindhold!$C$10,0))*O154</f>
        <v>0</v>
      </c>
      <c r="R154" s="192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92">
        <f>IFERROR(VLOOKUP(A154,[1]Biogasudbytte!$A$2:$B$18,2,FALSE)*[1]Energiindhold!$C$10,0)*J154*IFERROR(VLOOKUP(A154,Biogasanlæg!$F$3:$G$8,2,FALSE),1)</f>
        <v>0</v>
      </c>
      <c r="T154" s="193">
        <f t="shared" si="50"/>
        <v>0</v>
      </c>
      <c r="U154" s="191">
        <f>O154*IFERROR(VLOOKUP(A154,[1]Tørstofindhold!A$2:B$24,2,FALSE),0)</f>
        <v>0</v>
      </c>
      <c r="V154" s="192">
        <f>IF(D154=År1,P154,SUM(O154,P154))*IFERROR(VLOOKUP(A154,[1]Tørstofindhold!A$2:B$24,2,FALSE),0)</f>
        <v>0</v>
      </c>
      <c r="W154" s="192">
        <f>J154*IFERROR(VLOOKUP(A154,[1]Tørstofindhold!A$2:B$24,2,FALSE),0)</f>
        <v>0</v>
      </c>
      <c r="X154" s="193">
        <f t="shared" si="51"/>
        <v>0</v>
      </c>
      <c r="Y154" s="171" t="e">
        <f t="shared" si="43"/>
        <v>#REF!</v>
      </c>
      <c r="Z154" s="103" t="e">
        <f t="shared" si="44"/>
        <v>#REF!</v>
      </c>
    </row>
    <row r="155" spans="1:26" x14ac:dyDescent="0.25">
      <c r="A155" s="192" t="s">
        <v>138</v>
      </c>
      <c r="B155" s="194" t="s">
        <v>224</v>
      </c>
      <c r="C155" s="194">
        <f>IF(COUNTIFS('Resultater - Danmark'!$D$3:$D$482,'Resultat-Produktion &amp; forbrug'!A155,'Resultater - Danmark'!$A$3:$A$482,"Til energi")+COUNTIFS('Resultater - Danmark'!$D$3:$D$482,'Resultat-Produktion &amp; forbrug'!A155,'Resultater - Danmark'!$A$3:$A$482,"Biogasanlæg")&gt;0,1,0)</f>
        <v>1</v>
      </c>
      <c r="D155" s="194">
        <f t="shared" si="47"/>
        <v>2019</v>
      </c>
      <c r="E155" s="192" t="s">
        <v>24</v>
      </c>
      <c r="F155" s="195">
        <f>IF(E155="Vestdanmark",SUMIFS(IF(D155=År1,'Resultater - Vestdanmark'!H$3:H$482,IF(D155=År2,'Resultater - Vestdanmark'!I$3:I$482,'Resultater - Vestdanmark'!J$3:J$482)),'Resultater - Vestdanmark'!$F$3:$F$482,$A155,IF(D155=År1,'Resultater - Vestdanmark'!H$3:H$482,IF(D155=År2,'Resultater - Vestdanmark'!I$3:I$482,'Resultater - Vestdanmark'!J$3:J$482)),"&gt;0"),SUMIFS(IF(D155=År1,'Resultater - Østdanmark'!H$3:H$482,IF(D155=År2,'Resultater - Østdanmark'!I$3:I$482,'Resultater - Østdanmark'!J$3:J$482)),'Resultater - Østdanmark'!$F$3:$F$482,$A155,IF(D155=År1,'Resultater - Østdanmark'!H$3:H$482,IF(D155=År2,'Resultater - Østdanmark'!I$3:I$482,'Resultater - Østdanmark'!J$3:J$482)),"&gt;0"))</f>
        <v>0</v>
      </c>
      <c r="G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92">
        <f>IF(E155="Vestdanmark",-IF(A155="Halm",SUMIFS(IF(D155=År1,'Resultater - Vestdanmark'!H$3:H$482,IF(D155=År2,'Resultater - Vestdanmark'!I$3:I$482,'Resultater - Vestdanmark'!J$3:J$482)),'Resultater - Vestdanmark'!$F$3:$F$482,$A155,'Resultater - Vestdanmark'!H$3:H$482,"&lt;0"),0),-IF(A155="Halm",SUMIFS(IF(D155=År1,'Resultater - Østdanmark'!H$3:H$482,IF(D155=År2,'Resultater - Østdanmark'!I$3:I$482,'Resultater - Østdanmark'!J$3:J$482)),'Resultater - Østdanmark'!$F$3:$F$482,$A155,'Resultater - Østdanmark'!H$3:H$482,"&lt;0"),0))</f>
        <v>0</v>
      </c>
      <c r="I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5" t="e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#REF!</v>
      </c>
      <c r="K155" s="195" t="e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#REF!</v>
      </c>
      <c r="L155" s="195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7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4" t="e">
        <f t="shared" si="48"/>
        <v>#REF!</v>
      </c>
      <c r="O155" s="195" t="e">
        <f t="shared" si="39"/>
        <v>#REF!</v>
      </c>
      <c r="P155" s="205" t="e">
        <f t="shared" si="49"/>
        <v>#REF!</v>
      </c>
      <c r="Q155" s="192" t="e">
        <f>IFERROR(VLOOKUP(A155,[1]Energiindhold!$A$2:$C$11,3,FALSE),IFERROR(VLOOKUP(A155,[1]Biogasudbytte!$A$2:$B$18,2,FALSE)*[1]Energiindhold!$C$10,0))*O155</f>
        <v>#REF!</v>
      </c>
      <c r="R155" s="192" t="e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#REF!</v>
      </c>
      <c r="S155" s="192" t="e">
        <f>IFERROR(VLOOKUP(A155,[1]Biogasudbytte!$A$2:$B$18,2,FALSE)*[1]Energiindhold!$C$10,0)*J155*IFERROR(VLOOKUP(A155,Biogasanlæg!$F$3:$G$8,2,FALSE),1)</f>
        <v>#REF!</v>
      </c>
      <c r="T155" s="193" t="e">
        <f t="shared" si="50"/>
        <v>#REF!</v>
      </c>
      <c r="U155" s="191" t="e">
        <f>O155*IFERROR(VLOOKUP(A155,[1]Tørstofindhold!A$2:B$24,2,FALSE),0)</f>
        <v>#REF!</v>
      </c>
      <c r="V155" s="192" t="e">
        <f>IF(D155=År1,P155,SUM(O155,P155))*IFERROR(VLOOKUP(A155,[1]Tørstofindhold!A$2:B$24,2,FALSE),0)</f>
        <v>#REF!</v>
      </c>
      <c r="W155" s="192" t="e">
        <f>J155*IFERROR(VLOOKUP(A155,[1]Tørstofindhold!A$2:B$24,2,FALSE),0)</f>
        <v>#REF!</v>
      </c>
      <c r="X155" s="193" t="e">
        <f t="shared" si="51"/>
        <v>#REF!</v>
      </c>
      <c r="Y155" s="171" t="e">
        <f t="shared" si="43"/>
        <v>#REF!</v>
      </c>
      <c r="Z155" s="103" t="e">
        <f t="shared" si="44"/>
        <v>#REF!</v>
      </c>
    </row>
    <row r="156" spans="1:26" x14ac:dyDescent="0.25">
      <c r="A156" s="192" t="s">
        <v>97</v>
      </c>
      <c r="B156" s="194"/>
      <c r="C156" s="194">
        <f>IF(COUNTIFS('Resultater - Danmark'!$D$3:$D$482,'Resultat-Produktion &amp; forbrug'!A156,'Resultater - Danmark'!$A$3:$A$482,"Til energi")+COUNTIFS('Resultater - Danmark'!$D$3:$D$482,'Resultat-Produktion &amp; forbrug'!A156,'Resultater - Danmark'!$A$3:$A$482,"Biogasanlæg")&gt;0,1,0)</f>
        <v>0</v>
      </c>
      <c r="D156" s="194">
        <f t="shared" si="47"/>
        <v>2019</v>
      </c>
      <c r="E156" s="192" t="s">
        <v>24</v>
      </c>
      <c r="F156" s="195">
        <f>IF(E156="Vestdanmark",SUMIFS(IF(D156=År1,'Resultater - Vestdanmark'!H$3:H$482,IF(D156=År2,'Resultater - Vestdanmark'!I$3:I$482,'Resultater - Vestdanmark'!J$3:J$482)),'Resultater - Vestdanmark'!$F$3:$F$482,$A156,IF(D156=År1,'Resultater - Vestdanmark'!H$3:H$482,IF(D156=År2,'Resultater - Vestdanmark'!I$3:I$482,'Resultater - Vestdanmark'!J$3:J$482)),"&gt;0"),SUMIFS(IF(D156=År1,'Resultater - Østdanmark'!H$3:H$482,IF(D156=År2,'Resultater - Østdanmark'!I$3:I$482,'Resultater - Østdanmark'!J$3:J$482)),'Resultater - Østdanmark'!$F$3:$F$482,$A156,IF(D156=År1,'Resultater - Østdanmark'!H$3:H$482,IF(D156=År2,'Resultater - Østdanmark'!I$3:I$482,'Resultater - Østdanmark'!J$3:J$482)),"&gt;0"))</f>
        <v>0</v>
      </c>
      <c r="G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92">
        <f>IF(E156="Vestdanmark",-IF(A156="Halm",SUMIFS(IF(D156=År1,'Resultater - Vestdanmark'!H$3:H$482,IF(D156=År2,'Resultater - Vestdanmark'!I$3:I$482,'Resultater - Vestdanmark'!J$3:J$482)),'Resultater - Vestdanmark'!$F$3:$F$482,$A156,'Resultater - Vestdanmark'!H$3:H$482,"&lt;0"),0),-IF(A156="Halm",SUMIFS(IF(D156=År1,'Resultater - Østdanmark'!H$3:H$482,IF(D156=År2,'Resultater - Østdanmark'!I$3:I$482,'Resultater - Østdanmark'!J$3:J$482)),'Resultater - Østdanmark'!$F$3:$F$482,$A156,'Resultater - Østdanmark'!H$3:H$482,"&lt;0"),0))</f>
        <v>0</v>
      </c>
      <c r="I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5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7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4">
        <f t="shared" si="48"/>
        <v>-29120.587456275069</v>
      </c>
      <c r="O156" s="195">
        <f t="shared" si="39"/>
        <v>0</v>
      </c>
      <c r="P156" s="205">
        <f t="shared" si="49"/>
        <v>0</v>
      </c>
      <c r="Q156" s="192">
        <f>IFERROR(VLOOKUP(A156,[1]Energiindhold!$A$2:$C$11,3,FALSE),IFERROR(VLOOKUP(A156,[1]Biogasudbytte!$A$2:$B$18,2,FALSE)*[1]Energiindhold!$C$10,0))*O156</f>
        <v>0</v>
      </c>
      <c r="R156" s="192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92">
        <f>IFERROR(VLOOKUP(A156,[1]Biogasudbytte!$A$2:$B$18,2,FALSE)*[1]Energiindhold!$C$10,0)*J156*IFERROR(VLOOKUP(A156,Biogasanlæg!$F$3:$G$8,2,FALSE),1)</f>
        <v>0</v>
      </c>
      <c r="T156" s="193">
        <f t="shared" si="50"/>
        <v>0</v>
      </c>
      <c r="U156" s="191">
        <f>O156*IFERROR(VLOOKUP(A156,[1]Tørstofindhold!A$2:B$24,2,FALSE),0)</f>
        <v>0</v>
      </c>
      <c r="V156" s="192">
        <f>IF(D156=År1,P156,SUM(O156,P156))*IFERROR(VLOOKUP(A156,[1]Tørstofindhold!A$2:B$24,2,FALSE),0)</f>
        <v>0</v>
      </c>
      <c r="W156" s="192">
        <f>J156*IFERROR(VLOOKUP(A156,[1]Tørstofindhold!A$2:B$24,2,FALSE),0)</f>
        <v>0</v>
      </c>
      <c r="X156" s="193">
        <f t="shared" si="51"/>
        <v>0</v>
      </c>
      <c r="Y156" s="171">
        <f t="shared" si="43"/>
        <v>1</v>
      </c>
      <c r="Z156" s="103">
        <f t="shared" si="44"/>
        <v>0</v>
      </c>
    </row>
    <row r="157" spans="1:26" x14ac:dyDescent="0.25">
      <c r="A157" s="192" t="s">
        <v>114</v>
      </c>
      <c r="B157" s="194"/>
      <c r="C157" s="194">
        <f>IF(COUNTIFS('Resultater - Danmark'!$D$3:$D$482,'Resultat-Produktion &amp; forbrug'!A157,'Resultater - Danmark'!$A$3:$A$482,"Til energi")+COUNTIFS('Resultater - Danmark'!$D$3:$D$482,'Resultat-Produktion &amp; forbrug'!A157,'Resultater - Danmark'!$A$3:$A$482,"Biogasanlæg")&gt;0,1,0)</f>
        <v>0</v>
      </c>
      <c r="D157" s="194">
        <f t="shared" si="47"/>
        <v>2019</v>
      </c>
      <c r="E157" s="192" t="s">
        <v>24</v>
      </c>
      <c r="F157" s="195">
        <f>IF(E157="Vestdanmark",SUMIFS(IF(D157=År1,'Resultater - Vestdanmark'!H$3:H$482,IF(D157=År2,'Resultater - Vestdanmark'!I$3:I$482,'Resultater - Vestdanmark'!J$3:J$482)),'Resultater - Vestdanmark'!$F$3:$F$482,$A157,IF(D157=År1,'Resultater - Vestdanmark'!H$3:H$482,IF(D157=År2,'Resultater - Vestdanmark'!I$3:I$482,'Resultater - Vestdanmark'!J$3:J$482)),"&gt;0"),SUMIFS(IF(D157=År1,'Resultater - Østdanmark'!H$3:H$482,IF(D157=År2,'Resultater - Østdanmark'!I$3:I$482,'Resultater - Østdanmark'!J$3:J$482)),'Resultater - Østdanmark'!$F$3:$F$482,$A157,IF(D157=År1,'Resultater - Østdanmark'!H$3:H$482,IF(D157=År2,'Resultater - Østdanmark'!I$3:I$482,'Resultater - Østdanmark'!J$3:J$482)),"&gt;0"))</f>
        <v>0</v>
      </c>
      <c r="G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92">
        <f>IF(E157="Vestdanmark",-IF(A157="Halm",SUMIFS(IF(D157=År1,'Resultater - Vestdanmark'!H$3:H$482,IF(D157=År2,'Resultater - Vestdanmark'!I$3:I$482,'Resultater - Vestdanmark'!J$3:J$482)),'Resultater - Vestdanmark'!$F$3:$F$482,$A157,'Resultater - Vestdanmark'!H$3:H$482,"&lt;0"),0),-IF(A157="Halm",SUMIFS(IF(D157=År1,'Resultater - Østdanmark'!H$3:H$482,IF(D157=År2,'Resultater - Østdanmark'!I$3:I$482,'Resultater - Østdanmark'!J$3:J$482)),'Resultater - Østdanmark'!$F$3:$F$482,$A157,'Resultater - Østdanmark'!H$3:H$482,"&lt;0"),0))</f>
        <v>0</v>
      </c>
      <c r="I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5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7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4">
        <f t="shared" si="48"/>
        <v>0</v>
      </c>
      <c r="O157" s="195">
        <f t="shared" si="39"/>
        <v>0</v>
      </c>
      <c r="P157" s="205">
        <f t="shared" si="49"/>
        <v>0</v>
      </c>
      <c r="Q157" s="192">
        <f>IFERROR(VLOOKUP(A157,[1]Energiindhold!$A$2:$C$11,3,FALSE),IFERROR(VLOOKUP(A157,[1]Biogasudbytte!$A$2:$B$18,2,FALSE)*[1]Energiindhold!$C$10,0))*O157</f>
        <v>0</v>
      </c>
      <c r="R157" s="192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92">
        <f>IFERROR(VLOOKUP(A157,[1]Biogasudbytte!$A$2:$B$18,2,FALSE)*[1]Energiindhold!$C$10,0)*J157*IFERROR(VLOOKUP(A157,Biogasanlæg!$F$3:$G$8,2,FALSE),1)</f>
        <v>0</v>
      </c>
      <c r="T157" s="193">
        <f t="shared" si="50"/>
        <v>0</v>
      </c>
      <c r="U157" s="191">
        <f>O157*IFERROR(VLOOKUP(A157,[1]Tørstofindhold!A$2:B$24,2,FALSE),0)</f>
        <v>0</v>
      </c>
      <c r="V157" s="192">
        <f>IF(D157=År1,P157,SUM(O157,P157))*IFERROR(VLOOKUP(A157,[1]Tørstofindhold!A$2:B$24,2,FALSE),0)</f>
        <v>0</v>
      </c>
      <c r="W157" s="192">
        <f>J157*IFERROR(VLOOKUP(A157,[1]Tørstofindhold!A$2:B$24,2,FALSE),0)</f>
        <v>0</v>
      </c>
      <c r="X157" s="193">
        <f t="shared" si="51"/>
        <v>0</v>
      </c>
      <c r="Y157" s="171">
        <f t="shared" si="43"/>
        <v>0</v>
      </c>
      <c r="Z157" s="103">
        <f t="shared" si="44"/>
        <v>0</v>
      </c>
    </row>
    <row r="158" spans="1:26" x14ac:dyDescent="0.25">
      <c r="A158" s="192" t="s">
        <v>54</v>
      </c>
      <c r="B158" s="194"/>
      <c r="C158" s="194">
        <f>IF(COUNTIFS('Resultater - Danmark'!$D$3:$D$482,'Resultat-Produktion &amp; forbrug'!A158,'Resultater - Danmark'!$A$3:$A$482,"Til energi")+COUNTIFS('Resultater - Danmark'!$D$3:$D$482,'Resultat-Produktion &amp; forbrug'!A158,'Resultater - Danmark'!$A$3:$A$482,"Biogasanlæg")&gt;0,1,0)</f>
        <v>0</v>
      </c>
      <c r="D158" s="194">
        <f t="shared" si="47"/>
        <v>2019</v>
      </c>
      <c r="E158" s="192" t="s">
        <v>24</v>
      </c>
      <c r="F158" s="195">
        <f>IF(E158="Vestdanmark",SUMIFS(IF(D158=År1,'Resultater - Vestdanmark'!H$3:H$482,IF(D158=År2,'Resultater - Vestdanmark'!I$3:I$482,'Resultater - Vestdanmark'!J$3:J$482)),'Resultater - Vestdanmark'!$F$3:$F$482,$A158,IF(D158=År1,'Resultater - Vestdanmark'!H$3:H$482,IF(D158=År2,'Resultater - Vestdanmark'!I$3:I$482,'Resultater - Vestdanmark'!J$3:J$482)),"&gt;0"),SUMIFS(IF(D158=År1,'Resultater - Østdanmark'!H$3:H$482,IF(D158=År2,'Resultater - Østdanmark'!I$3:I$482,'Resultater - Østdanmark'!J$3:J$482)),'Resultater - Østdanmark'!$F$3:$F$482,$A158,IF(D158=År1,'Resultater - Østdanmark'!H$3:H$482,IF(D158=År2,'Resultater - Østdanmark'!I$3:I$482,'Resultater - Østdanmark'!J$3:J$482)),"&gt;0"))</f>
        <v>0</v>
      </c>
      <c r="G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92">
        <f>IF(E158="Vestdanmark",-IF(A158="Halm",SUMIFS(IF(D158=År1,'Resultater - Vestdanmark'!H$3:H$482,IF(D158=År2,'Resultater - Vestdanmark'!I$3:I$482,'Resultater - Vestdanmark'!J$3:J$482)),'Resultater - Vestdanmark'!$F$3:$F$482,$A158,'Resultater - Vestdanmark'!H$3:H$482,"&lt;0"),0),-IF(A158="Halm",SUMIFS(IF(D158=År1,'Resultater - Østdanmark'!H$3:H$482,IF(D158=År2,'Resultater - Østdanmark'!I$3:I$482,'Resultater - Østdanmark'!J$3:J$482)),'Resultater - Østdanmark'!$F$3:$F$482,$A158,'Resultater - Østdanmark'!H$3:H$482,"&lt;0"),0))</f>
        <v>0</v>
      </c>
      <c r="I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5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7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4">
        <f t="shared" si="48"/>
        <v>-212804.29294970242</v>
      </c>
      <c r="O158" s="195">
        <f t="shared" si="39"/>
        <v>0</v>
      </c>
      <c r="P158" s="205">
        <f t="shared" si="49"/>
        <v>0</v>
      </c>
      <c r="Q158" s="192">
        <f>IFERROR(VLOOKUP(A158,[1]Energiindhold!$A$2:$C$11,3,FALSE),IFERROR(VLOOKUP(A158,[1]Biogasudbytte!$A$2:$B$18,2,FALSE)*[1]Energiindhold!$C$10,0))*O158</f>
        <v>0</v>
      </c>
      <c r="R158" s="192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92">
        <f>IFERROR(VLOOKUP(A158,[1]Biogasudbytte!$A$2:$B$18,2,FALSE)*[1]Energiindhold!$C$10,0)*J158*IFERROR(VLOOKUP(A158,Biogasanlæg!$F$3:$G$8,2,FALSE),1)</f>
        <v>0</v>
      </c>
      <c r="T158" s="193">
        <f t="shared" si="50"/>
        <v>0</v>
      </c>
      <c r="U158" s="191">
        <f>O158*IFERROR(VLOOKUP(A158,[1]Tørstofindhold!A$2:B$24,2,FALSE),0)</f>
        <v>0</v>
      </c>
      <c r="V158" s="192">
        <f>IF(D158=År1,P158,SUM(O158,P158))*IFERROR(VLOOKUP(A158,[1]Tørstofindhold!A$2:B$24,2,FALSE),0)</f>
        <v>0</v>
      </c>
      <c r="W158" s="192">
        <f>J158*IFERROR(VLOOKUP(A158,[1]Tørstofindhold!A$2:B$24,2,FALSE),0)</f>
        <v>0</v>
      </c>
      <c r="X158" s="193">
        <f t="shared" si="51"/>
        <v>0</v>
      </c>
      <c r="Y158" s="171">
        <f t="shared" si="43"/>
        <v>1</v>
      </c>
      <c r="Z158" s="103">
        <f t="shared" si="44"/>
        <v>0</v>
      </c>
    </row>
    <row r="159" spans="1:26" x14ac:dyDescent="0.25">
      <c r="A159" s="194" t="s">
        <v>159</v>
      </c>
      <c r="B159" s="194" t="s">
        <v>159</v>
      </c>
      <c r="C159" s="194">
        <f>IF(COUNTIFS('Resultater - Danmark'!$D$3:$D$482,'Resultat-Produktion &amp; forbrug'!A159,'Resultater - Danmark'!$A$3:$A$482,"Til energi")+COUNTIFS('Resultater - Danmark'!$D$3:$D$482,'Resultat-Produktion &amp; forbrug'!A159,'Resultater - Danmark'!$A$3:$A$482,"Biogasanlæg")&gt;0,1,0)</f>
        <v>1</v>
      </c>
      <c r="D159" s="194">
        <f t="shared" si="47"/>
        <v>2019</v>
      </c>
      <c r="E159" s="192" t="s">
        <v>24</v>
      </c>
      <c r="F159" s="195">
        <f>IF(E159="Vestdanmark",SUMIFS(IF(D159=År1,'Resultater - Vestdanmark'!H$3:H$482,IF(D159=År2,'Resultater - Vestdanmark'!I$3:I$482,'Resultater - Vestdanmark'!J$3:J$482)),'Resultater - Vestdanmark'!$F$3:$F$482,$A159,IF(D159=År1,'Resultater - Vestdanmark'!H$3:H$482,IF(D159=År2,'Resultater - Vestdanmark'!I$3:I$482,'Resultater - Vestdanmark'!J$3:J$482)),"&gt;0"),SUMIFS(IF(D159=År1,'Resultater - Østdanmark'!H$3:H$482,IF(D159=År2,'Resultater - Østdanmark'!I$3:I$482,'Resultater - Østdanmark'!J$3:J$482)),'Resultater - Østdanmark'!$F$3:$F$482,$A159,IF(D159=År1,'Resultater - Østdanmark'!H$3:H$482,IF(D159=År2,'Resultater - Østdanmark'!I$3:I$482,'Resultater - Østdanmark'!J$3:J$482)),"&gt;0"))</f>
        <v>0</v>
      </c>
      <c r="G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92">
        <f>IF(E159="Vestdanmark",-IF(A159="Halm",SUMIFS(IF(D159=År1,'Resultater - Vestdanmark'!H$3:H$482,IF(D159=År2,'Resultater - Vestdanmark'!I$3:I$482,'Resultater - Vestdanmark'!J$3:J$482)),'Resultater - Vestdanmark'!$F$3:$F$482,$A159,'Resultater - Vestdanmark'!H$3:H$482,"&lt;0"),0),-IF(A159="Halm",SUMIFS(IF(D159=År1,'Resultater - Østdanmark'!H$3:H$482,IF(D159=År2,'Resultater - Østdanmark'!I$3:I$482,'Resultater - Østdanmark'!J$3:J$482)),'Resultater - Østdanmark'!$F$3:$F$482,$A159,'Resultater - Østdanmark'!H$3:H$482,"&lt;0"),0))</f>
        <v>0</v>
      </c>
      <c r="I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5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7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4">
        <f t="shared" si="48"/>
        <v>-28548.400000000001</v>
      </c>
      <c r="O159" s="195">
        <f t="shared" si="39"/>
        <v>0</v>
      </c>
      <c r="P159" s="205">
        <f t="shared" si="49"/>
        <v>28548.400000000001</v>
      </c>
      <c r="Q159" s="192">
        <f>IFERROR(VLOOKUP(A159,[1]Energiindhold!$A$2:$C$11,3,FALSE),IFERROR(VLOOKUP(A159,[1]Biogasudbytte!$A$2:$B$18,2,FALSE)*[1]Energiindhold!$C$10,0))*O159</f>
        <v>0</v>
      </c>
      <c r="R159" s="192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92">
        <f>IFERROR(VLOOKUP(A159,[1]Biogasudbytte!$A$2:$B$18,2,FALSE)*[1]Energiindhold!$C$10,0)*J159*IFERROR(VLOOKUP(A159,Biogasanlæg!$F$3:$G$8,2,FALSE),1)</f>
        <v>0.43389639740160008</v>
      </c>
      <c r="T159" s="193">
        <f t="shared" si="50"/>
        <v>0</v>
      </c>
      <c r="U159" s="191">
        <f>O159*IFERROR(VLOOKUP(A159,[1]Tørstofindhold!A$2:B$24,2,FALSE),0)</f>
        <v>0</v>
      </c>
      <c r="V159" s="192">
        <f>IF(D159=År1,P159,SUM(O159,P159))*IFERROR(VLOOKUP(A159,[1]Tørstofindhold!A$2:B$24,2,FALSE),0)</f>
        <v>25693.56</v>
      </c>
      <c r="W159" s="192">
        <f>J159*IFERROR(VLOOKUP(A159,[1]Tørstofindhold!A$2:B$24,2,FALSE),0)</f>
        <v>25693.56</v>
      </c>
      <c r="X159" s="193">
        <f t="shared" si="51"/>
        <v>0</v>
      </c>
      <c r="Y159" s="171">
        <f t="shared" si="43"/>
        <v>1</v>
      </c>
      <c r="Z159" s="103">
        <f t="shared" si="44"/>
        <v>0</v>
      </c>
    </row>
    <row r="160" spans="1:26" x14ac:dyDescent="0.25">
      <c r="A160" s="194" t="s">
        <v>51</v>
      </c>
      <c r="B160" s="194" t="s">
        <v>226</v>
      </c>
      <c r="C160" s="194">
        <f>IF(COUNTIFS('Resultater - Danmark'!$D$3:$D$482,'Resultat-Produktion &amp; forbrug'!A160,'Resultater - Danmark'!$A$3:$A$482,"Til energi")+COUNTIFS('Resultater - Danmark'!$D$3:$D$482,'Resultat-Produktion &amp; forbrug'!A160,'Resultater - Danmark'!$A$3:$A$482,"Biogasanlæg")&gt;0,1,0)</f>
        <v>1</v>
      </c>
      <c r="D160" s="194">
        <f t="shared" si="47"/>
        <v>2019</v>
      </c>
      <c r="E160" s="192" t="s">
        <v>24</v>
      </c>
      <c r="F160" s="195">
        <f>IF(E160="Vestdanmark",SUMIFS(IF(D160=År1,'Resultater - Vestdanmark'!H$3:H$482,IF(D160=År2,'Resultater - Vestdanmark'!I$3:I$482,'Resultater - Vestdanmark'!J$3:J$482)),'Resultater - Vestdanmark'!$F$3:$F$482,$A160,IF(D160=År1,'Resultater - Vestdanmark'!H$3:H$482,IF(D160=År2,'Resultater - Vestdanmark'!I$3:I$482,'Resultater - Vestdanmark'!J$3:J$482)),"&gt;0"),SUMIFS(IF(D160=År1,'Resultater - Østdanmark'!H$3:H$482,IF(D160=År2,'Resultater - Østdanmark'!I$3:I$482,'Resultater - Østdanmark'!J$3:J$482)),'Resultater - Østdanmark'!$F$3:$F$482,$A160,IF(D160=År1,'Resultater - Østdanmark'!H$3:H$482,IF(D160=År2,'Resultater - Østdanmark'!I$3:I$482,'Resultater - Østdanmark'!J$3:J$482)),"&gt;0"))</f>
        <v>0</v>
      </c>
      <c r="G160" s="195" t="e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#REF!</v>
      </c>
      <c r="H160" s="192">
        <f>IF(E160="Vestdanmark",-IF(A160="Halm",SUMIFS(IF(D160=År1,'Resultater - Vestdanmark'!H$3:H$482,IF(D160=År2,'Resultater - Vestdanmark'!I$3:I$482,'Resultater - Vestdanmark'!J$3:J$482)),'Resultater - Vestdanmark'!$F$3:$F$482,$A160,'Resultater - Vestdanmark'!H$3:H$482,"&lt;0"),0),-IF(A160="Halm",SUMIFS(IF(D160=År1,'Resultater - Østdanmark'!H$3:H$482,IF(D160=År2,'Resultater - Østdanmark'!I$3:I$482,'Resultater - Østdanmark'!J$3:J$482)),'Resultater - Østdanmark'!$F$3:$F$482,$A160,'Resultater - Østdanmark'!H$3:H$482,"&lt;0"),0))</f>
        <v>0</v>
      </c>
      <c r="I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5" t="e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#REF!</v>
      </c>
      <c r="K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5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7" t="e">
        <f>SUMIFS('Forbrug af biomasse'!E:E,'Forbrug af biomasse'!C:C,'Resultat-Produktion &amp; forbrug'!$A160,'Forbrug af biomasse'!D:D,'Resultat-Produktion &amp; forbrug'!$D160,'Forbrug af biomasse'!G:G,1,'Forbrug af biomasse'!B:B,$E160)</f>
        <v>#REF!</v>
      </c>
      <c r="N160" s="204" t="e">
        <f t="shared" si="48"/>
        <v>#REF!</v>
      </c>
      <c r="O160" s="195" t="e">
        <f t="shared" si="39"/>
        <v>#REF!</v>
      </c>
      <c r="P160" s="205" t="e">
        <f t="shared" si="49"/>
        <v>#REF!</v>
      </c>
      <c r="Q160" s="192" t="e">
        <f>IFERROR(VLOOKUP(A160,[1]Energiindhold!$A$2:$C$11,3,FALSE),IFERROR(VLOOKUP(A160,[1]Biogasudbytte!$A$2:$B$18,2,FALSE)*[1]Energiindhold!$C$10,0))*O160</f>
        <v>#REF!</v>
      </c>
      <c r="R160" s="192" t="e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#REF!</v>
      </c>
      <c r="S160" s="192" t="e">
        <f>IFERROR(VLOOKUP(A160,[1]Biogasudbytte!$A$2:$B$18,2,FALSE)*[1]Energiindhold!$C$10,0)*J160*IFERROR(VLOOKUP(A160,Biogasanlæg!$F$3:$G$8,2,FALSE),1)</f>
        <v>#REF!</v>
      </c>
      <c r="T160" s="193" t="e">
        <f t="shared" si="50"/>
        <v>#REF!</v>
      </c>
      <c r="U160" s="191" t="e">
        <f>O160*IFERROR(VLOOKUP(A160,[1]Tørstofindhold!A$2:B$24,2,FALSE),0)</f>
        <v>#REF!</v>
      </c>
      <c r="V160" s="192" t="e">
        <f>IF(D160=År1,P160,SUM(O160,P160))*IFERROR(VLOOKUP(A160,[1]Tørstofindhold!A$2:B$24,2,FALSE),0)</f>
        <v>#REF!</v>
      </c>
      <c r="W160" s="192" t="e">
        <f>J160*IFERROR(VLOOKUP(A160,[1]Tørstofindhold!A$2:B$24,2,FALSE),0)</f>
        <v>#REF!</v>
      </c>
      <c r="X160" s="193" t="e">
        <f t="shared" si="51"/>
        <v>#REF!</v>
      </c>
      <c r="Y160" s="171" t="e">
        <f t="shared" si="43"/>
        <v>#REF!</v>
      </c>
      <c r="Z160" s="103" t="e">
        <f t="shared" si="44"/>
        <v>#REF!</v>
      </c>
    </row>
    <row r="161" spans="1:26" x14ac:dyDescent="0.25">
      <c r="A161" s="194" t="s">
        <v>205</v>
      </c>
      <c r="B161" s="194"/>
      <c r="C161" s="194">
        <f>IF(COUNTIFS('Resultater - Danmark'!$D$3:$D$482,'Resultat-Produktion &amp; forbrug'!A161,'Resultater - Danmark'!$A$3:$A$482,"Til energi")+COUNTIFS('Resultater - Danmark'!$D$3:$D$482,'Resultat-Produktion &amp; forbrug'!A161,'Resultater - Danmark'!$A$3:$A$482,"Biogasanlæg")&gt;0,1,0)</f>
        <v>0</v>
      </c>
      <c r="D161" s="194">
        <f t="shared" si="47"/>
        <v>2019</v>
      </c>
      <c r="E161" s="192" t="s">
        <v>24</v>
      </c>
      <c r="F161" s="195">
        <f>IF(E161="Vestdanmark",SUMIFS(IF(D161=År1,'Resultater - Vestdanmark'!H$3:H$482,IF(D161=År2,'Resultater - Vestdanmark'!I$3:I$482,'Resultater - Vestdanmark'!J$3:J$482)),'Resultater - Vestdanmark'!$F$3:$F$482,$A161,IF(D161=År1,'Resultater - Vestdanmark'!H$3:H$482,IF(D161=År2,'Resultater - Vestdanmark'!I$3:I$482,'Resultater - Vestdanmark'!J$3:J$482)),"&gt;0"),SUMIFS(IF(D161=År1,'Resultater - Østdanmark'!H$3:H$482,IF(D161=År2,'Resultater - Østdanmark'!I$3:I$482,'Resultater - Østdanmark'!J$3:J$482)),'Resultater - Østdanmark'!$F$3:$F$482,$A161,IF(D161=År1,'Resultater - Østdanmark'!H$3:H$482,IF(D161=År2,'Resultater - Østdanmark'!I$3:I$482,'Resultater - Østdanmark'!J$3:J$482)),"&gt;0"))</f>
        <v>0</v>
      </c>
      <c r="G161" s="195" t="e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#REF!</v>
      </c>
      <c r="H161" s="192">
        <f>IF(E161="Vestdanmark",-IF(A161="Halm",SUMIFS(IF(D161=År1,'Resultater - Vestdanmark'!H$3:H$482,IF(D161=År2,'Resultater - Vestdanmark'!I$3:I$482,'Resultater - Vestdanmark'!J$3:J$482)),'Resultater - Vestdanmark'!$F$3:$F$482,$A161,'Resultater - Vestdanmark'!H$3:H$482,"&lt;0"),0),-IF(A161="Halm",SUMIFS(IF(D161=År1,'Resultater - Østdanmark'!H$3:H$482,IF(D161=År2,'Resultater - Østdanmark'!I$3:I$482,'Resultater - Østdanmark'!J$3:J$482)),'Resultater - Østdanmark'!$F$3:$F$482,$A161,'Resultater - Østdanmark'!H$3:H$482,"&lt;0"),0))</f>
        <v>0</v>
      </c>
      <c r="I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5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7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4" t="e">
        <f t="shared" si="48"/>
        <v>#REF!</v>
      </c>
      <c r="O161" s="195">
        <f t="shared" si="39"/>
        <v>0</v>
      </c>
      <c r="P161" s="205">
        <f t="shared" si="49"/>
        <v>0</v>
      </c>
      <c r="Q161" s="192">
        <f>IFERROR(VLOOKUP(A161,[1]Energiindhold!$A$2:$C$11,3,FALSE),IFERROR(VLOOKUP(A161,[1]Biogasudbytte!$A$2:$B$18,2,FALSE)*[1]Energiindhold!$C$10,0))*O161</f>
        <v>0</v>
      </c>
      <c r="R161" s="192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92">
        <f>IFERROR(VLOOKUP(A161,[1]Biogasudbytte!$A$2:$B$18,2,FALSE)*[1]Energiindhold!$C$10,0)*J161*IFERROR(VLOOKUP(A161,Biogasanlæg!$F$3:$G$8,2,FALSE),1)</f>
        <v>0</v>
      </c>
      <c r="T161" s="193">
        <f t="shared" si="50"/>
        <v>0</v>
      </c>
      <c r="U161" s="191">
        <f>O161*IFERROR(VLOOKUP(A161,[1]Tørstofindhold!A$2:B$24,2,FALSE),0)</f>
        <v>0</v>
      </c>
      <c r="V161" s="192">
        <f>IF(D161=År1,P161,SUM(O161,P161))*IFERROR(VLOOKUP(A161,[1]Tørstofindhold!A$2:B$24,2,FALSE),0)</f>
        <v>0</v>
      </c>
      <c r="W161" s="192">
        <f>J161*IFERROR(VLOOKUP(A161,[1]Tørstofindhold!A$2:B$24,2,FALSE),0)</f>
        <v>0</v>
      </c>
      <c r="X161" s="193">
        <f t="shared" si="51"/>
        <v>0</v>
      </c>
      <c r="Y161" s="171" t="e">
        <f t="shared" si="43"/>
        <v>#REF!</v>
      </c>
      <c r="Z161" s="103" t="e">
        <f t="shared" si="44"/>
        <v>#REF!</v>
      </c>
    </row>
    <row r="162" spans="1:26" x14ac:dyDescent="0.25">
      <c r="A162" s="194" t="s">
        <v>6</v>
      </c>
      <c r="B162" s="194"/>
      <c r="C162" s="194">
        <f>IF(COUNTIFS('Resultater - Danmark'!$D$3:$D$482,'Resultat-Produktion &amp; forbrug'!A162,'Resultater - Danmark'!$A$3:$A$482,"Til energi")+COUNTIFS('Resultater - Danmark'!$D$3:$D$482,'Resultat-Produktion &amp; forbrug'!A162,'Resultater - Danmark'!$A$3:$A$482,"Biogasanlæg")&gt;0,1,0)</f>
        <v>0</v>
      </c>
      <c r="D162" s="194">
        <f t="shared" si="47"/>
        <v>2019</v>
      </c>
      <c r="E162" s="192" t="s">
        <v>24</v>
      </c>
      <c r="F162" s="195">
        <f>IF(E162="Vestdanmark",SUMIFS(IF(D162=År1,'Resultater - Vestdanmark'!H$3:H$482,IF(D162=År2,'Resultater - Vestdanmark'!I$3:I$482,'Resultater - Vestdanmark'!J$3:J$482)),'Resultater - Vestdanmark'!$F$3:$F$482,$A162,IF(D162=År1,'Resultater - Vestdanmark'!H$3:H$482,IF(D162=År2,'Resultater - Vestdanmark'!I$3:I$482,'Resultater - Vestdanmark'!J$3:J$482)),"&gt;0"),SUMIFS(IF(D162=År1,'Resultater - Østdanmark'!H$3:H$482,IF(D162=År2,'Resultater - Østdanmark'!I$3:I$482,'Resultater - Østdanmark'!J$3:J$482)),'Resultater - Østdanmark'!$F$3:$F$482,$A162,IF(D162=År1,'Resultater - Østdanmark'!H$3:H$482,IF(D162=År2,'Resultater - Østdanmark'!I$3:I$482,'Resultater - Østdanmark'!J$3:J$482)),"&gt;0"))</f>
        <v>0</v>
      </c>
      <c r="G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92">
        <f>IF(E162="Vestdanmark",-IF(A162="Halm",SUMIFS(IF(D162=År1,'Resultater - Vestdanmark'!H$3:H$482,IF(D162=År2,'Resultater - Vestdanmark'!I$3:I$482,'Resultater - Vestdanmark'!J$3:J$482)),'Resultater - Vestdanmark'!$F$3:$F$482,$A162,'Resultater - Vestdanmark'!H$3:H$482,"&lt;0"),0),-IF(A162="Halm",SUMIFS(IF(D162=År1,'Resultater - Østdanmark'!H$3:H$482,IF(D162=År2,'Resultater - Østdanmark'!I$3:I$482,'Resultater - Østdanmark'!J$3:J$482)),'Resultater - Østdanmark'!$F$3:$F$482,$A162,'Resultater - Østdanmark'!H$3:H$482,"&lt;0"),0))</f>
        <v>0</v>
      </c>
      <c r="I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5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7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4">
        <f t="shared" si="48"/>
        <v>-222884.49629995148</v>
      </c>
      <c r="O162" s="195">
        <f t="shared" si="39"/>
        <v>0</v>
      </c>
      <c r="P162" s="205">
        <f t="shared" si="49"/>
        <v>0</v>
      </c>
      <c r="Q162" s="192">
        <f>IFERROR(VLOOKUP(A162,[1]Energiindhold!$A$2:$C$11,3,FALSE),IFERROR(VLOOKUP(A162,[1]Biogasudbytte!$A$2:$B$18,2,FALSE)*[1]Energiindhold!$C$10,0))*O162</f>
        <v>0</v>
      </c>
      <c r="R162" s="192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92">
        <f>IFERROR(VLOOKUP(A162,[1]Biogasudbytte!$A$2:$B$18,2,FALSE)*[1]Energiindhold!$C$10,0)*J162*IFERROR(VLOOKUP(A162,Biogasanlæg!$F$3:$G$8,2,FALSE),1)</f>
        <v>0</v>
      </c>
      <c r="T162" s="193">
        <f t="shared" si="50"/>
        <v>0</v>
      </c>
      <c r="U162" s="191">
        <f>O162*IFERROR(VLOOKUP(A162,[1]Tørstofindhold!A$2:B$24,2,FALSE),0)</f>
        <v>0</v>
      </c>
      <c r="V162" s="192">
        <f>IF(D162=År1,P162,SUM(O162,P162))*IFERROR(VLOOKUP(A162,[1]Tørstofindhold!A$2:B$24,2,FALSE),0)</f>
        <v>0</v>
      </c>
      <c r="W162" s="192">
        <f>J162*IFERROR(VLOOKUP(A162,[1]Tørstofindhold!A$2:B$24,2,FALSE),0)</f>
        <v>0</v>
      </c>
      <c r="X162" s="193">
        <f t="shared" si="51"/>
        <v>0</v>
      </c>
      <c r="Y162" s="171">
        <f t="shared" si="43"/>
        <v>1</v>
      </c>
      <c r="Z162" s="103">
        <f t="shared" si="44"/>
        <v>0</v>
      </c>
    </row>
    <row r="163" spans="1:26" x14ac:dyDescent="0.25">
      <c r="A163" s="194" t="s">
        <v>68</v>
      </c>
      <c r="B163" s="194" t="s">
        <v>229</v>
      </c>
      <c r="C163" s="194">
        <f>IF(COUNTIFS('Resultater - Danmark'!$D$3:$D$482,'Resultat-Produktion &amp; forbrug'!A163,'Resultater - Danmark'!$A$3:$A$482,"Til energi")+COUNTIFS('Resultater - Danmark'!$D$3:$D$482,'Resultat-Produktion &amp; forbrug'!A163,'Resultater - Danmark'!$A$3:$A$482,"Biogasanlæg")&gt;0,1,0)</f>
        <v>1</v>
      </c>
      <c r="D163" s="194">
        <f t="shared" si="47"/>
        <v>2019</v>
      </c>
      <c r="E163" s="192" t="s">
        <v>24</v>
      </c>
      <c r="F163" s="195">
        <f>IF(E163="Vestdanmark",SUMIFS(IF(D163=År1,'Resultater - Vestdanmark'!H$3:H$482,IF(D163=År2,'Resultater - Vestdanmark'!I$3:I$482,'Resultater - Vestdanmark'!J$3:J$482)),'Resultater - Vestdanmark'!$F$3:$F$482,$A163,IF(D163=År1,'Resultater - Vestdanmark'!H$3:H$482,IF(D163=År2,'Resultater - Vestdanmark'!I$3:I$482,'Resultater - Vestdanmark'!J$3:J$482)),"&gt;0"),SUMIFS(IF(D163=År1,'Resultater - Østdanmark'!H$3:H$482,IF(D163=År2,'Resultater - Østdanmark'!I$3:I$482,'Resultater - Østdanmark'!J$3:J$482)),'Resultater - Østdanmark'!$F$3:$F$482,$A163,IF(D163=År1,'Resultater - Østdanmark'!H$3:H$482,IF(D163=År2,'Resultater - Østdanmark'!I$3:I$482,'Resultater - Østdanmark'!J$3:J$482)),"&gt;0"))</f>
        <v>0</v>
      </c>
      <c r="G163" s="195" t="e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#REF!</v>
      </c>
      <c r="H163" s="192">
        <f>IF(E163="Vestdanmark",-IF(A163="Halm",SUMIFS(IF(D163=År1,'Resultater - Vestdanmark'!H$3:H$482,IF(D163=År2,'Resultater - Vestdanmark'!I$3:I$482,'Resultater - Vestdanmark'!J$3:J$482)),'Resultater - Vestdanmark'!$F$3:$F$482,$A163,'Resultater - Vestdanmark'!H$3:H$482,"&lt;0"),0),-IF(A163="Halm",SUMIFS(IF(D163=År1,'Resultater - Østdanmark'!H$3:H$482,IF(D163=År2,'Resultater - Østdanmark'!I$3:I$482,'Resultater - Østdanmark'!J$3:J$482)),'Resultater - Østdanmark'!$F$3:$F$482,$A163,'Resultater - Østdanmark'!H$3:H$482,"&lt;0"),0))</f>
        <v>0</v>
      </c>
      <c r="I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5" t="e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#REF!</v>
      </c>
      <c r="K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5" t="e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#REF!</v>
      </c>
      <c r="M163" s="157" t="e">
        <f>SUMIFS('Forbrug af biomasse'!E:E,'Forbrug af biomasse'!C:C,'Resultat-Produktion &amp; forbrug'!$A163,'Forbrug af biomasse'!D:D,'Resultat-Produktion &amp; forbrug'!$D163,'Forbrug af biomasse'!G:G,1,'Forbrug af biomasse'!B:B,$E163)</f>
        <v>#REF!</v>
      </c>
      <c r="N163" s="204" t="e">
        <f t="shared" si="48"/>
        <v>#REF!</v>
      </c>
      <c r="O163" s="195" t="e">
        <f t="shared" si="39"/>
        <v>#REF!</v>
      </c>
      <c r="P163" s="205" t="e">
        <f t="shared" si="49"/>
        <v>#REF!</v>
      </c>
      <c r="Q163" s="192" t="e">
        <f>IFERROR(VLOOKUP(A163,[1]Energiindhold!$A$2:$C$11,3,FALSE),IFERROR(VLOOKUP(A163,[1]Biogasudbytte!$A$2:$B$18,2,FALSE)*[1]Energiindhold!$C$10,0))*O163</f>
        <v>#REF!</v>
      </c>
      <c r="R163" s="192" t="e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#REF!</v>
      </c>
      <c r="S163" s="192" t="e">
        <f>IFERROR(VLOOKUP(A163,[1]Biogasudbytte!$A$2:$B$18,2,FALSE)*[1]Energiindhold!$C$10,0)*J163*IFERROR(VLOOKUP(A163,Biogasanlæg!$F$3:$G$8,2,FALSE),1)</f>
        <v>#REF!</v>
      </c>
      <c r="T163" s="193" t="e">
        <f t="shared" si="50"/>
        <v>#REF!</v>
      </c>
      <c r="U163" s="191" t="e">
        <f>O163*IFERROR(VLOOKUP(A163,[1]Tørstofindhold!A$2:B$24,2,FALSE),0)</f>
        <v>#REF!</v>
      </c>
      <c r="V163" s="192" t="e">
        <f>IF(D163=År1,P163,SUM(O163,P163))*IFERROR(VLOOKUP(A163,[1]Tørstofindhold!A$2:B$24,2,FALSE),0)</f>
        <v>#REF!</v>
      </c>
      <c r="W163" s="192" t="e">
        <f>J163*IFERROR(VLOOKUP(A163,[1]Tørstofindhold!A$2:B$24,2,FALSE),0)</f>
        <v>#REF!</v>
      </c>
      <c r="X163" s="193" t="e">
        <f t="shared" si="51"/>
        <v>#REF!</v>
      </c>
      <c r="Y163" s="171" t="e">
        <f t="shared" si="43"/>
        <v>#REF!</v>
      </c>
      <c r="Z163" s="103" t="e">
        <f t="shared" si="44"/>
        <v>#REF!</v>
      </c>
    </row>
    <row r="164" spans="1:26" x14ac:dyDescent="0.25">
      <c r="A164" s="194" t="s">
        <v>163</v>
      </c>
      <c r="B164" s="194" t="s">
        <v>232</v>
      </c>
      <c r="C164" s="194">
        <f>IF(COUNTIFS('Resultater - Danmark'!$D$3:$D$482,'Resultat-Produktion &amp; forbrug'!A164,'Resultater - Danmark'!$A$3:$A$482,"Til energi")+COUNTIFS('Resultater - Danmark'!$D$3:$D$482,'Resultat-Produktion &amp; forbrug'!A164,'Resultater - Danmark'!$A$3:$A$482,"Biogasanlæg")&gt;0,1,0)</f>
        <v>1</v>
      </c>
      <c r="D164" s="194">
        <f t="shared" si="47"/>
        <v>2019</v>
      </c>
      <c r="E164" s="192" t="s">
        <v>24</v>
      </c>
      <c r="F164" s="195">
        <f>IF(E164="Vestdanmark",SUMIFS(IF(D164=År1,'Resultater - Vestdanmark'!H$3:H$482,IF(D164=År2,'Resultater - Vestdanmark'!I$3:I$482,'Resultater - Vestdanmark'!J$3:J$482)),'Resultater - Vestdanmark'!$F$3:$F$482,$A164,IF(D164=År1,'Resultater - Vestdanmark'!H$3:H$482,IF(D164=År2,'Resultater - Vestdanmark'!I$3:I$482,'Resultater - Vestdanmark'!J$3:J$482)),"&gt;0"),SUMIFS(IF(D164=År1,'Resultater - Østdanmark'!H$3:H$482,IF(D164=År2,'Resultater - Østdanmark'!I$3:I$482,'Resultater - Østdanmark'!J$3:J$482)),'Resultater - Østdanmark'!$F$3:$F$482,$A164,IF(D164=År1,'Resultater - Østdanmark'!H$3:H$482,IF(D164=År2,'Resultater - Østdanmark'!I$3:I$482,'Resultater - Østdanmark'!J$3:J$482)),"&gt;0"))</f>
        <v>0</v>
      </c>
      <c r="G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92">
        <f>IF(E164="Vestdanmark",-IF(A164="Halm",SUMIFS(IF(D164=År1,'Resultater - Vestdanmark'!H$3:H$482,IF(D164=År2,'Resultater - Vestdanmark'!I$3:I$482,'Resultater - Vestdanmark'!J$3:J$482)),'Resultater - Vestdanmark'!$F$3:$F$482,$A164,'Resultater - Vestdanmark'!H$3:H$482,"&lt;0"),0),-IF(A164="Halm",SUMIFS(IF(D164=År1,'Resultater - Østdanmark'!H$3:H$482,IF(D164=År2,'Resultater - Østdanmark'!I$3:I$482,'Resultater - Østdanmark'!J$3:J$482)),'Resultater - Østdanmark'!$F$3:$F$482,$A164,'Resultater - Østdanmark'!H$3:H$482,"&lt;0"),0))</f>
        <v>0</v>
      </c>
      <c r="I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5" t="e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#REF!</v>
      </c>
      <c r="K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5" t="e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#REF!</v>
      </c>
      <c r="M164" s="157" t="e">
        <f>SUMIFS('Forbrug af biomasse'!E:E,'Forbrug af biomasse'!C:C,'Resultat-Produktion &amp; forbrug'!$A164,'Forbrug af biomasse'!D:D,'Resultat-Produktion &amp; forbrug'!$D164,'Forbrug af biomasse'!G:G,1,'Forbrug af biomasse'!B:B,$E164)</f>
        <v>#REF!</v>
      </c>
      <c r="N164" s="204" t="e">
        <f t="shared" si="48"/>
        <v>#REF!</v>
      </c>
      <c r="O164" s="195" t="e">
        <f t="shared" si="39"/>
        <v>#REF!</v>
      </c>
      <c r="P164" s="205" t="e">
        <f t="shared" si="49"/>
        <v>#REF!</v>
      </c>
      <c r="Q164" s="192" t="e">
        <f>IFERROR(VLOOKUP(A164,[1]Energiindhold!$A$2:$C$11,3,FALSE),IFERROR(VLOOKUP(A164,[1]Biogasudbytte!$A$2:$B$18,2,FALSE)*[1]Energiindhold!$C$10,0))*O164</f>
        <v>#REF!</v>
      </c>
      <c r="R164" s="192" t="e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#REF!</v>
      </c>
      <c r="S164" s="192" t="e">
        <f>IFERROR(VLOOKUP(A164,[1]Biogasudbytte!$A$2:$B$18,2,FALSE)*[1]Energiindhold!$C$10,0)*J164*IFERROR(VLOOKUP(A164,Biogasanlæg!$F$3:$G$8,2,FALSE),1)</f>
        <v>#REF!</v>
      </c>
      <c r="T164" s="193" t="e">
        <f t="shared" si="50"/>
        <v>#REF!</v>
      </c>
      <c r="U164" s="191" t="e">
        <f>O164*IFERROR(VLOOKUP(A164,[1]Tørstofindhold!A$2:B$24,2,FALSE),0)</f>
        <v>#REF!</v>
      </c>
      <c r="V164" s="192" t="e">
        <f>IF(D164=År1,P164,SUM(O164,P164))*IFERROR(VLOOKUP(A164,[1]Tørstofindhold!A$2:B$24,2,FALSE),0)</f>
        <v>#REF!</v>
      </c>
      <c r="W164" s="192" t="e">
        <f>J164*IFERROR(VLOOKUP(A164,[1]Tørstofindhold!A$2:B$24,2,FALSE),0)</f>
        <v>#REF!</v>
      </c>
      <c r="X164" s="193" t="e">
        <f t="shared" si="51"/>
        <v>#REF!</v>
      </c>
      <c r="Y164" s="171" t="e">
        <f t="shared" si="43"/>
        <v>#REF!</v>
      </c>
      <c r="Z164" s="103" t="e">
        <f t="shared" si="44"/>
        <v>#REF!</v>
      </c>
    </row>
    <row r="165" spans="1:26" x14ac:dyDescent="0.25">
      <c r="A165" s="192" t="s">
        <v>160</v>
      </c>
      <c r="B165" s="194"/>
      <c r="C165" s="194">
        <f>IF(COUNTIFS('Resultater - Danmark'!$D$3:$D$482,'Resultat-Produktion &amp; forbrug'!A165,'Resultater - Danmark'!$A$3:$A$482,"Til energi")+COUNTIFS('Resultater - Danmark'!$D$3:$D$482,'Resultat-Produktion &amp; forbrug'!A165,'Resultater - Danmark'!$A$3:$A$482,"Biogasanlæg")&gt;0,1,0)</f>
        <v>0</v>
      </c>
      <c r="D165" s="194">
        <f t="shared" si="47"/>
        <v>2019</v>
      </c>
      <c r="E165" s="192" t="s">
        <v>24</v>
      </c>
      <c r="F165" s="195">
        <f>IF(E165="Vestdanmark",SUMIFS(IF(D165=År1,'Resultater - Vestdanmark'!H$3:H$482,IF(D165=År2,'Resultater - Vestdanmark'!I$3:I$482,'Resultater - Vestdanmark'!J$3:J$482)),'Resultater - Vestdanmark'!$F$3:$F$482,$A165,IF(D165=År1,'Resultater - Vestdanmark'!H$3:H$482,IF(D165=År2,'Resultater - Vestdanmark'!I$3:I$482,'Resultater - Vestdanmark'!J$3:J$482)),"&gt;0"),SUMIFS(IF(D165=År1,'Resultater - Østdanmark'!H$3:H$482,IF(D165=År2,'Resultater - Østdanmark'!I$3:I$482,'Resultater - Østdanmark'!J$3:J$482)),'Resultater - Østdanmark'!$F$3:$F$482,$A165,IF(D165=År1,'Resultater - Østdanmark'!H$3:H$482,IF(D165=År2,'Resultater - Østdanmark'!I$3:I$482,'Resultater - Østdanmark'!J$3:J$482)),"&gt;0"))</f>
        <v>0</v>
      </c>
      <c r="G165" s="195" t="e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#REF!</v>
      </c>
      <c r="H165" s="192">
        <f>IF(E165="Vestdanmark",-IF(A165="Halm",SUMIFS(IF(D165=År1,'Resultater - Vestdanmark'!H$3:H$482,IF(D165=År2,'Resultater - Vestdanmark'!I$3:I$482,'Resultater - Vestdanmark'!J$3:J$482)),'Resultater - Vestdanmark'!$F$3:$F$482,$A165,'Resultater - Vestdanmark'!H$3:H$482,"&lt;0"),0),-IF(A165="Halm",SUMIFS(IF(D165=År1,'Resultater - Østdanmark'!H$3:H$482,IF(D165=År2,'Resultater - Østdanmark'!I$3:I$482,'Resultater - Østdanmark'!J$3:J$482)),'Resultater - Østdanmark'!$F$3:$F$482,$A165,'Resultater - Østdanmark'!H$3:H$482,"&lt;0"),0))</f>
        <v>0</v>
      </c>
      <c r="I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5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7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4" t="e">
        <f t="shared" si="48"/>
        <v>#REF!</v>
      </c>
      <c r="O165" s="195">
        <f t="shared" si="39"/>
        <v>0</v>
      </c>
      <c r="P165" s="205">
        <f t="shared" si="49"/>
        <v>0</v>
      </c>
      <c r="Q165" s="192">
        <f>IFERROR(VLOOKUP(A165,[1]Energiindhold!$A$2:$C$11,3,FALSE),IFERROR(VLOOKUP(A165,[1]Biogasudbytte!$A$2:$B$18,2,FALSE)*[1]Energiindhold!$C$10,0))*O165</f>
        <v>0</v>
      </c>
      <c r="R165" s="192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92">
        <f>IFERROR(VLOOKUP(A165,[1]Biogasudbytte!$A$2:$B$18,2,FALSE)*[1]Energiindhold!$C$10,0)*J165*IFERROR(VLOOKUP(A165,Biogasanlæg!$F$3:$G$8,2,FALSE),1)</f>
        <v>0</v>
      </c>
      <c r="T165" s="193">
        <f t="shared" si="50"/>
        <v>0</v>
      </c>
      <c r="U165" s="191">
        <f>O165*IFERROR(VLOOKUP(A165,[1]Tørstofindhold!A$2:B$24,2,FALSE),0)</f>
        <v>0</v>
      </c>
      <c r="V165" s="192">
        <f>IF(D165=År1,P165,SUM(O165,P165))*IFERROR(VLOOKUP(A165,[1]Tørstofindhold!A$2:B$24,2,FALSE),0)</f>
        <v>0</v>
      </c>
      <c r="W165" s="192">
        <f>J165*IFERROR(VLOOKUP(A165,[1]Tørstofindhold!A$2:B$24,2,FALSE),0)</f>
        <v>0</v>
      </c>
      <c r="X165" s="193">
        <f t="shared" si="51"/>
        <v>0</v>
      </c>
      <c r="Y165" s="171" t="e">
        <f t="shared" si="43"/>
        <v>#REF!</v>
      </c>
      <c r="Z165" s="103" t="e">
        <f t="shared" si="44"/>
        <v>#REF!</v>
      </c>
    </row>
    <row r="166" spans="1:26" x14ac:dyDescent="0.25">
      <c r="A166" s="194" t="s">
        <v>104</v>
      </c>
      <c r="B166" s="194" t="s">
        <v>232</v>
      </c>
      <c r="C166" s="194">
        <f>IF(COUNTIFS('Resultater - Danmark'!$D$3:$D$482,'Resultat-Produktion &amp; forbrug'!A166,'Resultater - Danmark'!$A$3:$A$482,"Til energi")+COUNTIFS('Resultater - Danmark'!$D$3:$D$482,'Resultat-Produktion &amp; forbrug'!A166,'Resultater - Danmark'!$A$3:$A$482,"Biogasanlæg")&gt;0,1,0)</f>
        <v>1</v>
      </c>
      <c r="D166" s="194">
        <f t="shared" si="47"/>
        <v>2019</v>
      </c>
      <c r="E166" s="192" t="s">
        <v>24</v>
      </c>
      <c r="F166" s="195">
        <f>IF(E166="Vestdanmark",SUMIFS(IF(D166=År1,'Resultater - Vestdanmark'!H$3:H$482,IF(D166=År2,'Resultater - Vestdanmark'!I$3:I$482,'Resultater - Vestdanmark'!J$3:J$482)),'Resultater - Vestdanmark'!$F$3:$F$482,$A166,IF(D166=År1,'Resultater - Vestdanmark'!H$3:H$482,IF(D166=År2,'Resultater - Vestdanmark'!I$3:I$482,'Resultater - Vestdanmark'!J$3:J$482)),"&gt;0"),SUMIFS(IF(D166=År1,'Resultater - Østdanmark'!H$3:H$482,IF(D166=År2,'Resultater - Østdanmark'!I$3:I$482,'Resultater - Østdanmark'!J$3:J$482)),'Resultater - Østdanmark'!$F$3:$F$482,$A166,IF(D166=År1,'Resultater - Østdanmark'!H$3:H$482,IF(D166=År2,'Resultater - Østdanmark'!I$3:I$482,'Resultater - Østdanmark'!J$3:J$482)),"&gt;0"))</f>
        <v>0</v>
      </c>
      <c r="G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92">
        <f>IF(E166="Vestdanmark",-IF(A166="Halm",SUMIFS(IF(D166=År1,'Resultater - Vestdanmark'!H$3:H$482,IF(D166=År2,'Resultater - Vestdanmark'!I$3:I$482,'Resultater - Vestdanmark'!J$3:J$482)),'Resultater - Vestdanmark'!$F$3:$F$482,$A166,'Resultater - Vestdanmark'!H$3:H$482,"&lt;0"),0),-IF(A166="Halm",SUMIFS(IF(D166=År1,'Resultater - Østdanmark'!H$3:H$482,IF(D166=År2,'Resultater - Østdanmark'!I$3:I$482,'Resultater - Østdanmark'!J$3:J$482)),'Resultater - Østdanmark'!$F$3:$F$482,$A166,'Resultater - Østdanmark'!H$3:H$482,"&lt;0"),0))</f>
        <v>0</v>
      </c>
      <c r="I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5" t="e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#REF!</v>
      </c>
      <c r="K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5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7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4" t="e">
        <f t="shared" si="48"/>
        <v>#REF!</v>
      </c>
      <c r="O166" s="195" t="e">
        <f t="shared" si="39"/>
        <v>#REF!</v>
      </c>
      <c r="P166" s="205" t="e">
        <f t="shared" si="49"/>
        <v>#REF!</v>
      </c>
      <c r="Q166" s="192" t="e">
        <f>IFERROR(VLOOKUP(A166,[1]Energiindhold!$A$2:$C$11,3,FALSE),IFERROR(VLOOKUP(A166,[1]Biogasudbytte!$A$2:$B$18,2,FALSE)*[1]Energiindhold!$C$10,0))*O166</f>
        <v>#REF!</v>
      </c>
      <c r="R166" s="192" t="e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#REF!</v>
      </c>
      <c r="S166" s="192" t="e">
        <f>IFERROR(VLOOKUP(A166,[1]Biogasudbytte!$A$2:$B$18,2,FALSE)*[1]Energiindhold!$C$10,0)*J166*IFERROR(VLOOKUP(A166,Biogasanlæg!$F$3:$G$8,2,FALSE),1)</f>
        <v>#REF!</v>
      </c>
      <c r="T166" s="193" t="e">
        <f t="shared" si="50"/>
        <v>#REF!</v>
      </c>
      <c r="U166" s="191" t="e">
        <f>O166*IFERROR(VLOOKUP(A166,[1]Tørstofindhold!A$2:B$24,2,FALSE),0)</f>
        <v>#REF!</v>
      </c>
      <c r="V166" s="192" t="e">
        <f>IF(D166=År1,P166,SUM(O166,P166))*IFERROR(VLOOKUP(A166,[1]Tørstofindhold!A$2:B$24,2,FALSE),0)</f>
        <v>#REF!</v>
      </c>
      <c r="W166" s="192" t="e">
        <f>J166*IFERROR(VLOOKUP(A166,[1]Tørstofindhold!A$2:B$24,2,FALSE),0)</f>
        <v>#REF!</v>
      </c>
      <c r="X166" s="193" t="e">
        <f t="shared" si="51"/>
        <v>#REF!</v>
      </c>
      <c r="Y166" s="171" t="e">
        <f t="shared" si="43"/>
        <v>#REF!</v>
      </c>
      <c r="Z166" s="103" t="e">
        <f t="shared" si="44"/>
        <v>#REF!</v>
      </c>
    </row>
    <row r="167" spans="1:26" x14ac:dyDescent="0.25">
      <c r="A167" s="194" t="s">
        <v>56</v>
      </c>
      <c r="B167" s="194"/>
      <c r="C167" s="194">
        <f>IF(COUNTIFS('Resultater - Danmark'!$D$3:$D$482,'Resultat-Produktion &amp; forbrug'!A167,'Resultater - Danmark'!$A$3:$A$482,"Til energi")+COUNTIFS('Resultater - Danmark'!$D$3:$D$482,'Resultat-Produktion &amp; forbrug'!A167,'Resultater - Danmark'!$A$3:$A$482,"Biogasanlæg")&gt;0,1,0)</f>
        <v>0</v>
      </c>
      <c r="D167" s="194">
        <f t="shared" si="47"/>
        <v>2019</v>
      </c>
      <c r="E167" s="192" t="s">
        <v>24</v>
      </c>
      <c r="F167" s="195">
        <f>IF(E167="Vestdanmark",SUMIFS(IF(D167=År1,'Resultater - Vestdanmark'!H$3:H$482,IF(D167=År2,'Resultater - Vestdanmark'!I$3:I$482,'Resultater - Vestdanmark'!J$3:J$482)),'Resultater - Vestdanmark'!$F$3:$F$482,$A167,IF(D167=År1,'Resultater - Vestdanmark'!H$3:H$482,IF(D167=År2,'Resultater - Vestdanmark'!I$3:I$482,'Resultater - Vestdanmark'!J$3:J$482)),"&gt;0"),SUMIFS(IF(D167=År1,'Resultater - Østdanmark'!H$3:H$482,IF(D167=År2,'Resultater - Østdanmark'!I$3:I$482,'Resultater - Østdanmark'!J$3:J$482)),'Resultater - Østdanmark'!$F$3:$F$482,$A167,IF(D167=År1,'Resultater - Østdanmark'!H$3:H$482,IF(D167=År2,'Resultater - Østdanmark'!I$3:I$482,'Resultater - Østdanmark'!J$3:J$482)),"&gt;0"))</f>
        <v>0</v>
      </c>
      <c r="G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92">
        <f>IF(E167="Vestdanmark",-IF(A167="Halm",SUMIFS(IF(D167=År1,'Resultater - Vestdanmark'!H$3:H$482,IF(D167=År2,'Resultater - Vestdanmark'!I$3:I$482,'Resultater - Vestdanmark'!J$3:J$482)),'Resultater - Vestdanmark'!$F$3:$F$482,$A167,'Resultater - Vestdanmark'!H$3:H$482,"&lt;0"),0),-IF(A167="Halm",SUMIFS(IF(D167=År1,'Resultater - Østdanmark'!H$3:H$482,IF(D167=År2,'Resultater - Østdanmark'!I$3:I$482,'Resultater - Østdanmark'!J$3:J$482)),'Resultater - Østdanmark'!$F$3:$F$482,$A167,'Resultater - Østdanmark'!H$3:H$482,"&lt;0"),0))</f>
        <v>0</v>
      </c>
      <c r="I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5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7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4">
        <f t="shared" si="48"/>
        <v>0</v>
      </c>
      <c r="O167" s="195">
        <f t="shared" si="39"/>
        <v>0</v>
      </c>
      <c r="P167" s="205">
        <f t="shared" si="49"/>
        <v>0</v>
      </c>
      <c r="Q167" s="192">
        <f>IFERROR(VLOOKUP(A167,[1]Energiindhold!$A$2:$C$11,3,FALSE),IFERROR(VLOOKUP(A167,[1]Biogasudbytte!$A$2:$B$18,2,FALSE)*[1]Energiindhold!$C$10,0))*O167</f>
        <v>0</v>
      </c>
      <c r="R167" s="192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92">
        <f>IFERROR(VLOOKUP(A167,[1]Biogasudbytte!$A$2:$B$18,2,FALSE)*[1]Energiindhold!$C$10,0)*J167*IFERROR(VLOOKUP(A167,Biogasanlæg!$F$3:$G$8,2,FALSE),1)</f>
        <v>0</v>
      </c>
      <c r="T167" s="193">
        <f t="shared" si="50"/>
        <v>0</v>
      </c>
      <c r="U167" s="191">
        <f>O167*IFERROR(VLOOKUP(A167,[1]Tørstofindhold!A$2:B$24,2,FALSE),0)</f>
        <v>0</v>
      </c>
      <c r="V167" s="192">
        <f>IF(D167=År1,P167,SUM(O167,P167))*IFERROR(VLOOKUP(A167,[1]Tørstofindhold!A$2:B$24,2,FALSE),0)</f>
        <v>0</v>
      </c>
      <c r="W167" s="192">
        <f>J167*IFERROR(VLOOKUP(A167,[1]Tørstofindhold!A$2:B$24,2,FALSE),0)</f>
        <v>0</v>
      </c>
      <c r="X167" s="193">
        <f t="shared" si="51"/>
        <v>0</v>
      </c>
      <c r="Y167" s="171">
        <f t="shared" si="43"/>
        <v>0</v>
      </c>
      <c r="Z167" s="103">
        <f t="shared" si="44"/>
        <v>0</v>
      </c>
    </row>
    <row r="168" spans="1:26" x14ac:dyDescent="0.25">
      <c r="A168" s="194" t="s">
        <v>12</v>
      </c>
      <c r="B168" s="194"/>
      <c r="C168" s="194">
        <f>IF(COUNTIFS('Resultater - Danmark'!$D$3:$D$482,'Resultat-Produktion &amp; forbrug'!A168,'Resultater - Danmark'!$A$3:$A$482,"Til energi")+COUNTIFS('Resultater - Danmark'!$D$3:$D$482,'Resultat-Produktion &amp; forbrug'!A168,'Resultater - Danmark'!$A$3:$A$482,"Biogasanlæg")&gt;0,1,0)</f>
        <v>0</v>
      </c>
      <c r="D168" s="194">
        <f t="shared" si="47"/>
        <v>2019</v>
      </c>
      <c r="E168" s="192" t="s">
        <v>24</v>
      </c>
      <c r="F168" s="195">
        <f>IF(E168="Vestdanmark",SUMIFS(IF(D168=År1,'Resultater - Vestdanmark'!H$3:H$482,IF(D168=År2,'Resultater - Vestdanmark'!I$3:I$482,'Resultater - Vestdanmark'!J$3:J$482)),'Resultater - Vestdanmark'!$F$3:$F$482,$A168,IF(D168=År1,'Resultater - Vestdanmark'!H$3:H$482,IF(D168=År2,'Resultater - Vestdanmark'!I$3:I$482,'Resultater - Vestdanmark'!J$3:J$482)),"&gt;0"),SUMIFS(IF(D168=År1,'Resultater - Østdanmark'!H$3:H$482,IF(D168=År2,'Resultater - Østdanmark'!I$3:I$482,'Resultater - Østdanmark'!J$3:J$482)),'Resultater - Østdanmark'!$F$3:$F$482,$A168,IF(D168=År1,'Resultater - Østdanmark'!H$3:H$482,IF(D168=År2,'Resultater - Østdanmark'!I$3:I$482,'Resultater - Østdanmark'!J$3:J$482)),"&gt;0"))</f>
        <v>0</v>
      </c>
      <c r="G168" s="195" t="e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#REF!</v>
      </c>
      <c r="H168" s="192">
        <f>IF(E168="Vestdanmark",-IF(A168="Halm",SUMIFS(IF(D168=År1,'Resultater - Vestdanmark'!H$3:H$482,IF(D168=År2,'Resultater - Vestdanmark'!I$3:I$482,'Resultater - Vestdanmark'!J$3:J$482)),'Resultater - Vestdanmark'!$F$3:$F$482,$A168,'Resultater - Vestdanmark'!H$3:H$482,"&lt;0"),0),-IF(A168="Halm",SUMIFS(IF(D168=År1,'Resultater - Østdanmark'!H$3:H$482,IF(D168=År2,'Resultater - Østdanmark'!I$3:I$482,'Resultater - Østdanmark'!J$3:J$482)),'Resultater - Østdanmark'!$F$3:$F$482,$A168,'Resultater - Østdanmark'!H$3:H$482,"&lt;0"),0))</f>
        <v>0</v>
      </c>
      <c r="I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5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7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4" t="e">
        <f t="shared" si="48"/>
        <v>#REF!</v>
      </c>
      <c r="O168" s="195">
        <f t="shared" si="39"/>
        <v>0</v>
      </c>
      <c r="P168" s="205">
        <f t="shared" si="49"/>
        <v>0</v>
      </c>
      <c r="Q168" s="192">
        <f>IFERROR(VLOOKUP(A168,[1]Energiindhold!$A$2:$C$11,3,FALSE),IFERROR(VLOOKUP(A168,[1]Biogasudbytte!$A$2:$B$18,2,FALSE)*[1]Energiindhold!$C$10,0))*O168</f>
        <v>0</v>
      </c>
      <c r="R168" s="192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92">
        <f>IFERROR(VLOOKUP(A168,[1]Biogasudbytte!$A$2:$B$18,2,FALSE)*[1]Energiindhold!$C$10,0)*J168*IFERROR(VLOOKUP(A168,Biogasanlæg!$F$3:$G$8,2,FALSE),1)</f>
        <v>0</v>
      </c>
      <c r="T168" s="193">
        <f t="shared" si="50"/>
        <v>0</v>
      </c>
      <c r="U168" s="191">
        <f>O168*IFERROR(VLOOKUP(A168,[1]Tørstofindhold!A$2:B$24,2,FALSE),0)</f>
        <v>0</v>
      </c>
      <c r="V168" s="192">
        <f>IF(D168=År1,P168,SUM(O168,P168))*IFERROR(VLOOKUP(A168,[1]Tørstofindhold!A$2:B$24,2,FALSE),0)</f>
        <v>0</v>
      </c>
      <c r="W168" s="192">
        <f>J168*IFERROR(VLOOKUP(A168,[1]Tørstofindhold!A$2:B$24,2,FALSE),0)</f>
        <v>0</v>
      </c>
      <c r="X168" s="193">
        <f t="shared" si="51"/>
        <v>0</v>
      </c>
      <c r="Y168" s="171" t="e">
        <f t="shared" si="43"/>
        <v>#REF!</v>
      </c>
      <c r="Z168" s="103" t="e">
        <f t="shared" si="44"/>
        <v>#REF!</v>
      </c>
    </row>
    <row r="169" spans="1:26" x14ac:dyDescent="0.25">
      <c r="A169" s="194" t="s">
        <v>48</v>
      </c>
      <c r="B169" s="194" t="s">
        <v>229</v>
      </c>
      <c r="C169" s="194">
        <f>IF(COUNTIFS('Resultater - Danmark'!$D$3:$D$482,'Resultat-Produktion &amp; forbrug'!A169,'Resultater - Danmark'!$A$3:$A$482,"Til energi")+COUNTIFS('Resultater - Danmark'!$D$3:$D$482,'Resultat-Produktion &amp; forbrug'!A169,'Resultater - Danmark'!$A$3:$A$482,"Biogasanlæg")&gt;0,1,0)</f>
        <v>1</v>
      </c>
      <c r="D169" s="194">
        <f t="shared" si="47"/>
        <v>2019</v>
      </c>
      <c r="E169" s="192" t="s">
        <v>24</v>
      </c>
      <c r="F169" s="195">
        <f>IF(E169="Vestdanmark",SUMIFS(IF(D169=År1,'Resultater - Vestdanmark'!H$3:H$482,IF(D169=År2,'Resultater - Vestdanmark'!I$3:I$482,'Resultater - Vestdanmark'!J$3:J$482)),'Resultater - Vestdanmark'!$F$3:$F$482,$A169,IF(D169=År1,'Resultater - Vestdanmark'!H$3:H$482,IF(D169=År2,'Resultater - Vestdanmark'!I$3:I$482,'Resultater - Vestdanmark'!J$3:J$482)),"&gt;0"),SUMIFS(IF(D169=År1,'Resultater - Østdanmark'!H$3:H$482,IF(D169=År2,'Resultater - Østdanmark'!I$3:I$482,'Resultater - Østdanmark'!J$3:J$482)),'Resultater - Østdanmark'!$F$3:$F$482,$A169,IF(D169=År1,'Resultater - Østdanmark'!H$3:H$482,IF(D169=År2,'Resultater - Østdanmark'!I$3:I$482,'Resultater - Østdanmark'!J$3:J$482)),"&gt;0"))</f>
        <v>0</v>
      </c>
      <c r="G169" s="195" t="e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#REF!</v>
      </c>
      <c r="H169" s="192">
        <f>IF(E169="Vestdanmark",-IF(A169="Halm",SUMIFS(IF(D169=År1,'Resultater - Vestdanmark'!H$3:H$482,IF(D169=År2,'Resultater - Vestdanmark'!I$3:I$482,'Resultater - Vestdanmark'!J$3:J$482)),'Resultater - Vestdanmark'!$F$3:$F$482,$A169,'Resultater - Vestdanmark'!H$3:H$482,"&lt;0"),0),-IF(A169="Halm",SUMIFS(IF(D169=År1,'Resultater - Østdanmark'!H$3:H$482,IF(D169=År2,'Resultater - Østdanmark'!I$3:I$482,'Resultater - Østdanmark'!J$3:J$482)),'Resultater - Østdanmark'!$F$3:$F$482,$A169,'Resultater - Østdanmark'!H$3:H$482,"&lt;0"),0))</f>
        <v>0</v>
      </c>
      <c r="I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5" t="e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#REF!</v>
      </c>
      <c r="K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5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7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4" t="e">
        <f t="shared" si="48"/>
        <v>#REF!</v>
      </c>
      <c r="O169" s="195" t="e">
        <f t="shared" si="39"/>
        <v>#REF!</v>
      </c>
      <c r="P169" s="205" t="e">
        <f t="shared" si="49"/>
        <v>#REF!</v>
      </c>
      <c r="Q169" s="192" t="e">
        <f>IFERROR(VLOOKUP(A169,[1]Energiindhold!$A$2:$C$11,3,FALSE),IFERROR(VLOOKUP(A169,[1]Biogasudbytte!$A$2:$B$18,2,FALSE)*[1]Energiindhold!$C$10,0))*O169</f>
        <v>#REF!</v>
      </c>
      <c r="R169" s="192" t="e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#REF!</v>
      </c>
      <c r="S169" s="192" t="e">
        <f>IFERROR(VLOOKUP(A169,[1]Biogasudbytte!$A$2:$B$18,2,FALSE)*[1]Energiindhold!$C$10,0)*J169*IFERROR(VLOOKUP(A169,Biogasanlæg!$F$3:$G$8,2,FALSE),1)</f>
        <v>#REF!</v>
      </c>
      <c r="T169" s="193" t="e">
        <f t="shared" si="50"/>
        <v>#REF!</v>
      </c>
      <c r="U169" s="191" t="e">
        <f>O169*IFERROR(VLOOKUP(A169,[1]Tørstofindhold!A$2:B$24,2,FALSE),0)</f>
        <v>#REF!</v>
      </c>
      <c r="V169" s="192" t="e">
        <f>IF(D169=År1,P169,SUM(O169,P169))*IFERROR(VLOOKUP(A169,[1]Tørstofindhold!A$2:B$24,2,FALSE),0)</f>
        <v>#REF!</v>
      </c>
      <c r="W169" s="192" t="e">
        <f>J169*IFERROR(VLOOKUP(A169,[1]Tørstofindhold!A$2:B$24,2,FALSE),0)</f>
        <v>#REF!</v>
      </c>
      <c r="X169" s="193" t="e">
        <f t="shared" si="51"/>
        <v>#REF!</v>
      </c>
      <c r="Y169" s="171" t="e">
        <f t="shared" si="43"/>
        <v>#REF!</v>
      </c>
      <c r="Z169" s="103" t="e">
        <f t="shared" si="44"/>
        <v>#REF!</v>
      </c>
    </row>
    <row r="170" spans="1:26" x14ac:dyDescent="0.25">
      <c r="A170" s="194" t="s">
        <v>116</v>
      </c>
      <c r="B170" s="194"/>
      <c r="C170" s="194">
        <f>IF(COUNTIFS('Resultater - Danmark'!$D$3:$D$482,'Resultat-Produktion &amp; forbrug'!A170,'Resultater - Danmark'!$A$3:$A$482,"Til energi")+COUNTIFS('Resultater - Danmark'!$D$3:$D$482,'Resultat-Produktion &amp; forbrug'!A170,'Resultater - Danmark'!$A$3:$A$482,"Biogasanlæg")&gt;0,1,0)</f>
        <v>0</v>
      </c>
      <c r="D170" s="194">
        <f t="shared" si="47"/>
        <v>2019</v>
      </c>
      <c r="E170" s="192" t="s">
        <v>24</v>
      </c>
      <c r="F170" s="195">
        <f>IF(E170="Vestdanmark",SUMIFS(IF(D170=År1,'Resultater - Vestdanmark'!H$3:H$482,IF(D170=År2,'Resultater - Vestdanmark'!I$3:I$482,'Resultater - Vestdanmark'!J$3:J$482)),'Resultater - Vestdanmark'!$F$3:$F$482,$A170,IF(D170=År1,'Resultater - Vestdanmark'!H$3:H$482,IF(D170=År2,'Resultater - Vestdanmark'!I$3:I$482,'Resultater - Vestdanmark'!J$3:J$482)),"&gt;0"),SUMIFS(IF(D170=År1,'Resultater - Østdanmark'!H$3:H$482,IF(D170=År2,'Resultater - Østdanmark'!I$3:I$482,'Resultater - Østdanmark'!J$3:J$482)),'Resultater - Østdanmark'!$F$3:$F$482,$A170,IF(D170=År1,'Resultater - Østdanmark'!H$3:H$482,IF(D170=År2,'Resultater - Østdanmark'!I$3:I$482,'Resultater - Østdanmark'!J$3:J$482)),"&gt;0"))</f>
        <v>0</v>
      </c>
      <c r="G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92">
        <f>IF(E170="Vestdanmark",-IF(A170="Halm",SUMIFS(IF(D170=År1,'Resultater - Vestdanmark'!H$3:H$482,IF(D170=År2,'Resultater - Vestdanmark'!I$3:I$482,'Resultater - Vestdanmark'!J$3:J$482)),'Resultater - Vestdanmark'!$F$3:$F$482,$A170,'Resultater - Vestdanmark'!H$3:H$482,"&lt;0"),0),-IF(A170="Halm",SUMIFS(IF(D170=År1,'Resultater - Østdanmark'!H$3:H$482,IF(D170=År2,'Resultater - Østdanmark'!I$3:I$482,'Resultater - Østdanmark'!J$3:J$482)),'Resultater - Østdanmark'!$F$3:$F$482,$A170,'Resultater - Østdanmark'!H$3:H$482,"&lt;0"),0))</f>
        <v>0</v>
      </c>
      <c r="I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5" t="e">
        <f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#REF!</v>
      </c>
      <c r="L170" s="195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7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4" t="e">
        <f t="shared" si="48"/>
        <v>#REF!</v>
      </c>
      <c r="O170" s="195">
        <f t="shared" si="39"/>
        <v>0</v>
      </c>
      <c r="P170" s="205">
        <f t="shared" si="49"/>
        <v>0</v>
      </c>
      <c r="Q170" s="192">
        <f>IFERROR(VLOOKUP(A170,[1]Energiindhold!$A$2:$C$11,3,FALSE),IFERROR(VLOOKUP(A170,[1]Biogasudbytte!$A$2:$B$18,2,FALSE)*[1]Energiindhold!$C$10,0))*O170</f>
        <v>0</v>
      </c>
      <c r="R170" s="192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92">
        <f>IFERROR(VLOOKUP(A170,[1]Biogasudbytte!$A$2:$B$18,2,FALSE)*[1]Energiindhold!$C$10,0)*J170*IFERROR(VLOOKUP(A170,Biogasanlæg!$F$3:$G$8,2,FALSE),1)</f>
        <v>0</v>
      </c>
      <c r="T170" s="193">
        <f t="shared" si="50"/>
        <v>0</v>
      </c>
      <c r="U170" s="191">
        <f>O170*IFERROR(VLOOKUP(A170,[1]Tørstofindhold!A$2:B$24,2,FALSE),0)</f>
        <v>0</v>
      </c>
      <c r="V170" s="192">
        <f>IF(D170=År1,P170,SUM(O170,P170))*IFERROR(VLOOKUP(A170,[1]Tørstofindhold!A$2:B$24,2,FALSE),0)</f>
        <v>0</v>
      </c>
      <c r="W170" s="192">
        <f>J170*IFERROR(VLOOKUP(A170,[1]Tørstofindhold!A$2:B$24,2,FALSE),0)</f>
        <v>0</v>
      </c>
      <c r="X170" s="193">
        <f t="shared" si="51"/>
        <v>0</v>
      </c>
      <c r="Y170" s="171" t="e">
        <f t="shared" si="43"/>
        <v>#REF!</v>
      </c>
      <c r="Z170" s="103" t="e">
        <f t="shared" si="44"/>
        <v>#REF!</v>
      </c>
    </row>
    <row r="171" spans="1:26" x14ac:dyDescent="0.25">
      <c r="A171" s="194" t="s">
        <v>137</v>
      </c>
      <c r="B171" s="194" t="s">
        <v>224</v>
      </c>
      <c r="C171" s="194">
        <f>IF(COUNTIFS('Resultater - Danmark'!$D$3:$D$482,'Resultat-Produktion &amp; forbrug'!A171,'Resultater - Danmark'!$A$3:$A$482,"Til energi")+COUNTIFS('Resultater - Danmark'!$D$3:$D$482,'Resultat-Produktion &amp; forbrug'!A171,'Resultater - Danmark'!$A$3:$A$482,"Biogasanlæg")&gt;0,1,0)</f>
        <v>1</v>
      </c>
      <c r="D171" s="194">
        <f t="shared" si="47"/>
        <v>2019</v>
      </c>
      <c r="E171" s="192" t="s">
        <v>24</v>
      </c>
      <c r="F171" s="195">
        <f>IF(E171="Vestdanmark",SUMIFS(IF(D171=År1,'Resultater - Vestdanmark'!H$3:H$482,IF(D171=År2,'Resultater - Vestdanmark'!I$3:I$482,'Resultater - Vestdanmark'!J$3:J$482)),'Resultater - Vestdanmark'!$F$3:$F$482,$A171,IF(D171=År1,'Resultater - Vestdanmark'!H$3:H$482,IF(D171=År2,'Resultater - Vestdanmark'!I$3:I$482,'Resultater - Vestdanmark'!J$3:J$482)),"&gt;0"),SUMIFS(IF(D171=År1,'Resultater - Østdanmark'!H$3:H$482,IF(D171=År2,'Resultater - Østdanmark'!I$3:I$482,'Resultater - Østdanmark'!J$3:J$482)),'Resultater - Østdanmark'!$F$3:$F$482,$A171,IF(D171=År1,'Resultater - Østdanmark'!H$3:H$482,IF(D171=År2,'Resultater - Østdanmark'!I$3:I$482,'Resultater - Østdanmark'!J$3:J$482)),"&gt;0"))</f>
        <v>0</v>
      </c>
      <c r="G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92">
        <f>IF(E171="Vestdanmark",-IF(A171="Halm",SUMIFS(IF(D171=År1,'Resultater - Vestdanmark'!H$3:H$482,IF(D171=År2,'Resultater - Vestdanmark'!I$3:I$482,'Resultater - Vestdanmark'!J$3:J$482)),'Resultater - Vestdanmark'!$F$3:$F$482,$A171,'Resultater - Vestdanmark'!H$3:H$482,"&lt;0"),0),-IF(A171="Halm",SUMIFS(IF(D171=År1,'Resultater - Østdanmark'!H$3:H$482,IF(D171=År2,'Resultater - Østdanmark'!I$3:I$482,'Resultater - Østdanmark'!J$3:J$482)),'Resultater - Østdanmark'!$F$3:$F$482,$A171,'Resultater - Østdanmark'!H$3:H$482,"&lt;0"),0))</f>
        <v>0</v>
      </c>
      <c r="I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5" t="e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#REF!</v>
      </c>
      <c r="K171" s="195" t="e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#REF!</v>
      </c>
      <c r="L171" s="195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7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4" t="e">
        <f t="shared" si="48"/>
        <v>#REF!</v>
      </c>
      <c r="O171" s="195" t="e">
        <f t="shared" si="39"/>
        <v>#REF!</v>
      </c>
      <c r="P171" s="205" t="e">
        <f t="shared" si="49"/>
        <v>#REF!</v>
      </c>
      <c r="Q171" s="192" t="e">
        <f>IFERROR(VLOOKUP(A171,[1]Energiindhold!$A$2:$C$11,3,FALSE),IFERROR(VLOOKUP(A171,[1]Biogasudbytte!$A$2:$B$18,2,FALSE)*[1]Energiindhold!$C$10,0))*O171</f>
        <v>#REF!</v>
      </c>
      <c r="R171" s="192" t="e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#REF!</v>
      </c>
      <c r="S171" s="192" t="e">
        <f>IFERROR(VLOOKUP(A171,[1]Biogasudbytte!$A$2:$B$18,2,FALSE)*[1]Energiindhold!$C$10,0)*J171*IFERROR(VLOOKUP(A171,Biogasanlæg!$F$3:$G$8,2,FALSE),1)</f>
        <v>#REF!</v>
      </c>
      <c r="T171" s="193" t="e">
        <f t="shared" si="50"/>
        <v>#REF!</v>
      </c>
      <c r="U171" s="191" t="e">
        <f>O171*IFERROR(VLOOKUP(A171,[1]Tørstofindhold!A$2:B$24,2,FALSE),0)</f>
        <v>#REF!</v>
      </c>
      <c r="V171" s="192" t="e">
        <f>IF(D171=År1,P171,SUM(O171,P171))*IFERROR(VLOOKUP(A171,[1]Tørstofindhold!A$2:B$24,2,FALSE),0)</f>
        <v>#REF!</v>
      </c>
      <c r="W171" s="192" t="e">
        <f>J171*IFERROR(VLOOKUP(A171,[1]Tørstofindhold!A$2:B$24,2,FALSE),0)</f>
        <v>#REF!</v>
      </c>
      <c r="X171" s="193" t="e">
        <f t="shared" si="51"/>
        <v>#REF!</v>
      </c>
      <c r="Y171" s="171" t="e">
        <f t="shared" si="43"/>
        <v>#REF!</v>
      </c>
      <c r="Z171" s="103" t="e">
        <f t="shared" si="44"/>
        <v>#REF!</v>
      </c>
    </row>
    <row r="172" spans="1:26" x14ac:dyDescent="0.25">
      <c r="A172" s="194" t="s">
        <v>109</v>
      </c>
      <c r="B172" s="194"/>
      <c r="C172" s="194">
        <f>IF(COUNTIFS('Resultater - Danmark'!$D$3:$D$482,'Resultat-Produktion &amp; forbrug'!A172,'Resultater - Danmark'!$A$3:$A$482,"Til energi")+COUNTIFS('Resultater - Danmark'!$D$3:$D$482,'Resultat-Produktion &amp; forbrug'!A172,'Resultater - Danmark'!$A$3:$A$482,"Biogasanlæg")&gt;0,1,0)</f>
        <v>0</v>
      </c>
      <c r="D172" s="194">
        <f t="shared" si="47"/>
        <v>2019</v>
      </c>
      <c r="E172" s="192" t="s">
        <v>24</v>
      </c>
      <c r="F172" s="195">
        <f>IF(E172="Vestdanmark",SUMIFS(IF(D172=År1,'Resultater - Vestdanmark'!H$3:H$482,IF(D172=År2,'Resultater - Vestdanmark'!I$3:I$482,'Resultater - Vestdanmark'!J$3:J$482)),'Resultater - Vestdanmark'!$F$3:$F$482,$A172,IF(D172=År1,'Resultater - Vestdanmark'!H$3:H$482,IF(D172=År2,'Resultater - Vestdanmark'!I$3:I$482,'Resultater - Vestdanmark'!J$3:J$482)),"&gt;0"),SUMIFS(IF(D172=År1,'Resultater - Østdanmark'!H$3:H$482,IF(D172=År2,'Resultater - Østdanmark'!I$3:I$482,'Resultater - Østdanmark'!J$3:J$482)),'Resultater - Østdanmark'!$F$3:$F$482,$A172,IF(D172=År1,'Resultater - Østdanmark'!H$3:H$482,IF(D172=År2,'Resultater - Østdanmark'!I$3:I$482,'Resultater - Østdanmark'!J$3:J$482)),"&gt;0"))</f>
        <v>0</v>
      </c>
      <c r="G172" s="195" t="e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#REF!</v>
      </c>
      <c r="H172" s="192">
        <f>IF(E172="Vestdanmark",-IF(A172="Halm",SUMIFS(IF(D172=År1,'Resultater - Vestdanmark'!H$3:H$482,IF(D172=År2,'Resultater - Vestdanmark'!I$3:I$482,'Resultater - Vestdanmark'!J$3:J$482)),'Resultater - Vestdanmark'!$F$3:$F$482,$A172,'Resultater - Vestdanmark'!H$3:H$482,"&lt;0"),0),-IF(A172="Halm",SUMIFS(IF(D172=År1,'Resultater - Østdanmark'!H$3:H$482,IF(D172=År2,'Resultater - Østdanmark'!I$3:I$482,'Resultater - Østdanmark'!J$3:J$482)),'Resultater - Østdanmark'!$F$3:$F$482,$A172,'Resultater - Østdanmark'!H$3:H$482,"&lt;0"),0))</f>
        <v>0</v>
      </c>
      <c r="I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5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7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4" t="e">
        <f t="shared" si="48"/>
        <v>#REF!</v>
      </c>
      <c r="O172" s="195">
        <f t="shared" si="39"/>
        <v>0</v>
      </c>
      <c r="P172" s="205">
        <f t="shared" si="49"/>
        <v>0</v>
      </c>
      <c r="Q172" s="192">
        <f>IFERROR(VLOOKUP(A172,[1]Energiindhold!$A$2:$C$11,3,FALSE),IFERROR(VLOOKUP(A172,[1]Biogasudbytte!$A$2:$B$18,2,FALSE)*[1]Energiindhold!$C$10,0))*O172</f>
        <v>0</v>
      </c>
      <c r="R172" s="192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92">
        <f>IFERROR(VLOOKUP(A172,[1]Biogasudbytte!$A$2:$B$18,2,FALSE)*[1]Energiindhold!$C$10,0)*J172*IFERROR(VLOOKUP(A172,Biogasanlæg!$F$3:$G$8,2,FALSE),1)</f>
        <v>0</v>
      </c>
      <c r="T172" s="193">
        <f t="shared" si="50"/>
        <v>0</v>
      </c>
      <c r="U172" s="191">
        <f>O172*IFERROR(VLOOKUP(A172,[1]Tørstofindhold!A$2:B$24,2,FALSE),0)</f>
        <v>0</v>
      </c>
      <c r="V172" s="192">
        <f>IF(D172=År1,P172,SUM(O172,P172))*IFERROR(VLOOKUP(A172,[1]Tørstofindhold!A$2:B$24,2,FALSE),0)</f>
        <v>0</v>
      </c>
      <c r="W172" s="192">
        <f>J172*IFERROR(VLOOKUP(A172,[1]Tørstofindhold!A$2:B$24,2,FALSE),0)</f>
        <v>0</v>
      </c>
      <c r="X172" s="193">
        <f t="shared" si="51"/>
        <v>0</v>
      </c>
      <c r="Y172" s="171" t="e">
        <f t="shared" si="43"/>
        <v>#REF!</v>
      </c>
      <c r="Z172" s="103" t="e">
        <f t="shared" si="44"/>
        <v>#REF!</v>
      </c>
    </row>
    <row r="173" spans="1:26" x14ac:dyDescent="0.25">
      <c r="A173" s="192" t="s">
        <v>53</v>
      </c>
      <c r="B173" s="194" t="s">
        <v>226</v>
      </c>
      <c r="C173" s="194">
        <f>IF(COUNTIFS('Resultater - Danmark'!$D$3:$D$482,'Resultat-Produktion &amp; forbrug'!A173,'Resultater - Danmark'!$A$3:$A$482,"Til energi")+COUNTIFS('Resultater - Danmark'!$D$3:$D$482,'Resultat-Produktion &amp; forbrug'!A173,'Resultater - Danmark'!$A$3:$A$482,"Biogasanlæg")&gt;0,1,0)</f>
        <v>1</v>
      </c>
      <c r="D173" s="194">
        <f t="shared" si="47"/>
        <v>2019</v>
      </c>
      <c r="E173" s="192" t="s">
        <v>24</v>
      </c>
      <c r="F173" s="195">
        <f>IF(E173="Vestdanmark",SUMIFS(IF(D173=År1,'Resultater - Vestdanmark'!H$3:H$482,IF(D173=År2,'Resultater - Vestdanmark'!I$3:I$482,'Resultater - Vestdanmark'!J$3:J$482)),'Resultater - Vestdanmark'!$F$3:$F$482,$A173,IF(D173=År1,'Resultater - Vestdanmark'!H$3:H$482,IF(D173=År2,'Resultater - Vestdanmark'!I$3:I$482,'Resultater - Vestdanmark'!J$3:J$482)),"&gt;0"),SUMIFS(IF(D173=År1,'Resultater - Østdanmark'!H$3:H$482,IF(D173=År2,'Resultater - Østdanmark'!I$3:I$482,'Resultater - Østdanmark'!J$3:J$482)),'Resultater - Østdanmark'!$F$3:$F$482,$A173,IF(D173=År1,'Resultater - Østdanmark'!H$3:H$482,IF(D173=År2,'Resultater - Østdanmark'!I$3:I$482,'Resultater - Østdanmark'!J$3:J$482)),"&gt;0"))</f>
        <v>0</v>
      </c>
      <c r="G173" s="195" t="e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#REF!</v>
      </c>
      <c r="H173" s="192">
        <f>IF(E173="Vestdanmark",-IF(A173="Halm",SUMIFS(IF(D173=År1,'Resultater - Vestdanmark'!H$3:H$482,IF(D173=År2,'Resultater - Vestdanmark'!I$3:I$482,'Resultater - Vestdanmark'!J$3:J$482)),'Resultater - Vestdanmark'!$F$3:$F$482,$A173,'Resultater - Vestdanmark'!H$3:H$482,"&lt;0"),0),-IF(A173="Halm",SUMIFS(IF(D173=År1,'Resultater - Østdanmark'!H$3:H$482,IF(D173=År2,'Resultater - Østdanmark'!I$3:I$482,'Resultater - Østdanmark'!J$3:J$482)),'Resultater - Østdanmark'!$F$3:$F$482,$A173,'Resultater - Østdanmark'!H$3:H$482,"&lt;0"),0))</f>
        <v>0</v>
      </c>
      <c r="I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5" t="e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#REF!</v>
      </c>
      <c r="K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5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7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4" t="e">
        <f t="shared" si="48"/>
        <v>#REF!</v>
      </c>
      <c r="O173" s="195" t="e">
        <f t="shared" si="39"/>
        <v>#REF!</v>
      </c>
      <c r="P173" s="205" t="e">
        <f t="shared" si="49"/>
        <v>#REF!</v>
      </c>
      <c r="Q173" s="192" t="e">
        <f>IFERROR(VLOOKUP(A173,[1]Energiindhold!$A$2:$C$11,3,FALSE),IFERROR(VLOOKUP(A173,[1]Biogasudbytte!$A$2:$B$18,2,FALSE)*[1]Energiindhold!$C$10,0))*O173</f>
        <v>#REF!</v>
      </c>
      <c r="R173" s="192" t="e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#REF!</v>
      </c>
      <c r="S173" s="192" t="e">
        <f>IFERROR(VLOOKUP(A173,[1]Biogasudbytte!$A$2:$B$18,2,FALSE)*[1]Energiindhold!$C$10,0)*J173*IFERROR(VLOOKUP(A173,Biogasanlæg!$F$3:$G$8,2,FALSE),1)</f>
        <v>#REF!</v>
      </c>
      <c r="T173" s="193" t="e">
        <f t="shared" si="50"/>
        <v>#REF!</v>
      </c>
      <c r="U173" s="191" t="e">
        <f>O173*IFERROR(VLOOKUP(A173,[1]Tørstofindhold!A$2:B$24,2,FALSE),0)</f>
        <v>#REF!</v>
      </c>
      <c r="V173" s="192" t="e">
        <f>IF(D173=År1,P173,SUM(O173,P173))*IFERROR(VLOOKUP(A173,[1]Tørstofindhold!A$2:B$24,2,FALSE),0)</f>
        <v>#REF!</v>
      </c>
      <c r="W173" s="192" t="e">
        <f>J173*IFERROR(VLOOKUP(A173,[1]Tørstofindhold!A$2:B$24,2,FALSE),0)</f>
        <v>#REF!</v>
      </c>
      <c r="X173" s="193" t="e">
        <f t="shared" si="51"/>
        <v>#REF!</v>
      </c>
      <c r="Y173" s="171" t="e">
        <f t="shared" si="43"/>
        <v>#REF!</v>
      </c>
      <c r="Z173" s="103" t="e">
        <f t="shared" si="44"/>
        <v>#REF!</v>
      </c>
    </row>
    <row r="174" spans="1:26" x14ac:dyDescent="0.25">
      <c r="A174" s="194" t="s">
        <v>117</v>
      </c>
      <c r="B174" s="194"/>
      <c r="C174" s="194">
        <f>IF(COUNTIFS('Resultater - Danmark'!$D$3:$D$482,'Resultat-Produktion &amp; forbrug'!A174,'Resultater - Danmark'!$A$3:$A$482,"Til energi")+COUNTIFS('Resultater - Danmark'!$D$3:$D$482,'Resultat-Produktion &amp; forbrug'!A174,'Resultater - Danmark'!$A$3:$A$482,"Biogasanlæg")&gt;0,1,0)</f>
        <v>0</v>
      </c>
      <c r="D174" s="194">
        <f t="shared" si="47"/>
        <v>2019</v>
      </c>
      <c r="E174" s="192" t="s">
        <v>24</v>
      </c>
      <c r="F174" s="195">
        <f>IF(E174="Vestdanmark",SUMIFS(IF(D174=År1,'Resultater - Vestdanmark'!H$3:H$482,IF(D174=År2,'Resultater - Vestdanmark'!I$3:I$482,'Resultater - Vestdanmark'!J$3:J$482)),'Resultater - Vestdanmark'!$F$3:$F$482,$A174,IF(D174=År1,'Resultater - Vestdanmark'!H$3:H$482,IF(D174=År2,'Resultater - Vestdanmark'!I$3:I$482,'Resultater - Vestdanmark'!J$3:J$482)),"&gt;0"),SUMIFS(IF(D174=År1,'Resultater - Østdanmark'!H$3:H$482,IF(D174=År2,'Resultater - Østdanmark'!I$3:I$482,'Resultater - Østdanmark'!J$3:J$482)),'Resultater - Østdanmark'!$F$3:$F$482,$A174,IF(D174=År1,'Resultater - Østdanmark'!H$3:H$482,IF(D174=År2,'Resultater - Østdanmark'!I$3:I$482,'Resultater - Østdanmark'!J$3:J$482)),"&gt;0"))</f>
        <v>0</v>
      </c>
      <c r="G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92">
        <f>IF(E174="Vestdanmark",-IF(A174="Halm",SUMIFS(IF(D174=År1,'Resultater - Vestdanmark'!H$3:H$482,IF(D174=År2,'Resultater - Vestdanmark'!I$3:I$482,'Resultater - Vestdanmark'!J$3:J$482)),'Resultater - Vestdanmark'!$F$3:$F$482,$A174,'Resultater - Vestdanmark'!H$3:H$482,"&lt;0"),0),-IF(A174="Halm",SUMIFS(IF(D174=År1,'Resultater - Østdanmark'!H$3:H$482,IF(D174=År2,'Resultater - Østdanmark'!I$3:I$482,'Resultater - Østdanmark'!J$3:J$482)),'Resultater - Østdanmark'!$F$3:$F$482,$A174,'Resultater - Østdanmark'!H$3:H$482,"&lt;0"),0))</f>
        <v>0</v>
      </c>
      <c r="I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5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7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4">
        <f t="shared" si="48"/>
        <v>-389767.86287629709</v>
      </c>
      <c r="O174" s="195">
        <f t="shared" si="39"/>
        <v>0</v>
      </c>
      <c r="P174" s="205">
        <f t="shared" si="49"/>
        <v>0</v>
      </c>
      <c r="Q174" s="192">
        <f>IFERROR(VLOOKUP(A174,[1]Energiindhold!$A$2:$C$11,3,FALSE),IFERROR(VLOOKUP(A174,[1]Biogasudbytte!$A$2:$B$18,2,FALSE)*[1]Energiindhold!$C$10,0))*O174</f>
        <v>0</v>
      </c>
      <c r="R174" s="192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92">
        <f>IFERROR(VLOOKUP(A174,[1]Biogasudbytte!$A$2:$B$18,2,FALSE)*[1]Energiindhold!$C$10,0)*J174*IFERROR(VLOOKUP(A174,Biogasanlæg!$F$3:$G$8,2,FALSE),1)</f>
        <v>0</v>
      </c>
      <c r="T174" s="193">
        <f t="shared" si="50"/>
        <v>0</v>
      </c>
      <c r="U174" s="191">
        <f>O174*IFERROR(VLOOKUP(A174,[1]Tørstofindhold!A$2:B$24,2,FALSE),0)</f>
        <v>0</v>
      </c>
      <c r="V174" s="192">
        <f>IF(D174=År1,P174,SUM(O174,P174))*IFERROR(VLOOKUP(A174,[1]Tørstofindhold!A$2:B$24,2,FALSE),0)</f>
        <v>0</v>
      </c>
      <c r="W174" s="192">
        <f>J174*IFERROR(VLOOKUP(A174,[1]Tørstofindhold!A$2:B$24,2,FALSE),0)</f>
        <v>0</v>
      </c>
      <c r="X174" s="193">
        <f t="shared" si="51"/>
        <v>0</v>
      </c>
      <c r="Y174" s="171">
        <f t="shared" si="43"/>
        <v>1</v>
      </c>
      <c r="Z174" s="103">
        <f t="shared" si="44"/>
        <v>0</v>
      </c>
    </row>
    <row r="175" spans="1:26" x14ac:dyDescent="0.25">
      <c r="A175" s="194" t="s">
        <v>107</v>
      </c>
      <c r="B175" s="194" t="s">
        <v>228</v>
      </c>
      <c r="C175" s="194">
        <f>IF(COUNTIFS('Resultater - Danmark'!$D$3:$D$482,'Resultat-Produktion &amp; forbrug'!A175,'Resultater - Danmark'!$A$3:$A$482,"Til energi")+COUNTIFS('Resultater - Danmark'!$D$3:$D$482,'Resultat-Produktion &amp; forbrug'!A175,'Resultater - Danmark'!$A$3:$A$482,"Biogasanlæg")&gt;0,1,0)</f>
        <v>1</v>
      </c>
      <c r="D175" s="194">
        <f t="shared" si="47"/>
        <v>2019</v>
      </c>
      <c r="E175" s="192" t="s">
        <v>24</v>
      </c>
      <c r="F175" s="195">
        <f>IF(E175="Vestdanmark",SUMIFS(IF(D175=År1,'Resultater - Vestdanmark'!H$3:H$482,IF(D175=År2,'Resultater - Vestdanmark'!I$3:I$482,'Resultater - Vestdanmark'!J$3:J$482)),'Resultater - Vestdanmark'!$F$3:$F$482,$A175,IF(D175=År1,'Resultater - Vestdanmark'!H$3:H$482,IF(D175=År2,'Resultater - Vestdanmark'!I$3:I$482,'Resultater - Vestdanmark'!J$3:J$482)),"&gt;0"),SUMIFS(IF(D175=År1,'Resultater - Østdanmark'!H$3:H$482,IF(D175=År2,'Resultater - Østdanmark'!I$3:I$482,'Resultater - Østdanmark'!J$3:J$482)),'Resultater - Østdanmark'!$F$3:$F$482,$A175,IF(D175=År1,'Resultater - Østdanmark'!H$3:H$482,IF(D175=År2,'Resultater - Østdanmark'!I$3:I$482,'Resultater - Østdanmark'!J$3:J$482)),"&gt;0"))</f>
        <v>0</v>
      </c>
      <c r="G175" s="195" t="e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#REF!</v>
      </c>
      <c r="H175" s="192">
        <f>IF(E175="Vestdanmark",-IF(A175="Halm",SUMIFS(IF(D175=År1,'Resultater - Vestdanmark'!H$3:H$482,IF(D175=År2,'Resultater - Vestdanmark'!I$3:I$482,'Resultater - Vestdanmark'!J$3:J$482)),'Resultater - Vestdanmark'!$F$3:$F$482,$A175,'Resultater - Vestdanmark'!H$3:H$482,"&lt;0"),0),-IF(A175="Halm",SUMIFS(IF(D175=År1,'Resultater - Østdanmark'!H$3:H$482,IF(D175=År2,'Resultater - Østdanmark'!I$3:I$482,'Resultater - Østdanmark'!J$3:J$482)),'Resultater - Østdanmark'!$F$3:$F$482,$A175,'Resultater - Østdanmark'!H$3:H$482,"&lt;0"),0))</f>
        <v>0</v>
      </c>
      <c r="I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5" t="e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#REF!</v>
      </c>
      <c r="K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5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7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4" t="e">
        <f t="shared" si="48"/>
        <v>#REF!</v>
      </c>
      <c r="O175" s="195" t="e">
        <f t="shared" si="39"/>
        <v>#REF!</v>
      </c>
      <c r="P175" s="205" t="e">
        <f t="shared" si="49"/>
        <v>#REF!</v>
      </c>
      <c r="Q175" s="192" t="e">
        <f>IFERROR(VLOOKUP(A175,[1]Energiindhold!$A$2:$C$11,3,FALSE),IFERROR(VLOOKUP(A175,[1]Biogasudbytte!$A$2:$B$18,2,FALSE)*[1]Energiindhold!$C$10,0))*O175</f>
        <v>#REF!</v>
      </c>
      <c r="R175" s="192" t="e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#REF!</v>
      </c>
      <c r="S175" s="192" t="e">
        <f>IFERROR(VLOOKUP(A175,[1]Biogasudbytte!$A$2:$B$18,2,FALSE)*[1]Energiindhold!$C$10,0)*J175*IFERROR(VLOOKUP(A175,Biogasanlæg!$F$3:$G$8,2,FALSE),1)</f>
        <v>#REF!</v>
      </c>
      <c r="T175" s="193" t="e">
        <f t="shared" si="50"/>
        <v>#REF!</v>
      </c>
      <c r="U175" s="191" t="e">
        <f>O175*IFERROR(VLOOKUP(A175,[1]Tørstofindhold!A$2:B$24,2,FALSE),0)</f>
        <v>#REF!</v>
      </c>
      <c r="V175" s="192" t="e">
        <f>IF(D175=År1,P175,SUM(O175,P175))*IFERROR(VLOOKUP(A175,[1]Tørstofindhold!A$2:B$24,2,FALSE),0)</f>
        <v>#REF!</v>
      </c>
      <c r="W175" s="192" t="e">
        <f>J175*IFERROR(VLOOKUP(A175,[1]Tørstofindhold!A$2:B$24,2,FALSE),0)</f>
        <v>#REF!</v>
      </c>
      <c r="X175" s="193" t="e">
        <f t="shared" si="51"/>
        <v>#REF!</v>
      </c>
      <c r="Y175" s="171" t="e">
        <f t="shared" si="43"/>
        <v>#REF!</v>
      </c>
      <c r="Z175" s="103" t="e">
        <f t="shared" si="44"/>
        <v>#REF!</v>
      </c>
    </row>
    <row r="176" spans="1:26" x14ac:dyDescent="0.25">
      <c r="A176" s="194" t="s">
        <v>14</v>
      </c>
      <c r="B176" s="194"/>
      <c r="C176" s="194">
        <f>IF(COUNTIFS('Resultater - Danmark'!$D$3:$D$482,'Resultat-Produktion &amp; forbrug'!A176,'Resultater - Danmark'!$A$3:$A$482,"Til energi")+COUNTIFS('Resultater - Danmark'!$D$3:$D$482,'Resultat-Produktion &amp; forbrug'!A176,'Resultater - Danmark'!$A$3:$A$482,"Biogasanlæg")&gt;0,1,0)</f>
        <v>0</v>
      </c>
      <c r="D176" s="194">
        <f t="shared" si="47"/>
        <v>2019</v>
      </c>
      <c r="E176" s="192" t="s">
        <v>24</v>
      </c>
      <c r="F176" s="195">
        <f>IF(E176="Vestdanmark",SUMIFS(IF(D176=År1,'Resultater - Vestdanmark'!H$3:H$482,IF(D176=År2,'Resultater - Vestdanmark'!I$3:I$482,'Resultater - Vestdanmark'!J$3:J$482)),'Resultater - Vestdanmark'!$F$3:$F$482,$A176,IF(D176=År1,'Resultater - Vestdanmark'!H$3:H$482,IF(D176=År2,'Resultater - Vestdanmark'!I$3:I$482,'Resultater - Vestdanmark'!J$3:J$482)),"&gt;0"),SUMIFS(IF(D176=År1,'Resultater - Østdanmark'!H$3:H$482,IF(D176=År2,'Resultater - Østdanmark'!I$3:I$482,'Resultater - Østdanmark'!J$3:J$482)),'Resultater - Østdanmark'!$F$3:$F$482,$A176,IF(D176=År1,'Resultater - Østdanmark'!H$3:H$482,IF(D176=År2,'Resultater - Østdanmark'!I$3:I$482,'Resultater - Østdanmark'!J$3:J$482)),"&gt;0"))</f>
        <v>0</v>
      </c>
      <c r="G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92">
        <f>IF(E176="Vestdanmark",-IF(A176="Halm",SUMIFS(IF(D176=År1,'Resultater - Vestdanmark'!H$3:H$482,IF(D176=År2,'Resultater - Vestdanmark'!I$3:I$482,'Resultater - Vestdanmark'!J$3:J$482)),'Resultater - Vestdanmark'!$F$3:$F$482,$A176,'Resultater - Vestdanmark'!H$3:H$482,"&lt;0"),0),-IF(A176="Halm",SUMIFS(IF(D176=År1,'Resultater - Østdanmark'!H$3:H$482,IF(D176=År2,'Resultater - Østdanmark'!I$3:I$482,'Resultater - Østdanmark'!J$3:J$482)),'Resultater - Østdanmark'!$F$3:$F$482,$A176,'Resultater - Østdanmark'!H$3:H$482,"&lt;0"),0))</f>
        <v>0</v>
      </c>
      <c r="I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5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7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4">
        <f t="shared" si="48"/>
        <v>-49527.399127557059</v>
      </c>
      <c r="O176" s="195">
        <f t="shared" si="39"/>
        <v>0</v>
      </c>
      <c r="P176" s="205">
        <f t="shared" si="49"/>
        <v>0</v>
      </c>
      <c r="Q176" s="192">
        <f>IFERROR(VLOOKUP(A176,[1]Energiindhold!$A$2:$C$11,3,FALSE),IFERROR(VLOOKUP(A176,[1]Biogasudbytte!$A$2:$B$18,2,FALSE)*[1]Energiindhold!$C$10,0))*O176</f>
        <v>0</v>
      </c>
      <c r="R176" s="192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92">
        <f>IFERROR(VLOOKUP(A176,[1]Biogasudbytte!$A$2:$B$18,2,FALSE)*[1]Energiindhold!$C$10,0)*J176*IFERROR(VLOOKUP(A176,Biogasanlæg!$F$3:$G$8,2,FALSE),1)</f>
        <v>0</v>
      </c>
      <c r="T176" s="193">
        <f t="shared" si="50"/>
        <v>0</v>
      </c>
      <c r="U176" s="191">
        <f>O176*IFERROR(VLOOKUP(A176,[1]Tørstofindhold!A$2:B$24,2,FALSE),0)</f>
        <v>0</v>
      </c>
      <c r="V176" s="192">
        <f>IF(D176=År1,P176,SUM(O176,P176))*IFERROR(VLOOKUP(A176,[1]Tørstofindhold!A$2:B$24,2,FALSE),0)</f>
        <v>0</v>
      </c>
      <c r="W176" s="192">
        <f>J176*IFERROR(VLOOKUP(A176,[1]Tørstofindhold!A$2:B$24,2,FALSE),0)</f>
        <v>0</v>
      </c>
      <c r="X176" s="193">
        <f t="shared" si="51"/>
        <v>0</v>
      </c>
      <c r="Y176" s="171">
        <f t="shared" si="43"/>
        <v>1</v>
      </c>
      <c r="Z176" s="103">
        <f t="shared" si="44"/>
        <v>0</v>
      </c>
    </row>
    <row r="177" spans="1:26" x14ac:dyDescent="0.25">
      <c r="A177" s="194" t="s">
        <v>55</v>
      </c>
      <c r="B177" s="194"/>
      <c r="C177" s="194">
        <f>IF(COUNTIFS('Resultater - Danmark'!$D$3:$D$482,'Resultat-Produktion &amp; forbrug'!A177,'Resultater - Danmark'!$A$3:$A$482,"Til energi")+COUNTIFS('Resultater - Danmark'!$D$3:$D$482,'Resultat-Produktion &amp; forbrug'!A177,'Resultater - Danmark'!$A$3:$A$482,"Biogasanlæg")&gt;0,1,0)</f>
        <v>0</v>
      </c>
      <c r="D177" s="194">
        <f t="shared" si="47"/>
        <v>2019</v>
      </c>
      <c r="E177" s="192" t="s">
        <v>24</v>
      </c>
      <c r="F177" s="195">
        <f>IF(E177="Vestdanmark",SUMIFS(IF(D177=År1,'Resultater - Vestdanmark'!H$3:H$482,IF(D177=År2,'Resultater - Vestdanmark'!I$3:I$482,'Resultater - Vestdanmark'!J$3:J$482)),'Resultater - Vestdanmark'!$F$3:$F$482,$A177,IF(D177=År1,'Resultater - Vestdanmark'!H$3:H$482,IF(D177=År2,'Resultater - Vestdanmark'!I$3:I$482,'Resultater - Vestdanmark'!J$3:J$482)),"&gt;0"),SUMIFS(IF(D177=År1,'Resultater - Østdanmark'!H$3:H$482,IF(D177=År2,'Resultater - Østdanmark'!I$3:I$482,'Resultater - Østdanmark'!J$3:J$482)),'Resultater - Østdanmark'!$F$3:$F$482,$A177,IF(D177=År1,'Resultater - Østdanmark'!H$3:H$482,IF(D177=År2,'Resultater - Østdanmark'!I$3:I$482,'Resultater - Østdanmark'!J$3:J$482)),"&gt;0"))</f>
        <v>0</v>
      </c>
      <c r="G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92">
        <f>IF(E177="Vestdanmark",-IF(A177="Halm",SUMIFS(IF(D177=År1,'Resultater - Vestdanmark'!H$3:H$482,IF(D177=År2,'Resultater - Vestdanmark'!I$3:I$482,'Resultater - Vestdanmark'!J$3:J$482)),'Resultater - Vestdanmark'!$F$3:$F$482,$A177,'Resultater - Vestdanmark'!H$3:H$482,"&lt;0"),0),-IF(A177="Halm",SUMIFS(IF(D177=År1,'Resultater - Østdanmark'!H$3:H$482,IF(D177=År2,'Resultater - Østdanmark'!I$3:I$482,'Resultater - Østdanmark'!J$3:J$482)),'Resultater - Østdanmark'!$F$3:$F$482,$A177,'Resultater - Østdanmark'!H$3:H$482,"&lt;0"),0))</f>
        <v>0</v>
      </c>
      <c r="I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5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7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4">
        <f t="shared" si="48"/>
        <v>0</v>
      </c>
      <c r="O177" s="195">
        <f t="shared" si="39"/>
        <v>0</v>
      </c>
      <c r="P177" s="205">
        <f t="shared" si="49"/>
        <v>0</v>
      </c>
      <c r="Q177" s="192">
        <f>IFERROR(VLOOKUP(A177,[1]Energiindhold!$A$2:$C$11,3,FALSE),IFERROR(VLOOKUP(A177,[1]Biogasudbytte!$A$2:$B$18,2,FALSE)*[1]Energiindhold!$C$10,0))*O177</f>
        <v>0</v>
      </c>
      <c r="R177" s="192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92">
        <f>IFERROR(VLOOKUP(A177,[1]Biogasudbytte!$A$2:$B$18,2,FALSE)*[1]Energiindhold!$C$10,0)*J177*IFERROR(VLOOKUP(A177,Biogasanlæg!$F$3:$G$8,2,FALSE),1)</f>
        <v>0</v>
      </c>
      <c r="T177" s="193">
        <f t="shared" si="50"/>
        <v>0</v>
      </c>
      <c r="U177" s="191">
        <f>O177*IFERROR(VLOOKUP(A177,[1]Tørstofindhold!A$2:B$24,2,FALSE),0)</f>
        <v>0</v>
      </c>
      <c r="V177" s="192">
        <f>IF(D177=År1,P177,SUM(O177,P177))*IFERROR(VLOOKUP(A177,[1]Tørstofindhold!A$2:B$24,2,FALSE),0)</f>
        <v>0</v>
      </c>
      <c r="W177" s="192">
        <f>J177*IFERROR(VLOOKUP(A177,[1]Tørstofindhold!A$2:B$24,2,FALSE),0)</f>
        <v>0</v>
      </c>
      <c r="X177" s="193">
        <f t="shared" si="51"/>
        <v>0</v>
      </c>
      <c r="Y177" s="171">
        <f t="shared" si="43"/>
        <v>0</v>
      </c>
      <c r="Z177" s="103">
        <f t="shared" si="44"/>
        <v>0</v>
      </c>
    </row>
    <row r="178" spans="1:26" x14ac:dyDescent="0.25">
      <c r="A178" s="194" t="s">
        <v>96</v>
      </c>
      <c r="B178" s="194" t="s">
        <v>227</v>
      </c>
      <c r="C178" s="194">
        <f>IF(COUNTIFS('Resultater - Danmark'!$D$3:$D$482,'Resultat-Produktion &amp; forbrug'!A178,'Resultater - Danmark'!$A$3:$A$482,"Til energi")+COUNTIFS('Resultater - Danmark'!$D$3:$D$482,'Resultat-Produktion &amp; forbrug'!A178,'Resultater - Danmark'!$A$3:$A$482,"Biogasanlæg")&gt;0,1,0)</f>
        <v>1</v>
      </c>
      <c r="D178" s="194">
        <f t="shared" si="47"/>
        <v>2019</v>
      </c>
      <c r="E178" s="192" t="s">
        <v>24</v>
      </c>
      <c r="F178" s="195">
        <f>IF(E178="Vestdanmark",SUMIFS(IF(D178=År1,'Resultater - Vestdanmark'!H$3:H$482,IF(D178=År2,'Resultater - Vestdanmark'!I$3:I$482,'Resultater - Vestdanmark'!J$3:J$482)),'Resultater - Vestdanmark'!$F$3:$F$482,$A178,IF(D178=År1,'Resultater - Vestdanmark'!H$3:H$482,IF(D178=År2,'Resultater - Vestdanmark'!I$3:I$482,'Resultater - Vestdanmark'!J$3:J$482)),"&gt;0"),SUMIFS(IF(D178=År1,'Resultater - Østdanmark'!H$3:H$482,IF(D178=År2,'Resultater - Østdanmark'!I$3:I$482,'Resultater - Østdanmark'!J$3:J$482)),'Resultater - Østdanmark'!$F$3:$F$482,$A178,IF(D178=År1,'Resultater - Østdanmark'!H$3:H$482,IF(D178=År2,'Resultater - Østdanmark'!I$3:I$482,'Resultater - Østdanmark'!J$3:J$482)),"&gt;0"))</f>
        <v>0</v>
      </c>
      <c r="G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92">
        <f>IF(E178="Vestdanmark",-IF(A178="Halm",SUMIFS(IF(D178=År1,'Resultater - Vestdanmark'!H$3:H$482,IF(D178=År2,'Resultater - Vestdanmark'!I$3:I$482,'Resultater - Vestdanmark'!J$3:J$482)),'Resultater - Vestdanmark'!$F$3:$F$482,$A178,'Resultater - Vestdanmark'!H$3:H$482,"&lt;0"),0),-IF(A178="Halm",SUMIFS(IF(D178=År1,'Resultater - Østdanmark'!H$3:H$482,IF(D178=År2,'Resultater - Østdanmark'!I$3:I$482,'Resultater - Østdanmark'!J$3:J$482)),'Resultater - Østdanmark'!$F$3:$F$482,$A178,'Resultater - Østdanmark'!H$3:H$482,"&lt;0"),0))</f>
        <v>0</v>
      </c>
      <c r="I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5" t="e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#REF!</v>
      </c>
      <c r="M178" s="157" t="e">
        <f>SUMIFS('Forbrug af biomasse'!E:E,'Forbrug af biomasse'!C:C,'Resultat-Produktion &amp; forbrug'!$A178,'Forbrug af biomasse'!D:D,'Resultat-Produktion &amp; forbrug'!$D178,'Forbrug af biomasse'!G:G,1,'Forbrug af biomasse'!B:B,$E178)</f>
        <v>#REF!</v>
      </c>
      <c r="N178" s="204" t="e">
        <f t="shared" si="48"/>
        <v>#REF!</v>
      </c>
      <c r="O178" s="195" t="e">
        <f t="shared" si="39"/>
        <v>#REF!</v>
      </c>
      <c r="P178" s="205" t="e">
        <f t="shared" si="49"/>
        <v>#REF!</v>
      </c>
      <c r="Q178" s="192" t="e">
        <f>IFERROR(VLOOKUP(A178,[1]Energiindhold!$A$2:$C$11,3,FALSE),IFERROR(VLOOKUP(A178,[1]Biogasudbytte!$A$2:$B$18,2,FALSE)*[1]Energiindhold!$C$10,0))*O178</f>
        <v>#REF!</v>
      </c>
      <c r="R178" s="192" t="e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#REF!</v>
      </c>
      <c r="S178" s="192">
        <f>IFERROR(VLOOKUP(A178,[1]Biogasudbytte!$A$2:$B$18,2,FALSE)*[1]Energiindhold!$C$10,0)*J178*IFERROR(VLOOKUP(A178,Biogasanlæg!$F$3:$G$8,2,FALSE),1)</f>
        <v>0</v>
      </c>
      <c r="T178" s="193" t="e">
        <f t="shared" si="50"/>
        <v>#REF!</v>
      </c>
      <c r="U178" s="191" t="e">
        <f>O178*IFERROR(VLOOKUP(A178,[1]Tørstofindhold!A$2:B$24,2,FALSE),0)</f>
        <v>#REF!</v>
      </c>
      <c r="V178" s="192" t="e">
        <f>IF(D178=År1,P178,SUM(O178,P178))*IFERROR(VLOOKUP(A178,[1]Tørstofindhold!A$2:B$24,2,FALSE),0)</f>
        <v>#REF!</v>
      </c>
      <c r="W178" s="192">
        <f>J178*IFERROR(VLOOKUP(A178,[1]Tørstofindhold!A$2:B$24,2,FALSE),0)</f>
        <v>0</v>
      </c>
      <c r="X178" s="193" t="e">
        <f t="shared" si="51"/>
        <v>#REF!</v>
      </c>
      <c r="Y178" s="171" t="e">
        <f t="shared" si="43"/>
        <v>#REF!</v>
      </c>
      <c r="Z178" s="103" t="e">
        <f t="shared" si="44"/>
        <v>#REF!</v>
      </c>
    </row>
    <row r="179" spans="1:26" x14ac:dyDescent="0.25">
      <c r="A179" s="194" t="s">
        <v>316</v>
      </c>
      <c r="B179" s="194" t="s">
        <v>322</v>
      </c>
      <c r="C179" s="194">
        <f>IF(COUNTIFS('Resultater - Danmark'!$D$3:$D$482,'Resultat-Produktion &amp; forbrug'!A179,'Resultater - Danmark'!$A$3:$A$482,"Til energi")+COUNTIFS('Resultater - Danmark'!$D$3:$D$482,'Resultat-Produktion &amp; forbrug'!A179,'Resultater - Danmark'!$A$3:$A$482,"Biogasanlæg")&gt;0,1,0)</f>
        <v>1</v>
      </c>
      <c r="D179" s="194">
        <f t="shared" si="47"/>
        <v>2019</v>
      </c>
      <c r="E179" s="192" t="s">
        <v>24</v>
      </c>
      <c r="F179" s="195">
        <f>IF(E179="Vestdanmark",SUMIFS(IF(D179=År1,'Resultater - Vestdanmark'!H$3:H$482,IF(D179=År2,'Resultater - Vestdanmark'!I$3:I$482,'Resultater - Vestdanmark'!J$3:J$482)),'Resultater - Vestdanmark'!$F$3:$F$482,$A179,IF(D179=År1,'Resultater - Vestdanmark'!H$3:H$482,IF(D179=År2,'Resultater - Vestdanmark'!I$3:I$482,'Resultater - Vestdanmark'!J$3:J$482)),"&gt;0"),SUMIFS(IF(D179=År1,'Resultater - Østdanmark'!H$3:H$482,IF(D179=År2,'Resultater - Østdanmark'!I$3:I$482,'Resultater - Østdanmark'!J$3:J$482)),'Resultater - Østdanmark'!$F$3:$F$482,$A179,IF(D179=År1,'Resultater - Østdanmark'!H$3:H$482,IF(D179=År2,'Resultater - Østdanmark'!I$3:I$482,'Resultater - Østdanmark'!J$3:J$482)),"&gt;0"))</f>
        <v>0</v>
      </c>
      <c r="G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92">
        <f>IF(E179="Vestdanmark",-IF(A179="Halm",SUMIFS(IF(D179=År1,'Resultater - Vestdanmark'!H$3:H$482,IF(D179=År2,'Resultater - Vestdanmark'!I$3:I$482,'Resultater - Vestdanmark'!J$3:J$482)),'Resultater - Vestdanmark'!$F$3:$F$482,$A179,'Resultater - Vestdanmark'!H$3:H$482,"&lt;0"),0),-IF(A179="Halm",SUMIFS(IF(D179=År1,'Resultater - Østdanmark'!H$3:H$482,IF(D179=År2,'Resultater - Østdanmark'!I$3:I$482,'Resultater - Østdanmark'!J$3:J$482)),'Resultater - Østdanmark'!$F$3:$F$482,$A179,'Resultater - Østdanmark'!H$3:H$482,"&lt;0"),0))</f>
        <v>0</v>
      </c>
      <c r="I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5" t="e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#REF!</v>
      </c>
      <c r="M179" s="157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4" t="e">
        <f t="shared" ref="N179:N180" si="52">F179-SUM(G179:M179)</f>
        <v>#REF!</v>
      </c>
      <c r="O179" s="195" t="e">
        <f t="shared" si="39"/>
        <v>#REF!</v>
      </c>
      <c r="P179" s="205" t="e">
        <f t="shared" ref="P179:P180" si="53">SUM(J179,L179)</f>
        <v>#REF!</v>
      </c>
      <c r="Q179" s="192" t="e">
        <f>IFERROR(VLOOKUP(A179,[1]Energiindhold!$A$2:$C$11,3,FALSE),IFERROR(VLOOKUP(A179,[1]Biogasudbytte!$A$2:$B$18,2,FALSE)*[1]Energiindhold!$C$10,0))*O179</f>
        <v>#REF!</v>
      </c>
      <c r="R179" s="192" t="e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#REF!</v>
      </c>
      <c r="S179" s="192">
        <f>IFERROR(VLOOKUP(A179,[1]Biogasudbytte!$A$2:$B$18,2,FALSE)*[1]Energiindhold!$C$10,0)*J179*IFERROR(VLOOKUP(A179,Biogasanlæg!$F$3:$G$8,2,FALSE),1)</f>
        <v>0</v>
      </c>
      <c r="T179" s="193" t="e">
        <f t="shared" ref="T179:T180" si="54">R179-S179</f>
        <v>#REF!</v>
      </c>
      <c r="U179" s="191" t="e">
        <f>O179*IFERROR(VLOOKUP(A179,[1]Tørstofindhold!A$2:B$24,2,FALSE),0)</f>
        <v>#REF!</v>
      </c>
      <c r="V179" s="192" t="e">
        <f>IF(D179=År1,P179,SUM(O179,P179))*IFERROR(VLOOKUP(A179,[1]Tørstofindhold!A$2:B$24,2,FALSE),0)</f>
        <v>#REF!</v>
      </c>
      <c r="W179" s="192">
        <f>J179*IFERROR(VLOOKUP(A179,[1]Tørstofindhold!A$2:B$24,2,FALSE),0)</f>
        <v>0</v>
      </c>
      <c r="X179" s="193" t="e">
        <f t="shared" ref="X179:X180" si="55">V179-W179</f>
        <v>#REF!</v>
      </c>
      <c r="Y179" s="171" t="e">
        <f t="shared" si="43"/>
        <v>#REF!</v>
      </c>
      <c r="Z179" s="103" t="e">
        <f t="shared" si="44"/>
        <v>#REF!</v>
      </c>
    </row>
    <row r="180" spans="1:26" x14ac:dyDescent="0.25">
      <c r="A180" s="194" t="s">
        <v>317</v>
      </c>
      <c r="B180" s="194" t="s">
        <v>322</v>
      </c>
      <c r="C180" s="194">
        <f>IF(COUNTIFS('Resultater - Danmark'!$D$3:$D$482,'Resultat-Produktion &amp; forbrug'!A180,'Resultater - Danmark'!$A$3:$A$482,"Til energi")+COUNTIFS('Resultater - Danmark'!$D$3:$D$482,'Resultat-Produktion &amp; forbrug'!A180,'Resultater - Danmark'!$A$3:$A$482,"Biogasanlæg")&gt;0,1,0)</f>
        <v>1</v>
      </c>
      <c r="D180" s="194">
        <f t="shared" si="47"/>
        <v>2019</v>
      </c>
      <c r="E180" s="192" t="s">
        <v>24</v>
      </c>
      <c r="F180" s="195">
        <f>IF(E180="Vestdanmark",SUMIFS(IF(D180=År1,'Resultater - Vestdanmark'!H$3:H$482,IF(D180=År2,'Resultater - Vestdanmark'!I$3:I$482,'Resultater - Vestdanmark'!J$3:J$482)),'Resultater - Vestdanmark'!$F$3:$F$482,$A180,IF(D180=År1,'Resultater - Vestdanmark'!H$3:H$482,IF(D180=År2,'Resultater - Vestdanmark'!I$3:I$482,'Resultater - Vestdanmark'!J$3:J$482)),"&gt;0"),SUMIFS(IF(D180=År1,'Resultater - Østdanmark'!H$3:H$482,IF(D180=År2,'Resultater - Østdanmark'!I$3:I$482,'Resultater - Østdanmark'!J$3:J$482)),'Resultater - Østdanmark'!$F$3:$F$482,$A180,IF(D180=År1,'Resultater - Østdanmark'!H$3:H$482,IF(D180=År2,'Resultater - Østdanmark'!I$3:I$482,'Resultater - Østdanmark'!J$3:J$482)),"&gt;0"))</f>
        <v>0</v>
      </c>
      <c r="G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92">
        <f>IF(E180="Vestdanmark",-IF(A180="Halm",SUMIFS(IF(D180=År1,'Resultater - Vestdanmark'!H$3:H$482,IF(D180=År2,'Resultater - Vestdanmark'!I$3:I$482,'Resultater - Vestdanmark'!J$3:J$482)),'Resultater - Vestdanmark'!$F$3:$F$482,$A180,'Resultater - Vestdanmark'!H$3:H$482,"&lt;0"),0),-IF(A180="Halm",SUMIFS(IF(D180=År1,'Resultater - Østdanmark'!H$3:H$482,IF(D180=År2,'Resultater - Østdanmark'!I$3:I$482,'Resultater - Østdanmark'!J$3:J$482)),'Resultater - Østdanmark'!$F$3:$F$482,$A180,'Resultater - Østdanmark'!H$3:H$482,"&lt;0"),0))</f>
        <v>0</v>
      </c>
      <c r="I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5" t="e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#REF!</v>
      </c>
      <c r="M180" s="157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4" t="e">
        <f t="shared" si="52"/>
        <v>#REF!</v>
      </c>
      <c r="O180" s="195" t="e">
        <f t="shared" si="39"/>
        <v>#REF!</v>
      </c>
      <c r="P180" s="205" t="e">
        <f t="shared" si="53"/>
        <v>#REF!</v>
      </c>
      <c r="Q180" s="192" t="e">
        <f>IFERROR(VLOOKUP(A180,[1]Energiindhold!$A$2:$C$11,3,FALSE),IFERROR(VLOOKUP(A180,[1]Biogasudbytte!$A$2:$B$18,2,FALSE)*[1]Energiindhold!$C$10,0))*O180</f>
        <v>#REF!</v>
      </c>
      <c r="R180" s="192" t="e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#REF!</v>
      </c>
      <c r="S180" s="192">
        <f>IFERROR(VLOOKUP(A180,[1]Biogasudbytte!$A$2:$B$18,2,FALSE)*[1]Energiindhold!$C$10,0)*J180*IFERROR(VLOOKUP(A180,Biogasanlæg!$F$3:$G$8,2,FALSE),1)</f>
        <v>0</v>
      </c>
      <c r="T180" s="193" t="e">
        <f t="shared" si="54"/>
        <v>#REF!</v>
      </c>
      <c r="U180" s="191" t="e">
        <f>O180*IFERROR(VLOOKUP(A180,[1]Tørstofindhold!A$2:B$24,2,FALSE),0)</f>
        <v>#REF!</v>
      </c>
      <c r="V180" s="192" t="e">
        <f>IF(D180=År1,P180,SUM(O180,P180))*IFERROR(VLOOKUP(A180,[1]Tørstofindhold!A$2:B$24,2,FALSE),0)</f>
        <v>#REF!</v>
      </c>
      <c r="W180" s="192">
        <f>J180*IFERROR(VLOOKUP(A180,[1]Tørstofindhold!A$2:B$24,2,FALSE),0)</f>
        <v>0</v>
      </c>
      <c r="X180" s="193" t="e">
        <f t="shared" si="55"/>
        <v>#REF!</v>
      </c>
      <c r="Y180" s="171" t="e">
        <f t="shared" si="43"/>
        <v>#REF!</v>
      </c>
      <c r="Z180" s="103" t="e">
        <f t="shared" si="44"/>
        <v>#REF!</v>
      </c>
    </row>
    <row r="181" spans="1:26" x14ac:dyDescent="0.25">
      <c r="A181" s="194" t="s">
        <v>118</v>
      </c>
      <c r="B181" s="194"/>
      <c r="C181" s="194">
        <f>IF(COUNTIFS('Resultater - Danmark'!$D$3:$D$482,'Resultat-Produktion &amp; forbrug'!A181,'Resultater - Danmark'!$A$3:$A$482,"Til energi")+COUNTIFS('Resultater - Danmark'!$D$3:$D$482,'Resultat-Produktion &amp; forbrug'!A181,'Resultater - Danmark'!$A$3:$A$482,"Biogasanlæg")&gt;0,1,0)</f>
        <v>0</v>
      </c>
      <c r="D181" s="194">
        <f t="shared" si="47"/>
        <v>2019</v>
      </c>
      <c r="E181" s="192" t="s">
        <v>24</v>
      </c>
      <c r="F181" s="195">
        <f>IF(E181="Vestdanmark",SUMIFS(IF(D181=År1,'Resultater - Vestdanmark'!H$3:H$482,IF(D181=År2,'Resultater - Vestdanmark'!I$3:I$482,'Resultater - Vestdanmark'!J$3:J$482)),'Resultater - Vestdanmark'!$F$3:$F$482,$A181,IF(D181=År1,'Resultater - Vestdanmark'!H$3:H$482,IF(D181=År2,'Resultater - Vestdanmark'!I$3:I$482,'Resultater - Vestdanmark'!J$3:J$482)),"&gt;0"),SUMIFS(IF(D181=År1,'Resultater - Østdanmark'!H$3:H$482,IF(D181=År2,'Resultater - Østdanmark'!I$3:I$482,'Resultater - Østdanmark'!J$3:J$482)),'Resultater - Østdanmark'!$F$3:$F$482,$A181,IF(D181=År1,'Resultater - Østdanmark'!H$3:H$482,IF(D181=År2,'Resultater - Østdanmark'!I$3:I$482,'Resultater - Østdanmark'!J$3:J$482)),"&gt;0"))</f>
        <v>0</v>
      </c>
      <c r="G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92">
        <f>IF(E181="Vestdanmark",-IF(A181="Halm",SUMIFS(IF(D181=År1,'Resultater - Vestdanmark'!H$3:H$482,IF(D181=År2,'Resultater - Vestdanmark'!I$3:I$482,'Resultater - Vestdanmark'!J$3:J$482)),'Resultater - Vestdanmark'!$F$3:$F$482,$A181,'Resultater - Vestdanmark'!H$3:H$482,"&lt;0"),0),-IF(A181="Halm",SUMIFS(IF(D181=År1,'Resultater - Østdanmark'!H$3:H$482,IF(D181=År2,'Resultater - Østdanmark'!I$3:I$482,'Resultater - Østdanmark'!J$3:J$482)),'Resultater - Østdanmark'!$F$3:$F$482,$A181,'Resultater - Østdanmark'!H$3:H$482,"&lt;0"),0))</f>
        <v>0</v>
      </c>
      <c r="I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5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7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4">
        <f t="shared" si="48"/>
        <v>0</v>
      </c>
      <c r="O181" s="195">
        <f t="shared" si="39"/>
        <v>0</v>
      </c>
      <c r="P181" s="205">
        <f t="shared" si="49"/>
        <v>0</v>
      </c>
      <c r="Q181" s="192">
        <f>IFERROR(VLOOKUP(A181,[1]Energiindhold!$A$2:$C$11,3,FALSE),IFERROR(VLOOKUP(A181,[1]Biogasudbytte!$A$2:$B$18,2,FALSE)*[1]Energiindhold!$C$10,0))*O181</f>
        <v>0</v>
      </c>
      <c r="R181" s="192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92">
        <f>IFERROR(VLOOKUP(A181,[1]Biogasudbytte!$A$2:$B$18,2,FALSE)*[1]Energiindhold!$C$10,0)*J181*IFERROR(VLOOKUP(A181,Biogasanlæg!$F$3:$G$8,2,FALSE),1)</f>
        <v>0</v>
      </c>
      <c r="T181" s="193">
        <f t="shared" si="50"/>
        <v>0</v>
      </c>
      <c r="U181" s="191">
        <f>O181*IFERROR(VLOOKUP(A181,[1]Tørstofindhold!A$2:B$24,2,FALSE),0)</f>
        <v>0</v>
      </c>
      <c r="V181" s="192">
        <f>IF(D181=År1,P181,SUM(O181,P181))*IFERROR(VLOOKUP(A181,[1]Tørstofindhold!A$2:B$24,2,FALSE),0)</f>
        <v>0</v>
      </c>
      <c r="W181" s="192">
        <f>J181*IFERROR(VLOOKUP(A181,[1]Tørstofindhold!A$2:B$24,2,FALSE),0)</f>
        <v>0</v>
      </c>
      <c r="X181" s="193">
        <f t="shared" si="51"/>
        <v>0</v>
      </c>
      <c r="Y181" s="171">
        <f t="shared" si="43"/>
        <v>0</v>
      </c>
      <c r="Z181" s="103">
        <f t="shared" si="44"/>
        <v>0</v>
      </c>
    </row>
    <row r="182" spans="1:26" x14ac:dyDescent="0.25">
      <c r="A182" s="192" t="s">
        <v>50</v>
      </c>
      <c r="B182" s="194"/>
      <c r="C182" s="194">
        <f>IF(COUNTIFS('Resultater - Danmark'!$D$3:$D$482,'Resultat-Produktion &amp; forbrug'!A182,'Resultater - Danmark'!$A$3:$A$482,"Til energi")+COUNTIFS('Resultater - Danmark'!$D$3:$D$482,'Resultat-Produktion &amp; forbrug'!A182,'Resultater - Danmark'!$A$3:$A$482,"Biogasanlæg")&gt;0,1,0)</f>
        <v>0</v>
      </c>
      <c r="D182" s="194">
        <f t="shared" si="47"/>
        <v>2019</v>
      </c>
      <c r="E182" s="192" t="s">
        <v>24</v>
      </c>
      <c r="F182" s="195">
        <f>IF(E182="Vestdanmark",SUMIFS(IF(D182=År1,'Resultater - Vestdanmark'!H$3:H$482,IF(D182=År2,'Resultater - Vestdanmark'!I$3:I$482,'Resultater - Vestdanmark'!J$3:J$482)),'Resultater - Vestdanmark'!$F$3:$F$482,$A182,IF(D182=År1,'Resultater - Vestdanmark'!H$3:H$482,IF(D182=År2,'Resultater - Vestdanmark'!I$3:I$482,'Resultater - Vestdanmark'!J$3:J$482)),"&gt;0"),SUMIFS(IF(D182=År1,'Resultater - Østdanmark'!H$3:H$482,IF(D182=År2,'Resultater - Østdanmark'!I$3:I$482,'Resultater - Østdanmark'!J$3:J$482)),'Resultater - Østdanmark'!$F$3:$F$482,$A182,IF(D182=År1,'Resultater - Østdanmark'!H$3:H$482,IF(D182=År2,'Resultater - Østdanmark'!I$3:I$482,'Resultater - Østdanmark'!J$3:J$482)),"&gt;0"))</f>
        <v>0</v>
      </c>
      <c r="G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92">
        <f>IF(E182="Vestdanmark",-IF(A182="Halm",SUMIFS(IF(D182=År1,'Resultater - Vestdanmark'!H$3:H$482,IF(D182=År2,'Resultater - Vestdanmark'!I$3:I$482,'Resultater - Vestdanmark'!J$3:J$482)),'Resultater - Vestdanmark'!$F$3:$F$482,$A182,'Resultater - Vestdanmark'!H$3:H$482,"&lt;0"),0),-IF(A182="Halm",SUMIFS(IF(D182=År1,'Resultater - Østdanmark'!H$3:H$482,IF(D182=År2,'Resultater - Østdanmark'!I$3:I$482,'Resultater - Østdanmark'!J$3:J$482)),'Resultater - Østdanmark'!$F$3:$F$482,$A182,'Resultater - Østdanmark'!H$3:H$482,"&lt;0"),0))</f>
        <v>0</v>
      </c>
      <c r="I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5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7" t="e">
        <f>SUMIFS('Forbrug af biomasse'!E:E,'Forbrug af biomasse'!C:C,'Resultat-Produktion &amp; forbrug'!$A182,'Forbrug af biomasse'!D:D,'Resultat-Produktion &amp; forbrug'!$D182,'Forbrug af biomasse'!G:G,1,'Forbrug af biomasse'!B:B,$E182)</f>
        <v>#REF!</v>
      </c>
      <c r="N182" s="204" t="e">
        <f t="shared" si="48"/>
        <v>#REF!</v>
      </c>
      <c r="O182" s="195">
        <f t="shared" si="39"/>
        <v>0</v>
      </c>
      <c r="P182" s="205">
        <f t="shared" si="49"/>
        <v>0</v>
      </c>
      <c r="Q182" s="192">
        <f>IFERROR(VLOOKUP(A182,[1]Energiindhold!$A$2:$C$11,3,FALSE),IFERROR(VLOOKUP(A182,[1]Biogasudbytte!$A$2:$B$18,2,FALSE)*[1]Energiindhold!$C$10,0))*O182</f>
        <v>0</v>
      </c>
      <c r="R182" s="192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92">
        <f>IFERROR(VLOOKUP(A182,[1]Biogasudbytte!$A$2:$B$18,2,FALSE)*[1]Energiindhold!$C$10,0)*J182*IFERROR(VLOOKUP(A182,Biogasanlæg!$F$3:$G$8,2,FALSE),1)</f>
        <v>0</v>
      </c>
      <c r="T182" s="193">
        <f t="shared" si="50"/>
        <v>0</v>
      </c>
      <c r="U182" s="191">
        <f>O182*IFERROR(VLOOKUP(A182,[1]Tørstofindhold!A$2:B$24,2,FALSE),0)</f>
        <v>0</v>
      </c>
      <c r="V182" s="192">
        <f>IF(D182=År1,P182,SUM(O182,P182))*IFERROR(VLOOKUP(A182,[1]Tørstofindhold!A$2:B$24,2,FALSE),0)</f>
        <v>0</v>
      </c>
      <c r="W182" s="192">
        <f>J182*IFERROR(VLOOKUP(A182,[1]Tørstofindhold!A$2:B$24,2,FALSE),0)</f>
        <v>0</v>
      </c>
      <c r="X182" s="193">
        <f t="shared" si="51"/>
        <v>0</v>
      </c>
      <c r="Y182" s="171" t="e">
        <f t="shared" si="43"/>
        <v>#REF!</v>
      </c>
      <c r="Z182" s="103" t="e">
        <f t="shared" si="44"/>
        <v>#REF!</v>
      </c>
    </row>
    <row r="183" spans="1:26" x14ac:dyDescent="0.25">
      <c r="A183" s="192" t="s">
        <v>240</v>
      </c>
      <c r="B183" s="194"/>
      <c r="C183" s="194">
        <f>IF(COUNTIFS('Resultater - Danmark'!$D$3:$D$482,'Resultat-Produktion &amp; forbrug'!A183,'Resultater - Danmark'!$A$3:$A$482,"Til energi")+COUNTIFS('Resultater - Danmark'!$D$3:$D$482,'Resultat-Produktion &amp; forbrug'!A183,'Resultater - Danmark'!$A$3:$A$482,"Biogasanlæg")&gt;0,1,0)</f>
        <v>0</v>
      </c>
      <c r="D183" s="194">
        <f t="shared" si="47"/>
        <v>2019</v>
      </c>
      <c r="E183" s="192" t="s">
        <v>24</v>
      </c>
      <c r="F183" s="195">
        <f>IF(E183="Vestdanmark",SUMIFS(IF(D183=År1,'Resultater - Vestdanmark'!H$3:H$482,IF(D183=År2,'Resultater - Vestdanmark'!I$3:I$482,'Resultater - Vestdanmark'!J$3:J$482)),'Resultater - Vestdanmark'!$F$3:$F$482,$A183,IF(D183=År1,'Resultater - Vestdanmark'!H$3:H$482,IF(D183=År2,'Resultater - Vestdanmark'!I$3:I$482,'Resultater - Vestdanmark'!J$3:J$482)),"&gt;0"),SUMIFS(IF(D183=År1,'Resultater - Østdanmark'!H$3:H$482,IF(D183=År2,'Resultater - Østdanmark'!I$3:I$482,'Resultater - Østdanmark'!J$3:J$482)),'Resultater - Østdanmark'!$F$3:$F$482,$A183,IF(D183=År1,'Resultater - Østdanmark'!H$3:H$482,IF(D183=År2,'Resultater - Østdanmark'!I$3:I$482,'Resultater - Østdanmark'!J$3:J$482)),"&gt;0"))</f>
        <v>0</v>
      </c>
      <c r="G183" s="195" t="e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#REF!</v>
      </c>
      <c r="H183" s="192">
        <f>IF(E183="Vestdanmark",-IF(A183="Halm",SUMIFS(IF(D183=År1,'Resultater - Vestdanmark'!H$3:H$482,IF(D183=År2,'Resultater - Vestdanmark'!I$3:I$482,'Resultater - Vestdanmark'!J$3:J$482)),'Resultater - Vestdanmark'!$F$3:$F$482,$A183,'Resultater - Vestdanmark'!H$3:H$482,"&lt;0"),0),-IF(A183="Halm",SUMIFS(IF(D183=År1,'Resultater - Østdanmark'!H$3:H$482,IF(D183=År2,'Resultater - Østdanmark'!I$3:I$482,'Resultater - Østdanmark'!J$3:J$482)),'Resultater - Østdanmark'!$F$3:$F$482,$A183,'Resultater - Østdanmark'!H$3:H$482,"&lt;0"),0))</f>
        <v>0</v>
      </c>
      <c r="I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5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7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4" t="e">
        <f t="shared" si="48"/>
        <v>#REF!</v>
      </c>
      <c r="O183" s="195">
        <f t="shared" si="39"/>
        <v>0</v>
      </c>
      <c r="P183" s="205">
        <f t="shared" si="49"/>
        <v>0</v>
      </c>
      <c r="Q183" s="192">
        <f>IFERROR(VLOOKUP(A183,[1]Energiindhold!$A$2:$C$11,3,FALSE),IFERROR(VLOOKUP(A183,[1]Biogasudbytte!$A$2:$B$18,2,FALSE)*[1]Energiindhold!$C$10,0))*O183</f>
        <v>0</v>
      </c>
      <c r="R183" s="192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92">
        <f>IFERROR(VLOOKUP(A183,[1]Biogasudbytte!$A$2:$B$18,2,FALSE)*[1]Energiindhold!$C$10,0)*J183*IFERROR(VLOOKUP(A183,Biogasanlæg!$F$3:$G$8,2,FALSE),1)</f>
        <v>0</v>
      </c>
      <c r="T183" s="193">
        <f t="shared" si="50"/>
        <v>0</v>
      </c>
      <c r="U183" s="191">
        <f>O183*IFERROR(VLOOKUP(A183,[1]Tørstofindhold!A$2:B$24,2,FALSE),0)</f>
        <v>0</v>
      </c>
      <c r="V183" s="192">
        <f>IF(D183=År1,P183,SUM(O183,P183))*IFERROR(VLOOKUP(A183,[1]Tørstofindhold!A$2:B$24,2,FALSE),0)</f>
        <v>0</v>
      </c>
      <c r="W183" s="192">
        <f>J183*IFERROR(VLOOKUP(A183,[1]Tørstofindhold!A$2:B$24,2,FALSE),0)</f>
        <v>0</v>
      </c>
      <c r="X183" s="193">
        <f t="shared" si="51"/>
        <v>0</v>
      </c>
      <c r="Y183" s="171" t="e">
        <f t="shared" si="43"/>
        <v>#REF!</v>
      </c>
      <c r="Z183" s="103" t="e">
        <f t="shared" si="44"/>
        <v>#REF!</v>
      </c>
    </row>
    <row r="184" spans="1:26" x14ac:dyDescent="0.25">
      <c r="A184" s="192" t="s">
        <v>233</v>
      </c>
      <c r="B184" s="194" t="s">
        <v>233</v>
      </c>
      <c r="C184" s="194">
        <f>IF(COUNTIFS('Resultater - Danmark'!$D$3:$D$482,'Resultat-Produktion &amp; forbrug'!A184,'Resultater - Danmark'!$A$3:$A$482,"Til energi")+COUNTIFS('Resultater - Danmark'!$D$3:$D$482,'Resultat-Produktion &amp; forbrug'!A184,'Resultater - Danmark'!$A$3:$A$482,"Biogasanlæg")&gt;0,1,0)</f>
        <v>1</v>
      </c>
      <c r="D184" s="194">
        <f t="shared" si="47"/>
        <v>2019</v>
      </c>
      <c r="E184" s="192" t="s">
        <v>24</v>
      </c>
      <c r="F184" s="195">
        <f>IF(E184="Vestdanmark",SUMIFS(IF(D184=År1,'Resultater - Vestdanmark'!H$3:H$482,IF(D184=År2,'Resultater - Vestdanmark'!I$3:I$482,'Resultater - Vestdanmark'!J$3:J$482)),'Resultater - Vestdanmark'!$F$3:$F$482,$A184,IF(D184=År1,'Resultater - Vestdanmark'!H$3:H$482,IF(D184=År2,'Resultater - Vestdanmark'!I$3:I$482,'Resultater - Vestdanmark'!J$3:J$482)),"&gt;0"),SUMIFS(IF(D184=År1,'Resultater - Østdanmark'!H$3:H$482,IF(D184=År2,'Resultater - Østdanmark'!I$3:I$482,'Resultater - Østdanmark'!J$3:J$482)),'Resultater - Østdanmark'!$F$3:$F$482,$A184,IF(D184=År1,'Resultater - Østdanmark'!H$3:H$482,IF(D184=År2,'Resultater - Østdanmark'!I$3:I$482,'Resultater - Østdanmark'!J$3:J$482)),"&gt;0"))</f>
        <v>0</v>
      </c>
      <c r="G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92">
        <f>IF(E184="Vestdanmark",-IF(A184="Halm",SUMIFS(IF(D184=År1,'Resultater - Vestdanmark'!H$3:H$482,IF(D184=År2,'Resultater - Vestdanmark'!I$3:I$482,'Resultater - Vestdanmark'!J$3:J$482)),'Resultater - Vestdanmark'!$F$3:$F$482,$A184,'Resultater - Vestdanmark'!H$3:H$482,"&lt;0"),0),-IF(A184="Halm",SUMIFS(IF(D184=År1,'Resultater - Østdanmark'!H$3:H$482,IF(D184=År2,'Resultater - Østdanmark'!I$3:I$482,'Resultater - Østdanmark'!J$3:J$482)),'Resultater - Østdanmark'!$F$3:$F$482,$A184,'Resultater - Østdanmark'!H$3:H$482,"&lt;0"),0))</f>
        <v>0</v>
      </c>
      <c r="I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5" t="e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#REF!</v>
      </c>
      <c r="M184" s="157" t="e">
        <f>SUMIFS('Forbrug af biomasse'!E:E,'Forbrug af biomasse'!C:C,'Resultat-Produktion &amp; forbrug'!$A184,'Forbrug af biomasse'!D:D,'Resultat-Produktion &amp; forbrug'!$D184,'Forbrug af biomasse'!G:G,1,'Forbrug af biomasse'!B:B,$E184)</f>
        <v>#REF!</v>
      </c>
      <c r="N184" s="204" t="e">
        <f t="shared" si="48"/>
        <v>#REF!</v>
      </c>
      <c r="O184" s="195" t="e">
        <f t="shared" si="39"/>
        <v>#REF!</v>
      </c>
      <c r="P184" s="205" t="e">
        <f t="shared" si="49"/>
        <v>#REF!</v>
      </c>
      <c r="Q184" s="192" t="e">
        <f>IFERROR(VLOOKUP(A184,[1]Energiindhold!$A$2:$C$11,3,FALSE),IFERROR(VLOOKUP(A184,[1]Biogasudbytte!$A$2:$B$18,2,FALSE)*[1]Energiindhold!$C$10,0))*O184</f>
        <v>#REF!</v>
      </c>
      <c r="R184" s="192" t="e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#REF!</v>
      </c>
      <c r="S184" s="192">
        <f>IFERROR(VLOOKUP(A184,[1]Biogasudbytte!$A$2:$B$18,2,FALSE)*[1]Energiindhold!$C$10,0)*J184*IFERROR(VLOOKUP(A184,Biogasanlæg!$F$3:$G$8,2,FALSE),1)</f>
        <v>0</v>
      </c>
      <c r="T184" s="193" t="e">
        <f t="shared" si="50"/>
        <v>#REF!</v>
      </c>
      <c r="U184" s="191" t="e">
        <f>O184*IFERROR(VLOOKUP(A184,[1]Tørstofindhold!A$2:B$24,2,FALSE),0)</f>
        <v>#REF!</v>
      </c>
      <c r="V184" s="192" t="e">
        <f>IF(D184=År1,P184,SUM(O184,P184))*IFERROR(VLOOKUP(A184,[1]Tørstofindhold!A$2:B$24,2,FALSE),0)</f>
        <v>#REF!</v>
      </c>
      <c r="W184" s="192">
        <f>J184*IFERROR(VLOOKUP(A184,[1]Tørstofindhold!A$2:B$24,2,FALSE),0)</f>
        <v>0</v>
      </c>
      <c r="X184" s="193" t="e">
        <f t="shared" si="51"/>
        <v>#REF!</v>
      </c>
      <c r="Y184" s="171" t="e">
        <f t="shared" si="43"/>
        <v>#REF!</v>
      </c>
      <c r="Z184" s="103" t="e">
        <f t="shared" si="44"/>
        <v>#REF!</v>
      </c>
    </row>
    <row r="185" spans="1:26" x14ac:dyDescent="0.25">
      <c r="A185" s="192" t="s">
        <v>52</v>
      </c>
      <c r="B185" s="194" t="s">
        <v>226</v>
      </c>
      <c r="C185" s="194">
        <f>IF(COUNTIFS('Resultater - Danmark'!$D$3:$D$482,'Resultat-Produktion &amp; forbrug'!A185,'Resultater - Danmark'!$A$3:$A$482,"Til energi")+COUNTIFS('Resultater - Danmark'!$D$3:$D$482,'Resultat-Produktion &amp; forbrug'!A185,'Resultater - Danmark'!$A$3:$A$482,"Biogasanlæg")&gt;0,1,0)</f>
        <v>1</v>
      </c>
      <c r="D185" s="194">
        <f t="shared" si="47"/>
        <v>2019</v>
      </c>
      <c r="E185" s="192" t="s">
        <v>24</v>
      </c>
      <c r="F185" s="195">
        <f>IF(E185="Vestdanmark",SUMIFS(IF(D185=År1,'Resultater - Vestdanmark'!H$3:H$482,IF(D185=År2,'Resultater - Vestdanmark'!I$3:I$482,'Resultater - Vestdanmark'!J$3:J$482)),'Resultater - Vestdanmark'!$F$3:$F$482,$A185,IF(D185=År1,'Resultater - Vestdanmark'!H$3:H$482,IF(D185=År2,'Resultater - Vestdanmark'!I$3:I$482,'Resultater - Vestdanmark'!J$3:J$482)),"&gt;0"),SUMIFS(IF(D185=År1,'Resultater - Østdanmark'!H$3:H$482,IF(D185=År2,'Resultater - Østdanmark'!I$3:I$482,'Resultater - Østdanmark'!J$3:J$482)),'Resultater - Østdanmark'!$F$3:$F$482,$A185,IF(D185=År1,'Resultater - Østdanmark'!H$3:H$482,IF(D185=År2,'Resultater - Østdanmark'!I$3:I$482,'Resultater - Østdanmark'!J$3:J$482)),"&gt;0"))</f>
        <v>0</v>
      </c>
      <c r="G185" s="195" t="e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#REF!</v>
      </c>
      <c r="H185" s="192">
        <f>IF(E185="Vestdanmark",-IF(A185="Halm",SUMIFS(IF(D185=År1,'Resultater - Vestdanmark'!H$3:H$482,IF(D185=År2,'Resultater - Vestdanmark'!I$3:I$482,'Resultater - Vestdanmark'!J$3:J$482)),'Resultater - Vestdanmark'!$F$3:$F$482,$A185,'Resultater - Vestdanmark'!H$3:H$482,"&lt;0"),0),-IF(A185="Halm",SUMIFS(IF(D185=År1,'Resultater - Østdanmark'!H$3:H$482,IF(D185=År2,'Resultater - Østdanmark'!I$3:I$482,'Resultater - Østdanmark'!J$3:J$482)),'Resultater - Østdanmark'!$F$3:$F$482,$A185,'Resultater - Østdanmark'!H$3:H$482,"&lt;0"),0))</f>
        <v>0</v>
      </c>
      <c r="I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5" t="e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#REF!</v>
      </c>
      <c r="K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5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7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4" t="e">
        <f t="shared" si="48"/>
        <v>#REF!</v>
      </c>
      <c r="O185" s="195" t="e">
        <f t="shared" si="39"/>
        <v>#REF!</v>
      </c>
      <c r="P185" s="205" t="e">
        <f t="shared" si="49"/>
        <v>#REF!</v>
      </c>
      <c r="Q185" s="192" t="e">
        <f>IFERROR(VLOOKUP(A185,[1]Energiindhold!$A$2:$C$11,3,FALSE),IFERROR(VLOOKUP(A185,[1]Biogasudbytte!$A$2:$B$18,2,FALSE)*[1]Energiindhold!$C$10,0))*O185</f>
        <v>#REF!</v>
      </c>
      <c r="R185" s="192" t="e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#REF!</v>
      </c>
      <c r="S185" s="192" t="e">
        <f>IFERROR(VLOOKUP(A185,[1]Biogasudbytte!$A$2:$B$18,2,FALSE)*[1]Energiindhold!$C$10,0)*J185*IFERROR(VLOOKUP(A185,Biogasanlæg!$F$3:$G$8,2,FALSE),1)</f>
        <v>#REF!</v>
      </c>
      <c r="T185" s="193" t="e">
        <f t="shared" si="50"/>
        <v>#REF!</v>
      </c>
      <c r="U185" s="191" t="e">
        <f>O185*IFERROR(VLOOKUP(A185,[1]Tørstofindhold!A$2:B$24,2,FALSE),0)</f>
        <v>#REF!</v>
      </c>
      <c r="V185" s="192" t="e">
        <f>IF(D185=År1,P185,SUM(O185,P185))*IFERROR(VLOOKUP(A185,[1]Tørstofindhold!A$2:B$24,2,FALSE),0)</f>
        <v>#REF!</v>
      </c>
      <c r="W185" s="192" t="e">
        <f>J185*IFERROR(VLOOKUP(A185,[1]Tørstofindhold!A$2:B$24,2,FALSE),0)</f>
        <v>#REF!</v>
      </c>
      <c r="X185" s="193" t="e">
        <f t="shared" si="51"/>
        <v>#REF!</v>
      </c>
      <c r="Y185" s="171" t="e">
        <f t="shared" si="43"/>
        <v>#REF!</v>
      </c>
      <c r="Z185" s="103" t="e">
        <f t="shared" si="44"/>
        <v>#REF!</v>
      </c>
    </row>
    <row r="186" spans="1:26" x14ac:dyDescent="0.25">
      <c r="A186" s="192" t="s">
        <v>122</v>
      </c>
      <c r="B186" s="194"/>
      <c r="C186" s="194">
        <f>IF(COUNTIFS('Resultater - Danmark'!$D$3:$D$482,'Resultat-Produktion &amp; forbrug'!A186,'Resultater - Danmark'!$A$3:$A$482,"Til energi")+COUNTIFS('Resultater - Danmark'!$D$3:$D$482,'Resultat-Produktion &amp; forbrug'!A186,'Resultater - Danmark'!$A$3:$A$482,"Biogasanlæg")&gt;0,1,0)</f>
        <v>0</v>
      </c>
      <c r="D186" s="194">
        <f t="shared" si="47"/>
        <v>2019</v>
      </c>
      <c r="E186" s="192" t="s">
        <v>24</v>
      </c>
      <c r="F186" s="195">
        <f>IF(E186="Vestdanmark",SUMIFS(IF(D186=År1,'Resultater - Vestdanmark'!H$3:H$482,IF(D186=År2,'Resultater - Vestdanmark'!I$3:I$482,'Resultater - Vestdanmark'!J$3:J$482)),'Resultater - Vestdanmark'!$F$3:$F$482,$A186,IF(D186=År1,'Resultater - Vestdanmark'!H$3:H$482,IF(D186=År2,'Resultater - Vestdanmark'!I$3:I$482,'Resultater - Vestdanmark'!J$3:J$482)),"&gt;0"),SUMIFS(IF(D186=År1,'Resultater - Østdanmark'!H$3:H$482,IF(D186=År2,'Resultater - Østdanmark'!I$3:I$482,'Resultater - Østdanmark'!J$3:J$482)),'Resultater - Østdanmark'!$F$3:$F$482,$A186,IF(D186=År1,'Resultater - Østdanmark'!H$3:H$482,IF(D186=År2,'Resultater - Østdanmark'!I$3:I$482,'Resultater - Østdanmark'!J$3:J$482)),"&gt;0"))</f>
        <v>0</v>
      </c>
      <c r="G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92">
        <f>IF(E186="Vestdanmark",-IF(A186="Halm",SUMIFS(IF(D186=År1,'Resultater - Vestdanmark'!H$3:H$482,IF(D186=År2,'Resultater - Vestdanmark'!I$3:I$482,'Resultater - Vestdanmark'!J$3:J$482)),'Resultater - Vestdanmark'!$F$3:$F$482,$A186,'Resultater - Vestdanmark'!H$3:H$482,"&lt;0"),0),-IF(A186="Halm",SUMIFS(IF(D186=År1,'Resultater - Østdanmark'!H$3:H$482,IF(D186=År2,'Resultater - Østdanmark'!I$3:I$482,'Resultater - Østdanmark'!J$3:J$482)),'Resultater - Østdanmark'!$F$3:$F$482,$A186,'Resultater - Østdanmark'!H$3:H$482,"&lt;0"),0))</f>
        <v>0</v>
      </c>
      <c r="I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5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7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4">
        <f t="shared" si="48"/>
        <v>0</v>
      </c>
      <c r="O186" s="195">
        <f t="shared" si="39"/>
        <v>0</v>
      </c>
      <c r="P186" s="205">
        <f t="shared" si="49"/>
        <v>0</v>
      </c>
      <c r="Q186" s="192">
        <f>IFERROR(VLOOKUP(A186,[1]Energiindhold!$A$2:$C$11,3,FALSE),IFERROR(VLOOKUP(A186,[1]Biogasudbytte!$A$2:$B$18,2,FALSE)*[1]Energiindhold!$C$10,0))*O186</f>
        <v>0</v>
      </c>
      <c r="R186" s="192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92">
        <f>IFERROR(VLOOKUP(A186,[1]Biogasudbytte!$A$2:$B$18,2,FALSE)*[1]Energiindhold!$C$10,0)*J186*IFERROR(VLOOKUP(A186,Biogasanlæg!$F$3:$G$8,2,FALSE),1)</f>
        <v>0</v>
      </c>
      <c r="T186" s="193">
        <f t="shared" si="50"/>
        <v>0</v>
      </c>
      <c r="U186" s="191">
        <f>O186*IFERROR(VLOOKUP(A186,[1]Tørstofindhold!A$2:B$24,2,FALSE),0)</f>
        <v>0</v>
      </c>
      <c r="V186" s="192">
        <f>IF(D186=År1,P186,SUM(O186,P186))*IFERROR(VLOOKUP(A186,[1]Tørstofindhold!A$2:B$24,2,FALSE),0)</f>
        <v>0</v>
      </c>
      <c r="W186" s="192">
        <f>J186*IFERROR(VLOOKUP(A186,[1]Tørstofindhold!A$2:B$24,2,FALSE),0)</f>
        <v>0</v>
      </c>
      <c r="X186" s="193">
        <f t="shared" si="51"/>
        <v>0</v>
      </c>
      <c r="Y186" s="171">
        <f t="shared" si="43"/>
        <v>0</v>
      </c>
      <c r="Z186" s="103">
        <f t="shared" si="44"/>
        <v>0</v>
      </c>
    </row>
    <row r="187" spans="1:26" x14ac:dyDescent="0.25">
      <c r="A187" s="192" t="s">
        <v>108</v>
      </c>
      <c r="B187" s="194"/>
      <c r="C187" s="194">
        <f>IF(COUNTIFS('Resultater - Danmark'!$D$3:$D$482,'Resultat-Produktion &amp; forbrug'!A187,'Resultater - Danmark'!$A$3:$A$482,"Til energi")+COUNTIFS('Resultater - Danmark'!$D$3:$D$482,'Resultat-Produktion &amp; forbrug'!A187,'Resultater - Danmark'!$A$3:$A$482,"Biogasanlæg")&gt;0,1,0)</f>
        <v>0</v>
      </c>
      <c r="D187" s="194">
        <f t="shared" si="47"/>
        <v>2019</v>
      </c>
      <c r="E187" s="192" t="s">
        <v>24</v>
      </c>
      <c r="F187" s="195">
        <f>IF(E187="Vestdanmark",SUMIFS(IF(D187=År1,'Resultater - Vestdanmark'!H$3:H$482,IF(D187=År2,'Resultater - Vestdanmark'!I$3:I$482,'Resultater - Vestdanmark'!J$3:J$482)),'Resultater - Vestdanmark'!$F$3:$F$482,$A187,IF(D187=År1,'Resultater - Vestdanmark'!H$3:H$482,IF(D187=År2,'Resultater - Vestdanmark'!I$3:I$482,'Resultater - Vestdanmark'!J$3:J$482)),"&gt;0"),SUMIFS(IF(D187=År1,'Resultater - Østdanmark'!H$3:H$482,IF(D187=År2,'Resultater - Østdanmark'!I$3:I$482,'Resultater - Østdanmark'!J$3:J$482)),'Resultater - Østdanmark'!$F$3:$F$482,$A187,IF(D187=År1,'Resultater - Østdanmark'!H$3:H$482,IF(D187=År2,'Resultater - Østdanmark'!I$3:I$482,'Resultater - Østdanmark'!J$3:J$482)),"&gt;0"))</f>
        <v>0</v>
      </c>
      <c r="G187" s="195" t="e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#REF!</v>
      </c>
      <c r="H187" s="192">
        <f>IF(E187="Vestdanmark",-IF(A187="Halm",SUMIFS(IF(D187=År1,'Resultater - Vestdanmark'!H$3:H$482,IF(D187=År2,'Resultater - Vestdanmark'!I$3:I$482,'Resultater - Vestdanmark'!J$3:J$482)),'Resultater - Vestdanmark'!$F$3:$F$482,$A187,'Resultater - Vestdanmark'!H$3:H$482,"&lt;0"),0),-IF(A187="Halm",SUMIFS(IF(D187=År1,'Resultater - Østdanmark'!H$3:H$482,IF(D187=År2,'Resultater - Østdanmark'!I$3:I$482,'Resultater - Østdanmark'!J$3:J$482)),'Resultater - Østdanmark'!$F$3:$F$482,$A187,'Resultater - Østdanmark'!H$3:H$482,"&lt;0"),0))</f>
        <v>0</v>
      </c>
      <c r="I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5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7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4" t="e">
        <f t="shared" si="48"/>
        <v>#REF!</v>
      </c>
      <c r="O187" s="195">
        <f t="shared" si="39"/>
        <v>0</v>
      </c>
      <c r="P187" s="205">
        <f t="shared" si="49"/>
        <v>0</v>
      </c>
      <c r="Q187" s="192">
        <f>IFERROR(VLOOKUP(A187,[1]Energiindhold!$A$2:$C$11,3,FALSE),IFERROR(VLOOKUP(A187,[1]Biogasudbytte!$A$2:$B$18,2,FALSE)*[1]Energiindhold!$C$10,0))*O187</f>
        <v>0</v>
      </c>
      <c r="R187" s="192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92">
        <f>IFERROR(VLOOKUP(A187,[1]Biogasudbytte!$A$2:$B$18,2,FALSE)*[1]Energiindhold!$C$10,0)*J187*IFERROR(VLOOKUP(A187,Biogasanlæg!$F$3:$G$8,2,FALSE),1)</f>
        <v>0</v>
      </c>
      <c r="T187" s="193">
        <f t="shared" si="50"/>
        <v>0</v>
      </c>
      <c r="U187" s="191">
        <f>O187*IFERROR(VLOOKUP(A187,[1]Tørstofindhold!A$2:B$24,2,FALSE),0)</f>
        <v>0</v>
      </c>
      <c r="V187" s="192">
        <f>IF(D187=År1,P187,SUM(O187,P187))*IFERROR(VLOOKUP(A187,[1]Tørstofindhold!A$2:B$24,2,FALSE),0)</f>
        <v>0</v>
      </c>
      <c r="W187" s="192">
        <f>J187*IFERROR(VLOOKUP(A187,[1]Tørstofindhold!A$2:B$24,2,FALSE),0)</f>
        <v>0</v>
      </c>
      <c r="X187" s="193">
        <f t="shared" si="51"/>
        <v>0</v>
      </c>
      <c r="Y187" s="171" t="e">
        <f t="shared" si="43"/>
        <v>#REF!</v>
      </c>
      <c r="Z187" s="103" t="e">
        <f t="shared" si="44"/>
        <v>#REF!</v>
      </c>
    </row>
    <row r="188" spans="1:26" x14ac:dyDescent="0.25">
      <c r="A188" s="194" t="s">
        <v>141</v>
      </c>
      <c r="B188" s="194" t="s">
        <v>232</v>
      </c>
      <c r="C188" s="194">
        <f>IF(COUNTIFS('Resultater - Danmark'!$D$3:$D$482,'Resultat-Produktion &amp; forbrug'!A188,'Resultater - Danmark'!$A$3:$A$482,"Til energi")+COUNTIFS('Resultater - Danmark'!$D$3:$D$482,'Resultat-Produktion &amp; forbrug'!A188,'Resultater - Danmark'!$A$3:$A$482,"Biogasanlæg")&gt;0,1,0)</f>
        <v>1</v>
      </c>
      <c r="D188" s="194">
        <f t="shared" si="47"/>
        <v>2019</v>
      </c>
      <c r="E188" s="192" t="s">
        <v>24</v>
      </c>
      <c r="F188" s="195">
        <f>IF(E188="Vestdanmark",SUMIFS(IF(D188=År1,'Resultater - Vestdanmark'!H$3:H$482,IF(D188=År2,'Resultater - Vestdanmark'!I$3:I$482,'Resultater - Vestdanmark'!J$3:J$482)),'Resultater - Vestdanmark'!$F$3:$F$482,$A188,IF(D188=År1,'Resultater - Vestdanmark'!H$3:H$482,IF(D188=År2,'Resultater - Vestdanmark'!I$3:I$482,'Resultater - Vestdanmark'!J$3:J$482)),"&gt;0"),SUMIFS(IF(D188=År1,'Resultater - Østdanmark'!H$3:H$482,IF(D188=År2,'Resultater - Østdanmark'!I$3:I$482,'Resultater - Østdanmark'!J$3:J$482)),'Resultater - Østdanmark'!$F$3:$F$482,$A188,IF(D188=År1,'Resultater - Østdanmark'!H$3:H$482,IF(D188=År2,'Resultater - Østdanmark'!I$3:I$482,'Resultater - Østdanmark'!J$3:J$482)),"&gt;0"))</f>
        <v>0</v>
      </c>
      <c r="G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92">
        <f>IF(E188="Vestdanmark",-IF(A188="Halm",SUMIFS(IF(D188=År1,'Resultater - Vestdanmark'!H$3:H$482,IF(D188=År2,'Resultater - Vestdanmark'!I$3:I$482,'Resultater - Vestdanmark'!J$3:J$482)),'Resultater - Vestdanmark'!$F$3:$F$482,$A188,'Resultater - Vestdanmark'!H$3:H$482,"&lt;0"),0),-IF(A188="Halm",SUMIFS(IF(D188=År1,'Resultater - Østdanmark'!H$3:H$482,IF(D188=År2,'Resultater - Østdanmark'!I$3:I$482,'Resultater - Østdanmark'!J$3:J$482)),'Resultater - Østdanmark'!$F$3:$F$482,$A188,'Resultater - Østdanmark'!H$3:H$482,"&lt;0"),0))</f>
        <v>0</v>
      </c>
      <c r="I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5" t="e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#REF!</v>
      </c>
      <c r="K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5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7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4" t="e">
        <f t="shared" si="48"/>
        <v>#REF!</v>
      </c>
      <c r="O188" s="195" t="e">
        <f t="shared" si="39"/>
        <v>#REF!</v>
      </c>
      <c r="P188" s="205" t="e">
        <f t="shared" si="49"/>
        <v>#REF!</v>
      </c>
      <c r="Q188" s="192" t="e">
        <f>IFERROR(VLOOKUP(A188,[1]Energiindhold!$A$2:$C$11,3,FALSE),IFERROR(VLOOKUP(A188,[1]Biogasudbytte!$A$2:$B$18,2,FALSE)*[1]Energiindhold!$C$10,0))*O188</f>
        <v>#REF!</v>
      </c>
      <c r="R188" s="192" t="e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#REF!</v>
      </c>
      <c r="S188" s="192" t="e">
        <f>IFERROR(VLOOKUP(A188,[1]Biogasudbytte!$A$2:$B$18,2,FALSE)*[1]Energiindhold!$C$10,0)*J188*IFERROR(VLOOKUP(A188,Biogasanlæg!$F$3:$G$8,2,FALSE),1)</f>
        <v>#REF!</v>
      </c>
      <c r="T188" s="193" t="e">
        <f t="shared" si="50"/>
        <v>#REF!</v>
      </c>
      <c r="U188" s="191" t="e">
        <f>O188*IFERROR(VLOOKUP(A188,[1]Tørstofindhold!A$2:B$24,2,FALSE),0)</f>
        <v>#REF!</v>
      </c>
      <c r="V188" s="192" t="e">
        <f>IF(D188=År1,P188,SUM(O188,P188))*IFERROR(VLOOKUP(A188,[1]Tørstofindhold!A$2:B$24,2,FALSE),0)</f>
        <v>#REF!</v>
      </c>
      <c r="W188" s="192" t="e">
        <f>J188*IFERROR(VLOOKUP(A188,[1]Tørstofindhold!A$2:B$24,2,FALSE),0)</f>
        <v>#REF!</v>
      </c>
      <c r="X188" s="193" t="e">
        <f t="shared" si="51"/>
        <v>#REF!</v>
      </c>
      <c r="Y188" s="171" t="e">
        <f t="shared" si="43"/>
        <v>#REF!</v>
      </c>
      <c r="Z188" s="103" t="e">
        <f t="shared" si="44"/>
        <v>#REF!</v>
      </c>
    </row>
    <row r="189" spans="1:26" x14ac:dyDescent="0.25">
      <c r="A189" s="194" t="s">
        <v>136</v>
      </c>
      <c r="B189" s="194" t="s">
        <v>224</v>
      </c>
      <c r="C189" s="194">
        <f>IF(COUNTIFS('Resultater - Danmark'!$D$3:$D$482,'Resultat-Produktion &amp; forbrug'!A189,'Resultater - Danmark'!$A$3:$A$482,"Til energi")+COUNTIFS('Resultater - Danmark'!$D$3:$D$482,'Resultat-Produktion &amp; forbrug'!A189,'Resultater - Danmark'!$A$3:$A$482,"Biogasanlæg")&gt;0,1,0)</f>
        <v>1</v>
      </c>
      <c r="D189" s="194">
        <f t="shared" si="47"/>
        <v>2019</v>
      </c>
      <c r="E189" s="192" t="s">
        <v>24</v>
      </c>
      <c r="F189" s="195">
        <f>IF(E189="Vestdanmark",SUMIFS(IF(D189=År1,'Resultater - Vestdanmark'!H$3:H$482,IF(D189=År2,'Resultater - Vestdanmark'!I$3:I$482,'Resultater - Vestdanmark'!J$3:J$482)),'Resultater - Vestdanmark'!$F$3:$F$482,$A189,IF(D189=År1,'Resultater - Vestdanmark'!H$3:H$482,IF(D189=År2,'Resultater - Vestdanmark'!I$3:I$482,'Resultater - Vestdanmark'!J$3:J$482)),"&gt;0"),SUMIFS(IF(D189=År1,'Resultater - Østdanmark'!H$3:H$482,IF(D189=År2,'Resultater - Østdanmark'!I$3:I$482,'Resultater - Østdanmark'!J$3:J$482)),'Resultater - Østdanmark'!$F$3:$F$482,$A189,IF(D189=År1,'Resultater - Østdanmark'!H$3:H$482,IF(D189=År2,'Resultater - Østdanmark'!I$3:I$482,'Resultater - Østdanmark'!J$3:J$482)),"&gt;0"))</f>
        <v>0</v>
      </c>
      <c r="G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92">
        <f>IF(E189="Vestdanmark",-IF(A189="Halm",SUMIFS(IF(D189=År1,'Resultater - Vestdanmark'!H$3:H$482,IF(D189=År2,'Resultater - Vestdanmark'!I$3:I$482,'Resultater - Vestdanmark'!J$3:J$482)),'Resultater - Vestdanmark'!$F$3:$F$482,$A189,'Resultater - Vestdanmark'!H$3:H$482,"&lt;0"),0),-IF(A189="Halm",SUMIFS(IF(D189=År1,'Resultater - Østdanmark'!H$3:H$482,IF(D189=År2,'Resultater - Østdanmark'!I$3:I$482,'Resultater - Østdanmark'!J$3:J$482)),'Resultater - Østdanmark'!$F$3:$F$482,$A189,'Resultater - Østdanmark'!H$3:H$482,"&lt;0"),0))</f>
        <v>0</v>
      </c>
      <c r="I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5" t="e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#REF!</v>
      </c>
      <c r="K189" s="195" t="e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#REF!</v>
      </c>
      <c r="L189" s="195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7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4" t="e">
        <f t="shared" si="48"/>
        <v>#REF!</v>
      </c>
      <c r="O189" s="195" t="e">
        <f t="shared" si="39"/>
        <v>#REF!</v>
      </c>
      <c r="P189" s="205" t="e">
        <f t="shared" si="49"/>
        <v>#REF!</v>
      </c>
      <c r="Q189" s="192" t="e">
        <f>IFERROR(VLOOKUP(A189,[1]Energiindhold!$A$2:$C$11,3,FALSE),IFERROR(VLOOKUP(A189,[1]Biogasudbytte!$A$2:$B$18,2,FALSE)*[1]Energiindhold!$C$10,0))*O189</f>
        <v>#REF!</v>
      </c>
      <c r="R189" s="192" t="e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#REF!</v>
      </c>
      <c r="S189" s="192" t="e">
        <f>IFERROR(VLOOKUP(A189,[1]Biogasudbytte!$A$2:$B$18,2,FALSE)*[1]Energiindhold!$C$10,0)*J189*IFERROR(VLOOKUP(A189,Biogasanlæg!$F$3:$G$8,2,FALSE),1)</f>
        <v>#REF!</v>
      </c>
      <c r="T189" s="193" t="e">
        <f t="shared" si="50"/>
        <v>#REF!</v>
      </c>
      <c r="U189" s="191" t="e">
        <f>O189*IFERROR(VLOOKUP(A189,[1]Tørstofindhold!A$2:B$24,2,FALSE),0)</f>
        <v>#REF!</v>
      </c>
      <c r="V189" s="192" t="e">
        <f>IF(D189=År1,P189,SUM(O189,P189))*IFERROR(VLOOKUP(A189,[1]Tørstofindhold!A$2:B$24,2,FALSE),0)</f>
        <v>#REF!</v>
      </c>
      <c r="W189" s="192" t="e">
        <f>J189*IFERROR(VLOOKUP(A189,[1]Tørstofindhold!A$2:B$24,2,FALSE),0)</f>
        <v>#REF!</v>
      </c>
      <c r="X189" s="193" t="e">
        <f t="shared" si="51"/>
        <v>#REF!</v>
      </c>
      <c r="Y189" s="171" t="e">
        <f t="shared" si="43"/>
        <v>#REF!</v>
      </c>
      <c r="Z189" s="103" t="e">
        <f t="shared" si="44"/>
        <v>#REF!</v>
      </c>
    </row>
    <row r="190" spans="1:26" x14ac:dyDescent="0.25">
      <c r="A190" s="194" t="s">
        <v>13</v>
      </c>
      <c r="B190" s="194"/>
      <c r="C190" s="194">
        <f>IF(COUNTIFS('Resultater - Danmark'!$D$3:$D$482,'Resultat-Produktion &amp; forbrug'!A190,'Resultater - Danmark'!$A$3:$A$482,"Til energi")+COUNTIFS('Resultater - Danmark'!$D$3:$D$482,'Resultat-Produktion &amp; forbrug'!A190,'Resultater - Danmark'!$A$3:$A$482,"Biogasanlæg")&gt;0,1,0)</f>
        <v>0</v>
      </c>
      <c r="D190" s="194">
        <f t="shared" si="47"/>
        <v>2019</v>
      </c>
      <c r="E190" s="192" t="s">
        <v>24</v>
      </c>
      <c r="F190" s="195">
        <f>IF(E190="Vestdanmark",SUMIFS(IF(D190=År1,'Resultater - Vestdanmark'!H$3:H$482,IF(D190=År2,'Resultater - Vestdanmark'!I$3:I$482,'Resultater - Vestdanmark'!J$3:J$482)),'Resultater - Vestdanmark'!$F$3:$F$482,$A190,IF(D190=År1,'Resultater - Vestdanmark'!H$3:H$482,IF(D190=År2,'Resultater - Vestdanmark'!I$3:I$482,'Resultater - Vestdanmark'!J$3:J$482)),"&gt;0"),SUMIFS(IF(D190=År1,'Resultater - Østdanmark'!H$3:H$482,IF(D190=År2,'Resultater - Østdanmark'!I$3:I$482,'Resultater - Østdanmark'!J$3:J$482)),'Resultater - Østdanmark'!$F$3:$F$482,$A190,IF(D190=År1,'Resultater - Østdanmark'!H$3:H$482,IF(D190=År2,'Resultater - Østdanmark'!I$3:I$482,'Resultater - Østdanmark'!J$3:J$482)),"&gt;0"))</f>
        <v>0</v>
      </c>
      <c r="G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92">
        <f>IF(E190="Vestdanmark",-IF(A190="Halm",SUMIFS(IF(D190=År1,'Resultater - Vestdanmark'!H$3:H$482,IF(D190=År2,'Resultater - Vestdanmark'!I$3:I$482,'Resultater - Vestdanmark'!J$3:J$482)),'Resultater - Vestdanmark'!$F$3:$F$482,$A190,'Resultater - Vestdanmark'!H$3:H$482,"&lt;0"),0),-IF(A190="Halm",SUMIFS(IF(D190=År1,'Resultater - Østdanmark'!H$3:H$482,IF(D190=År2,'Resultater - Østdanmark'!I$3:I$482,'Resultater - Østdanmark'!J$3:J$482)),'Resultater - Østdanmark'!$F$3:$F$482,$A190,'Resultater - Østdanmark'!H$3:H$482,"&lt;0"),0))</f>
        <v>0</v>
      </c>
      <c r="I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5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7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4">
        <f t="shared" si="48"/>
        <v>-100555.62853170674</v>
      </c>
      <c r="O190" s="195">
        <f t="shared" si="39"/>
        <v>0</v>
      </c>
      <c r="P190" s="205">
        <f t="shared" si="49"/>
        <v>0</v>
      </c>
      <c r="Q190" s="192">
        <f>IFERROR(VLOOKUP(A190,[1]Energiindhold!$A$2:$C$11,3,FALSE),IFERROR(VLOOKUP(A190,[1]Biogasudbytte!$A$2:$B$18,2,FALSE)*[1]Energiindhold!$C$10,0))*O190</f>
        <v>0</v>
      </c>
      <c r="R190" s="192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92">
        <f>IFERROR(VLOOKUP(A190,[1]Biogasudbytte!$A$2:$B$18,2,FALSE)*[1]Energiindhold!$C$10,0)*J190*IFERROR(VLOOKUP(A190,Biogasanlæg!$F$3:$G$8,2,FALSE),1)</f>
        <v>0</v>
      </c>
      <c r="T190" s="193">
        <f t="shared" si="50"/>
        <v>0</v>
      </c>
      <c r="U190" s="191">
        <f>O190*IFERROR(VLOOKUP(A190,[1]Tørstofindhold!A$2:B$24,2,FALSE),0)</f>
        <v>0</v>
      </c>
      <c r="V190" s="192">
        <f>IF(D190=År1,P190,SUM(O190,P190))*IFERROR(VLOOKUP(A190,[1]Tørstofindhold!A$2:B$24,2,FALSE),0)</f>
        <v>0</v>
      </c>
      <c r="W190" s="192">
        <f>J190*IFERROR(VLOOKUP(A190,[1]Tørstofindhold!A$2:B$24,2,FALSE),0)</f>
        <v>0</v>
      </c>
      <c r="X190" s="193">
        <f t="shared" si="51"/>
        <v>0</v>
      </c>
      <c r="Y190" s="171">
        <f t="shared" si="43"/>
        <v>1</v>
      </c>
      <c r="Z190" s="103">
        <f t="shared" si="44"/>
        <v>0</v>
      </c>
    </row>
    <row r="191" spans="1:26" x14ac:dyDescent="0.25">
      <c r="A191" s="194" t="s">
        <v>100</v>
      </c>
      <c r="B191" s="194" t="s">
        <v>228</v>
      </c>
      <c r="C191" s="194">
        <f>IF(COUNTIFS('Resultater - Danmark'!$D$3:$D$482,'Resultat-Produktion &amp; forbrug'!A191,'Resultater - Danmark'!$A$3:$A$482,"Til energi")+COUNTIFS('Resultater - Danmark'!$D$3:$D$482,'Resultat-Produktion &amp; forbrug'!A191,'Resultater - Danmark'!$A$3:$A$482,"Biogasanlæg")&gt;0,1,0)</f>
        <v>1</v>
      </c>
      <c r="D191" s="194">
        <f t="shared" si="47"/>
        <v>2019</v>
      </c>
      <c r="E191" s="192" t="s">
        <v>24</v>
      </c>
      <c r="F191" s="195">
        <f>IF(E191="Vestdanmark",SUMIFS(IF(D191=År1,'Resultater - Vestdanmark'!H$3:H$482,IF(D191=År2,'Resultater - Vestdanmark'!I$3:I$482,'Resultater - Vestdanmark'!J$3:J$482)),'Resultater - Vestdanmark'!$F$3:$F$482,$A191,IF(D191=År1,'Resultater - Vestdanmark'!H$3:H$482,IF(D191=År2,'Resultater - Vestdanmark'!I$3:I$482,'Resultater - Vestdanmark'!J$3:J$482)),"&gt;0"),SUMIFS(IF(D191=År1,'Resultater - Østdanmark'!H$3:H$482,IF(D191=År2,'Resultater - Østdanmark'!I$3:I$482,'Resultater - Østdanmark'!J$3:J$482)),'Resultater - Østdanmark'!$F$3:$F$482,$A191,IF(D191=År1,'Resultater - Østdanmark'!H$3:H$482,IF(D191=År2,'Resultater - Østdanmark'!I$3:I$482,'Resultater - Østdanmark'!J$3:J$482)),"&gt;0"))</f>
        <v>0</v>
      </c>
      <c r="G191" s="195" t="e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#REF!</v>
      </c>
      <c r="H191" s="192">
        <f>IF(E191="Vestdanmark",-IF(A191="Halm",SUMIFS(IF(D191=År1,'Resultater - Vestdanmark'!H$3:H$482,IF(D191=År2,'Resultater - Vestdanmark'!I$3:I$482,'Resultater - Vestdanmark'!J$3:J$482)),'Resultater - Vestdanmark'!$F$3:$F$482,$A191,'Resultater - Vestdanmark'!H$3:H$482,"&lt;0"),0),-IF(A191="Halm",SUMIFS(IF(D191=År1,'Resultater - Østdanmark'!H$3:H$482,IF(D191=År2,'Resultater - Østdanmark'!I$3:I$482,'Resultater - Østdanmark'!J$3:J$482)),'Resultater - Østdanmark'!$F$3:$F$482,$A191,'Resultater - Østdanmark'!H$3:H$482,"&lt;0"),0))</f>
        <v>0</v>
      </c>
      <c r="I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5" t="e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#REF!</v>
      </c>
      <c r="K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5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7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4" t="e">
        <f t="shared" si="48"/>
        <v>#REF!</v>
      </c>
      <c r="O191" s="195" t="e">
        <f t="shared" si="39"/>
        <v>#REF!</v>
      </c>
      <c r="P191" s="205" t="e">
        <f t="shared" si="49"/>
        <v>#REF!</v>
      </c>
      <c r="Q191" s="192" t="e">
        <f>IFERROR(VLOOKUP(A191,[1]Energiindhold!$A$2:$C$11,3,FALSE),IFERROR(VLOOKUP(A191,[1]Biogasudbytte!$A$2:$B$18,2,FALSE)*[1]Energiindhold!$C$10,0))*O191</f>
        <v>#REF!</v>
      </c>
      <c r="R191" s="192" t="e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#REF!</v>
      </c>
      <c r="S191" s="192" t="e">
        <f>IFERROR(VLOOKUP(A191,[1]Biogasudbytte!$A$2:$B$18,2,FALSE)*[1]Energiindhold!$C$10,0)*J191*IFERROR(VLOOKUP(A191,Biogasanlæg!$F$3:$G$8,2,FALSE),1)</f>
        <v>#REF!</v>
      </c>
      <c r="T191" s="193" t="e">
        <f t="shared" si="50"/>
        <v>#REF!</v>
      </c>
      <c r="U191" s="191" t="e">
        <f>O191*IFERROR(VLOOKUP(A191,[1]Tørstofindhold!A$2:B$24,2,FALSE),0)</f>
        <v>#REF!</v>
      </c>
      <c r="V191" s="192" t="e">
        <f>IF(D191=År1,P191,SUM(O191,P191))*IFERROR(VLOOKUP(A191,[1]Tørstofindhold!A$2:B$24,2,FALSE),0)</f>
        <v>#REF!</v>
      </c>
      <c r="W191" s="192" t="e">
        <f>J191*IFERROR(VLOOKUP(A191,[1]Tørstofindhold!A$2:B$24,2,FALSE),0)</f>
        <v>#REF!</v>
      </c>
      <c r="X191" s="193" t="e">
        <f t="shared" si="51"/>
        <v>#REF!</v>
      </c>
      <c r="Y191" s="171" t="e">
        <f t="shared" si="43"/>
        <v>#REF!</v>
      </c>
      <c r="Z191" s="103" t="e">
        <f t="shared" si="44"/>
        <v>#REF!</v>
      </c>
    </row>
    <row r="192" spans="1:26" x14ac:dyDescent="0.25">
      <c r="A192" s="194" t="s">
        <v>105</v>
      </c>
      <c r="B192" s="194"/>
      <c r="C192" s="194">
        <f>IF(COUNTIFS('Resultater - Danmark'!$D$3:$D$482,'Resultat-Produktion &amp; forbrug'!A192,'Resultater - Danmark'!$A$3:$A$482,"Til energi")+COUNTIFS('Resultater - Danmark'!$D$3:$D$482,'Resultat-Produktion &amp; forbrug'!A192,'Resultater - Danmark'!$A$3:$A$482,"Biogasanlæg")&gt;0,1,0)</f>
        <v>1</v>
      </c>
      <c r="D192" s="194">
        <f t="shared" si="47"/>
        <v>2019</v>
      </c>
      <c r="E192" s="192" t="s">
        <v>24</v>
      </c>
      <c r="F192" s="195">
        <f>IF(E192="Vestdanmark",SUMIFS(IF(D192=År1,'Resultater - Vestdanmark'!H$3:H$482,IF(D192=År2,'Resultater - Vestdanmark'!I$3:I$482,'Resultater - Vestdanmark'!J$3:J$482)),'Resultater - Vestdanmark'!$F$3:$F$482,$A192,IF(D192=År1,'Resultater - Vestdanmark'!H$3:H$482,IF(D192=År2,'Resultater - Vestdanmark'!I$3:I$482,'Resultater - Vestdanmark'!J$3:J$482)),"&gt;0"),SUMIFS(IF(D192=År1,'Resultater - Østdanmark'!H$3:H$482,IF(D192=År2,'Resultater - Østdanmark'!I$3:I$482,'Resultater - Østdanmark'!J$3:J$482)),'Resultater - Østdanmark'!$F$3:$F$482,$A192,IF(D192=År1,'Resultater - Østdanmark'!H$3:H$482,IF(D192=År2,'Resultater - Østdanmark'!I$3:I$482,'Resultater - Østdanmark'!J$3:J$482)),"&gt;0"))</f>
        <v>0</v>
      </c>
      <c r="G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92">
        <f>IF(E192="Vestdanmark",-IF(A192="Halm",SUMIFS(IF(D192=År1,'Resultater - Vestdanmark'!H$3:H$482,IF(D192=År2,'Resultater - Vestdanmark'!I$3:I$482,'Resultater - Vestdanmark'!J$3:J$482)),'Resultater - Vestdanmark'!$F$3:$F$482,$A192,'Resultater - Vestdanmark'!H$3:H$482,"&lt;0"),0),-IF(A192="Halm",SUMIFS(IF(D192=År1,'Resultater - Østdanmark'!H$3:H$482,IF(D192=År2,'Resultater - Østdanmark'!I$3:I$482,'Resultater - Østdanmark'!J$3:J$482)),'Resultater - Østdanmark'!$F$3:$F$482,$A192,'Resultater - Østdanmark'!H$3:H$482,"&lt;0"),0))</f>
        <v>0</v>
      </c>
      <c r="I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5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7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4">
        <f t="shared" si="48"/>
        <v>0</v>
      </c>
      <c r="O192" s="195">
        <f t="shared" si="39"/>
        <v>0</v>
      </c>
      <c r="P192" s="205">
        <f t="shared" si="49"/>
        <v>0</v>
      </c>
      <c r="Q192" s="192">
        <f>IFERROR(VLOOKUP(A192,[1]Energiindhold!$A$2:$C$11,3,FALSE),IFERROR(VLOOKUP(A192,[1]Biogasudbytte!$A$2:$B$18,2,FALSE)*[1]Energiindhold!$C$10,0))*O192</f>
        <v>0</v>
      </c>
      <c r="R192" s="192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92">
        <f>IFERROR(VLOOKUP(A192,[1]Biogasudbytte!$A$2:$B$18,2,FALSE)*[1]Energiindhold!$C$10,0)*J192*IFERROR(VLOOKUP(A192,Biogasanlæg!$F$3:$G$8,2,FALSE),1)</f>
        <v>0</v>
      </c>
      <c r="T192" s="193">
        <f t="shared" si="50"/>
        <v>0</v>
      </c>
      <c r="U192" s="191">
        <f>O192*IFERROR(VLOOKUP(A192,[1]Tørstofindhold!A$2:B$24,2,FALSE),0)</f>
        <v>0</v>
      </c>
      <c r="V192" s="192">
        <f>IF(D192=År1,P192,SUM(O192,P192))*IFERROR(VLOOKUP(A192,[1]Tørstofindhold!A$2:B$24,2,FALSE),0)</f>
        <v>0</v>
      </c>
      <c r="W192" s="192">
        <f>J192*IFERROR(VLOOKUP(A192,[1]Tørstofindhold!A$2:B$24,2,FALSE),0)</f>
        <v>0</v>
      </c>
      <c r="X192" s="193">
        <f t="shared" si="51"/>
        <v>0</v>
      </c>
      <c r="Y192" s="171">
        <f t="shared" si="43"/>
        <v>0</v>
      </c>
      <c r="Z192" s="103">
        <f t="shared" si="44"/>
        <v>0</v>
      </c>
    </row>
    <row r="193" spans="1:26" x14ac:dyDescent="0.25">
      <c r="A193" s="194" t="s">
        <v>120</v>
      </c>
      <c r="B193" s="194" t="s">
        <v>227</v>
      </c>
      <c r="C193" s="194">
        <f>IF(COUNTIFS('Resultater - Danmark'!$D$3:$D$482,'Resultat-Produktion &amp; forbrug'!A193,'Resultater - Danmark'!$A$3:$A$482,"Til energi")+COUNTIFS('Resultater - Danmark'!$D$3:$D$482,'Resultat-Produktion &amp; forbrug'!A193,'Resultater - Danmark'!$A$3:$A$482,"Biogasanlæg")&gt;0,1,0)</f>
        <v>1</v>
      </c>
      <c r="D193" s="194">
        <f t="shared" si="47"/>
        <v>2019</v>
      </c>
      <c r="E193" s="192" t="s">
        <v>24</v>
      </c>
      <c r="F193" s="195">
        <f>IF(E193="Vestdanmark",SUMIFS(IF(D193=År1,'Resultater - Vestdanmark'!H$3:H$482,IF(D193=År2,'Resultater - Vestdanmark'!I$3:I$482,'Resultater - Vestdanmark'!J$3:J$482)),'Resultater - Vestdanmark'!$F$3:$F$482,$A193,IF(D193=År1,'Resultater - Vestdanmark'!H$3:H$482,IF(D193=År2,'Resultater - Vestdanmark'!I$3:I$482,'Resultater - Vestdanmark'!J$3:J$482)),"&gt;0"),SUMIFS(IF(D193=År1,'Resultater - Østdanmark'!H$3:H$482,IF(D193=År2,'Resultater - Østdanmark'!I$3:I$482,'Resultater - Østdanmark'!J$3:J$482)),'Resultater - Østdanmark'!$F$3:$F$482,$A193,IF(D193=År1,'Resultater - Østdanmark'!H$3:H$482,IF(D193=År2,'Resultater - Østdanmark'!I$3:I$482,'Resultater - Østdanmark'!J$3:J$482)),"&gt;0"))</f>
        <v>0</v>
      </c>
      <c r="G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92">
        <f>IF(E193="Vestdanmark",-IF(A193="Halm",SUMIFS(IF(D193=År1,'Resultater - Vestdanmark'!H$3:H$482,IF(D193=År2,'Resultater - Vestdanmark'!I$3:I$482,'Resultater - Vestdanmark'!J$3:J$482)),'Resultater - Vestdanmark'!$F$3:$F$482,$A193,'Resultater - Vestdanmark'!H$3:H$482,"&lt;0"),0),-IF(A193="Halm",SUMIFS(IF(D193=År1,'Resultater - Østdanmark'!H$3:H$482,IF(D193=År2,'Resultater - Østdanmark'!I$3:I$482,'Resultater - Østdanmark'!J$3:J$482)),'Resultater - Østdanmark'!$F$3:$F$482,$A193,'Resultater - Østdanmark'!H$3:H$482,"&lt;0"),0))</f>
        <v>0</v>
      </c>
      <c r="I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5" t="e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#REF!</v>
      </c>
      <c r="M193" s="157" t="e">
        <f>SUMIFS('Forbrug af biomasse'!E:E,'Forbrug af biomasse'!C:C,'Resultat-Produktion &amp; forbrug'!$A193,'Forbrug af biomasse'!D:D,'Resultat-Produktion &amp; forbrug'!$D193,'Forbrug af biomasse'!G:G,1,'Forbrug af biomasse'!B:B,$E193)</f>
        <v>#REF!</v>
      </c>
      <c r="N193" s="204" t="e">
        <f t="shared" si="48"/>
        <v>#REF!</v>
      </c>
      <c r="O193" s="195" t="e">
        <f t="shared" si="39"/>
        <v>#REF!</v>
      </c>
      <c r="P193" s="205" t="e">
        <f t="shared" si="49"/>
        <v>#REF!</v>
      </c>
      <c r="Q193" s="192" t="e">
        <f>IFERROR(VLOOKUP(A193,[1]Energiindhold!$A$2:$C$11,3,FALSE),IFERROR(VLOOKUP(A193,[1]Biogasudbytte!$A$2:$B$18,2,FALSE)*[1]Energiindhold!$C$10,0))*O193</f>
        <v>#REF!</v>
      </c>
      <c r="R193" s="192" t="e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#REF!</v>
      </c>
      <c r="S193" s="192">
        <f>IFERROR(VLOOKUP(A193,[1]Biogasudbytte!$A$2:$B$18,2,FALSE)*[1]Energiindhold!$C$10,0)*J193*IFERROR(VLOOKUP(A193,Biogasanlæg!$F$3:$G$8,2,FALSE),1)</f>
        <v>0</v>
      </c>
      <c r="T193" s="193" t="e">
        <f t="shared" si="50"/>
        <v>#REF!</v>
      </c>
      <c r="U193" s="191" t="e">
        <f>O193*IFERROR(VLOOKUP(A193,[1]Tørstofindhold!A$2:B$24,2,FALSE),0)</f>
        <v>#REF!</v>
      </c>
      <c r="V193" s="192" t="e">
        <f>IF(D193=År1,P193,SUM(O193,P193))*IFERROR(VLOOKUP(A193,[1]Tørstofindhold!A$2:B$24,2,FALSE),0)</f>
        <v>#REF!</v>
      </c>
      <c r="W193" s="192">
        <f>J193*IFERROR(VLOOKUP(A193,[1]Tørstofindhold!A$2:B$24,2,FALSE),0)</f>
        <v>0</v>
      </c>
      <c r="X193" s="193" t="e">
        <f t="shared" si="51"/>
        <v>#REF!</v>
      </c>
      <c r="Y193" s="171" t="e">
        <f t="shared" si="43"/>
        <v>#REF!</v>
      </c>
      <c r="Z193" s="103" t="e">
        <f t="shared" si="44"/>
        <v>#REF!</v>
      </c>
    </row>
    <row r="194" spans="1:26" x14ac:dyDescent="0.25">
      <c r="A194" s="194" t="s">
        <v>119</v>
      </c>
      <c r="B194" s="194"/>
      <c r="C194" s="194">
        <f>IF(COUNTIFS('Resultater - Danmark'!$D$3:$D$482,'Resultat-Produktion &amp; forbrug'!A194,'Resultater - Danmark'!$A$3:$A$482,"Til energi")+COUNTIFS('Resultater - Danmark'!$D$3:$D$482,'Resultat-Produktion &amp; forbrug'!A194,'Resultater - Danmark'!$A$3:$A$482,"Biogasanlæg")&gt;0,1,0)</f>
        <v>0</v>
      </c>
      <c r="D194" s="194">
        <f t="shared" si="47"/>
        <v>2019</v>
      </c>
      <c r="E194" s="192" t="s">
        <v>24</v>
      </c>
      <c r="F194" s="195">
        <f>IF(E194="Vestdanmark",SUMIFS(IF(D194=År1,'Resultater - Vestdanmark'!H$3:H$482,IF(D194=År2,'Resultater - Vestdanmark'!I$3:I$482,'Resultater - Vestdanmark'!J$3:J$482)),'Resultater - Vestdanmark'!$F$3:$F$482,$A194,IF(D194=År1,'Resultater - Vestdanmark'!H$3:H$482,IF(D194=År2,'Resultater - Vestdanmark'!I$3:I$482,'Resultater - Vestdanmark'!J$3:J$482)),"&gt;0"),SUMIFS(IF(D194=År1,'Resultater - Østdanmark'!H$3:H$482,IF(D194=År2,'Resultater - Østdanmark'!I$3:I$482,'Resultater - Østdanmark'!J$3:J$482)),'Resultater - Østdanmark'!$F$3:$F$482,$A194,IF(D194=År1,'Resultater - Østdanmark'!H$3:H$482,IF(D194=År2,'Resultater - Østdanmark'!I$3:I$482,'Resultater - Østdanmark'!J$3:J$482)),"&gt;0"))</f>
        <v>0</v>
      </c>
      <c r="G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92">
        <f>IF(E194="Vestdanmark",-IF(A194="Halm",SUMIFS(IF(D194=År1,'Resultater - Vestdanmark'!H$3:H$482,IF(D194=År2,'Resultater - Vestdanmark'!I$3:I$482,'Resultater - Vestdanmark'!J$3:J$482)),'Resultater - Vestdanmark'!$F$3:$F$482,$A194,'Resultater - Vestdanmark'!H$3:H$482,"&lt;0"),0),-IF(A194="Halm",SUMIFS(IF(D194=År1,'Resultater - Østdanmark'!H$3:H$482,IF(D194=År2,'Resultater - Østdanmark'!I$3:I$482,'Resultater - Østdanmark'!J$3:J$482)),'Resultater - Østdanmark'!$F$3:$F$482,$A194,'Resultater - Østdanmark'!H$3:H$482,"&lt;0"),0))</f>
        <v>0</v>
      </c>
      <c r="I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5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7">
        <f>SUMIFS('Forbrug af biomasse'!E:E,'Forbrug af biomasse'!C:C,'Resultat-Produktion &amp; forbrug'!$A194,'Forbrug af biomasse'!D:D,'Resultat-Produktion &amp; forbrug'!$D194,'Forbrug af biomasse'!G:G,1,'Forbrug af biomasse'!B:B,$E194)</f>
        <v>0</v>
      </c>
      <c r="N194" s="204">
        <f t="shared" si="48"/>
        <v>0</v>
      </c>
      <c r="O194" s="195">
        <f t="shared" si="39"/>
        <v>0</v>
      </c>
      <c r="P194" s="205">
        <f t="shared" si="49"/>
        <v>0</v>
      </c>
      <c r="Q194" s="192">
        <f>IFERROR(VLOOKUP(A194,[1]Energiindhold!$A$2:$C$11,3,FALSE),IFERROR(VLOOKUP(A194,[1]Biogasudbytte!$A$2:$B$18,2,FALSE)*[1]Energiindhold!$C$10,0))*O194</f>
        <v>0</v>
      </c>
      <c r="R194" s="192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92">
        <f>IFERROR(VLOOKUP(A194,[1]Biogasudbytte!$A$2:$B$18,2,FALSE)*[1]Energiindhold!$C$10,0)*J194*IFERROR(VLOOKUP(A194,Biogasanlæg!$F$3:$G$8,2,FALSE),1)</f>
        <v>0</v>
      </c>
      <c r="T194" s="193">
        <f t="shared" si="50"/>
        <v>0</v>
      </c>
      <c r="U194" s="191">
        <f>O194*IFERROR(VLOOKUP(A194,[1]Tørstofindhold!A$2:B$24,2,FALSE),0)</f>
        <v>0</v>
      </c>
      <c r="V194" s="192">
        <f>IF(D194=År1,P194,SUM(O194,P194))*IFERROR(VLOOKUP(A194,[1]Tørstofindhold!A$2:B$24,2,FALSE),0)</f>
        <v>0</v>
      </c>
      <c r="W194" s="192">
        <f>J194*IFERROR(VLOOKUP(A194,[1]Tørstofindhold!A$2:B$24,2,FALSE),0)</f>
        <v>0</v>
      </c>
      <c r="X194" s="193">
        <f t="shared" si="51"/>
        <v>0</v>
      </c>
      <c r="Y194" s="171">
        <f t="shared" si="43"/>
        <v>0</v>
      </c>
      <c r="Z194" s="103">
        <f t="shared" si="44"/>
        <v>0</v>
      </c>
    </row>
    <row r="195" spans="1:26" x14ac:dyDescent="0.25">
      <c r="A195" s="194" t="str">
        <f t="shared" ref="A195:A226" si="56">A147</f>
        <v>Æg</v>
      </c>
      <c r="B195" s="194" t="str">
        <f t="shared" ref="B195:B226" si="57">IF(B147&lt;&gt;"",B147,"")</f>
        <v/>
      </c>
      <c r="C195" s="194">
        <f>IF(COUNTIFS('Resultater - Danmark'!$D$3:$D$482,'Resultat-Produktion &amp; forbrug'!A195,'Resultater - Danmark'!$A$3:$A$482,"Til energi")+COUNTIFS('Resultater - Danmark'!$D$3:$D$482,'Resultat-Produktion &amp; forbrug'!A195,'Resultater - Danmark'!$A$3:$A$482,"Biogasanlæg")&gt;0,1,0)</f>
        <v>0</v>
      </c>
      <c r="D195" s="194">
        <f t="shared" ref="D195:D242" si="58">År2</f>
        <v>2030</v>
      </c>
      <c r="E195" s="192" t="s">
        <v>24</v>
      </c>
      <c r="F195" s="195">
        <f>IF(E195="Vestdanmark",SUMIFS(IF(D195=År1,'Resultater - Vestdanmark'!H$3:H$482,IF(D195=År2,'Resultater - Vestdanmark'!I$3:I$482,'Resultater - Vestdanmark'!J$3:J$482)),'Resultater - Vestdanmark'!$F$3:$F$482,$A195,IF(D195=År1,'Resultater - Vestdanmark'!H$3:H$482,IF(D195=År2,'Resultater - Vestdanmark'!I$3:I$482,'Resultater - Vestdanmark'!J$3:J$482)),"&gt;0"),SUMIFS(IF(D195=År1,'Resultater - Østdanmark'!H$3:H$482,IF(D195=År2,'Resultater - Østdanmark'!I$3:I$482,'Resultater - Østdanmark'!J$3:J$482)),'Resultater - Østdanmark'!$F$3:$F$482,$A195,IF(D195=År1,'Resultater - Østdanmark'!H$3:H$482,IF(D195=År2,'Resultater - Østdanmark'!I$3:I$482,'Resultater - Østdanmark'!J$3:J$482)),"&gt;0"))</f>
        <v>0</v>
      </c>
      <c r="G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92">
        <f>IF(E195="Vestdanmark",-IF(A195="Halm",SUMIFS(IF(D195=År1,'Resultater - Vestdanmark'!H$3:H$482,IF(D195=År2,'Resultater - Vestdanmark'!I$3:I$482,'Resultater - Vestdanmark'!J$3:J$482)),'Resultater - Vestdanmark'!$F$3:$F$482,$A195,'Resultater - Vestdanmark'!H$3:H$482,"&lt;0"),0),-IF(A195="Halm",SUMIFS(IF(D195=År1,'Resultater - Østdanmark'!H$3:H$482,IF(D195=År2,'Resultater - Østdanmark'!I$3:I$482,'Resultater - Østdanmark'!J$3:J$482)),'Resultater - Østdanmark'!$F$3:$F$482,$A195,'Resultater - Østdanmark'!H$3:H$482,"&lt;0"),0))</f>
        <v>0</v>
      </c>
      <c r="I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5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7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4">
        <f t="shared" si="48"/>
        <v>-28209.340124628539</v>
      </c>
      <c r="O195" s="195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5">
        <f t="shared" si="49"/>
        <v>0</v>
      </c>
      <c r="Q195" s="192">
        <f>IFERROR(VLOOKUP(A195,[1]Energiindhold!$A$2:$C$11,3,FALSE),IFERROR(VLOOKUP(A195,[1]Biogasudbytte!$A$2:$B$18,2,FALSE)*[1]Energiindhold!$C$10,0))*O195</f>
        <v>0</v>
      </c>
      <c r="R195" s="192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92">
        <f>IFERROR(VLOOKUP(A195,[1]Biogasudbytte!$A$2:$B$18,2,FALSE)*[1]Energiindhold!$C$10,0)*J195*IFERROR(VLOOKUP(A195,Biogasanlæg!$F$3:$G$8,2,FALSE),1)</f>
        <v>0</v>
      </c>
      <c r="T195" s="193">
        <f t="shared" si="50"/>
        <v>0</v>
      </c>
      <c r="U195" s="191">
        <f>O195*IFERROR(VLOOKUP(A195,[1]Tørstofindhold!A$2:B$24,2,FALSE),0)</f>
        <v>0</v>
      </c>
      <c r="V195" s="192">
        <f>IF(D195=År1,P195,SUM(O195,P195))*IFERROR(VLOOKUP(A195,[1]Tørstofindhold!A$2:B$24,2,FALSE),0)</f>
        <v>0</v>
      </c>
      <c r="W195" s="192">
        <f>J195*IFERROR(VLOOKUP(A195,[1]Tørstofindhold!A$2:B$24,2,FALSE),0)</f>
        <v>0</v>
      </c>
      <c r="X195" s="193">
        <f t="shared" si="51"/>
        <v>0</v>
      </c>
      <c r="Y195" s="171">
        <f t="shared" ref="Y195:Y258" si="60">IF(SUMIFS($N$3:$N$290,$A$3:$A$290,A195,$D$3:$D$290,D195)&lt;0,1,0)</f>
        <v>1</v>
      </c>
      <c r="Z195" s="103">
        <f t="shared" ref="Z195:Z258" si="61">IF(SUMIFS($N$3:$N$290,$A$3:$A$290,A195,$D$3:$D$290,D195)&gt;0,1,0)</f>
        <v>0</v>
      </c>
    </row>
    <row r="196" spans="1:26" x14ac:dyDescent="0.25">
      <c r="A196" s="194" t="str">
        <f t="shared" si="56"/>
        <v>Bælgsæd</v>
      </c>
      <c r="B196" s="194" t="str">
        <f t="shared" si="57"/>
        <v/>
      </c>
      <c r="C196" s="194">
        <f>IF(COUNTIFS('Resultater - Danmark'!$D$3:$D$482,'Resultat-Produktion &amp; forbrug'!A196,'Resultater - Danmark'!$A$3:$A$482,"Til energi")+COUNTIFS('Resultater - Danmark'!$D$3:$D$482,'Resultat-Produktion &amp; forbrug'!A196,'Resultater - Danmark'!$A$3:$A$482,"Biogasanlæg")&gt;0,1,0)</f>
        <v>0</v>
      </c>
      <c r="D196" s="194">
        <f t="shared" si="58"/>
        <v>2030</v>
      </c>
      <c r="E196" s="192" t="s">
        <v>24</v>
      </c>
      <c r="F196" s="195">
        <f>IF(E196="Vestdanmark",SUMIFS(IF(D196=År1,'Resultater - Vestdanmark'!H$3:H$482,IF(D196=År2,'Resultater - Vestdanmark'!I$3:I$482,'Resultater - Vestdanmark'!J$3:J$482)),'Resultater - Vestdanmark'!$F$3:$F$482,$A196,IF(D196=År1,'Resultater - Vestdanmark'!H$3:H$482,IF(D196=År2,'Resultater - Vestdanmark'!I$3:I$482,'Resultater - Vestdanmark'!J$3:J$482)),"&gt;0"),SUMIFS(IF(D196=År1,'Resultater - Østdanmark'!H$3:H$482,IF(D196=År2,'Resultater - Østdanmark'!I$3:I$482,'Resultater - Østdanmark'!J$3:J$482)),'Resultater - Østdanmark'!$F$3:$F$482,$A196,IF(D196=År1,'Resultater - Østdanmark'!H$3:H$482,IF(D196=År2,'Resultater - Østdanmark'!I$3:I$482,'Resultater - Østdanmark'!J$3:J$482)),"&gt;0"))</f>
        <v>0</v>
      </c>
      <c r="G196" s="195" t="e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#REF!</v>
      </c>
      <c r="H196" s="192">
        <f>IF(E196="Vestdanmark",-IF(A196="Halm",SUMIFS(IF(D196=År1,'Resultater - Vestdanmark'!H$3:H$482,IF(D196=År2,'Resultater - Vestdanmark'!I$3:I$482,'Resultater - Vestdanmark'!J$3:J$482)),'Resultater - Vestdanmark'!$F$3:$F$482,$A196,'Resultater - Vestdanmark'!H$3:H$482,"&lt;0"),0),-IF(A196="Halm",SUMIFS(IF(D196=År1,'Resultater - Østdanmark'!H$3:H$482,IF(D196=År2,'Resultater - Østdanmark'!I$3:I$482,'Resultater - Østdanmark'!J$3:J$482)),'Resultater - Østdanmark'!$F$3:$F$482,$A196,'Resultater - Østdanmark'!H$3:H$482,"&lt;0"),0))</f>
        <v>0</v>
      </c>
      <c r="I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5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7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4" t="e">
        <f t="shared" si="48"/>
        <v>#REF!</v>
      </c>
      <c r="O196" s="195">
        <f t="shared" si="59"/>
        <v>0</v>
      </c>
      <c r="P196" s="205">
        <f t="shared" si="49"/>
        <v>0</v>
      </c>
      <c r="Q196" s="192">
        <f>IFERROR(VLOOKUP(A196,[1]Energiindhold!$A$2:$C$11,3,FALSE),IFERROR(VLOOKUP(A196,[1]Biogasudbytte!$A$2:$B$18,2,FALSE)*[1]Energiindhold!$C$10,0))*O196</f>
        <v>0</v>
      </c>
      <c r="R196" s="192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92">
        <f>IFERROR(VLOOKUP(A196,[1]Biogasudbytte!$A$2:$B$18,2,FALSE)*[1]Energiindhold!$C$10,0)*J196*IFERROR(VLOOKUP(A196,Biogasanlæg!$F$3:$G$8,2,FALSE),1)</f>
        <v>0</v>
      </c>
      <c r="T196" s="193">
        <f t="shared" si="50"/>
        <v>0</v>
      </c>
      <c r="U196" s="191">
        <f>O196*IFERROR(VLOOKUP(A196,[1]Tørstofindhold!A$2:B$24,2,FALSE),0)</f>
        <v>0</v>
      </c>
      <c r="V196" s="192">
        <f>IF(D196=År1,P196,SUM(O196,P196))*IFERROR(VLOOKUP(A196,[1]Tørstofindhold!A$2:B$24,2,FALSE),0)</f>
        <v>0</v>
      </c>
      <c r="W196" s="192">
        <f>J196*IFERROR(VLOOKUP(A196,[1]Tørstofindhold!A$2:B$24,2,FALSE),0)</f>
        <v>0</v>
      </c>
      <c r="X196" s="193">
        <f t="shared" si="51"/>
        <v>0</v>
      </c>
      <c r="Y196" s="171" t="e">
        <f t="shared" si="60"/>
        <v>#REF!</v>
      </c>
      <c r="Z196" s="103" t="e">
        <f t="shared" si="61"/>
        <v>#REF!</v>
      </c>
    </row>
    <row r="197" spans="1:26" x14ac:dyDescent="0.25">
      <c r="A197" s="194" t="str">
        <f t="shared" si="56"/>
        <v>Bioaffald</v>
      </c>
      <c r="B197" s="194" t="str">
        <f t="shared" si="57"/>
        <v>Bionedbrydeligt affald</v>
      </c>
      <c r="C197" s="194">
        <f>IF(COUNTIFS('Resultater - Danmark'!$D$3:$D$482,'Resultat-Produktion &amp; forbrug'!A197,'Resultater - Danmark'!$A$3:$A$482,"Til energi")+COUNTIFS('Resultater - Danmark'!$D$3:$D$482,'Resultat-Produktion &amp; forbrug'!A197,'Resultater - Danmark'!$A$3:$A$482,"Biogasanlæg")&gt;0,1,0)</f>
        <v>1</v>
      </c>
      <c r="D197" s="194">
        <f t="shared" si="58"/>
        <v>2030</v>
      </c>
      <c r="E197" s="192" t="s">
        <v>24</v>
      </c>
      <c r="F197" s="195">
        <f>IF(E197="Vestdanmark",SUMIFS(IF(D197=År1,'Resultater - Vestdanmark'!H$3:H$482,IF(D197=År2,'Resultater - Vestdanmark'!I$3:I$482,'Resultater - Vestdanmark'!J$3:J$482)),'Resultater - Vestdanmark'!$F$3:$F$482,$A197,IF(D197=År1,'Resultater - Vestdanmark'!H$3:H$482,IF(D197=År2,'Resultater - Vestdanmark'!I$3:I$482,'Resultater - Vestdanmark'!J$3:J$482)),"&gt;0"),SUMIFS(IF(D197=År1,'Resultater - Østdanmark'!H$3:H$482,IF(D197=År2,'Resultater - Østdanmark'!I$3:I$482,'Resultater - Østdanmark'!J$3:J$482)),'Resultater - Østdanmark'!$F$3:$F$482,$A197,IF(D197=År1,'Resultater - Østdanmark'!H$3:H$482,IF(D197=År2,'Resultater - Østdanmark'!I$3:I$482,'Resultater - Østdanmark'!J$3:J$482)),"&gt;0"))</f>
        <v>0</v>
      </c>
      <c r="G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92">
        <f>IF(E197="Vestdanmark",-IF(A197="Halm",SUMIFS(IF(D197=År1,'Resultater - Vestdanmark'!H$3:H$482,IF(D197=År2,'Resultater - Vestdanmark'!I$3:I$482,'Resultater - Vestdanmark'!J$3:J$482)),'Resultater - Vestdanmark'!$F$3:$F$482,$A197,'Resultater - Vestdanmark'!H$3:H$482,"&lt;0"),0),-IF(A197="Halm",SUMIFS(IF(D197=År1,'Resultater - Østdanmark'!H$3:H$482,IF(D197=År2,'Resultater - Østdanmark'!I$3:I$482,'Resultater - Østdanmark'!J$3:J$482)),'Resultater - Østdanmark'!$F$3:$F$482,$A197,'Resultater - Østdanmark'!H$3:H$482,"&lt;0"),0))</f>
        <v>0</v>
      </c>
      <c r="I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5" t="e">
        <f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#REF!</v>
      </c>
      <c r="K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5" t="e">
        <f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#REF!</v>
      </c>
      <c r="M197" s="157" t="e">
        <f>SUMIFS('Forbrug af biomasse'!E:E,'Forbrug af biomasse'!C:C,'Resultat-Produktion &amp; forbrug'!$A197,'Forbrug af biomasse'!D:D,'Resultat-Produktion &amp; forbrug'!$D197,'Forbrug af biomasse'!G:G,1,'Forbrug af biomasse'!B:B,$E197)</f>
        <v>#REF!</v>
      </c>
      <c r="N197" s="204" t="e">
        <f t="shared" si="48"/>
        <v>#REF!</v>
      </c>
      <c r="O197" s="195" t="e">
        <f t="shared" si="59"/>
        <v>#REF!</v>
      </c>
      <c r="P197" s="205" t="e">
        <f t="shared" si="49"/>
        <v>#REF!</v>
      </c>
      <c r="Q197" s="192" t="e">
        <f>IFERROR(VLOOKUP(A197,[1]Energiindhold!$A$2:$C$11,3,FALSE),IFERROR(VLOOKUP(A197,[1]Biogasudbytte!$A$2:$B$18,2,FALSE)*[1]Energiindhold!$C$10,0))*O197</f>
        <v>#REF!</v>
      </c>
      <c r="R197" s="192" t="e">
        <f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#REF!</v>
      </c>
      <c r="S197" s="192" t="e">
        <f>IFERROR(VLOOKUP(A197,[1]Biogasudbytte!$A$2:$B$18,2,FALSE)*[1]Energiindhold!$C$10,0)*J197*IFERROR(VLOOKUP(A197,Biogasanlæg!$F$3:$G$8,2,FALSE),1)</f>
        <v>#REF!</v>
      </c>
      <c r="T197" s="193" t="e">
        <f t="shared" si="50"/>
        <v>#REF!</v>
      </c>
      <c r="U197" s="191" t="e">
        <f>O197*IFERROR(VLOOKUP(A197,[1]Tørstofindhold!A$2:B$24,2,FALSE),0)</f>
        <v>#REF!</v>
      </c>
      <c r="V197" s="192" t="e">
        <f>IF(D197=År1,P197,SUM(O197,P197))*IFERROR(VLOOKUP(A197,[1]Tørstofindhold!A$2:B$24,2,FALSE),0)</f>
        <v>#REF!</v>
      </c>
      <c r="W197" s="192" t="e">
        <f>J197*IFERROR(VLOOKUP(A197,[1]Tørstofindhold!A$2:B$24,2,FALSE),0)</f>
        <v>#REF!</v>
      </c>
      <c r="X197" s="193" t="e">
        <f t="shared" si="51"/>
        <v>#REF!</v>
      </c>
      <c r="Y197" s="171" t="e">
        <f t="shared" si="60"/>
        <v>#REF!</v>
      </c>
      <c r="Z197" s="103" t="e">
        <f t="shared" si="61"/>
        <v>#REF!</v>
      </c>
    </row>
    <row r="198" spans="1:26" x14ac:dyDescent="0.25">
      <c r="A198" s="194" t="str">
        <f t="shared" si="56"/>
        <v>Biogas</v>
      </c>
      <c r="B198" s="194" t="str">
        <f t="shared" si="57"/>
        <v/>
      </c>
      <c r="C198" s="194">
        <f>IF(COUNTIFS('Resultater - Danmark'!$D$3:$D$482,'Resultat-Produktion &amp; forbrug'!A198,'Resultater - Danmark'!$A$3:$A$482,"Til energi")+COUNTIFS('Resultater - Danmark'!$D$3:$D$482,'Resultat-Produktion &amp; forbrug'!A198,'Resultater - Danmark'!$A$3:$A$482,"Biogasanlæg")&gt;0,1,0)</f>
        <v>1</v>
      </c>
      <c r="D198" s="194">
        <f t="shared" si="58"/>
        <v>2030</v>
      </c>
      <c r="E198" s="192" t="s">
        <v>24</v>
      </c>
      <c r="F198" s="195">
        <f>IF(E198="Vestdanmark",SUMIFS(IF(D198=År1,'Resultater - Vestdanmark'!H$3:H$482,IF(D198=År2,'Resultater - Vestdanmark'!I$3:I$482,'Resultater - Vestdanmark'!J$3:J$482)),'Resultater - Vestdanmark'!$F$3:$F$482,$A198,IF(D198=År1,'Resultater - Vestdanmark'!H$3:H$482,IF(D198=År2,'Resultater - Vestdanmark'!I$3:I$482,'Resultater - Vestdanmark'!J$3:J$482)),"&gt;0"),SUMIFS(IF(D198=År1,'Resultater - Østdanmark'!H$3:H$482,IF(D198=År2,'Resultater - Østdanmark'!I$3:I$482,'Resultater - Østdanmark'!J$3:J$482)),'Resultater - Østdanmark'!$F$3:$F$482,$A198,IF(D198=År1,'Resultater - Østdanmark'!H$3:H$482,IF(D198=År2,'Resultater - Østdanmark'!I$3:I$482,'Resultater - Østdanmark'!J$3:J$482)),"&gt;0"))</f>
        <v>12086250.624000002</v>
      </c>
      <c r="G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92">
        <f>IF(E198="Vestdanmark",-IF(A198="Halm",SUMIFS(IF(D198=År1,'Resultater - Vestdanmark'!H$3:H$482,IF(D198=År2,'Resultater - Vestdanmark'!I$3:I$482,'Resultater - Vestdanmark'!J$3:J$482)),'Resultater - Vestdanmark'!$F$3:$F$482,$A198,'Resultater - Vestdanmark'!H$3:H$482,"&lt;0"),0),-IF(A198="Halm",SUMIFS(IF(D198=År1,'Resultater - Østdanmark'!H$3:H$482,IF(D198=År2,'Resultater - Østdanmark'!I$3:I$482,'Resultater - Østdanmark'!J$3:J$482)),'Resultater - Østdanmark'!$F$3:$F$482,$A198,'Resultater - Østdanmark'!H$3:H$482,"&lt;0"),0))</f>
        <v>0</v>
      </c>
      <c r="I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5">
        <f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12086250.624000002</v>
      </c>
      <c r="M198" s="157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4">
        <f t="shared" si="48"/>
        <v>0</v>
      </c>
      <c r="O198" s="195">
        <f t="shared" si="59"/>
        <v>0</v>
      </c>
      <c r="P198" s="205">
        <f t="shared" si="49"/>
        <v>12086250.624000002</v>
      </c>
      <c r="Q198" s="192">
        <f>IFERROR(VLOOKUP(A198,[1]Energiindhold!$A$2:$C$11,3,FALSE),IFERROR(VLOOKUP(A198,[1]Biogasudbytte!$A$2:$B$18,2,FALSE)*[1]Energiindhold!$C$10,0))*O198</f>
        <v>0</v>
      </c>
      <c r="R198" s="192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92">
        <f>IFERROR(VLOOKUP(A198,[1]Biogasudbytte!$A$2:$B$18,2,FALSE)*[1]Energiindhold!$C$10,0)*J198*IFERROR(VLOOKUP(A198,Biogasanlæg!$F$3:$G$8,2,FALSE),1)</f>
        <v>0</v>
      </c>
      <c r="T198" s="193">
        <f t="shared" si="50"/>
        <v>0</v>
      </c>
      <c r="U198" s="191">
        <f>O198*IFERROR(VLOOKUP(A198,[1]Tørstofindhold!A$2:B$24,2,FALSE),0)</f>
        <v>0</v>
      </c>
      <c r="V198" s="192">
        <f>IF(D198=År1,P198,SUM(O198,P198))*IFERROR(VLOOKUP(A198,[1]Tørstofindhold!A$2:B$24,2,FALSE),0)</f>
        <v>0</v>
      </c>
      <c r="W198" s="192">
        <f>J198*IFERROR(VLOOKUP(A198,[1]Tørstofindhold!A$2:B$24,2,FALSE),0)</f>
        <v>0</v>
      </c>
      <c r="X198" s="193">
        <f t="shared" si="51"/>
        <v>0</v>
      </c>
      <c r="Y198" s="171">
        <f t="shared" si="60"/>
        <v>0</v>
      </c>
      <c r="Z198" s="103">
        <f t="shared" si="61"/>
        <v>0</v>
      </c>
    </row>
    <row r="199" spans="1:26" x14ac:dyDescent="0.25">
      <c r="A199" s="194" t="str">
        <f t="shared" si="56"/>
        <v>Biogasgylle</v>
      </c>
      <c r="B199" s="194" t="str">
        <f t="shared" si="57"/>
        <v/>
      </c>
      <c r="C199" s="194">
        <f>IF(COUNTIFS('Resultater - Danmark'!$D$3:$D$482,'Resultat-Produktion &amp; forbrug'!A199,'Resultater - Danmark'!$A$3:$A$482,"Til energi")+COUNTIFS('Resultater - Danmark'!$D$3:$D$482,'Resultat-Produktion &amp; forbrug'!A199,'Resultater - Danmark'!$A$3:$A$482,"Biogasanlæg")&gt;0,1,0)</f>
        <v>0</v>
      </c>
      <c r="D199" s="194">
        <f t="shared" si="58"/>
        <v>2030</v>
      </c>
      <c r="E199" s="192" t="s">
        <v>24</v>
      </c>
      <c r="F199" s="195">
        <f>IF(E199="Vestdanmark",SUMIFS(IF(D199=År1,'Resultater - Vestdanmark'!H$3:H$482,IF(D199=År2,'Resultater - Vestdanmark'!I$3:I$482,'Resultater - Vestdanmark'!J$3:J$482)),'Resultater - Vestdanmark'!$F$3:$F$482,$A199,IF(D199=År1,'Resultater - Vestdanmark'!H$3:H$482,IF(D199=År2,'Resultater - Vestdanmark'!I$3:I$482,'Resultater - Vestdanmark'!J$3:J$482)),"&gt;0"),SUMIFS(IF(D199=År1,'Resultater - Østdanmark'!H$3:H$482,IF(D199=År2,'Resultater - Østdanmark'!I$3:I$482,'Resultater - Østdanmark'!J$3:J$482)),'Resultater - Østdanmark'!$F$3:$F$482,$A199,IF(D199=År1,'Resultater - Østdanmark'!H$3:H$482,IF(D199=År2,'Resultater - Østdanmark'!I$3:I$482,'Resultater - Østdanmark'!J$3:J$482)),"&gt;0"))</f>
        <v>0</v>
      </c>
      <c r="G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92">
        <f>IF(E199="Vestdanmark",-IF(A199="Halm",SUMIFS(IF(D199=År1,'Resultater - Vestdanmark'!H$3:H$482,IF(D199=År2,'Resultater - Vestdanmark'!I$3:I$482,'Resultater - Vestdanmark'!J$3:J$482)),'Resultater - Vestdanmark'!$F$3:$F$482,$A199,'Resultater - Vestdanmark'!H$3:H$482,"&lt;0"),0),-IF(A199="Halm",SUMIFS(IF(D199=År1,'Resultater - Østdanmark'!H$3:H$482,IF(D199=År2,'Resultater - Østdanmark'!I$3:I$482,'Resultater - Østdanmark'!J$3:J$482)),'Resultater - Østdanmark'!$F$3:$F$482,$A199,'Resultater - Østdanmark'!H$3:H$482,"&lt;0"),0))</f>
        <v>0</v>
      </c>
      <c r="I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5" t="e">
        <f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#REF!</v>
      </c>
      <c r="L199" s="195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7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4" t="e">
        <f t="shared" si="48"/>
        <v>#REF!</v>
      </c>
      <c r="O199" s="195">
        <f t="shared" si="59"/>
        <v>0</v>
      </c>
      <c r="P199" s="205">
        <f t="shared" si="49"/>
        <v>0</v>
      </c>
      <c r="Q199" s="192">
        <f>IFERROR(VLOOKUP(A199,[1]Energiindhold!$A$2:$C$11,3,FALSE),IFERROR(VLOOKUP(A199,[1]Biogasudbytte!$A$2:$B$18,2,FALSE)*[1]Energiindhold!$C$10,0))*O199</f>
        <v>0</v>
      </c>
      <c r="R199" s="192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92">
        <f>IFERROR(VLOOKUP(A199,[1]Biogasudbytte!$A$2:$B$18,2,FALSE)*[1]Energiindhold!$C$10,0)*J199*IFERROR(VLOOKUP(A199,Biogasanlæg!$F$3:$G$8,2,FALSE),1)</f>
        <v>0</v>
      </c>
      <c r="T199" s="193">
        <f t="shared" si="50"/>
        <v>0</v>
      </c>
      <c r="U199" s="191">
        <f>O199*IFERROR(VLOOKUP(A199,[1]Tørstofindhold!A$2:B$24,2,FALSE),0)</f>
        <v>0</v>
      </c>
      <c r="V199" s="192">
        <f>IF(D199=År1,P199,SUM(O199,P199))*IFERROR(VLOOKUP(A199,[1]Tørstofindhold!A$2:B$24,2,FALSE),0)</f>
        <v>0</v>
      </c>
      <c r="W199" s="192">
        <f>J199*IFERROR(VLOOKUP(A199,[1]Tørstofindhold!A$2:B$24,2,FALSE),0)</f>
        <v>0</v>
      </c>
      <c r="X199" s="193">
        <f t="shared" si="51"/>
        <v>0</v>
      </c>
      <c r="Y199" s="171" t="e">
        <f t="shared" si="60"/>
        <v>#REF!</v>
      </c>
      <c r="Z199" s="103" t="e">
        <f t="shared" si="61"/>
        <v>#REF!</v>
      </c>
    </row>
    <row r="200" spans="1:26" x14ac:dyDescent="0.25">
      <c r="A200" s="194" t="str">
        <f t="shared" si="56"/>
        <v>Brun saft</v>
      </c>
      <c r="B200" s="194" t="str">
        <f t="shared" si="57"/>
        <v>Bionedbrydeligt affald</v>
      </c>
      <c r="C200" s="194">
        <f>IF(COUNTIFS('Resultater - Danmark'!$D$3:$D$482,'Resultat-Produktion &amp; forbrug'!A200,'Resultater - Danmark'!$A$3:$A$482,"Til energi")+COUNTIFS('Resultater - Danmark'!$D$3:$D$482,'Resultat-Produktion &amp; forbrug'!A200,'Resultater - Danmark'!$A$3:$A$482,"Biogasanlæg")&gt;0,1,0)</f>
        <v>1</v>
      </c>
      <c r="D200" s="194">
        <f t="shared" si="58"/>
        <v>2030</v>
      </c>
      <c r="E200" s="192" t="s">
        <v>24</v>
      </c>
      <c r="F200" s="195">
        <f>IF(E200="Vestdanmark",SUMIFS(IF(D200=År1,'Resultater - Vestdanmark'!H$3:H$482,IF(D200=År2,'Resultater - Vestdanmark'!I$3:I$482,'Resultater - Vestdanmark'!J$3:J$482)),'Resultater - Vestdanmark'!$F$3:$F$482,$A200,IF(D200=År1,'Resultater - Vestdanmark'!H$3:H$482,IF(D200=År2,'Resultater - Vestdanmark'!I$3:I$482,'Resultater - Vestdanmark'!J$3:J$482)),"&gt;0"),SUMIFS(IF(D200=År1,'Resultater - Østdanmark'!H$3:H$482,IF(D200=År2,'Resultater - Østdanmark'!I$3:I$482,'Resultater - Østdanmark'!J$3:J$482)),'Resultater - Østdanmark'!$F$3:$F$482,$A200,IF(D200=År1,'Resultater - Østdanmark'!H$3:H$482,IF(D200=År2,'Resultater - Østdanmark'!I$3:I$482,'Resultater - Østdanmark'!J$3:J$482)),"&gt;0"))</f>
        <v>0</v>
      </c>
      <c r="G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92">
        <f>IF(E200="Vestdanmark",-IF(A200="Halm",SUMIFS(IF(D200=År1,'Resultater - Vestdanmark'!H$3:H$482,IF(D200=År2,'Resultater - Vestdanmark'!I$3:I$482,'Resultater - Vestdanmark'!J$3:J$482)),'Resultater - Vestdanmark'!$F$3:$F$482,$A200,'Resultater - Vestdanmark'!H$3:H$482,"&lt;0"),0),-IF(A200="Halm",SUMIFS(IF(D200=År1,'Resultater - Østdanmark'!H$3:H$482,IF(D200=År2,'Resultater - Østdanmark'!I$3:I$482,'Resultater - Østdanmark'!J$3:J$482)),'Resultater - Østdanmark'!$F$3:$F$482,$A200,'Resultater - Østdanmark'!H$3:H$482,"&lt;0"),0))</f>
        <v>0</v>
      </c>
      <c r="I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5" t="e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#REF!</v>
      </c>
      <c r="K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5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7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4" t="e">
        <f t="shared" si="48"/>
        <v>#REF!</v>
      </c>
      <c r="O200" s="195" t="e">
        <f t="shared" si="59"/>
        <v>#REF!</v>
      </c>
      <c r="P200" s="205" t="e">
        <f t="shared" si="49"/>
        <v>#REF!</v>
      </c>
      <c r="Q200" s="192" t="e">
        <f>IFERROR(VLOOKUP(A200,[1]Energiindhold!$A$2:$C$11,3,FALSE),IFERROR(VLOOKUP(A200,[1]Biogasudbytte!$A$2:$B$18,2,FALSE)*[1]Energiindhold!$C$10,0))*O200</f>
        <v>#REF!</v>
      </c>
      <c r="R200" s="192" t="e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#REF!</v>
      </c>
      <c r="S200" s="192" t="e">
        <f>IFERROR(VLOOKUP(A200,[1]Biogasudbytte!$A$2:$B$18,2,FALSE)*[1]Energiindhold!$C$10,0)*J200*IFERROR(VLOOKUP(A200,Biogasanlæg!$F$3:$G$8,2,FALSE),1)</f>
        <v>#REF!</v>
      </c>
      <c r="T200" s="193" t="e">
        <f t="shared" si="50"/>
        <v>#REF!</v>
      </c>
      <c r="U200" s="191" t="e">
        <f>O200*IFERROR(VLOOKUP(A200,[1]Tørstofindhold!A$2:B$24,2,FALSE),0)</f>
        <v>#REF!</v>
      </c>
      <c r="V200" s="192" t="e">
        <f>IF(D200=År1,P200,SUM(O200,P200))*IFERROR(VLOOKUP(A200,[1]Tørstofindhold!A$2:B$24,2,FALSE),0)</f>
        <v>#REF!</v>
      </c>
      <c r="W200" s="192" t="e">
        <f>J200*IFERROR(VLOOKUP(A200,[1]Tørstofindhold!A$2:B$24,2,FALSE),0)</f>
        <v>#REF!</v>
      </c>
      <c r="X200" s="193" t="e">
        <f t="shared" si="51"/>
        <v>#REF!</v>
      </c>
      <c r="Y200" s="171" t="e">
        <f t="shared" si="60"/>
        <v>#REF!</v>
      </c>
      <c r="Z200" s="103" t="e">
        <f t="shared" si="61"/>
        <v>#REF!</v>
      </c>
    </row>
    <row r="201" spans="1:26" x14ac:dyDescent="0.25">
      <c r="A201" s="194" t="str">
        <f t="shared" si="56"/>
        <v>Dybstrøelse</v>
      </c>
      <c r="B201" s="194" t="str">
        <f t="shared" si="57"/>
        <v>Husdyrgødning</v>
      </c>
      <c r="C201" s="194">
        <f>IF(COUNTIFS('Resultater - Danmark'!$D$3:$D$482,'Resultat-Produktion &amp; forbrug'!A201,'Resultater - Danmark'!$A$3:$A$482,"Til energi")+COUNTIFS('Resultater - Danmark'!$D$3:$D$482,'Resultat-Produktion &amp; forbrug'!A201,'Resultater - Danmark'!$A$3:$A$482,"Biogasanlæg")&gt;0,1,0)</f>
        <v>1</v>
      </c>
      <c r="D201" s="194">
        <f t="shared" si="58"/>
        <v>2030</v>
      </c>
      <c r="E201" s="192" t="s">
        <v>24</v>
      </c>
      <c r="F201" s="195">
        <f>IF(E201="Vestdanmark",SUMIFS(IF(D201=År1,'Resultater - Vestdanmark'!H$3:H$482,IF(D201=År2,'Resultater - Vestdanmark'!I$3:I$482,'Resultater - Vestdanmark'!J$3:J$482)),'Resultater - Vestdanmark'!$F$3:$F$482,$A201,IF(D201=År1,'Resultater - Vestdanmark'!H$3:H$482,IF(D201=År2,'Resultater - Vestdanmark'!I$3:I$482,'Resultater - Vestdanmark'!J$3:J$482)),"&gt;0"),SUMIFS(IF(D201=År1,'Resultater - Østdanmark'!H$3:H$482,IF(D201=År2,'Resultater - Østdanmark'!I$3:I$482,'Resultater - Østdanmark'!J$3:J$482)),'Resultater - Østdanmark'!$F$3:$F$482,$A201,IF(D201=År1,'Resultater - Østdanmark'!H$3:H$482,IF(D201=År2,'Resultater - Østdanmark'!I$3:I$482,'Resultater - Østdanmark'!J$3:J$482)),"&gt;0"))</f>
        <v>0</v>
      </c>
      <c r="G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92">
        <f>IF(E201="Vestdanmark",-IF(A201="Halm",SUMIFS(IF(D201=År1,'Resultater - Vestdanmark'!H$3:H$482,IF(D201=År2,'Resultater - Vestdanmark'!I$3:I$482,'Resultater - Vestdanmark'!J$3:J$482)),'Resultater - Vestdanmark'!$F$3:$F$482,$A201,'Resultater - Vestdanmark'!H$3:H$482,"&lt;0"),0),-IF(A201="Halm",SUMIFS(IF(D201=År1,'Resultater - Østdanmark'!H$3:H$482,IF(D201=År2,'Resultater - Østdanmark'!I$3:I$482,'Resultater - Østdanmark'!J$3:J$482)),'Resultater - Østdanmark'!$F$3:$F$482,$A201,'Resultater - Østdanmark'!H$3:H$482,"&lt;0"),0))</f>
        <v>0</v>
      </c>
      <c r="I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5" t="e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#REF!</v>
      </c>
      <c r="K201" s="195" t="e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#REF!</v>
      </c>
      <c r="L201" s="195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7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4" t="e">
        <f t="shared" si="48"/>
        <v>#REF!</v>
      </c>
      <c r="O201" s="195" t="e">
        <f t="shared" si="59"/>
        <v>#REF!</v>
      </c>
      <c r="P201" s="205" t="e">
        <f t="shared" si="49"/>
        <v>#REF!</v>
      </c>
      <c r="Q201" s="192" t="e">
        <f>IFERROR(VLOOKUP(A201,[1]Energiindhold!$A$2:$C$11,3,FALSE),IFERROR(VLOOKUP(A201,[1]Biogasudbytte!$A$2:$B$18,2,FALSE)*[1]Energiindhold!$C$10,0))*O201</f>
        <v>#REF!</v>
      </c>
      <c r="R201" s="192" t="e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#REF!</v>
      </c>
      <c r="S201" s="192" t="e">
        <f>IFERROR(VLOOKUP(A201,[1]Biogasudbytte!$A$2:$B$18,2,FALSE)*[1]Energiindhold!$C$10,0)*J201*IFERROR(VLOOKUP(A201,Biogasanlæg!$F$3:$G$8,2,FALSE),1)</f>
        <v>#REF!</v>
      </c>
      <c r="T201" s="193" t="e">
        <f t="shared" si="50"/>
        <v>#REF!</v>
      </c>
      <c r="U201" s="191" t="e">
        <f>O201*IFERROR(VLOOKUP(A201,[1]Tørstofindhold!A$2:B$24,2,FALSE),0)</f>
        <v>#REF!</v>
      </c>
      <c r="V201" s="192" t="e">
        <f>IF(D201=År1,P201,SUM(O201,P201))*IFERROR(VLOOKUP(A201,[1]Tørstofindhold!A$2:B$24,2,FALSE),0)</f>
        <v>#REF!</v>
      </c>
      <c r="W201" s="192" t="e">
        <f>J201*IFERROR(VLOOKUP(A201,[1]Tørstofindhold!A$2:B$24,2,FALSE),0)</f>
        <v>#REF!</v>
      </c>
      <c r="X201" s="193" t="e">
        <f t="shared" si="51"/>
        <v>#REF!</v>
      </c>
      <c r="Y201" s="171" t="e">
        <f t="shared" si="60"/>
        <v>#REF!</v>
      </c>
      <c r="Z201" s="103" t="e">
        <f t="shared" si="61"/>
        <v>#REF!</v>
      </c>
    </row>
    <row r="202" spans="1:26" x14ac:dyDescent="0.25">
      <c r="A202" s="194" t="str">
        <f t="shared" si="56"/>
        <v>Fiberfraktion</v>
      </c>
      <c r="B202" s="194" t="str">
        <f t="shared" si="57"/>
        <v/>
      </c>
      <c r="C202" s="194">
        <f>IF(COUNTIFS('Resultater - Danmark'!$D$3:$D$482,'Resultat-Produktion &amp; forbrug'!A202,'Resultater - Danmark'!$A$3:$A$482,"Til energi")+COUNTIFS('Resultater - Danmark'!$D$3:$D$482,'Resultat-Produktion &amp; forbrug'!A202,'Resultater - Danmark'!$A$3:$A$482,"Biogasanlæg")&gt;0,1,0)</f>
        <v>0</v>
      </c>
      <c r="D202" s="194">
        <f t="shared" si="58"/>
        <v>2030</v>
      </c>
      <c r="E202" s="192" t="s">
        <v>24</v>
      </c>
      <c r="F202" s="195">
        <f>IF(E202="Vestdanmark",SUMIFS(IF(D202=År1,'Resultater - Vestdanmark'!H$3:H$482,IF(D202=År2,'Resultater - Vestdanmark'!I$3:I$482,'Resultater - Vestdanmark'!J$3:J$482)),'Resultater - Vestdanmark'!$F$3:$F$482,$A202,IF(D202=År1,'Resultater - Vestdanmark'!H$3:H$482,IF(D202=År2,'Resultater - Vestdanmark'!I$3:I$482,'Resultater - Vestdanmark'!J$3:J$482)),"&gt;0"),SUMIFS(IF(D202=År1,'Resultater - Østdanmark'!H$3:H$482,IF(D202=År2,'Resultater - Østdanmark'!I$3:I$482,'Resultater - Østdanmark'!J$3:J$482)),'Resultater - Østdanmark'!$F$3:$F$482,$A202,IF(D202=År1,'Resultater - Østdanmark'!H$3:H$482,IF(D202=År2,'Resultater - Østdanmark'!I$3:I$482,'Resultater - Østdanmark'!J$3:J$482)),"&gt;0"))</f>
        <v>0</v>
      </c>
      <c r="G202" s="195" t="e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#REF!</v>
      </c>
      <c r="H202" s="192">
        <f>IF(E202="Vestdanmark",-IF(A202="Halm",SUMIFS(IF(D202=År1,'Resultater - Vestdanmark'!H$3:H$482,IF(D202=År2,'Resultater - Vestdanmark'!I$3:I$482,'Resultater - Vestdanmark'!J$3:J$482)),'Resultater - Vestdanmark'!$F$3:$F$482,$A202,'Resultater - Vestdanmark'!H$3:H$482,"&lt;0"),0),-IF(A202="Halm",SUMIFS(IF(D202=År1,'Resultater - Østdanmark'!H$3:H$482,IF(D202=År2,'Resultater - Østdanmark'!I$3:I$482,'Resultater - Østdanmark'!J$3:J$482)),'Resultater - Østdanmark'!$F$3:$F$482,$A202,'Resultater - Østdanmark'!H$3:H$482,"&lt;0"),0))</f>
        <v>0</v>
      </c>
      <c r="I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5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7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4" t="e">
        <f t="shared" si="48"/>
        <v>#REF!</v>
      </c>
      <c r="O202" s="195">
        <f t="shared" si="59"/>
        <v>0</v>
      </c>
      <c r="P202" s="205">
        <f t="shared" si="49"/>
        <v>0</v>
      </c>
      <c r="Q202" s="192">
        <f>IFERROR(VLOOKUP(A202,[1]Energiindhold!$A$2:$C$11,3,FALSE),IFERROR(VLOOKUP(A202,[1]Biogasudbytte!$A$2:$B$18,2,FALSE)*[1]Energiindhold!$C$10,0))*O202</f>
        <v>0</v>
      </c>
      <c r="R202" s="192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92">
        <f>IFERROR(VLOOKUP(A202,[1]Biogasudbytte!$A$2:$B$18,2,FALSE)*[1]Energiindhold!$C$10,0)*J202*IFERROR(VLOOKUP(A202,Biogasanlæg!$F$3:$G$8,2,FALSE),1)</f>
        <v>0</v>
      </c>
      <c r="T202" s="193">
        <f t="shared" si="50"/>
        <v>0</v>
      </c>
      <c r="U202" s="191">
        <f>O202*IFERROR(VLOOKUP(A202,[1]Tørstofindhold!A$2:B$24,2,FALSE),0)</f>
        <v>0</v>
      </c>
      <c r="V202" s="192">
        <f>IF(D202=År1,P202,SUM(O202,P202))*IFERROR(VLOOKUP(A202,[1]Tørstofindhold!A$2:B$24,2,FALSE),0)</f>
        <v>0</v>
      </c>
      <c r="W202" s="192">
        <f>J202*IFERROR(VLOOKUP(A202,[1]Tørstofindhold!A$2:B$24,2,FALSE),0)</f>
        <v>0</v>
      </c>
      <c r="X202" s="193">
        <f t="shared" si="51"/>
        <v>0</v>
      </c>
      <c r="Y202" s="171" t="e">
        <f t="shared" si="60"/>
        <v>#REF!</v>
      </c>
      <c r="Z202" s="103" t="e">
        <f t="shared" si="61"/>
        <v>#REF!</v>
      </c>
    </row>
    <row r="203" spans="1:26" x14ac:dyDescent="0.25">
      <c r="A203" s="194" t="str">
        <f t="shared" si="56"/>
        <v>Fjerkrægylle</v>
      </c>
      <c r="B203" s="194" t="str">
        <f t="shared" si="57"/>
        <v>Husdyrgødning</v>
      </c>
      <c r="C203" s="194">
        <f>IF(COUNTIFS('Resultater - Danmark'!$D$3:$D$482,'Resultat-Produktion &amp; forbrug'!A203,'Resultater - Danmark'!$A$3:$A$482,"Til energi")+COUNTIFS('Resultater - Danmark'!$D$3:$D$482,'Resultat-Produktion &amp; forbrug'!A203,'Resultater - Danmark'!$A$3:$A$482,"Biogasanlæg")&gt;0,1,0)</f>
        <v>1</v>
      </c>
      <c r="D203" s="194">
        <f t="shared" si="58"/>
        <v>2030</v>
      </c>
      <c r="E203" s="192" t="s">
        <v>24</v>
      </c>
      <c r="F203" s="195">
        <f>IF(E203="Vestdanmark",SUMIFS(IF(D203=År1,'Resultater - Vestdanmark'!H$3:H$482,IF(D203=År2,'Resultater - Vestdanmark'!I$3:I$482,'Resultater - Vestdanmark'!J$3:J$482)),'Resultater - Vestdanmark'!$F$3:$F$482,$A203,IF(D203=År1,'Resultater - Vestdanmark'!H$3:H$482,IF(D203=År2,'Resultater - Vestdanmark'!I$3:I$482,'Resultater - Vestdanmark'!J$3:J$482)),"&gt;0"),SUMIFS(IF(D203=År1,'Resultater - Østdanmark'!H$3:H$482,IF(D203=År2,'Resultater - Østdanmark'!I$3:I$482,'Resultater - Østdanmark'!J$3:J$482)),'Resultater - Østdanmark'!$F$3:$F$482,$A203,IF(D203=År1,'Resultater - Østdanmark'!H$3:H$482,IF(D203=År2,'Resultater - Østdanmark'!I$3:I$482,'Resultater - Østdanmark'!J$3:J$482)),"&gt;0"))</f>
        <v>0</v>
      </c>
      <c r="G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92">
        <f>IF(E203="Vestdanmark",-IF(A203="Halm",SUMIFS(IF(D203=År1,'Resultater - Vestdanmark'!H$3:H$482,IF(D203=År2,'Resultater - Vestdanmark'!I$3:I$482,'Resultater - Vestdanmark'!J$3:J$482)),'Resultater - Vestdanmark'!$F$3:$F$482,$A203,'Resultater - Vestdanmark'!H$3:H$482,"&lt;0"),0),-IF(A203="Halm",SUMIFS(IF(D203=År1,'Resultater - Østdanmark'!H$3:H$482,IF(D203=År2,'Resultater - Østdanmark'!I$3:I$482,'Resultater - Østdanmark'!J$3:J$482)),'Resultater - Østdanmark'!$F$3:$F$482,$A203,'Resultater - Østdanmark'!H$3:H$482,"&lt;0"),0))</f>
        <v>0</v>
      </c>
      <c r="I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5" t="e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#REF!</v>
      </c>
      <c r="K203" s="195" t="e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#REF!</v>
      </c>
      <c r="L203" s="195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7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4" t="e">
        <f t="shared" si="48"/>
        <v>#REF!</v>
      </c>
      <c r="O203" s="195" t="e">
        <f t="shared" si="59"/>
        <v>#REF!</v>
      </c>
      <c r="P203" s="205" t="e">
        <f t="shared" si="49"/>
        <v>#REF!</v>
      </c>
      <c r="Q203" s="192" t="e">
        <f>IFERROR(VLOOKUP(A203,[1]Energiindhold!$A$2:$C$11,3,FALSE),IFERROR(VLOOKUP(A203,[1]Biogasudbytte!$A$2:$B$18,2,FALSE)*[1]Energiindhold!$C$10,0))*O203</f>
        <v>#REF!</v>
      </c>
      <c r="R203" s="192" t="e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#REF!</v>
      </c>
      <c r="S203" s="192" t="e">
        <f>IFERROR(VLOOKUP(A203,[1]Biogasudbytte!$A$2:$B$18,2,FALSE)*[1]Energiindhold!$C$10,0)*J203*IFERROR(VLOOKUP(A203,Biogasanlæg!$F$3:$G$8,2,FALSE),1)</f>
        <v>#REF!</v>
      </c>
      <c r="T203" s="193" t="e">
        <f t="shared" si="50"/>
        <v>#REF!</v>
      </c>
      <c r="U203" s="191" t="e">
        <f>O203*IFERROR(VLOOKUP(A203,[1]Tørstofindhold!A$2:B$24,2,FALSE),0)</f>
        <v>#REF!</v>
      </c>
      <c r="V203" s="192" t="e">
        <f>IF(D203=År1,P203,SUM(O203,P203))*IFERROR(VLOOKUP(A203,[1]Tørstofindhold!A$2:B$24,2,FALSE),0)</f>
        <v>#REF!</v>
      </c>
      <c r="W203" s="192" t="e">
        <f>J203*IFERROR(VLOOKUP(A203,[1]Tørstofindhold!A$2:B$24,2,FALSE),0)</f>
        <v>#REF!</v>
      </c>
      <c r="X203" s="193" t="e">
        <f t="shared" si="51"/>
        <v>#REF!</v>
      </c>
      <c r="Y203" s="171" t="e">
        <f t="shared" si="60"/>
        <v>#REF!</v>
      </c>
      <c r="Z203" s="103" t="e">
        <f t="shared" si="61"/>
        <v>#REF!</v>
      </c>
    </row>
    <row r="204" spans="1:26" x14ac:dyDescent="0.25">
      <c r="A204" s="194" t="str">
        <f t="shared" si="56"/>
        <v>Fjerkrækød</v>
      </c>
      <c r="B204" s="194" t="str">
        <f t="shared" si="57"/>
        <v/>
      </c>
      <c r="C204" s="194">
        <f>IF(COUNTIFS('Resultater - Danmark'!$D$3:$D$482,'Resultat-Produktion &amp; forbrug'!A204,'Resultater - Danmark'!$A$3:$A$482,"Til energi")+COUNTIFS('Resultater - Danmark'!$D$3:$D$482,'Resultat-Produktion &amp; forbrug'!A204,'Resultater - Danmark'!$A$3:$A$482,"Biogasanlæg")&gt;0,1,0)</f>
        <v>0</v>
      </c>
      <c r="D204" s="194">
        <f t="shared" si="58"/>
        <v>2030</v>
      </c>
      <c r="E204" s="192" t="s">
        <v>24</v>
      </c>
      <c r="F204" s="195">
        <f>IF(E204="Vestdanmark",SUMIFS(IF(D204=År1,'Resultater - Vestdanmark'!H$3:H$482,IF(D204=År2,'Resultater - Vestdanmark'!I$3:I$482,'Resultater - Vestdanmark'!J$3:J$482)),'Resultater - Vestdanmark'!$F$3:$F$482,$A204,IF(D204=År1,'Resultater - Vestdanmark'!H$3:H$482,IF(D204=År2,'Resultater - Vestdanmark'!I$3:I$482,'Resultater - Vestdanmark'!J$3:J$482)),"&gt;0"),SUMIFS(IF(D204=År1,'Resultater - Østdanmark'!H$3:H$482,IF(D204=År2,'Resultater - Østdanmark'!I$3:I$482,'Resultater - Østdanmark'!J$3:J$482)),'Resultater - Østdanmark'!$F$3:$F$482,$A204,IF(D204=År1,'Resultater - Østdanmark'!H$3:H$482,IF(D204=År2,'Resultater - Østdanmark'!I$3:I$482,'Resultater - Østdanmark'!J$3:J$482)),"&gt;0"))</f>
        <v>0</v>
      </c>
      <c r="G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92">
        <f>IF(E204="Vestdanmark",-IF(A204="Halm",SUMIFS(IF(D204=År1,'Resultater - Vestdanmark'!H$3:H$482,IF(D204=År2,'Resultater - Vestdanmark'!I$3:I$482,'Resultater - Vestdanmark'!J$3:J$482)),'Resultater - Vestdanmark'!$F$3:$F$482,$A204,'Resultater - Vestdanmark'!H$3:H$482,"&lt;0"),0),-IF(A204="Halm",SUMIFS(IF(D204=År1,'Resultater - Østdanmark'!H$3:H$482,IF(D204=År2,'Resultater - Østdanmark'!I$3:I$482,'Resultater - Østdanmark'!J$3:J$482)),'Resultater - Østdanmark'!$F$3:$F$482,$A204,'Resultater - Østdanmark'!H$3:H$482,"&lt;0"),0))</f>
        <v>0</v>
      </c>
      <c r="I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5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7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4">
        <f t="shared" si="48"/>
        <v>-30560.118468347584</v>
      </c>
      <c r="O204" s="195">
        <f t="shared" si="59"/>
        <v>0</v>
      </c>
      <c r="P204" s="205">
        <f t="shared" si="49"/>
        <v>0</v>
      </c>
      <c r="Q204" s="192">
        <f>IFERROR(VLOOKUP(A204,[1]Energiindhold!$A$2:$C$11,3,FALSE),IFERROR(VLOOKUP(A204,[1]Biogasudbytte!$A$2:$B$18,2,FALSE)*[1]Energiindhold!$C$10,0))*O204</f>
        <v>0</v>
      </c>
      <c r="R204" s="192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92">
        <f>IFERROR(VLOOKUP(A204,[1]Biogasudbytte!$A$2:$B$18,2,FALSE)*[1]Energiindhold!$C$10,0)*J204*IFERROR(VLOOKUP(A204,Biogasanlæg!$F$3:$G$8,2,FALSE),1)</f>
        <v>0</v>
      </c>
      <c r="T204" s="193">
        <f t="shared" si="50"/>
        <v>0</v>
      </c>
      <c r="U204" s="191">
        <f>O204*IFERROR(VLOOKUP(A204,[1]Tørstofindhold!A$2:B$24,2,FALSE),0)</f>
        <v>0</v>
      </c>
      <c r="V204" s="192">
        <f>IF(D204=År1,P204,SUM(O204,P204))*IFERROR(VLOOKUP(A204,[1]Tørstofindhold!A$2:B$24,2,FALSE),0)</f>
        <v>0</v>
      </c>
      <c r="W204" s="192">
        <f>J204*IFERROR(VLOOKUP(A204,[1]Tørstofindhold!A$2:B$24,2,FALSE),0)</f>
        <v>0</v>
      </c>
      <c r="X204" s="193">
        <f t="shared" si="51"/>
        <v>0</v>
      </c>
      <c r="Y204" s="171">
        <f t="shared" si="60"/>
        <v>1</v>
      </c>
      <c r="Z204" s="103">
        <f t="shared" si="61"/>
        <v>0</v>
      </c>
    </row>
    <row r="205" spans="1:26" x14ac:dyDescent="0.25">
      <c r="A205" s="194" t="str">
        <f t="shared" si="56"/>
        <v>Frø</v>
      </c>
      <c r="B205" s="194" t="str">
        <f t="shared" si="57"/>
        <v/>
      </c>
      <c r="C205" s="194">
        <f>IF(COUNTIFS('Resultater - Danmark'!$D$3:$D$482,'Resultat-Produktion &amp; forbrug'!A205,'Resultater - Danmark'!$A$3:$A$482,"Til energi")+COUNTIFS('Resultater - Danmark'!$D$3:$D$482,'Resultat-Produktion &amp; forbrug'!A205,'Resultater - Danmark'!$A$3:$A$482,"Biogasanlæg")&gt;0,1,0)</f>
        <v>0</v>
      </c>
      <c r="D205" s="194">
        <f t="shared" si="58"/>
        <v>2030</v>
      </c>
      <c r="E205" s="192" t="s">
        <v>24</v>
      </c>
      <c r="F205" s="195">
        <f>IF(E205="Vestdanmark",SUMIFS(IF(D205=År1,'Resultater - Vestdanmark'!H$3:H$482,IF(D205=År2,'Resultater - Vestdanmark'!I$3:I$482,'Resultater - Vestdanmark'!J$3:J$482)),'Resultater - Vestdanmark'!$F$3:$F$482,$A205,IF(D205=År1,'Resultater - Vestdanmark'!H$3:H$482,IF(D205=År2,'Resultater - Vestdanmark'!I$3:I$482,'Resultater - Vestdanmark'!J$3:J$482)),"&gt;0"),SUMIFS(IF(D205=År1,'Resultater - Østdanmark'!H$3:H$482,IF(D205=År2,'Resultater - Østdanmark'!I$3:I$482,'Resultater - Østdanmark'!J$3:J$482)),'Resultater - Østdanmark'!$F$3:$F$482,$A205,IF(D205=År1,'Resultater - Østdanmark'!H$3:H$482,IF(D205=År2,'Resultater - Østdanmark'!I$3:I$482,'Resultater - Østdanmark'!J$3:J$482)),"&gt;0"))</f>
        <v>0</v>
      </c>
      <c r="G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92">
        <f>IF(E205="Vestdanmark",-IF(A205="Halm",SUMIFS(IF(D205=År1,'Resultater - Vestdanmark'!H$3:H$482,IF(D205=År2,'Resultater - Vestdanmark'!I$3:I$482,'Resultater - Vestdanmark'!J$3:J$482)),'Resultater - Vestdanmark'!$F$3:$F$482,$A205,'Resultater - Vestdanmark'!H$3:H$482,"&lt;0"),0),-IF(A205="Halm",SUMIFS(IF(D205=År1,'Resultater - Østdanmark'!H$3:H$482,IF(D205=År2,'Resultater - Østdanmark'!I$3:I$482,'Resultater - Østdanmark'!J$3:J$482)),'Resultater - Østdanmark'!$F$3:$F$482,$A205,'Resultater - Østdanmark'!H$3:H$482,"&lt;0"),0))</f>
        <v>0</v>
      </c>
      <c r="I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5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7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4">
        <f t="shared" si="48"/>
        <v>0</v>
      </c>
      <c r="O205" s="195">
        <f t="shared" si="59"/>
        <v>0</v>
      </c>
      <c r="P205" s="205">
        <f t="shared" si="49"/>
        <v>0</v>
      </c>
      <c r="Q205" s="192">
        <f>IFERROR(VLOOKUP(A205,[1]Energiindhold!$A$2:$C$11,3,FALSE),IFERROR(VLOOKUP(A205,[1]Biogasudbytte!$A$2:$B$18,2,FALSE)*[1]Energiindhold!$C$10,0))*O205</f>
        <v>0</v>
      </c>
      <c r="R205" s="192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92">
        <f>IFERROR(VLOOKUP(A205,[1]Biogasudbytte!$A$2:$B$18,2,FALSE)*[1]Energiindhold!$C$10,0)*J205*IFERROR(VLOOKUP(A205,Biogasanlæg!$F$3:$G$8,2,FALSE),1)</f>
        <v>0</v>
      </c>
      <c r="T205" s="193">
        <f t="shared" si="50"/>
        <v>0</v>
      </c>
      <c r="U205" s="191">
        <f>O205*IFERROR(VLOOKUP(A205,[1]Tørstofindhold!A$2:B$24,2,FALSE),0)</f>
        <v>0</v>
      </c>
      <c r="V205" s="192">
        <f>IF(D205=År1,P205,SUM(O205,P205))*IFERROR(VLOOKUP(A205,[1]Tørstofindhold!A$2:B$24,2,FALSE),0)</f>
        <v>0</v>
      </c>
      <c r="W205" s="192">
        <f>J205*IFERROR(VLOOKUP(A205,[1]Tørstofindhold!A$2:B$24,2,FALSE),0)</f>
        <v>0</v>
      </c>
      <c r="X205" s="193">
        <f t="shared" si="51"/>
        <v>0</v>
      </c>
      <c r="Y205" s="171">
        <f t="shared" si="60"/>
        <v>0</v>
      </c>
      <c r="Z205" s="103">
        <f t="shared" si="61"/>
        <v>0</v>
      </c>
    </row>
    <row r="206" spans="1:26" x14ac:dyDescent="0.25">
      <c r="A206" s="194" t="str">
        <f t="shared" si="56"/>
        <v>Frugt</v>
      </c>
      <c r="B206" s="194" t="str">
        <f t="shared" si="57"/>
        <v/>
      </c>
      <c r="C206" s="194">
        <f>IF(COUNTIFS('Resultater - Danmark'!$D$3:$D$482,'Resultat-Produktion &amp; forbrug'!A206,'Resultater - Danmark'!$A$3:$A$482,"Til energi")+COUNTIFS('Resultater - Danmark'!$D$3:$D$482,'Resultat-Produktion &amp; forbrug'!A206,'Resultater - Danmark'!$A$3:$A$482,"Biogasanlæg")&gt;0,1,0)</f>
        <v>0</v>
      </c>
      <c r="D206" s="194">
        <f t="shared" si="58"/>
        <v>2030</v>
      </c>
      <c r="E206" s="192" t="s">
        <v>24</v>
      </c>
      <c r="F206" s="195">
        <f>IF(E206="Vestdanmark",SUMIFS(IF(D206=År1,'Resultater - Vestdanmark'!H$3:H$482,IF(D206=År2,'Resultater - Vestdanmark'!I$3:I$482,'Resultater - Vestdanmark'!J$3:J$482)),'Resultater - Vestdanmark'!$F$3:$F$482,$A206,IF(D206=År1,'Resultater - Vestdanmark'!H$3:H$482,IF(D206=År2,'Resultater - Vestdanmark'!I$3:I$482,'Resultater - Vestdanmark'!J$3:J$482)),"&gt;0"),SUMIFS(IF(D206=År1,'Resultater - Østdanmark'!H$3:H$482,IF(D206=År2,'Resultater - Østdanmark'!I$3:I$482,'Resultater - Østdanmark'!J$3:J$482)),'Resultater - Østdanmark'!$F$3:$F$482,$A206,IF(D206=År1,'Resultater - Østdanmark'!H$3:H$482,IF(D206=År2,'Resultater - Østdanmark'!I$3:I$482,'Resultater - Østdanmark'!J$3:J$482)),"&gt;0"))</f>
        <v>0</v>
      </c>
      <c r="G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92">
        <f>IF(E206="Vestdanmark",-IF(A206="Halm",SUMIFS(IF(D206=År1,'Resultater - Vestdanmark'!H$3:H$482,IF(D206=År2,'Resultater - Vestdanmark'!I$3:I$482,'Resultater - Vestdanmark'!J$3:J$482)),'Resultater - Vestdanmark'!$F$3:$F$482,$A206,'Resultater - Vestdanmark'!H$3:H$482,"&lt;0"),0),-IF(A206="Halm",SUMIFS(IF(D206=År1,'Resultater - Østdanmark'!H$3:H$482,IF(D206=År2,'Resultater - Østdanmark'!I$3:I$482,'Resultater - Østdanmark'!J$3:J$482)),'Resultater - Østdanmark'!$F$3:$F$482,$A206,'Resultater - Østdanmark'!H$3:H$482,"&lt;0"),0))</f>
        <v>0</v>
      </c>
      <c r="I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5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7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4">
        <f t="shared" si="48"/>
        <v>-223323.94265330929</v>
      </c>
      <c r="O206" s="195">
        <f t="shared" si="59"/>
        <v>0</v>
      </c>
      <c r="P206" s="205">
        <f t="shared" si="49"/>
        <v>0</v>
      </c>
      <c r="Q206" s="192">
        <f>IFERROR(VLOOKUP(A206,[1]Energiindhold!$A$2:$C$11,3,FALSE),IFERROR(VLOOKUP(A206,[1]Biogasudbytte!$A$2:$B$18,2,FALSE)*[1]Energiindhold!$C$10,0))*O206</f>
        <v>0</v>
      </c>
      <c r="R206" s="192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92">
        <f>IFERROR(VLOOKUP(A206,[1]Biogasudbytte!$A$2:$B$18,2,FALSE)*[1]Energiindhold!$C$10,0)*J206*IFERROR(VLOOKUP(A206,Biogasanlæg!$F$3:$G$8,2,FALSE),1)</f>
        <v>0</v>
      </c>
      <c r="T206" s="193">
        <f t="shared" si="50"/>
        <v>0</v>
      </c>
      <c r="U206" s="191">
        <f>O206*IFERROR(VLOOKUP(A206,[1]Tørstofindhold!A$2:B$24,2,FALSE),0)</f>
        <v>0</v>
      </c>
      <c r="V206" s="192">
        <f>IF(D206=År1,P206,SUM(O206,P206))*IFERROR(VLOOKUP(A206,[1]Tørstofindhold!A$2:B$24,2,FALSE),0)</f>
        <v>0</v>
      </c>
      <c r="W206" s="192">
        <f>J206*IFERROR(VLOOKUP(A206,[1]Tørstofindhold!A$2:B$24,2,FALSE),0)</f>
        <v>0</v>
      </c>
      <c r="X206" s="193">
        <f t="shared" si="51"/>
        <v>0</v>
      </c>
      <c r="Y206" s="171">
        <f t="shared" si="60"/>
        <v>1</v>
      </c>
      <c r="Z206" s="103">
        <f t="shared" si="61"/>
        <v>0</v>
      </c>
    </row>
    <row r="207" spans="1:26" x14ac:dyDescent="0.25">
      <c r="A207" s="194" t="str">
        <f t="shared" si="56"/>
        <v>Glycerin</v>
      </c>
      <c r="B207" s="194" t="str">
        <f t="shared" si="57"/>
        <v>Glycerin</v>
      </c>
      <c r="C207" s="194">
        <f>IF(COUNTIFS('Resultater - Danmark'!$D$3:$D$482,'Resultat-Produktion &amp; forbrug'!A207,'Resultater - Danmark'!$A$3:$A$482,"Til energi")+COUNTIFS('Resultater - Danmark'!$D$3:$D$482,'Resultat-Produktion &amp; forbrug'!A207,'Resultater - Danmark'!$A$3:$A$482,"Biogasanlæg")&gt;0,1,0)</f>
        <v>1</v>
      </c>
      <c r="D207" s="194">
        <f t="shared" si="58"/>
        <v>2030</v>
      </c>
      <c r="E207" s="192" t="s">
        <v>24</v>
      </c>
      <c r="F207" s="195">
        <f>IF(E207="Vestdanmark",SUMIFS(IF(D207=År1,'Resultater - Vestdanmark'!H$3:H$482,IF(D207=År2,'Resultater - Vestdanmark'!I$3:I$482,'Resultater - Vestdanmark'!J$3:J$482)),'Resultater - Vestdanmark'!$F$3:$F$482,$A207,IF(D207=År1,'Resultater - Vestdanmark'!H$3:H$482,IF(D207=År2,'Resultater - Vestdanmark'!I$3:I$482,'Resultater - Vestdanmark'!J$3:J$482)),"&gt;0"),SUMIFS(IF(D207=År1,'Resultater - Østdanmark'!H$3:H$482,IF(D207=År2,'Resultater - Østdanmark'!I$3:I$482,'Resultater - Østdanmark'!J$3:J$482)),'Resultater - Østdanmark'!$F$3:$F$482,$A207,IF(D207=År1,'Resultater - Østdanmark'!H$3:H$482,IF(D207=År2,'Resultater - Østdanmark'!I$3:I$482,'Resultater - Østdanmark'!J$3:J$482)),"&gt;0"))</f>
        <v>0</v>
      </c>
      <c r="G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92">
        <f>IF(E207="Vestdanmark",-IF(A207="Halm",SUMIFS(IF(D207=År1,'Resultater - Vestdanmark'!H$3:H$482,IF(D207=År2,'Resultater - Vestdanmark'!I$3:I$482,'Resultater - Vestdanmark'!J$3:J$482)),'Resultater - Vestdanmark'!$F$3:$F$482,$A207,'Resultater - Vestdanmark'!H$3:H$482,"&lt;0"),0),-IF(A207="Halm",SUMIFS(IF(D207=År1,'Resultater - Østdanmark'!H$3:H$482,IF(D207=År2,'Resultater - Østdanmark'!I$3:I$482,'Resultater - Østdanmark'!J$3:J$482)),'Resultater - Østdanmark'!$F$3:$F$482,$A207,'Resultater - Østdanmark'!H$3:H$482,"&lt;0"),0))</f>
        <v>0</v>
      </c>
      <c r="I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5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7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4">
        <f t="shared" si="48"/>
        <v>-28548.400000000001</v>
      </c>
      <c r="O207" s="195">
        <f t="shared" si="59"/>
        <v>0</v>
      </c>
      <c r="P207" s="205">
        <f t="shared" si="49"/>
        <v>28548.400000000001</v>
      </c>
      <c r="Q207" s="192">
        <f>IFERROR(VLOOKUP(A207,[1]Energiindhold!$A$2:$C$11,3,FALSE),IFERROR(VLOOKUP(A207,[1]Biogasudbytte!$A$2:$B$18,2,FALSE)*[1]Energiindhold!$C$10,0))*O207</f>
        <v>0</v>
      </c>
      <c r="R207" s="192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92">
        <f>IFERROR(VLOOKUP(A207,[1]Biogasudbytte!$A$2:$B$18,2,FALSE)*[1]Energiindhold!$C$10,0)*J207*IFERROR(VLOOKUP(A207,Biogasanlæg!$F$3:$G$8,2,FALSE),1)</f>
        <v>0.43389639740160008</v>
      </c>
      <c r="T207" s="193">
        <f t="shared" si="50"/>
        <v>0</v>
      </c>
      <c r="U207" s="191">
        <f>O207*IFERROR(VLOOKUP(A207,[1]Tørstofindhold!A$2:B$24,2,FALSE),0)</f>
        <v>0</v>
      </c>
      <c r="V207" s="192">
        <f>IF(D207=År1,P207,SUM(O207,P207))*IFERROR(VLOOKUP(A207,[1]Tørstofindhold!A$2:B$24,2,FALSE),0)</f>
        <v>25693.56</v>
      </c>
      <c r="W207" s="192">
        <f>J207*IFERROR(VLOOKUP(A207,[1]Tørstofindhold!A$2:B$24,2,FALSE),0)</f>
        <v>25693.56</v>
      </c>
      <c r="X207" s="193">
        <f t="shared" si="51"/>
        <v>0</v>
      </c>
      <c r="Y207" s="171">
        <f t="shared" si="60"/>
        <v>1</v>
      </c>
      <c r="Z207" s="103">
        <f t="shared" si="61"/>
        <v>0</v>
      </c>
    </row>
    <row r="208" spans="1:26" x14ac:dyDescent="0.25">
      <c r="A208" s="194" t="str">
        <f t="shared" si="56"/>
        <v>Græs</v>
      </c>
      <c r="B208" s="194" t="str">
        <f t="shared" si="57"/>
        <v>Græs og urter</v>
      </c>
      <c r="C208" s="194">
        <f>IF(COUNTIFS('Resultater - Danmark'!$D$3:$D$482,'Resultat-Produktion &amp; forbrug'!A208,'Resultater - Danmark'!$A$3:$A$482,"Til energi")+COUNTIFS('Resultater - Danmark'!$D$3:$D$482,'Resultat-Produktion &amp; forbrug'!A208,'Resultater - Danmark'!$A$3:$A$482,"Biogasanlæg")&gt;0,1,0)</f>
        <v>1</v>
      </c>
      <c r="D208" s="194">
        <f t="shared" si="58"/>
        <v>2030</v>
      </c>
      <c r="E208" s="192" t="s">
        <v>24</v>
      </c>
      <c r="F208" s="195">
        <f>IF(E208="Vestdanmark",SUMIFS(IF(D208=År1,'Resultater - Vestdanmark'!H$3:H$482,IF(D208=År2,'Resultater - Vestdanmark'!I$3:I$482,'Resultater - Vestdanmark'!J$3:J$482)),'Resultater - Vestdanmark'!$F$3:$F$482,$A208,IF(D208=År1,'Resultater - Vestdanmark'!H$3:H$482,IF(D208=År2,'Resultater - Vestdanmark'!I$3:I$482,'Resultater - Vestdanmark'!J$3:J$482)),"&gt;0"),SUMIFS(IF(D208=År1,'Resultater - Østdanmark'!H$3:H$482,IF(D208=År2,'Resultater - Østdanmark'!I$3:I$482,'Resultater - Østdanmark'!J$3:J$482)),'Resultater - Østdanmark'!$F$3:$F$482,$A208,IF(D208=År1,'Resultater - Østdanmark'!H$3:H$482,IF(D208=År2,'Resultater - Østdanmark'!I$3:I$482,'Resultater - Østdanmark'!J$3:J$482)),"&gt;0"))</f>
        <v>0</v>
      </c>
      <c r="G208" s="195" t="e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#REF!</v>
      </c>
      <c r="H208" s="192">
        <f>IF(E208="Vestdanmark",-IF(A208="Halm",SUMIFS(IF(D208=År1,'Resultater - Vestdanmark'!H$3:H$482,IF(D208=År2,'Resultater - Vestdanmark'!I$3:I$482,'Resultater - Vestdanmark'!J$3:J$482)),'Resultater - Vestdanmark'!$F$3:$F$482,$A208,'Resultater - Vestdanmark'!H$3:H$482,"&lt;0"),0),-IF(A208="Halm",SUMIFS(IF(D208=År1,'Resultater - Østdanmark'!H$3:H$482,IF(D208=År2,'Resultater - Østdanmark'!I$3:I$482,'Resultater - Østdanmark'!J$3:J$482)),'Resultater - Østdanmark'!$F$3:$F$482,$A208,'Resultater - Østdanmark'!H$3:H$482,"&lt;0"),0))</f>
        <v>0</v>
      </c>
      <c r="I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5" t="e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#REF!</v>
      </c>
      <c r="K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5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7" t="e">
        <f>SUMIFS('Forbrug af biomasse'!E:E,'Forbrug af biomasse'!C:C,'Resultat-Produktion &amp; forbrug'!$A208,'Forbrug af biomasse'!D:D,'Resultat-Produktion &amp; forbrug'!$D208,'Forbrug af biomasse'!G:G,1,'Forbrug af biomasse'!B:B,$E208)</f>
        <v>#REF!</v>
      </c>
      <c r="N208" s="204" t="e">
        <f t="shared" si="48"/>
        <v>#REF!</v>
      </c>
      <c r="O208" s="195" t="e">
        <f t="shared" si="59"/>
        <v>#REF!</v>
      </c>
      <c r="P208" s="205" t="e">
        <f t="shared" si="49"/>
        <v>#REF!</v>
      </c>
      <c r="Q208" s="192" t="e">
        <f>IFERROR(VLOOKUP(A208,[1]Energiindhold!$A$2:$C$11,3,FALSE),IFERROR(VLOOKUP(A208,[1]Biogasudbytte!$A$2:$B$18,2,FALSE)*[1]Energiindhold!$C$10,0))*O208</f>
        <v>#REF!</v>
      </c>
      <c r="R208" s="192" t="e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#REF!</v>
      </c>
      <c r="S208" s="192" t="e">
        <f>IFERROR(VLOOKUP(A208,[1]Biogasudbytte!$A$2:$B$18,2,FALSE)*[1]Energiindhold!$C$10,0)*J208*IFERROR(VLOOKUP(A208,Biogasanlæg!$F$3:$G$8,2,FALSE),1)</f>
        <v>#REF!</v>
      </c>
      <c r="T208" s="193" t="e">
        <f t="shared" si="50"/>
        <v>#REF!</v>
      </c>
      <c r="U208" s="191" t="e">
        <f>O208*IFERROR(VLOOKUP(A208,[1]Tørstofindhold!A$2:B$24,2,FALSE),0)</f>
        <v>#REF!</v>
      </c>
      <c r="V208" s="192" t="e">
        <f>IF(D208=År1,P208,SUM(O208,P208))*IFERROR(VLOOKUP(A208,[1]Tørstofindhold!A$2:B$24,2,FALSE),0)</f>
        <v>#REF!</v>
      </c>
      <c r="W208" s="192" t="e">
        <f>J208*IFERROR(VLOOKUP(A208,[1]Tørstofindhold!A$2:B$24,2,FALSE),0)</f>
        <v>#REF!</v>
      </c>
      <c r="X208" s="193" t="e">
        <f t="shared" si="51"/>
        <v>#REF!</v>
      </c>
      <c r="Y208" s="171" t="e">
        <f t="shared" si="60"/>
        <v>#REF!</v>
      </c>
      <c r="Z208" s="103" t="e">
        <f t="shared" si="61"/>
        <v>#REF!</v>
      </c>
    </row>
    <row r="209" spans="1:26" x14ac:dyDescent="0.25">
      <c r="A209" s="194" t="str">
        <f t="shared" si="56"/>
        <v>Græsprotein</v>
      </c>
      <c r="B209" s="194" t="str">
        <f t="shared" si="57"/>
        <v/>
      </c>
      <c r="C209" s="194">
        <f>IF(COUNTIFS('Resultater - Danmark'!$D$3:$D$482,'Resultat-Produktion &amp; forbrug'!A209,'Resultater - Danmark'!$A$3:$A$482,"Til energi")+COUNTIFS('Resultater - Danmark'!$D$3:$D$482,'Resultat-Produktion &amp; forbrug'!A209,'Resultater - Danmark'!$A$3:$A$482,"Biogasanlæg")&gt;0,1,0)</f>
        <v>0</v>
      </c>
      <c r="D209" s="194">
        <f t="shared" si="58"/>
        <v>2030</v>
      </c>
      <c r="E209" s="192" t="s">
        <v>24</v>
      </c>
      <c r="F209" s="195">
        <f>IF(E209="Vestdanmark",SUMIFS(IF(D209=År1,'Resultater - Vestdanmark'!H$3:H$482,IF(D209=År2,'Resultater - Vestdanmark'!I$3:I$482,'Resultater - Vestdanmark'!J$3:J$482)),'Resultater - Vestdanmark'!$F$3:$F$482,$A209,IF(D209=År1,'Resultater - Vestdanmark'!H$3:H$482,IF(D209=År2,'Resultater - Vestdanmark'!I$3:I$482,'Resultater - Vestdanmark'!J$3:J$482)),"&gt;0"),SUMIFS(IF(D209=År1,'Resultater - Østdanmark'!H$3:H$482,IF(D209=År2,'Resultater - Østdanmark'!I$3:I$482,'Resultater - Østdanmark'!J$3:J$482)),'Resultater - Østdanmark'!$F$3:$F$482,$A209,IF(D209=År1,'Resultater - Østdanmark'!H$3:H$482,IF(D209=År2,'Resultater - Østdanmark'!I$3:I$482,'Resultater - Østdanmark'!J$3:J$482)),"&gt;0"))</f>
        <v>0</v>
      </c>
      <c r="G209" s="195" t="e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#REF!</v>
      </c>
      <c r="H209" s="192">
        <f>IF(E209="Vestdanmark",-IF(A209="Halm",SUMIFS(IF(D209=År1,'Resultater - Vestdanmark'!H$3:H$482,IF(D209=År2,'Resultater - Vestdanmark'!I$3:I$482,'Resultater - Vestdanmark'!J$3:J$482)),'Resultater - Vestdanmark'!$F$3:$F$482,$A209,'Resultater - Vestdanmark'!H$3:H$482,"&lt;0"),0),-IF(A209="Halm",SUMIFS(IF(D209=År1,'Resultater - Østdanmark'!H$3:H$482,IF(D209=År2,'Resultater - Østdanmark'!I$3:I$482,'Resultater - Østdanmark'!J$3:J$482)),'Resultater - Østdanmark'!$F$3:$F$482,$A209,'Resultater - Østdanmark'!H$3:H$482,"&lt;0"),0))</f>
        <v>0</v>
      </c>
      <c r="I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5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7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4" t="e">
        <f t="shared" si="48"/>
        <v>#REF!</v>
      </c>
      <c r="O209" s="195">
        <f t="shared" si="59"/>
        <v>0</v>
      </c>
      <c r="P209" s="205">
        <f t="shared" si="49"/>
        <v>0</v>
      </c>
      <c r="Q209" s="192">
        <f>IFERROR(VLOOKUP(A209,[1]Energiindhold!$A$2:$C$11,3,FALSE),IFERROR(VLOOKUP(A209,[1]Biogasudbytte!$A$2:$B$18,2,FALSE)*[1]Energiindhold!$C$10,0))*O209</f>
        <v>0</v>
      </c>
      <c r="R209" s="192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92">
        <f>IFERROR(VLOOKUP(A209,[1]Biogasudbytte!$A$2:$B$18,2,FALSE)*[1]Energiindhold!$C$10,0)*J209*IFERROR(VLOOKUP(A209,Biogasanlæg!$F$3:$G$8,2,FALSE),1)</f>
        <v>0</v>
      </c>
      <c r="T209" s="193">
        <f t="shared" si="50"/>
        <v>0</v>
      </c>
      <c r="U209" s="191">
        <f>O209*IFERROR(VLOOKUP(A209,[1]Tørstofindhold!A$2:B$24,2,FALSE),0)</f>
        <v>0</v>
      </c>
      <c r="V209" s="192">
        <f>IF(D209=År1,P209,SUM(O209,P209))*IFERROR(VLOOKUP(A209,[1]Tørstofindhold!A$2:B$24,2,FALSE),0)</f>
        <v>0</v>
      </c>
      <c r="W209" s="192">
        <f>J209*IFERROR(VLOOKUP(A209,[1]Tørstofindhold!A$2:B$24,2,FALSE),0)</f>
        <v>0</v>
      </c>
      <c r="X209" s="193">
        <f t="shared" si="51"/>
        <v>0</v>
      </c>
      <c r="Y209" s="171" t="e">
        <f t="shared" si="60"/>
        <v>#REF!</v>
      </c>
      <c r="Z209" s="103" t="e">
        <f t="shared" si="61"/>
        <v>#REF!</v>
      </c>
    </row>
    <row r="210" spans="1:26" x14ac:dyDescent="0.25">
      <c r="A210" s="194" t="str">
        <f t="shared" si="56"/>
        <v>Grøntsager</v>
      </c>
      <c r="B210" s="194" t="str">
        <f t="shared" si="57"/>
        <v/>
      </c>
      <c r="C210" s="194">
        <f>IF(COUNTIFS('Resultater - Danmark'!$D$3:$D$482,'Resultat-Produktion &amp; forbrug'!A210,'Resultater - Danmark'!$A$3:$A$482,"Til energi")+COUNTIFS('Resultater - Danmark'!$D$3:$D$482,'Resultat-Produktion &amp; forbrug'!A210,'Resultater - Danmark'!$A$3:$A$482,"Biogasanlæg")&gt;0,1,0)</f>
        <v>0</v>
      </c>
      <c r="D210" s="194">
        <f t="shared" si="58"/>
        <v>2030</v>
      </c>
      <c r="E210" s="192" t="s">
        <v>24</v>
      </c>
      <c r="F210" s="195">
        <f>IF(E210="Vestdanmark",SUMIFS(IF(D210=År1,'Resultater - Vestdanmark'!H$3:H$482,IF(D210=År2,'Resultater - Vestdanmark'!I$3:I$482,'Resultater - Vestdanmark'!J$3:J$482)),'Resultater - Vestdanmark'!$F$3:$F$482,$A210,IF(D210=År1,'Resultater - Vestdanmark'!H$3:H$482,IF(D210=År2,'Resultater - Vestdanmark'!I$3:I$482,'Resultater - Vestdanmark'!J$3:J$482)),"&gt;0"),SUMIFS(IF(D210=År1,'Resultater - Østdanmark'!H$3:H$482,IF(D210=År2,'Resultater - Østdanmark'!I$3:I$482,'Resultater - Østdanmark'!J$3:J$482)),'Resultater - Østdanmark'!$F$3:$F$482,$A210,IF(D210=År1,'Resultater - Østdanmark'!H$3:H$482,IF(D210=År2,'Resultater - Østdanmark'!I$3:I$482,'Resultater - Østdanmark'!J$3:J$482)),"&gt;0"))</f>
        <v>0</v>
      </c>
      <c r="G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92">
        <f>IF(E210="Vestdanmark",-IF(A210="Halm",SUMIFS(IF(D210=År1,'Resultater - Vestdanmark'!H$3:H$482,IF(D210=År2,'Resultater - Vestdanmark'!I$3:I$482,'Resultater - Vestdanmark'!J$3:J$482)),'Resultater - Vestdanmark'!$F$3:$F$482,$A210,'Resultater - Vestdanmark'!H$3:H$482,"&lt;0"),0),-IF(A210="Halm",SUMIFS(IF(D210=År1,'Resultater - Østdanmark'!H$3:H$482,IF(D210=År2,'Resultater - Østdanmark'!I$3:I$482,'Resultater - Østdanmark'!J$3:J$482)),'Resultater - Østdanmark'!$F$3:$F$482,$A210,'Resultater - Østdanmark'!H$3:H$482,"&lt;0"),0))</f>
        <v>0</v>
      </c>
      <c r="I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5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7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4">
        <f t="shared" si="48"/>
        <v>-233902.44520004498</v>
      </c>
      <c r="O210" s="195">
        <f t="shared" si="59"/>
        <v>0</v>
      </c>
      <c r="P210" s="205">
        <f t="shared" si="49"/>
        <v>0</v>
      </c>
      <c r="Q210" s="192">
        <f>IFERROR(VLOOKUP(A210,[1]Energiindhold!$A$2:$C$11,3,FALSE),IFERROR(VLOOKUP(A210,[1]Biogasudbytte!$A$2:$B$18,2,FALSE)*[1]Energiindhold!$C$10,0))*O210</f>
        <v>0</v>
      </c>
      <c r="R210" s="192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92">
        <f>IFERROR(VLOOKUP(A210,[1]Biogasudbytte!$A$2:$B$18,2,FALSE)*[1]Energiindhold!$C$10,0)*J210*IFERROR(VLOOKUP(A210,Biogasanlæg!$F$3:$G$8,2,FALSE),1)</f>
        <v>0</v>
      </c>
      <c r="T210" s="193">
        <f t="shared" si="50"/>
        <v>0</v>
      </c>
      <c r="U210" s="191">
        <f>O210*IFERROR(VLOOKUP(A210,[1]Tørstofindhold!A$2:B$24,2,FALSE),0)</f>
        <v>0</v>
      </c>
      <c r="V210" s="192">
        <f>IF(D210=År1,P210,SUM(O210,P210))*IFERROR(VLOOKUP(A210,[1]Tørstofindhold!A$2:B$24,2,FALSE),0)</f>
        <v>0</v>
      </c>
      <c r="W210" s="192">
        <f>J210*IFERROR(VLOOKUP(A210,[1]Tørstofindhold!A$2:B$24,2,FALSE),0)</f>
        <v>0</v>
      </c>
      <c r="X210" s="193">
        <f t="shared" si="51"/>
        <v>0</v>
      </c>
      <c r="Y210" s="171">
        <f t="shared" si="60"/>
        <v>1</v>
      </c>
      <c r="Z210" s="103">
        <f t="shared" si="61"/>
        <v>0</v>
      </c>
    </row>
    <row r="211" spans="1:26" x14ac:dyDescent="0.25">
      <c r="A211" s="194" t="str">
        <f t="shared" si="56"/>
        <v>Halm</v>
      </c>
      <c r="B211" s="194" t="str">
        <f t="shared" si="57"/>
        <v>Halm og strå</v>
      </c>
      <c r="C211" s="194">
        <f>IF(COUNTIFS('Resultater - Danmark'!$D$3:$D$482,'Resultat-Produktion &amp; forbrug'!A211,'Resultater - Danmark'!$A$3:$A$482,"Til energi")+COUNTIFS('Resultater - Danmark'!$D$3:$D$482,'Resultat-Produktion &amp; forbrug'!A211,'Resultater - Danmark'!$A$3:$A$482,"Biogasanlæg")&gt;0,1,0)</f>
        <v>1</v>
      </c>
      <c r="D211" s="194">
        <f t="shared" si="58"/>
        <v>2030</v>
      </c>
      <c r="E211" s="192" t="s">
        <v>24</v>
      </c>
      <c r="F211" s="195">
        <f>IF(E211="Vestdanmark",SUMIFS(IF(D211=År1,'Resultater - Vestdanmark'!H$3:H$482,IF(D211=År2,'Resultater - Vestdanmark'!I$3:I$482,'Resultater - Vestdanmark'!J$3:J$482)),'Resultater - Vestdanmark'!$F$3:$F$482,$A211,IF(D211=År1,'Resultater - Vestdanmark'!H$3:H$482,IF(D211=År2,'Resultater - Vestdanmark'!I$3:I$482,'Resultater - Vestdanmark'!J$3:J$482)),"&gt;0"),SUMIFS(IF(D211=År1,'Resultater - Østdanmark'!H$3:H$482,IF(D211=År2,'Resultater - Østdanmark'!I$3:I$482,'Resultater - Østdanmark'!J$3:J$482)),'Resultater - Østdanmark'!$F$3:$F$482,$A211,IF(D211=År1,'Resultater - Østdanmark'!H$3:H$482,IF(D211=År2,'Resultater - Østdanmark'!I$3:I$482,'Resultater - Østdanmark'!J$3:J$482)),"&gt;0"))</f>
        <v>0</v>
      </c>
      <c r="G211" s="195" t="e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#REF!</v>
      </c>
      <c r="H211" s="192">
        <f>IF(E211="Vestdanmark",-IF(A211="Halm",SUMIFS(IF(D211=År1,'Resultater - Vestdanmark'!H$3:H$482,IF(D211=År2,'Resultater - Vestdanmark'!I$3:I$482,'Resultater - Vestdanmark'!J$3:J$482)),'Resultater - Vestdanmark'!$F$3:$F$482,$A211,'Resultater - Vestdanmark'!H$3:H$482,"&lt;0"),0),-IF(A211="Halm",SUMIFS(IF(D211=År1,'Resultater - Østdanmark'!H$3:H$482,IF(D211=År2,'Resultater - Østdanmark'!I$3:I$482,'Resultater - Østdanmark'!J$3:J$482)),'Resultater - Østdanmark'!$F$3:$F$482,$A211,'Resultater - Østdanmark'!H$3:H$482,"&lt;0"),0))</f>
        <v>0</v>
      </c>
      <c r="I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5" t="e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#REF!</v>
      </c>
      <c r="K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5" t="e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#REF!</v>
      </c>
      <c r="M211" s="157" t="e">
        <f>SUMIFS('Forbrug af biomasse'!E:E,'Forbrug af biomasse'!C:C,'Resultat-Produktion &amp; forbrug'!$A211,'Forbrug af biomasse'!D:D,'Resultat-Produktion &amp; forbrug'!$D211,'Forbrug af biomasse'!G:G,1,'Forbrug af biomasse'!B:B,$E211)</f>
        <v>#REF!</v>
      </c>
      <c r="N211" s="204" t="e">
        <f t="shared" si="48"/>
        <v>#REF!</v>
      </c>
      <c r="O211" s="195" t="e">
        <f t="shared" si="59"/>
        <v>#REF!</v>
      </c>
      <c r="P211" s="205" t="e">
        <f t="shared" si="49"/>
        <v>#REF!</v>
      </c>
      <c r="Q211" s="192" t="e">
        <f>IFERROR(VLOOKUP(A211,[1]Energiindhold!$A$2:$C$11,3,FALSE),IFERROR(VLOOKUP(A211,[1]Biogasudbytte!$A$2:$B$18,2,FALSE)*[1]Energiindhold!$C$10,0))*O211</f>
        <v>#REF!</v>
      </c>
      <c r="R211" s="192" t="e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#REF!</v>
      </c>
      <c r="S211" s="192" t="e">
        <f>IFERROR(VLOOKUP(A211,[1]Biogasudbytte!$A$2:$B$18,2,FALSE)*[1]Energiindhold!$C$10,0)*J211*IFERROR(VLOOKUP(A211,Biogasanlæg!$F$3:$G$8,2,FALSE),1)</f>
        <v>#REF!</v>
      </c>
      <c r="T211" s="193" t="e">
        <f t="shared" si="50"/>
        <v>#REF!</v>
      </c>
      <c r="U211" s="191" t="e">
        <f>O211*IFERROR(VLOOKUP(A211,[1]Tørstofindhold!A$2:B$24,2,FALSE),0)</f>
        <v>#REF!</v>
      </c>
      <c r="V211" s="192" t="e">
        <f>IF(D211=År1,P211,SUM(O211,P211))*IFERROR(VLOOKUP(A211,[1]Tørstofindhold!A$2:B$24,2,FALSE),0)</f>
        <v>#REF!</v>
      </c>
      <c r="W211" s="192" t="e">
        <f>J211*IFERROR(VLOOKUP(A211,[1]Tørstofindhold!A$2:B$24,2,FALSE),0)</f>
        <v>#REF!</v>
      </c>
      <c r="X211" s="193" t="e">
        <f t="shared" si="51"/>
        <v>#REF!</v>
      </c>
      <c r="Y211" s="171" t="e">
        <f t="shared" si="60"/>
        <v>#REF!</v>
      </c>
      <c r="Z211" s="103" t="e">
        <f t="shared" si="61"/>
        <v>#REF!</v>
      </c>
    </row>
    <row r="212" spans="1:26" x14ac:dyDescent="0.25">
      <c r="A212" s="194" t="str">
        <f t="shared" si="56"/>
        <v>Have/parkaffald</v>
      </c>
      <c r="B212" s="194" t="str">
        <f t="shared" si="57"/>
        <v>Bionedbrydeligt affald</v>
      </c>
      <c r="C212" s="194">
        <f>IF(COUNTIFS('Resultater - Danmark'!$D$3:$D$482,'Resultat-Produktion &amp; forbrug'!A212,'Resultater - Danmark'!$A$3:$A$482,"Til energi")+COUNTIFS('Resultater - Danmark'!$D$3:$D$482,'Resultat-Produktion &amp; forbrug'!A212,'Resultater - Danmark'!$A$3:$A$482,"Biogasanlæg")&gt;0,1,0)</f>
        <v>1</v>
      </c>
      <c r="D212" s="194">
        <f t="shared" si="58"/>
        <v>2030</v>
      </c>
      <c r="E212" s="192" t="s">
        <v>24</v>
      </c>
      <c r="F212" s="195">
        <f>IF(E212="Vestdanmark",SUMIFS(IF(D212=År1,'Resultater - Vestdanmark'!H$3:H$482,IF(D212=År2,'Resultater - Vestdanmark'!I$3:I$482,'Resultater - Vestdanmark'!J$3:J$482)),'Resultater - Vestdanmark'!$F$3:$F$482,$A212,IF(D212=År1,'Resultater - Vestdanmark'!H$3:H$482,IF(D212=År2,'Resultater - Vestdanmark'!I$3:I$482,'Resultater - Vestdanmark'!J$3:J$482)),"&gt;0"),SUMIFS(IF(D212=År1,'Resultater - Østdanmark'!H$3:H$482,IF(D212=År2,'Resultater - Østdanmark'!I$3:I$482,'Resultater - Østdanmark'!J$3:J$482)),'Resultater - Østdanmark'!$F$3:$F$482,$A212,IF(D212=År1,'Resultater - Østdanmark'!H$3:H$482,IF(D212=År2,'Resultater - Østdanmark'!I$3:I$482,'Resultater - Østdanmark'!J$3:J$482)),"&gt;0"))</f>
        <v>0</v>
      </c>
      <c r="G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92">
        <f>IF(E212="Vestdanmark",-IF(A212="Halm",SUMIFS(IF(D212=År1,'Resultater - Vestdanmark'!H$3:H$482,IF(D212=År2,'Resultater - Vestdanmark'!I$3:I$482,'Resultater - Vestdanmark'!J$3:J$482)),'Resultater - Vestdanmark'!$F$3:$F$482,$A212,'Resultater - Vestdanmark'!H$3:H$482,"&lt;0"),0),-IF(A212="Halm",SUMIFS(IF(D212=År1,'Resultater - Østdanmark'!H$3:H$482,IF(D212=År2,'Resultater - Østdanmark'!I$3:I$482,'Resultater - Østdanmark'!J$3:J$482)),'Resultater - Østdanmark'!$F$3:$F$482,$A212,'Resultater - Østdanmark'!H$3:H$482,"&lt;0"),0))</f>
        <v>0</v>
      </c>
      <c r="I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5" t="e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#REF!</v>
      </c>
      <c r="K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5" t="e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#REF!</v>
      </c>
      <c r="M212" s="157" t="e">
        <f>SUMIFS('Forbrug af biomasse'!E:E,'Forbrug af biomasse'!C:C,'Resultat-Produktion &amp; forbrug'!$A212,'Forbrug af biomasse'!D:D,'Resultat-Produktion &amp; forbrug'!$D212,'Forbrug af biomasse'!G:G,1,'Forbrug af biomasse'!B:B,$E212)</f>
        <v>#REF!</v>
      </c>
      <c r="N212" s="204" t="e">
        <f t="shared" si="48"/>
        <v>#REF!</v>
      </c>
      <c r="O212" s="195" t="e">
        <f t="shared" si="59"/>
        <v>#REF!</v>
      </c>
      <c r="P212" s="205" t="e">
        <f t="shared" si="49"/>
        <v>#REF!</v>
      </c>
      <c r="Q212" s="192" t="e">
        <f>IFERROR(VLOOKUP(A212,[1]Energiindhold!$A$2:$C$11,3,FALSE),IFERROR(VLOOKUP(A212,[1]Biogasudbytte!$A$2:$B$18,2,FALSE)*[1]Energiindhold!$C$10,0))*O212</f>
        <v>#REF!</v>
      </c>
      <c r="R212" s="192" t="e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#REF!</v>
      </c>
      <c r="S212" s="192" t="e">
        <f>IFERROR(VLOOKUP(A212,[1]Biogasudbytte!$A$2:$B$18,2,FALSE)*[1]Energiindhold!$C$10,0)*J212*IFERROR(VLOOKUP(A212,Biogasanlæg!$F$3:$G$8,2,FALSE),1)</f>
        <v>#REF!</v>
      </c>
      <c r="T212" s="193" t="e">
        <f t="shared" si="50"/>
        <v>#REF!</v>
      </c>
      <c r="U212" s="191" t="e">
        <f>O212*IFERROR(VLOOKUP(A212,[1]Tørstofindhold!A$2:B$24,2,FALSE),0)</f>
        <v>#REF!</v>
      </c>
      <c r="V212" s="192" t="e">
        <f>IF(D212=År1,P212,SUM(O212,P212))*IFERROR(VLOOKUP(A212,[1]Tørstofindhold!A$2:B$24,2,FALSE),0)</f>
        <v>#REF!</v>
      </c>
      <c r="W212" s="192" t="e">
        <f>J212*IFERROR(VLOOKUP(A212,[1]Tørstofindhold!A$2:B$24,2,FALSE),0)</f>
        <v>#REF!</v>
      </c>
      <c r="X212" s="193" t="e">
        <f t="shared" si="51"/>
        <v>#REF!</v>
      </c>
      <c r="Y212" s="171" t="e">
        <f t="shared" si="60"/>
        <v>#REF!</v>
      </c>
      <c r="Z212" s="103" t="e">
        <f t="shared" si="61"/>
        <v>#REF!</v>
      </c>
    </row>
    <row r="213" spans="1:26" x14ac:dyDescent="0.25">
      <c r="A213" s="194" t="str">
        <f t="shared" si="56"/>
        <v>Import af foder</v>
      </c>
      <c r="B213" s="194" t="str">
        <f t="shared" si="57"/>
        <v/>
      </c>
      <c r="C213" s="194">
        <f>IF(COUNTIFS('Resultater - Danmark'!$D$3:$D$482,'Resultat-Produktion &amp; forbrug'!A213,'Resultater - Danmark'!$A$3:$A$482,"Til energi")+COUNTIFS('Resultater - Danmark'!$D$3:$D$482,'Resultat-Produktion &amp; forbrug'!A213,'Resultater - Danmark'!$A$3:$A$482,"Biogasanlæg")&gt;0,1,0)</f>
        <v>0</v>
      </c>
      <c r="D213" s="194">
        <f t="shared" si="58"/>
        <v>2030</v>
      </c>
      <c r="E213" s="192" t="s">
        <v>24</v>
      </c>
      <c r="F213" s="195">
        <f>IF(E213="Vestdanmark",SUMIFS(IF(D213=År1,'Resultater - Vestdanmark'!H$3:H$482,IF(D213=År2,'Resultater - Vestdanmark'!I$3:I$482,'Resultater - Vestdanmark'!J$3:J$482)),'Resultater - Vestdanmark'!$F$3:$F$482,$A213,IF(D213=År1,'Resultater - Vestdanmark'!H$3:H$482,IF(D213=År2,'Resultater - Vestdanmark'!I$3:I$482,'Resultater - Vestdanmark'!J$3:J$482)),"&gt;0"),SUMIFS(IF(D213=År1,'Resultater - Østdanmark'!H$3:H$482,IF(D213=År2,'Resultater - Østdanmark'!I$3:I$482,'Resultater - Østdanmark'!J$3:J$482)),'Resultater - Østdanmark'!$F$3:$F$482,$A213,IF(D213=År1,'Resultater - Østdanmark'!H$3:H$482,IF(D213=År2,'Resultater - Østdanmark'!I$3:I$482,'Resultater - Østdanmark'!J$3:J$482)),"&gt;0"))</f>
        <v>0</v>
      </c>
      <c r="G213" s="195" t="e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#REF!</v>
      </c>
      <c r="H213" s="192">
        <f>IF(E213="Vestdanmark",-IF(A213="Halm",SUMIFS(IF(D213=År1,'Resultater - Vestdanmark'!H$3:H$482,IF(D213=År2,'Resultater - Vestdanmark'!I$3:I$482,'Resultater - Vestdanmark'!J$3:J$482)),'Resultater - Vestdanmark'!$F$3:$F$482,$A213,'Resultater - Vestdanmark'!H$3:H$482,"&lt;0"),0),-IF(A213="Halm",SUMIFS(IF(D213=År1,'Resultater - Østdanmark'!H$3:H$482,IF(D213=År2,'Resultater - Østdanmark'!I$3:I$482,'Resultater - Østdanmark'!J$3:J$482)),'Resultater - Østdanmark'!$F$3:$F$482,$A213,'Resultater - Østdanmark'!H$3:H$482,"&lt;0"),0))</f>
        <v>0</v>
      </c>
      <c r="I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5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7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4" t="e">
        <f t="shared" si="48"/>
        <v>#REF!</v>
      </c>
      <c r="O213" s="195">
        <f t="shared" si="59"/>
        <v>0</v>
      </c>
      <c r="P213" s="205">
        <f t="shared" si="49"/>
        <v>0</v>
      </c>
      <c r="Q213" s="192">
        <f>IFERROR(VLOOKUP(A213,[1]Energiindhold!$A$2:$C$11,3,FALSE),IFERROR(VLOOKUP(A213,[1]Biogasudbytte!$A$2:$B$18,2,FALSE)*[1]Energiindhold!$C$10,0))*O213</f>
        <v>0</v>
      </c>
      <c r="R213" s="192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92">
        <f>IFERROR(VLOOKUP(A213,[1]Biogasudbytte!$A$2:$B$18,2,FALSE)*[1]Energiindhold!$C$10,0)*J213*IFERROR(VLOOKUP(A213,Biogasanlæg!$F$3:$G$8,2,FALSE),1)</f>
        <v>0</v>
      </c>
      <c r="T213" s="193">
        <f t="shared" si="50"/>
        <v>0</v>
      </c>
      <c r="U213" s="191">
        <f>O213*IFERROR(VLOOKUP(A213,[1]Tørstofindhold!A$2:B$24,2,FALSE),0)</f>
        <v>0</v>
      </c>
      <c r="V213" s="192">
        <f>IF(D213=År1,P213,SUM(O213,P213))*IFERROR(VLOOKUP(A213,[1]Tørstofindhold!A$2:B$24,2,FALSE),0)</f>
        <v>0</v>
      </c>
      <c r="W213" s="192">
        <f>J213*IFERROR(VLOOKUP(A213,[1]Tørstofindhold!A$2:B$24,2,FALSE),0)</f>
        <v>0</v>
      </c>
      <c r="X213" s="193">
        <f t="shared" si="51"/>
        <v>0</v>
      </c>
      <c r="Y213" s="171" t="e">
        <f t="shared" si="60"/>
        <v>#REF!</v>
      </c>
      <c r="Z213" s="103" t="e">
        <f t="shared" si="61"/>
        <v>#REF!</v>
      </c>
    </row>
    <row r="214" spans="1:26" x14ac:dyDescent="0.25">
      <c r="A214" s="194" t="str">
        <f t="shared" si="56"/>
        <v>Industriaffald</v>
      </c>
      <c r="B214" s="194" t="str">
        <f t="shared" si="57"/>
        <v>Bionedbrydeligt affald</v>
      </c>
      <c r="C214" s="194">
        <f>IF(COUNTIFS('Resultater - Danmark'!$D$3:$D$482,'Resultat-Produktion &amp; forbrug'!A214,'Resultater - Danmark'!$A$3:$A$482,"Til energi")+COUNTIFS('Resultater - Danmark'!$D$3:$D$482,'Resultat-Produktion &amp; forbrug'!A214,'Resultater - Danmark'!$A$3:$A$482,"Biogasanlæg")&gt;0,1,0)</f>
        <v>1</v>
      </c>
      <c r="D214" s="194">
        <f t="shared" si="58"/>
        <v>2030</v>
      </c>
      <c r="E214" s="192" t="s">
        <v>24</v>
      </c>
      <c r="F214" s="195">
        <f>IF(E214="Vestdanmark",SUMIFS(IF(D214=År1,'Resultater - Vestdanmark'!H$3:H$482,IF(D214=År2,'Resultater - Vestdanmark'!I$3:I$482,'Resultater - Vestdanmark'!J$3:J$482)),'Resultater - Vestdanmark'!$F$3:$F$482,$A214,IF(D214=År1,'Resultater - Vestdanmark'!H$3:H$482,IF(D214=År2,'Resultater - Vestdanmark'!I$3:I$482,'Resultater - Vestdanmark'!J$3:J$482)),"&gt;0"),SUMIFS(IF(D214=År1,'Resultater - Østdanmark'!H$3:H$482,IF(D214=År2,'Resultater - Østdanmark'!I$3:I$482,'Resultater - Østdanmark'!J$3:J$482)),'Resultater - Østdanmark'!$F$3:$F$482,$A214,IF(D214=År1,'Resultater - Østdanmark'!H$3:H$482,IF(D214=År2,'Resultater - Østdanmark'!I$3:I$482,'Resultater - Østdanmark'!J$3:J$482)),"&gt;0"))</f>
        <v>0</v>
      </c>
      <c r="G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92">
        <f>IF(E214="Vestdanmark",-IF(A214="Halm",SUMIFS(IF(D214=År1,'Resultater - Vestdanmark'!H$3:H$482,IF(D214=År2,'Resultater - Vestdanmark'!I$3:I$482,'Resultater - Vestdanmark'!J$3:J$482)),'Resultater - Vestdanmark'!$F$3:$F$482,$A214,'Resultater - Vestdanmark'!H$3:H$482,"&lt;0"),0),-IF(A214="Halm",SUMIFS(IF(D214=År1,'Resultater - Østdanmark'!H$3:H$482,IF(D214=År2,'Resultater - Østdanmark'!I$3:I$482,'Resultater - Østdanmark'!J$3:J$482)),'Resultater - Østdanmark'!$F$3:$F$482,$A214,'Resultater - Østdanmark'!H$3:H$482,"&lt;0"),0))</f>
        <v>0</v>
      </c>
      <c r="I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5" t="e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#REF!</v>
      </c>
      <c r="K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5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7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4" t="e">
        <f t="shared" si="48"/>
        <v>#REF!</v>
      </c>
      <c r="O214" s="195" t="e">
        <f t="shared" si="59"/>
        <v>#REF!</v>
      </c>
      <c r="P214" s="205" t="e">
        <f t="shared" si="49"/>
        <v>#REF!</v>
      </c>
      <c r="Q214" s="192" t="e">
        <f>IFERROR(VLOOKUP(A214,[1]Energiindhold!$A$2:$C$11,3,FALSE),IFERROR(VLOOKUP(A214,[1]Biogasudbytte!$A$2:$B$18,2,FALSE)*[1]Energiindhold!$C$10,0))*O214</f>
        <v>#REF!</v>
      </c>
      <c r="R214" s="192" t="e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#REF!</v>
      </c>
      <c r="S214" s="192" t="e">
        <f>IFERROR(VLOOKUP(A214,[1]Biogasudbytte!$A$2:$B$18,2,FALSE)*[1]Energiindhold!$C$10,0)*J214*IFERROR(VLOOKUP(A214,Biogasanlæg!$F$3:$G$8,2,FALSE),1)</f>
        <v>#REF!</v>
      </c>
      <c r="T214" s="193" t="e">
        <f t="shared" si="50"/>
        <v>#REF!</v>
      </c>
      <c r="U214" s="191" t="e">
        <f>O214*IFERROR(VLOOKUP(A214,[1]Tørstofindhold!A$2:B$24,2,FALSE),0)</f>
        <v>#REF!</v>
      </c>
      <c r="V214" s="192" t="e">
        <f>IF(D214=År1,P214,SUM(O214,P214))*IFERROR(VLOOKUP(A214,[1]Tørstofindhold!A$2:B$24,2,FALSE),0)</f>
        <v>#REF!</v>
      </c>
      <c r="W214" s="192" t="e">
        <f>J214*IFERROR(VLOOKUP(A214,[1]Tørstofindhold!A$2:B$24,2,FALSE),0)</f>
        <v>#REF!</v>
      </c>
      <c r="X214" s="193" t="e">
        <f t="shared" si="51"/>
        <v>#REF!</v>
      </c>
      <c r="Y214" s="171" t="e">
        <f t="shared" si="60"/>
        <v>#REF!</v>
      </c>
      <c r="Z214" s="103" t="e">
        <f t="shared" si="61"/>
        <v>#REF!</v>
      </c>
    </row>
    <row r="215" spans="1:26" x14ac:dyDescent="0.25">
      <c r="A215" s="194" t="str">
        <f t="shared" si="56"/>
        <v>Juletræer</v>
      </c>
      <c r="B215" s="194" t="str">
        <f t="shared" si="57"/>
        <v/>
      </c>
      <c r="C215" s="194">
        <f>IF(COUNTIFS('Resultater - Danmark'!$D$3:$D$482,'Resultat-Produktion &amp; forbrug'!A215,'Resultater - Danmark'!$A$3:$A$482,"Til energi")+COUNTIFS('Resultater - Danmark'!$D$3:$D$482,'Resultat-Produktion &amp; forbrug'!A215,'Resultater - Danmark'!$A$3:$A$482,"Biogasanlæg")&gt;0,1,0)</f>
        <v>0</v>
      </c>
      <c r="D215" s="194">
        <f t="shared" si="58"/>
        <v>2030</v>
      </c>
      <c r="E215" s="192" t="s">
        <v>24</v>
      </c>
      <c r="F215" s="195">
        <f>IF(E215="Vestdanmark",SUMIFS(IF(D215=År1,'Resultater - Vestdanmark'!H$3:H$482,IF(D215=År2,'Resultater - Vestdanmark'!I$3:I$482,'Resultater - Vestdanmark'!J$3:J$482)),'Resultater - Vestdanmark'!$F$3:$F$482,$A215,IF(D215=År1,'Resultater - Vestdanmark'!H$3:H$482,IF(D215=År2,'Resultater - Vestdanmark'!I$3:I$482,'Resultater - Vestdanmark'!J$3:J$482)),"&gt;0"),SUMIFS(IF(D215=År1,'Resultater - Østdanmark'!H$3:H$482,IF(D215=År2,'Resultater - Østdanmark'!I$3:I$482,'Resultater - Østdanmark'!J$3:J$482)),'Resultater - Østdanmark'!$F$3:$F$482,$A215,IF(D215=År1,'Resultater - Østdanmark'!H$3:H$482,IF(D215=År2,'Resultater - Østdanmark'!I$3:I$482,'Resultater - Østdanmark'!J$3:J$482)),"&gt;0"))</f>
        <v>0</v>
      </c>
      <c r="G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92">
        <f>IF(E215="Vestdanmark",-IF(A215="Halm",SUMIFS(IF(D215=År1,'Resultater - Vestdanmark'!H$3:H$482,IF(D215=År2,'Resultater - Vestdanmark'!I$3:I$482,'Resultater - Vestdanmark'!J$3:J$482)),'Resultater - Vestdanmark'!$F$3:$F$482,$A215,'Resultater - Vestdanmark'!H$3:H$482,"&lt;0"),0),-IF(A215="Halm",SUMIFS(IF(D215=År1,'Resultater - Østdanmark'!H$3:H$482,IF(D215=År2,'Resultater - Østdanmark'!I$3:I$482,'Resultater - Østdanmark'!J$3:J$482)),'Resultater - Østdanmark'!$F$3:$F$482,$A215,'Resultater - Østdanmark'!H$3:H$482,"&lt;0"),0))</f>
        <v>0</v>
      </c>
      <c r="I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5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7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4">
        <f t="shared" si="48"/>
        <v>0</v>
      </c>
      <c r="O215" s="195">
        <f t="shared" si="59"/>
        <v>0</v>
      </c>
      <c r="P215" s="205">
        <f t="shared" si="49"/>
        <v>0</v>
      </c>
      <c r="Q215" s="192">
        <f>IFERROR(VLOOKUP(A215,[1]Energiindhold!$A$2:$C$11,3,FALSE),IFERROR(VLOOKUP(A215,[1]Biogasudbytte!$A$2:$B$18,2,FALSE)*[1]Energiindhold!$C$10,0))*O215</f>
        <v>0</v>
      </c>
      <c r="R215" s="192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92">
        <f>IFERROR(VLOOKUP(A215,[1]Biogasudbytte!$A$2:$B$18,2,FALSE)*[1]Energiindhold!$C$10,0)*J215*IFERROR(VLOOKUP(A215,Biogasanlæg!$F$3:$G$8,2,FALSE),1)</f>
        <v>0</v>
      </c>
      <c r="T215" s="193">
        <f t="shared" si="50"/>
        <v>0</v>
      </c>
      <c r="U215" s="191">
        <f>O215*IFERROR(VLOOKUP(A215,[1]Tørstofindhold!A$2:B$24,2,FALSE),0)</f>
        <v>0</v>
      </c>
      <c r="V215" s="192">
        <f>IF(D215=År1,P215,SUM(O215,P215))*IFERROR(VLOOKUP(A215,[1]Tørstofindhold!A$2:B$24,2,FALSE),0)</f>
        <v>0</v>
      </c>
      <c r="W215" s="192">
        <f>J215*IFERROR(VLOOKUP(A215,[1]Tørstofindhold!A$2:B$24,2,FALSE),0)</f>
        <v>0</v>
      </c>
      <c r="X215" s="193">
        <f t="shared" si="51"/>
        <v>0</v>
      </c>
      <c r="Y215" s="171">
        <f t="shared" si="60"/>
        <v>0</v>
      </c>
      <c r="Z215" s="103">
        <f t="shared" si="61"/>
        <v>0</v>
      </c>
    </row>
    <row r="216" spans="1:26" x14ac:dyDescent="0.25">
      <c r="A216" s="194" t="str">
        <f t="shared" si="56"/>
        <v>Kartofler</v>
      </c>
      <c r="B216" s="194" t="str">
        <f t="shared" si="57"/>
        <v/>
      </c>
      <c r="C216" s="194">
        <f>IF(COUNTIFS('Resultater - Danmark'!$D$3:$D$482,'Resultat-Produktion &amp; forbrug'!A216,'Resultater - Danmark'!$A$3:$A$482,"Til energi")+COUNTIFS('Resultater - Danmark'!$D$3:$D$482,'Resultat-Produktion &amp; forbrug'!A216,'Resultater - Danmark'!$A$3:$A$482,"Biogasanlæg")&gt;0,1,0)</f>
        <v>0</v>
      </c>
      <c r="D216" s="194">
        <f t="shared" si="58"/>
        <v>2030</v>
      </c>
      <c r="E216" s="192" t="s">
        <v>24</v>
      </c>
      <c r="F216" s="195">
        <f>IF(E216="Vestdanmark",SUMIFS(IF(D216=År1,'Resultater - Vestdanmark'!H$3:H$482,IF(D216=År2,'Resultater - Vestdanmark'!I$3:I$482,'Resultater - Vestdanmark'!J$3:J$482)),'Resultater - Vestdanmark'!$F$3:$F$482,$A216,IF(D216=År1,'Resultater - Vestdanmark'!H$3:H$482,IF(D216=År2,'Resultater - Vestdanmark'!I$3:I$482,'Resultater - Vestdanmark'!J$3:J$482)),"&gt;0"),SUMIFS(IF(D216=År1,'Resultater - Østdanmark'!H$3:H$482,IF(D216=År2,'Resultater - Østdanmark'!I$3:I$482,'Resultater - Østdanmark'!J$3:J$482)),'Resultater - Østdanmark'!$F$3:$F$482,$A216,IF(D216=År1,'Resultater - Østdanmark'!H$3:H$482,IF(D216=År2,'Resultater - Østdanmark'!I$3:I$482,'Resultater - Østdanmark'!J$3:J$482)),"&gt;0"))</f>
        <v>0</v>
      </c>
      <c r="G216" s="195" t="e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#REF!</v>
      </c>
      <c r="H216" s="192">
        <f>IF(E216="Vestdanmark",-IF(A216="Halm",SUMIFS(IF(D216=År1,'Resultater - Vestdanmark'!H$3:H$482,IF(D216=År2,'Resultater - Vestdanmark'!I$3:I$482,'Resultater - Vestdanmark'!J$3:J$482)),'Resultater - Vestdanmark'!$F$3:$F$482,$A216,'Resultater - Vestdanmark'!H$3:H$482,"&lt;0"),0),-IF(A216="Halm",SUMIFS(IF(D216=År1,'Resultater - Østdanmark'!H$3:H$482,IF(D216=År2,'Resultater - Østdanmark'!I$3:I$482,'Resultater - Østdanmark'!J$3:J$482)),'Resultater - Østdanmark'!$F$3:$F$482,$A216,'Resultater - Østdanmark'!H$3:H$482,"&lt;0"),0))</f>
        <v>0</v>
      </c>
      <c r="I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5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7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4" t="e">
        <f t="shared" ref="N216:N281" si="62">F216-SUM(G216:M216)</f>
        <v>#REF!</v>
      </c>
      <c r="O216" s="195">
        <f t="shared" si="59"/>
        <v>0</v>
      </c>
      <c r="P216" s="205">
        <f t="shared" ref="P216:P281" si="63">SUM(J216,L216)</f>
        <v>0</v>
      </c>
      <c r="Q216" s="192">
        <f>IFERROR(VLOOKUP(A216,[1]Energiindhold!$A$2:$C$11,3,FALSE),IFERROR(VLOOKUP(A216,[1]Biogasudbytte!$A$2:$B$18,2,FALSE)*[1]Energiindhold!$C$10,0))*O216</f>
        <v>0</v>
      </c>
      <c r="R216" s="192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92">
        <f>IFERROR(VLOOKUP(A216,[1]Biogasudbytte!$A$2:$B$18,2,FALSE)*[1]Energiindhold!$C$10,0)*J216*IFERROR(VLOOKUP(A216,Biogasanlæg!$F$3:$G$8,2,FALSE),1)</f>
        <v>0</v>
      </c>
      <c r="T216" s="193">
        <f t="shared" ref="T216:T281" si="64">R216-S216</f>
        <v>0</v>
      </c>
      <c r="U216" s="191">
        <f>O216*IFERROR(VLOOKUP(A216,[1]Tørstofindhold!A$2:B$24,2,FALSE),0)</f>
        <v>0</v>
      </c>
      <c r="V216" s="192">
        <f>IF(D216=År1,P216,SUM(O216,P216))*IFERROR(VLOOKUP(A216,[1]Tørstofindhold!A$2:B$24,2,FALSE),0)</f>
        <v>0</v>
      </c>
      <c r="W216" s="192">
        <f>J216*IFERROR(VLOOKUP(A216,[1]Tørstofindhold!A$2:B$24,2,FALSE),0)</f>
        <v>0</v>
      </c>
      <c r="X216" s="193">
        <f t="shared" ref="X216:X281" si="65">V216-W216</f>
        <v>0</v>
      </c>
      <c r="Y216" s="171" t="e">
        <f t="shared" si="60"/>
        <v>#REF!</v>
      </c>
      <c r="Z216" s="103" t="e">
        <f t="shared" si="61"/>
        <v>#REF!</v>
      </c>
    </row>
    <row r="217" spans="1:26" x14ac:dyDescent="0.25">
      <c r="A217" s="194" t="str">
        <f t="shared" si="56"/>
        <v>Korn</v>
      </c>
      <c r="B217" s="194" t="str">
        <f t="shared" si="57"/>
        <v>Halm og strå</v>
      </c>
      <c r="C217" s="194">
        <f>IF(COUNTIFS('Resultater - Danmark'!$D$3:$D$482,'Resultat-Produktion &amp; forbrug'!A217,'Resultater - Danmark'!$A$3:$A$482,"Til energi")+COUNTIFS('Resultater - Danmark'!$D$3:$D$482,'Resultat-Produktion &amp; forbrug'!A217,'Resultater - Danmark'!$A$3:$A$482,"Biogasanlæg")&gt;0,1,0)</f>
        <v>1</v>
      </c>
      <c r="D217" s="194">
        <f t="shared" si="58"/>
        <v>2030</v>
      </c>
      <c r="E217" s="192" t="s">
        <v>24</v>
      </c>
      <c r="F217" s="195">
        <f>IF(E217="Vestdanmark",SUMIFS(IF(D217=År1,'Resultater - Vestdanmark'!H$3:H$482,IF(D217=År2,'Resultater - Vestdanmark'!I$3:I$482,'Resultater - Vestdanmark'!J$3:J$482)),'Resultater - Vestdanmark'!$F$3:$F$482,$A217,IF(D217=År1,'Resultater - Vestdanmark'!H$3:H$482,IF(D217=År2,'Resultater - Vestdanmark'!I$3:I$482,'Resultater - Vestdanmark'!J$3:J$482)),"&gt;0"),SUMIFS(IF(D217=År1,'Resultater - Østdanmark'!H$3:H$482,IF(D217=År2,'Resultater - Østdanmark'!I$3:I$482,'Resultater - Østdanmark'!J$3:J$482)),'Resultater - Østdanmark'!$F$3:$F$482,$A217,IF(D217=År1,'Resultater - Østdanmark'!H$3:H$482,IF(D217=År2,'Resultater - Østdanmark'!I$3:I$482,'Resultater - Østdanmark'!J$3:J$482)),"&gt;0"))</f>
        <v>0</v>
      </c>
      <c r="G217" s="195" t="e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#REF!</v>
      </c>
      <c r="H217" s="192">
        <f>IF(E217="Vestdanmark",-IF(A217="Halm",SUMIFS(IF(D217=År1,'Resultater - Vestdanmark'!H$3:H$482,IF(D217=År2,'Resultater - Vestdanmark'!I$3:I$482,'Resultater - Vestdanmark'!J$3:J$482)),'Resultater - Vestdanmark'!$F$3:$F$482,$A217,'Resultater - Vestdanmark'!H$3:H$482,"&lt;0"),0),-IF(A217="Halm",SUMIFS(IF(D217=År1,'Resultater - Østdanmark'!H$3:H$482,IF(D217=År2,'Resultater - Østdanmark'!I$3:I$482,'Resultater - Østdanmark'!J$3:J$482)),'Resultater - Østdanmark'!$F$3:$F$482,$A217,'Resultater - Østdanmark'!H$3:H$482,"&lt;0"),0))</f>
        <v>0</v>
      </c>
      <c r="I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5" t="e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#REF!</v>
      </c>
      <c r="K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5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7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4" t="e">
        <f>F217-SUM(G217:M217)</f>
        <v>#REF!</v>
      </c>
      <c r="O217" s="195" t="e">
        <f t="shared" si="59"/>
        <v>#REF!</v>
      </c>
      <c r="P217" s="205" t="e">
        <f t="shared" si="63"/>
        <v>#REF!</v>
      </c>
      <c r="Q217" s="192" t="e">
        <f>IFERROR(VLOOKUP(A217,[1]Energiindhold!$A$2:$C$11,3,FALSE),IFERROR(VLOOKUP(A217,[1]Biogasudbytte!$A$2:$B$18,2,FALSE)*[1]Energiindhold!$C$10,0))*O217</f>
        <v>#REF!</v>
      </c>
      <c r="R217" s="192" t="e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#REF!</v>
      </c>
      <c r="S217" s="192" t="e">
        <f>IFERROR(VLOOKUP(A217,[1]Biogasudbytte!$A$2:$B$18,2,FALSE)*[1]Energiindhold!$C$10,0)*J217*IFERROR(VLOOKUP(A217,Biogasanlæg!$F$3:$G$8,2,FALSE),1)</f>
        <v>#REF!</v>
      </c>
      <c r="T217" s="193" t="e">
        <f t="shared" si="64"/>
        <v>#REF!</v>
      </c>
      <c r="U217" s="191" t="e">
        <f>O217*IFERROR(VLOOKUP(A217,[1]Tørstofindhold!A$2:B$24,2,FALSE),0)</f>
        <v>#REF!</v>
      </c>
      <c r="V217" s="192" t="e">
        <f>IF(D217=År1,P217,SUM(O217,P217))*IFERROR(VLOOKUP(A217,[1]Tørstofindhold!A$2:B$24,2,FALSE),0)</f>
        <v>#REF!</v>
      </c>
      <c r="W217" s="192" t="e">
        <f>J217*IFERROR(VLOOKUP(A217,[1]Tørstofindhold!A$2:B$24,2,FALSE),0)</f>
        <v>#REF!</v>
      </c>
      <c r="X217" s="193" t="e">
        <f t="shared" si="65"/>
        <v>#REF!</v>
      </c>
      <c r="Y217" s="171" t="e">
        <f t="shared" si="60"/>
        <v>#REF!</v>
      </c>
      <c r="Z217" s="103" t="e">
        <f t="shared" si="61"/>
        <v>#REF!</v>
      </c>
    </row>
    <row r="218" spans="1:26" x14ac:dyDescent="0.25">
      <c r="A218" s="194" t="str">
        <f t="shared" si="56"/>
        <v>Kunstgødning</v>
      </c>
      <c r="B218" s="194" t="str">
        <f t="shared" si="57"/>
        <v/>
      </c>
      <c r="C218" s="194">
        <f>IF(COUNTIFS('Resultater - Danmark'!$D$3:$D$482,'Resultat-Produktion &amp; forbrug'!A218,'Resultater - Danmark'!$A$3:$A$482,"Til energi")+COUNTIFS('Resultater - Danmark'!$D$3:$D$482,'Resultat-Produktion &amp; forbrug'!A218,'Resultater - Danmark'!$A$3:$A$482,"Biogasanlæg")&gt;0,1,0)</f>
        <v>0</v>
      </c>
      <c r="D218" s="194">
        <f t="shared" si="58"/>
        <v>2030</v>
      </c>
      <c r="E218" s="192" t="s">
        <v>24</v>
      </c>
      <c r="F218" s="195">
        <f>IF(E218="Vestdanmark",SUMIFS(IF(D218=År1,'Resultater - Vestdanmark'!H$3:H$482,IF(D218=År2,'Resultater - Vestdanmark'!I$3:I$482,'Resultater - Vestdanmark'!J$3:J$482)),'Resultater - Vestdanmark'!$F$3:$F$482,$A218,IF(D218=År1,'Resultater - Vestdanmark'!H$3:H$482,IF(D218=År2,'Resultater - Vestdanmark'!I$3:I$482,'Resultater - Vestdanmark'!J$3:J$482)),"&gt;0"),SUMIFS(IF(D218=År1,'Resultater - Østdanmark'!H$3:H$482,IF(D218=År2,'Resultater - Østdanmark'!I$3:I$482,'Resultater - Østdanmark'!J$3:J$482)),'Resultater - Østdanmark'!$F$3:$F$482,$A218,IF(D218=År1,'Resultater - Østdanmark'!H$3:H$482,IF(D218=År2,'Resultater - Østdanmark'!I$3:I$482,'Resultater - Østdanmark'!J$3:J$482)),"&gt;0"))</f>
        <v>0</v>
      </c>
      <c r="G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92">
        <f>IF(E218="Vestdanmark",-IF(A218="Halm",SUMIFS(IF(D218=År1,'Resultater - Vestdanmark'!H$3:H$482,IF(D218=År2,'Resultater - Vestdanmark'!I$3:I$482,'Resultater - Vestdanmark'!J$3:J$482)),'Resultater - Vestdanmark'!$F$3:$F$482,$A218,'Resultater - Vestdanmark'!H$3:H$482,"&lt;0"),0),-IF(A218="Halm",SUMIFS(IF(D218=År1,'Resultater - Østdanmark'!H$3:H$482,IF(D218=År2,'Resultater - Østdanmark'!I$3:I$482,'Resultater - Østdanmark'!J$3:J$482)),'Resultater - Østdanmark'!$F$3:$F$482,$A218,'Resultater - Østdanmark'!H$3:H$482,"&lt;0"),0))</f>
        <v>0</v>
      </c>
      <c r="I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5" t="e">
        <f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#REF!</v>
      </c>
      <c r="L218" s="195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7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4" t="e">
        <f t="shared" si="62"/>
        <v>#REF!</v>
      </c>
      <c r="O218" s="195">
        <f t="shared" si="59"/>
        <v>0</v>
      </c>
      <c r="P218" s="205">
        <f t="shared" si="63"/>
        <v>0</v>
      </c>
      <c r="Q218" s="192">
        <f>IFERROR(VLOOKUP(A218,[1]Energiindhold!$A$2:$C$11,3,FALSE),IFERROR(VLOOKUP(A218,[1]Biogasudbytte!$A$2:$B$18,2,FALSE)*[1]Energiindhold!$C$10,0))*O218</f>
        <v>0</v>
      </c>
      <c r="R218" s="192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92">
        <f>IFERROR(VLOOKUP(A218,[1]Biogasudbytte!$A$2:$B$18,2,FALSE)*[1]Energiindhold!$C$10,0)*J218*IFERROR(VLOOKUP(A218,Biogasanlæg!$F$3:$G$8,2,FALSE),1)</f>
        <v>0</v>
      </c>
      <c r="T218" s="193">
        <f t="shared" si="64"/>
        <v>0</v>
      </c>
      <c r="U218" s="191">
        <f>O218*IFERROR(VLOOKUP(A218,[1]Tørstofindhold!A$2:B$24,2,FALSE),0)</f>
        <v>0</v>
      </c>
      <c r="V218" s="192">
        <f>IF(D218=År1,P218,SUM(O218,P218))*IFERROR(VLOOKUP(A218,[1]Tørstofindhold!A$2:B$24,2,FALSE),0)</f>
        <v>0</v>
      </c>
      <c r="W218" s="192">
        <f>J218*IFERROR(VLOOKUP(A218,[1]Tørstofindhold!A$2:B$24,2,FALSE),0)</f>
        <v>0</v>
      </c>
      <c r="X218" s="193">
        <f t="shared" si="65"/>
        <v>0</v>
      </c>
      <c r="Y218" s="171" t="e">
        <f t="shared" si="60"/>
        <v>#REF!</v>
      </c>
      <c r="Z218" s="103" t="e">
        <f t="shared" si="61"/>
        <v>#REF!</v>
      </c>
    </row>
    <row r="219" spans="1:26" x14ac:dyDescent="0.25">
      <c r="A219" s="194" t="str">
        <f t="shared" si="56"/>
        <v>Kvæggylle</v>
      </c>
      <c r="B219" s="194" t="str">
        <f t="shared" si="57"/>
        <v>Husdyrgødning</v>
      </c>
      <c r="C219" s="194">
        <f>IF(COUNTIFS('Resultater - Danmark'!$D$3:$D$482,'Resultat-Produktion &amp; forbrug'!A219,'Resultater - Danmark'!$A$3:$A$482,"Til energi")+COUNTIFS('Resultater - Danmark'!$D$3:$D$482,'Resultat-Produktion &amp; forbrug'!A219,'Resultater - Danmark'!$A$3:$A$482,"Biogasanlæg")&gt;0,1,0)</f>
        <v>1</v>
      </c>
      <c r="D219" s="194">
        <f t="shared" si="58"/>
        <v>2030</v>
      </c>
      <c r="E219" s="192" t="s">
        <v>24</v>
      </c>
      <c r="F219" s="195">
        <f>IF(E219="Vestdanmark",SUMIFS(IF(D219=År1,'Resultater - Vestdanmark'!H$3:H$482,IF(D219=År2,'Resultater - Vestdanmark'!I$3:I$482,'Resultater - Vestdanmark'!J$3:J$482)),'Resultater - Vestdanmark'!$F$3:$F$482,$A219,IF(D219=År1,'Resultater - Vestdanmark'!H$3:H$482,IF(D219=År2,'Resultater - Vestdanmark'!I$3:I$482,'Resultater - Vestdanmark'!J$3:J$482)),"&gt;0"),SUMIFS(IF(D219=År1,'Resultater - Østdanmark'!H$3:H$482,IF(D219=År2,'Resultater - Østdanmark'!I$3:I$482,'Resultater - Østdanmark'!J$3:J$482)),'Resultater - Østdanmark'!$F$3:$F$482,$A219,IF(D219=År1,'Resultater - Østdanmark'!H$3:H$482,IF(D219=År2,'Resultater - Østdanmark'!I$3:I$482,'Resultater - Østdanmark'!J$3:J$482)),"&gt;0"))</f>
        <v>0</v>
      </c>
      <c r="G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92">
        <f>IF(E219="Vestdanmark",-IF(A219="Halm",SUMIFS(IF(D219=År1,'Resultater - Vestdanmark'!H$3:H$482,IF(D219=År2,'Resultater - Vestdanmark'!I$3:I$482,'Resultater - Vestdanmark'!J$3:J$482)),'Resultater - Vestdanmark'!$F$3:$F$482,$A219,'Resultater - Vestdanmark'!H$3:H$482,"&lt;0"),0),-IF(A219="Halm",SUMIFS(IF(D219=År1,'Resultater - Østdanmark'!H$3:H$482,IF(D219=År2,'Resultater - Østdanmark'!I$3:I$482,'Resultater - Østdanmark'!J$3:J$482)),'Resultater - Østdanmark'!$F$3:$F$482,$A219,'Resultater - Østdanmark'!H$3:H$482,"&lt;0"),0))</f>
        <v>0</v>
      </c>
      <c r="I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5" t="e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#REF!</v>
      </c>
      <c r="K219" s="195" t="e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#REF!</v>
      </c>
      <c r="L219" s="195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7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4" t="e">
        <f t="shared" si="62"/>
        <v>#REF!</v>
      </c>
      <c r="O219" s="195" t="e">
        <f t="shared" si="59"/>
        <v>#REF!</v>
      </c>
      <c r="P219" s="205" t="e">
        <f t="shared" si="63"/>
        <v>#REF!</v>
      </c>
      <c r="Q219" s="192" t="e">
        <f>IFERROR(VLOOKUP(A219,[1]Energiindhold!$A$2:$C$11,3,FALSE),IFERROR(VLOOKUP(A219,[1]Biogasudbytte!$A$2:$B$18,2,FALSE)*[1]Energiindhold!$C$10,0))*O219</f>
        <v>#REF!</v>
      </c>
      <c r="R219" s="192" t="e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#REF!</v>
      </c>
      <c r="S219" s="192" t="e">
        <f>IFERROR(VLOOKUP(A219,[1]Biogasudbytte!$A$2:$B$18,2,FALSE)*[1]Energiindhold!$C$10,0)*J219*IFERROR(VLOOKUP(A219,Biogasanlæg!$F$3:$G$8,2,FALSE),1)</f>
        <v>#REF!</v>
      </c>
      <c r="T219" s="193" t="e">
        <f t="shared" si="64"/>
        <v>#REF!</v>
      </c>
      <c r="U219" s="191" t="e">
        <f>O219*IFERROR(VLOOKUP(A219,[1]Tørstofindhold!A$2:B$24,2,FALSE),0)</f>
        <v>#REF!</v>
      </c>
      <c r="V219" s="192" t="e">
        <f>IF(D219=År1,P219,SUM(O219,P219))*IFERROR(VLOOKUP(A219,[1]Tørstofindhold!A$2:B$24,2,FALSE),0)</f>
        <v>#REF!</v>
      </c>
      <c r="W219" s="192" t="e">
        <f>J219*IFERROR(VLOOKUP(A219,[1]Tørstofindhold!A$2:B$24,2,FALSE),0)</f>
        <v>#REF!</v>
      </c>
      <c r="X219" s="193" t="e">
        <f t="shared" si="65"/>
        <v>#REF!</v>
      </c>
      <c r="Y219" s="171" t="e">
        <f t="shared" si="60"/>
        <v>#REF!</v>
      </c>
      <c r="Z219" s="103" t="e">
        <f t="shared" si="61"/>
        <v>#REF!</v>
      </c>
    </row>
    <row r="220" spans="1:26" x14ac:dyDescent="0.25">
      <c r="A220" s="194" t="str">
        <f t="shared" si="56"/>
        <v>Mælk til foder</v>
      </c>
      <c r="B220" s="194" t="str">
        <f t="shared" si="57"/>
        <v/>
      </c>
      <c r="C220" s="194">
        <f>IF(COUNTIFS('Resultater - Danmark'!$D$3:$D$482,'Resultat-Produktion &amp; forbrug'!A220,'Resultater - Danmark'!$A$3:$A$482,"Til energi")+COUNTIFS('Resultater - Danmark'!$D$3:$D$482,'Resultat-Produktion &amp; forbrug'!A220,'Resultater - Danmark'!$A$3:$A$482,"Biogasanlæg")&gt;0,1,0)</f>
        <v>0</v>
      </c>
      <c r="D220" s="194">
        <f t="shared" si="58"/>
        <v>2030</v>
      </c>
      <c r="E220" s="192" t="s">
        <v>24</v>
      </c>
      <c r="F220" s="195">
        <f>IF(E220="Vestdanmark",SUMIFS(IF(D220=År1,'Resultater - Vestdanmark'!H$3:H$482,IF(D220=År2,'Resultater - Vestdanmark'!I$3:I$482,'Resultater - Vestdanmark'!J$3:J$482)),'Resultater - Vestdanmark'!$F$3:$F$482,$A220,IF(D220=År1,'Resultater - Vestdanmark'!H$3:H$482,IF(D220=År2,'Resultater - Vestdanmark'!I$3:I$482,'Resultater - Vestdanmark'!J$3:J$482)),"&gt;0"),SUMIFS(IF(D220=År1,'Resultater - Østdanmark'!H$3:H$482,IF(D220=År2,'Resultater - Østdanmark'!I$3:I$482,'Resultater - Østdanmark'!J$3:J$482)),'Resultater - Østdanmark'!$F$3:$F$482,$A220,IF(D220=År1,'Resultater - Østdanmark'!H$3:H$482,IF(D220=År2,'Resultater - Østdanmark'!I$3:I$482,'Resultater - Østdanmark'!J$3:J$482)),"&gt;0"))</f>
        <v>0</v>
      </c>
      <c r="G220" s="195" t="e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#REF!</v>
      </c>
      <c r="H220" s="192">
        <f>IF(E220="Vestdanmark",-IF(A220="Halm",SUMIFS(IF(D220=År1,'Resultater - Vestdanmark'!H$3:H$482,IF(D220=År2,'Resultater - Vestdanmark'!I$3:I$482,'Resultater - Vestdanmark'!J$3:J$482)),'Resultater - Vestdanmark'!$F$3:$F$482,$A220,'Resultater - Vestdanmark'!H$3:H$482,"&lt;0"),0),-IF(A220="Halm",SUMIFS(IF(D220=År1,'Resultater - Østdanmark'!H$3:H$482,IF(D220=År2,'Resultater - Østdanmark'!I$3:I$482,'Resultater - Østdanmark'!J$3:J$482)),'Resultater - Østdanmark'!$F$3:$F$482,$A220,'Resultater - Østdanmark'!H$3:H$482,"&lt;0"),0))</f>
        <v>0</v>
      </c>
      <c r="I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5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7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4" t="e">
        <f t="shared" si="62"/>
        <v>#REF!</v>
      </c>
      <c r="O220" s="195">
        <f t="shared" si="59"/>
        <v>0</v>
      </c>
      <c r="P220" s="205">
        <f t="shared" si="63"/>
        <v>0</v>
      </c>
      <c r="Q220" s="192">
        <f>IFERROR(VLOOKUP(A220,[1]Energiindhold!$A$2:$C$11,3,FALSE),IFERROR(VLOOKUP(A220,[1]Biogasudbytte!$A$2:$B$18,2,FALSE)*[1]Energiindhold!$C$10,0))*O220</f>
        <v>0</v>
      </c>
      <c r="R220" s="192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92">
        <f>IFERROR(VLOOKUP(A220,[1]Biogasudbytte!$A$2:$B$18,2,FALSE)*[1]Energiindhold!$C$10,0)*J220*IFERROR(VLOOKUP(A220,Biogasanlæg!$F$3:$G$8,2,FALSE),1)</f>
        <v>0</v>
      </c>
      <c r="T220" s="193">
        <f t="shared" si="64"/>
        <v>0</v>
      </c>
      <c r="U220" s="191">
        <f>O220*IFERROR(VLOOKUP(A220,[1]Tørstofindhold!A$2:B$24,2,FALSE),0)</f>
        <v>0</v>
      </c>
      <c r="V220" s="192">
        <f>IF(D220=År1,P220,SUM(O220,P220))*IFERROR(VLOOKUP(A220,[1]Tørstofindhold!A$2:B$24,2,FALSE),0)</f>
        <v>0</v>
      </c>
      <c r="W220" s="192">
        <f>J220*IFERROR(VLOOKUP(A220,[1]Tørstofindhold!A$2:B$24,2,FALSE),0)</f>
        <v>0</v>
      </c>
      <c r="X220" s="193">
        <f t="shared" si="65"/>
        <v>0</v>
      </c>
      <c r="Y220" s="171" t="e">
        <f t="shared" si="60"/>
        <v>#REF!</v>
      </c>
      <c r="Z220" s="103" t="e">
        <f t="shared" si="61"/>
        <v>#REF!</v>
      </c>
    </row>
    <row r="221" spans="1:26" x14ac:dyDescent="0.25">
      <c r="A221" s="194" t="str">
        <f t="shared" si="56"/>
        <v>Majs</v>
      </c>
      <c r="B221" s="194" t="str">
        <f t="shared" si="57"/>
        <v>Græs og urter</v>
      </c>
      <c r="C221" s="194">
        <f>IF(COUNTIFS('Resultater - Danmark'!$D$3:$D$482,'Resultat-Produktion &amp; forbrug'!A221,'Resultater - Danmark'!$A$3:$A$482,"Til energi")+COUNTIFS('Resultater - Danmark'!$D$3:$D$482,'Resultat-Produktion &amp; forbrug'!A221,'Resultater - Danmark'!$A$3:$A$482,"Biogasanlæg")&gt;0,1,0)</f>
        <v>1</v>
      </c>
      <c r="D221" s="194">
        <f t="shared" si="58"/>
        <v>2030</v>
      </c>
      <c r="E221" s="192" t="s">
        <v>24</v>
      </c>
      <c r="F221" s="195">
        <f>IF(E221="Vestdanmark",SUMIFS(IF(D221=År1,'Resultater - Vestdanmark'!H$3:H$482,IF(D221=År2,'Resultater - Vestdanmark'!I$3:I$482,'Resultater - Vestdanmark'!J$3:J$482)),'Resultater - Vestdanmark'!$F$3:$F$482,$A221,IF(D221=År1,'Resultater - Vestdanmark'!H$3:H$482,IF(D221=År2,'Resultater - Vestdanmark'!I$3:I$482,'Resultater - Vestdanmark'!J$3:J$482)),"&gt;0"),SUMIFS(IF(D221=År1,'Resultater - Østdanmark'!H$3:H$482,IF(D221=År2,'Resultater - Østdanmark'!I$3:I$482,'Resultater - Østdanmark'!J$3:J$482)),'Resultater - Østdanmark'!$F$3:$F$482,$A221,IF(D221=År1,'Resultater - Østdanmark'!H$3:H$482,IF(D221=År2,'Resultater - Østdanmark'!I$3:I$482,'Resultater - Østdanmark'!J$3:J$482)),"&gt;0"))</f>
        <v>0</v>
      </c>
      <c r="G221" s="195" t="e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#REF!</v>
      </c>
      <c r="H221" s="192">
        <f>IF(E221="Vestdanmark",-IF(A221="Halm",SUMIFS(IF(D221=År1,'Resultater - Vestdanmark'!H$3:H$482,IF(D221=År2,'Resultater - Vestdanmark'!I$3:I$482,'Resultater - Vestdanmark'!J$3:J$482)),'Resultater - Vestdanmark'!$F$3:$F$482,$A221,'Resultater - Vestdanmark'!H$3:H$482,"&lt;0"),0),-IF(A221="Halm",SUMIFS(IF(D221=År1,'Resultater - Østdanmark'!H$3:H$482,IF(D221=År2,'Resultater - Østdanmark'!I$3:I$482,'Resultater - Østdanmark'!J$3:J$482)),'Resultater - Østdanmark'!$F$3:$F$482,$A221,'Resultater - Østdanmark'!H$3:H$482,"&lt;0"),0))</f>
        <v>0</v>
      </c>
      <c r="I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5" t="e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#REF!</v>
      </c>
      <c r="K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5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7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4" t="e">
        <f t="shared" si="62"/>
        <v>#REF!</v>
      </c>
      <c r="O221" s="195" t="e">
        <f t="shared" si="59"/>
        <v>#REF!</v>
      </c>
      <c r="P221" s="205" t="e">
        <f t="shared" si="63"/>
        <v>#REF!</v>
      </c>
      <c r="Q221" s="192" t="e">
        <f>IFERROR(VLOOKUP(A221,[1]Energiindhold!$A$2:$C$11,3,FALSE),IFERROR(VLOOKUP(A221,[1]Biogasudbytte!$A$2:$B$18,2,FALSE)*[1]Energiindhold!$C$10,0))*O221</f>
        <v>#REF!</v>
      </c>
      <c r="R221" s="192" t="e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#REF!</v>
      </c>
      <c r="S221" s="192" t="e">
        <f>IFERROR(VLOOKUP(A221,[1]Biogasudbytte!$A$2:$B$18,2,FALSE)*[1]Energiindhold!$C$10,0)*J221*IFERROR(VLOOKUP(A221,Biogasanlæg!$F$3:$G$8,2,FALSE),1)</f>
        <v>#REF!</v>
      </c>
      <c r="T221" s="193" t="e">
        <f t="shared" si="64"/>
        <v>#REF!</v>
      </c>
      <c r="U221" s="191" t="e">
        <f>O221*IFERROR(VLOOKUP(A221,[1]Tørstofindhold!A$2:B$24,2,FALSE),0)</f>
        <v>#REF!</v>
      </c>
      <c r="V221" s="192" t="e">
        <f>IF(D221=År1,P221,SUM(O221,P221))*IFERROR(VLOOKUP(A221,[1]Tørstofindhold!A$2:B$24,2,FALSE),0)</f>
        <v>#REF!</v>
      </c>
      <c r="W221" s="192" t="e">
        <f>J221*IFERROR(VLOOKUP(A221,[1]Tørstofindhold!A$2:B$24,2,FALSE),0)</f>
        <v>#REF!</v>
      </c>
      <c r="X221" s="193" t="e">
        <f t="shared" si="65"/>
        <v>#REF!</v>
      </c>
      <c r="Y221" s="171" t="e">
        <f t="shared" si="60"/>
        <v>#REF!</v>
      </c>
      <c r="Z221" s="103" t="e">
        <f t="shared" si="61"/>
        <v>#REF!</v>
      </c>
    </row>
    <row r="222" spans="1:26" x14ac:dyDescent="0.25">
      <c r="A222" s="194" t="str">
        <f t="shared" si="56"/>
        <v>Mejeriprodukter</v>
      </c>
      <c r="B222" s="194" t="str">
        <f t="shared" si="57"/>
        <v/>
      </c>
      <c r="C222" s="194">
        <f>IF(COUNTIFS('Resultater - Danmark'!$D$3:$D$482,'Resultat-Produktion &amp; forbrug'!A222,'Resultater - Danmark'!$A$3:$A$482,"Til energi")+COUNTIFS('Resultater - Danmark'!$D$3:$D$482,'Resultat-Produktion &amp; forbrug'!A222,'Resultater - Danmark'!$A$3:$A$482,"Biogasanlæg")&gt;0,1,0)</f>
        <v>0</v>
      </c>
      <c r="D222" s="194">
        <f t="shared" si="58"/>
        <v>2030</v>
      </c>
      <c r="E222" s="192" t="s">
        <v>24</v>
      </c>
      <c r="F222" s="195">
        <f>IF(E222="Vestdanmark",SUMIFS(IF(D222=År1,'Resultater - Vestdanmark'!H$3:H$482,IF(D222=År2,'Resultater - Vestdanmark'!I$3:I$482,'Resultater - Vestdanmark'!J$3:J$482)),'Resultater - Vestdanmark'!$F$3:$F$482,$A222,IF(D222=År1,'Resultater - Vestdanmark'!H$3:H$482,IF(D222=År2,'Resultater - Vestdanmark'!I$3:I$482,'Resultater - Vestdanmark'!J$3:J$482)),"&gt;0"),SUMIFS(IF(D222=År1,'Resultater - Østdanmark'!H$3:H$482,IF(D222=År2,'Resultater - Østdanmark'!I$3:I$482,'Resultater - Østdanmark'!J$3:J$482)),'Resultater - Østdanmark'!$F$3:$F$482,$A222,IF(D222=År1,'Resultater - Østdanmark'!H$3:H$482,IF(D222=År2,'Resultater - Østdanmark'!I$3:I$482,'Resultater - Østdanmark'!J$3:J$482)),"&gt;0"))</f>
        <v>0</v>
      </c>
      <c r="G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92">
        <f>IF(E222="Vestdanmark",-IF(A222="Halm",SUMIFS(IF(D222=År1,'Resultater - Vestdanmark'!H$3:H$482,IF(D222=År2,'Resultater - Vestdanmark'!I$3:I$482,'Resultater - Vestdanmark'!J$3:J$482)),'Resultater - Vestdanmark'!$F$3:$F$482,$A222,'Resultater - Vestdanmark'!H$3:H$482,"&lt;0"),0),-IF(A222="Halm",SUMIFS(IF(D222=År1,'Resultater - Østdanmark'!H$3:H$482,IF(D222=År2,'Resultater - Østdanmark'!I$3:I$482,'Resultater - Østdanmark'!J$3:J$482)),'Resultater - Østdanmark'!$F$3:$F$482,$A222,'Resultater - Østdanmark'!H$3:H$482,"&lt;0"),0))</f>
        <v>0</v>
      </c>
      <c r="I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5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7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4">
        <f t="shared" si="62"/>
        <v>-409035.43180711387</v>
      </c>
      <c r="O222" s="195">
        <f t="shared" si="59"/>
        <v>0</v>
      </c>
      <c r="P222" s="205">
        <f t="shared" si="63"/>
        <v>0</v>
      </c>
      <c r="Q222" s="192">
        <f>IFERROR(VLOOKUP(A222,[1]Energiindhold!$A$2:$C$11,3,FALSE),IFERROR(VLOOKUP(A222,[1]Biogasudbytte!$A$2:$B$18,2,FALSE)*[1]Energiindhold!$C$10,0))*O222</f>
        <v>0</v>
      </c>
      <c r="R222" s="192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92">
        <f>IFERROR(VLOOKUP(A222,[1]Biogasudbytte!$A$2:$B$18,2,FALSE)*[1]Energiindhold!$C$10,0)*J222*IFERROR(VLOOKUP(A222,Biogasanlæg!$F$3:$G$8,2,FALSE),1)</f>
        <v>0</v>
      </c>
      <c r="T222" s="193">
        <f t="shared" si="64"/>
        <v>0</v>
      </c>
      <c r="U222" s="191">
        <f>O222*IFERROR(VLOOKUP(A222,[1]Tørstofindhold!A$2:B$24,2,FALSE),0)</f>
        <v>0</v>
      </c>
      <c r="V222" s="192">
        <f>IF(D222=År1,P222,SUM(O222,P222))*IFERROR(VLOOKUP(A222,[1]Tørstofindhold!A$2:B$24,2,FALSE),0)</f>
        <v>0</v>
      </c>
      <c r="W222" s="192">
        <f>J222*IFERROR(VLOOKUP(A222,[1]Tørstofindhold!A$2:B$24,2,FALSE),0)</f>
        <v>0</v>
      </c>
      <c r="X222" s="193">
        <f t="shared" si="65"/>
        <v>0</v>
      </c>
      <c r="Y222" s="171">
        <f t="shared" si="60"/>
        <v>1</v>
      </c>
      <c r="Z222" s="103">
        <f t="shared" si="61"/>
        <v>0</v>
      </c>
    </row>
    <row r="223" spans="1:26" x14ac:dyDescent="0.25">
      <c r="A223" s="194" t="str">
        <f t="shared" si="56"/>
        <v>Muslinger</v>
      </c>
      <c r="B223" s="194" t="str">
        <f t="shared" si="57"/>
        <v>Havbiomasse</v>
      </c>
      <c r="C223" s="194">
        <f>IF(COUNTIFS('Resultater - Danmark'!$D$3:$D$482,'Resultat-Produktion &amp; forbrug'!A223,'Resultater - Danmark'!$A$3:$A$482,"Til energi")+COUNTIFS('Resultater - Danmark'!$D$3:$D$482,'Resultat-Produktion &amp; forbrug'!A223,'Resultater - Danmark'!$A$3:$A$482,"Biogasanlæg")&gt;0,1,0)</f>
        <v>1</v>
      </c>
      <c r="D223" s="194">
        <f t="shared" si="58"/>
        <v>2030</v>
      </c>
      <c r="E223" s="192" t="s">
        <v>24</v>
      </c>
      <c r="F223" s="195">
        <f>IF(E223="Vestdanmark",SUMIFS(IF(D223=År1,'Resultater - Vestdanmark'!H$3:H$482,IF(D223=År2,'Resultater - Vestdanmark'!I$3:I$482,'Resultater - Vestdanmark'!J$3:J$482)),'Resultater - Vestdanmark'!$F$3:$F$482,$A223,IF(D223=År1,'Resultater - Vestdanmark'!H$3:H$482,IF(D223=År2,'Resultater - Vestdanmark'!I$3:I$482,'Resultater - Vestdanmark'!J$3:J$482)),"&gt;0"),SUMIFS(IF(D223=År1,'Resultater - Østdanmark'!H$3:H$482,IF(D223=År2,'Resultater - Østdanmark'!I$3:I$482,'Resultater - Østdanmark'!J$3:J$482)),'Resultater - Østdanmark'!$F$3:$F$482,$A223,IF(D223=År1,'Resultater - Østdanmark'!H$3:H$482,IF(D223=År2,'Resultater - Østdanmark'!I$3:I$482,'Resultater - Østdanmark'!J$3:J$482)),"&gt;0"))</f>
        <v>0</v>
      </c>
      <c r="G223" s="195" t="e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#REF!</v>
      </c>
      <c r="H223" s="192">
        <f>IF(E223="Vestdanmark",-IF(A223="Halm",SUMIFS(IF(D223=År1,'Resultater - Vestdanmark'!H$3:H$482,IF(D223=År2,'Resultater - Vestdanmark'!I$3:I$482,'Resultater - Vestdanmark'!J$3:J$482)),'Resultater - Vestdanmark'!$F$3:$F$482,$A223,'Resultater - Vestdanmark'!H$3:H$482,"&lt;0"),0),-IF(A223="Halm",SUMIFS(IF(D223=År1,'Resultater - Østdanmark'!H$3:H$482,IF(D223=År2,'Resultater - Østdanmark'!I$3:I$482,'Resultater - Østdanmark'!J$3:J$482)),'Resultater - Østdanmark'!$F$3:$F$482,$A223,'Resultater - Østdanmark'!H$3:H$482,"&lt;0"),0))</f>
        <v>0</v>
      </c>
      <c r="I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5" t="e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#REF!</v>
      </c>
      <c r="K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5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7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4" t="e">
        <f t="shared" si="62"/>
        <v>#REF!</v>
      </c>
      <c r="O223" s="195" t="e">
        <f t="shared" si="59"/>
        <v>#REF!</v>
      </c>
      <c r="P223" s="205" t="e">
        <f t="shared" si="63"/>
        <v>#REF!</v>
      </c>
      <c r="Q223" s="192" t="e">
        <f>IFERROR(VLOOKUP(A223,[1]Energiindhold!$A$2:$C$11,3,FALSE),IFERROR(VLOOKUP(A223,[1]Biogasudbytte!$A$2:$B$18,2,FALSE)*[1]Energiindhold!$C$10,0))*O223</f>
        <v>#REF!</v>
      </c>
      <c r="R223" s="192" t="e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#REF!</v>
      </c>
      <c r="S223" s="192" t="e">
        <f>IFERROR(VLOOKUP(A223,[1]Biogasudbytte!$A$2:$B$18,2,FALSE)*[1]Energiindhold!$C$10,0)*J223*IFERROR(VLOOKUP(A223,Biogasanlæg!$F$3:$G$8,2,FALSE),1)</f>
        <v>#REF!</v>
      </c>
      <c r="T223" s="193" t="e">
        <f t="shared" si="64"/>
        <v>#REF!</v>
      </c>
      <c r="U223" s="191" t="e">
        <f>O223*IFERROR(VLOOKUP(A223,[1]Tørstofindhold!A$2:B$24,2,FALSE),0)</f>
        <v>#REF!</v>
      </c>
      <c r="V223" s="192" t="e">
        <f>IF(D223=År1,P223,SUM(O223,P223))*IFERROR(VLOOKUP(A223,[1]Tørstofindhold!A$2:B$24,2,FALSE),0)</f>
        <v>#REF!</v>
      </c>
      <c r="W223" s="192" t="e">
        <f>J223*IFERROR(VLOOKUP(A223,[1]Tørstofindhold!A$2:B$24,2,FALSE),0)</f>
        <v>#REF!</v>
      </c>
      <c r="X223" s="193" t="e">
        <f t="shared" si="65"/>
        <v>#REF!</v>
      </c>
      <c r="Y223" s="171" t="e">
        <f t="shared" si="60"/>
        <v>#REF!</v>
      </c>
      <c r="Z223" s="103" t="e">
        <f t="shared" si="61"/>
        <v>#REF!</v>
      </c>
    </row>
    <row r="224" spans="1:26" x14ac:dyDescent="0.25">
      <c r="A224" s="194" t="str">
        <f t="shared" si="56"/>
        <v>Oksekød</v>
      </c>
      <c r="B224" s="194" t="str">
        <f t="shared" si="57"/>
        <v/>
      </c>
      <c r="C224" s="194">
        <f>IF(COUNTIFS('Resultater - Danmark'!$D$3:$D$482,'Resultat-Produktion &amp; forbrug'!A224,'Resultater - Danmark'!$A$3:$A$482,"Til energi")+COUNTIFS('Resultater - Danmark'!$D$3:$D$482,'Resultat-Produktion &amp; forbrug'!A224,'Resultater - Danmark'!$A$3:$A$482,"Biogasanlæg")&gt;0,1,0)</f>
        <v>0</v>
      </c>
      <c r="D224" s="194">
        <f t="shared" si="58"/>
        <v>2030</v>
      </c>
      <c r="E224" s="192" t="s">
        <v>24</v>
      </c>
      <c r="F224" s="195">
        <f>IF(E224="Vestdanmark",SUMIFS(IF(D224=År1,'Resultater - Vestdanmark'!H$3:H$482,IF(D224=År2,'Resultater - Vestdanmark'!I$3:I$482,'Resultater - Vestdanmark'!J$3:J$482)),'Resultater - Vestdanmark'!$F$3:$F$482,$A224,IF(D224=År1,'Resultater - Vestdanmark'!H$3:H$482,IF(D224=År2,'Resultater - Vestdanmark'!I$3:I$482,'Resultater - Vestdanmark'!J$3:J$482)),"&gt;0"),SUMIFS(IF(D224=År1,'Resultater - Østdanmark'!H$3:H$482,IF(D224=År2,'Resultater - Østdanmark'!I$3:I$482,'Resultater - Østdanmark'!J$3:J$482)),'Resultater - Østdanmark'!$F$3:$F$482,$A224,IF(D224=År1,'Resultater - Østdanmark'!H$3:H$482,IF(D224=År2,'Resultater - Østdanmark'!I$3:I$482,'Resultater - Østdanmark'!J$3:J$482)),"&gt;0"))</f>
        <v>0</v>
      </c>
      <c r="G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92">
        <f>IF(E224="Vestdanmark",-IF(A224="Halm",SUMIFS(IF(D224=År1,'Resultater - Vestdanmark'!H$3:H$482,IF(D224=År2,'Resultater - Vestdanmark'!I$3:I$482,'Resultater - Vestdanmark'!J$3:J$482)),'Resultater - Vestdanmark'!$F$3:$F$482,$A224,'Resultater - Vestdanmark'!H$3:H$482,"&lt;0"),0),-IF(A224="Halm",SUMIFS(IF(D224=År1,'Resultater - Østdanmark'!H$3:H$482,IF(D224=År2,'Resultater - Østdanmark'!I$3:I$482,'Resultater - Østdanmark'!J$3:J$482)),'Resultater - Østdanmark'!$F$3:$F$482,$A224,'Resultater - Østdanmark'!H$3:H$482,"&lt;0"),0))</f>
        <v>0</v>
      </c>
      <c r="I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5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7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4">
        <f t="shared" si="62"/>
        <v>-51975.70917962808</v>
      </c>
      <c r="O224" s="195">
        <f t="shared" si="59"/>
        <v>0</v>
      </c>
      <c r="P224" s="205">
        <f t="shared" si="63"/>
        <v>0</v>
      </c>
      <c r="Q224" s="192">
        <f>IFERROR(VLOOKUP(A224,[1]Energiindhold!$A$2:$C$11,3,FALSE),IFERROR(VLOOKUP(A224,[1]Biogasudbytte!$A$2:$B$18,2,FALSE)*[1]Energiindhold!$C$10,0))*O224</f>
        <v>0</v>
      </c>
      <c r="R224" s="192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92">
        <f>IFERROR(VLOOKUP(A224,[1]Biogasudbytte!$A$2:$B$18,2,FALSE)*[1]Energiindhold!$C$10,0)*J224*IFERROR(VLOOKUP(A224,Biogasanlæg!$F$3:$G$8,2,FALSE),1)</f>
        <v>0</v>
      </c>
      <c r="T224" s="193">
        <f t="shared" si="64"/>
        <v>0</v>
      </c>
      <c r="U224" s="191">
        <f>O224*IFERROR(VLOOKUP(A224,[1]Tørstofindhold!A$2:B$24,2,FALSE),0)</f>
        <v>0</v>
      </c>
      <c r="V224" s="192">
        <f>IF(D224=År1,P224,SUM(O224,P224))*IFERROR(VLOOKUP(A224,[1]Tørstofindhold!A$2:B$24,2,FALSE),0)</f>
        <v>0</v>
      </c>
      <c r="W224" s="192">
        <f>J224*IFERROR(VLOOKUP(A224,[1]Tørstofindhold!A$2:B$24,2,FALSE),0)</f>
        <v>0</v>
      </c>
      <c r="X224" s="193">
        <f t="shared" si="65"/>
        <v>0</v>
      </c>
      <c r="Y224" s="171">
        <f t="shared" si="60"/>
        <v>1</v>
      </c>
      <c r="Z224" s="103">
        <f t="shared" si="61"/>
        <v>0</v>
      </c>
    </row>
    <row r="225" spans="1:26" x14ac:dyDescent="0.25">
      <c r="A225" s="194" t="str">
        <f t="shared" si="56"/>
        <v>Øvrige</v>
      </c>
      <c r="B225" s="194" t="str">
        <f t="shared" si="57"/>
        <v/>
      </c>
      <c r="C225" s="194">
        <f>IF(COUNTIFS('Resultater - Danmark'!$D$3:$D$482,'Resultat-Produktion &amp; forbrug'!A225,'Resultater - Danmark'!$A$3:$A$482,"Til energi")+COUNTIFS('Resultater - Danmark'!$D$3:$D$482,'Resultat-Produktion &amp; forbrug'!A225,'Resultater - Danmark'!$A$3:$A$482,"Biogasanlæg")&gt;0,1,0)</f>
        <v>0</v>
      </c>
      <c r="D225" s="194">
        <f t="shared" si="58"/>
        <v>2030</v>
      </c>
      <c r="E225" s="192" t="s">
        <v>24</v>
      </c>
      <c r="F225" s="195">
        <f>IF(E225="Vestdanmark",SUMIFS(IF(D225=År1,'Resultater - Vestdanmark'!H$3:H$482,IF(D225=År2,'Resultater - Vestdanmark'!I$3:I$482,'Resultater - Vestdanmark'!J$3:J$482)),'Resultater - Vestdanmark'!$F$3:$F$482,$A225,IF(D225=År1,'Resultater - Vestdanmark'!H$3:H$482,IF(D225=År2,'Resultater - Vestdanmark'!I$3:I$482,'Resultater - Vestdanmark'!J$3:J$482)),"&gt;0"),SUMIFS(IF(D225=År1,'Resultater - Østdanmark'!H$3:H$482,IF(D225=År2,'Resultater - Østdanmark'!I$3:I$482,'Resultater - Østdanmark'!J$3:J$482)),'Resultater - Østdanmark'!$F$3:$F$482,$A225,IF(D225=År1,'Resultater - Østdanmark'!H$3:H$482,IF(D225=År2,'Resultater - Østdanmark'!I$3:I$482,'Resultater - Østdanmark'!J$3:J$482)),"&gt;0"))</f>
        <v>0</v>
      </c>
      <c r="G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92">
        <f>IF(E225="Vestdanmark",-IF(A225="Halm",SUMIFS(IF(D225=År1,'Resultater - Vestdanmark'!H$3:H$482,IF(D225=År2,'Resultater - Vestdanmark'!I$3:I$482,'Resultater - Vestdanmark'!J$3:J$482)),'Resultater - Vestdanmark'!$F$3:$F$482,$A225,'Resultater - Vestdanmark'!H$3:H$482,"&lt;0"),0),-IF(A225="Halm",SUMIFS(IF(D225=År1,'Resultater - Østdanmark'!H$3:H$482,IF(D225=År2,'Resultater - Østdanmark'!I$3:I$482,'Resultater - Østdanmark'!J$3:J$482)),'Resultater - Østdanmark'!$F$3:$F$482,$A225,'Resultater - Østdanmark'!H$3:H$482,"&lt;0"),0))</f>
        <v>0</v>
      </c>
      <c r="I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5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7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4">
        <f t="shared" si="62"/>
        <v>0</v>
      </c>
      <c r="O225" s="195">
        <f t="shared" si="59"/>
        <v>0</v>
      </c>
      <c r="P225" s="205">
        <f t="shared" si="63"/>
        <v>0</v>
      </c>
      <c r="Q225" s="192">
        <f>IFERROR(VLOOKUP(A225,[1]Energiindhold!$A$2:$C$11,3,FALSE),IFERROR(VLOOKUP(A225,[1]Biogasudbytte!$A$2:$B$18,2,FALSE)*[1]Energiindhold!$C$10,0))*O225</f>
        <v>0</v>
      </c>
      <c r="R225" s="192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92">
        <f>IFERROR(VLOOKUP(A225,[1]Biogasudbytte!$A$2:$B$18,2,FALSE)*[1]Energiindhold!$C$10,0)*J225*IFERROR(VLOOKUP(A225,Biogasanlæg!$F$3:$G$8,2,FALSE),1)</f>
        <v>0</v>
      </c>
      <c r="T225" s="193">
        <f t="shared" si="64"/>
        <v>0</v>
      </c>
      <c r="U225" s="191">
        <f>O225*IFERROR(VLOOKUP(A225,[1]Tørstofindhold!A$2:B$24,2,FALSE),0)</f>
        <v>0</v>
      </c>
      <c r="V225" s="192">
        <f>IF(D225=År1,P225,SUM(O225,P225))*IFERROR(VLOOKUP(A225,[1]Tørstofindhold!A$2:B$24,2,FALSE),0)</f>
        <v>0</v>
      </c>
      <c r="W225" s="192">
        <f>J225*IFERROR(VLOOKUP(A225,[1]Tørstofindhold!A$2:B$24,2,FALSE),0)</f>
        <v>0</v>
      </c>
      <c r="X225" s="193">
        <f t="shared" si="65"/>
        <v>0</v>
      </c>
      <c r="Y225" s="171">
        <f t="shared" si="60"/>
        <v>0</v>
      </c>
      <c r="Z225" s="103">
        <f t="shared" si="61"/>
        <v>0</v>
      </c>
    </row>
    <row r="226" spans="1:26" x14ac:dyDescent="0.25">
      <c r="A226" s="194" t="str">
        <f t="shared" si="56"/>
        <v>Pil &amp; poppel</v>
      </c>
      <c r="B226" s="194" t="str">
        <f t="shared" si="57"/>
        <v>Vedmasse</v>
      </c>
      <c r="C226" s="194">
        <f>IF(COUNTIFS('Resultater - Danmark'!$D$3:$D$482,'Resultat-Produktion &amp; forbrug'!A226,'Resultater - Danmark'!$A$3:$A$482,"Til energi")+COUNTIFS('Resultater - Danmark'!$D$3:$D$482,'Resultat-Produktion &amp; forbrug'!A226,'Resultater - Danmark'!$A$3:$A$482,"Biogasanlæg")&gt;0,1,0)</f>
        <v>1</v>
      </c>
      <c r="D226" s="194">
        <f t="shared" si="58"/>
        <v>2030</v>
      </c>
      <c r="E226" s="192" t="s">
        <v>24</v>
      </c>
      <c r="F226" s="195">
        <f>IF(E226="Vestdanmark",SUMIFS(IF(D226=År1,'Resultater - Vestdanmark'!H$3:H$482,IF(D226=År2,'Resultater - Vestdanmark'!I$3:I$482,'Resultater - Vestdanmark'!J$3:J$482)),'Resultater - Vestdanmark'!$F$3:$F$482,$A226,IF(D226=År1,'Resultater - Vestdanmark'!H$3:H$482,IF(D226=År2,'Resultater - Vestdanmark'!I$3:I$482,'Resultater - Vestdanmark'!J$3:J$482)),"&gt;0"),SUMIFS(IF(D226=År1,'Resultater - Østdanmark'!H$3:H$482,IF(D226=År2,'Resultater - Østdanmark'!I$3:I$482,'Resultater - Østdanmark'!J$3:J$482)),'Resultater - Østdanmark'!$F$3:$F$482,$A226,IF(D226=År1,'Resultater - Østdanmark'!H$3:H$482,IF(D226=År2,'Resultater - Østdanmark'!I$3:I$482,'Resultater - Østdanmark'!J$3:J$482)),"&gt;0"))</f>
        <v>0</v>
      </c>
      <c r="G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92">
        <f>IF(E226="Vestdanmark",-IF(A226="Halm",SUMIFS(IF(D226=År1,'Resultater - Vestdanmark'!H$3:H$482,IF(D226=År2,'Resultater - Vestdanmark'!I$3:I$482,'Resultater - Vestdanmark'!J$3:J$482)),'Resultater - Vestdanmark'!$F$3:$F$482,$A226,'Resultater - Vestdanmark'!H$3:H$482,"&lt;0"),0),-IF(A226="Halm",SUMIFS(IF(D226=År1,'Resultater - Østdanmark'!H$3:H$482,IF(D226=År2,'Resultater - Østdanmark'!I$3:I$482,'Resultater - Østdanmark'!J$3:J$482)),'Resultater - Østdanmark'!$F$3:$F$482,$A226,'Resultater - Østdanmark'!H$3:H$482,"&lt;0"),0))</f>
        <v>0</v>
      </c>
      <c r="I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5" t="e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#REF!</v>
      </c>
      <c r="M226" s="157" t="e">
        <f>SUMIFS('Forbrug af biomasse'!E:E,'Forbrug af biomasse'!C:C,'Resultat-Produktion &amp; forbrug'!$A226,'Forbrug af biomasse'!D:D,'Resultat-Produktion &amp; forbrug'!$D226,'Forbrug af biomasse'!G:G,1,'Forbrug af biomasse'!B:B,$E226)</f>
        <v>#REF!</v>
      </c>
      <c r="N226" s="204" t="e">
        <f t="shared" si="62"/>
        <v>#REF!</v>
      </c>
      <c r="O226" s="195" t="e">
        <f t="shared" si="59"/>
        <v>#REF!</v>
      </c>
      <c r="P226" s="205" t="e">
        <f t="shared" si="63"/>
        <v>#REF!</v>
      </c>
      <c r="Q226" s="192" t="e">
        <f>IFERROR(VLOOKUP(A226,[1]Energiindhold!$A$2:$C$11,3,FALSE),IFERROR(VLOOKUP(A226,[1]Biogasudbytte!$A$2:$B$18,2,FALSE)*[1]Energiindhold!$C$10,0))*O226</f>
        <v>#REF!</v>
      </c>
      <c r="R226" s="192" t="e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#REF!</v>
      </c>
      <c r="S226" s="192">
        <f>IFERROR(VLOOKUP(A226,[1]Biogasudbytte!$A$2:$B$18,2,FALSE)*[1]Energiindhold!$C$10,0)*J226*IFERROR(VLOOKUP(A226,Biogasanlæg!$F$3:$G$8,2,FALSE),1)</f>
        <v>0</v>
      </c>
      <c r="T226" s="193" t="e">
        <f t="shared" si="64"/>
        <v>#REF!</v>
      </c>
      <c r="U226" s="191" t="e">
        <f>O226*IFERROR(VLOOKUP(A226,[1]Tørstofindhold!A$2:B$24,2,FALSE),0)</f>
        <v>#REF!</v>
      </c>
      <c r="V226" s="192" t="e">
        <f>IF(D226=År1,P226,SUM(O226,P226))*IFERROR(VLOOKUP(A226,[1]Tørstofindhold!A$2:B$24,2,FALSE),0)</f>
        <v>#REF!</v>
      </c>
      <c r="W226" s="192">
        <f>J226*IFERROR(VLOOKUP(A226,[1]Tørstofindhold!A$2:B$24,2,FALSE),0)</f>
        <v>0</v>
      </c>
      <c r="X226" s="193" t="e">
        <f t="shared" si="65"/>
        <v>#REF!</v>
      </c>
      <c r="Y226" s="171" t="e">
        <f t="shared" si="60"/>
        <v>#REF!</v>
      </c>
      <c r="Z226" s="103" t="e">
        <f t="shared" si="61"/>
        <v>#REF!</v>
      </c>
    </row>
    <row r="227" spans="1:26" x14ac:dyDescent="0.25">
      <c r="A227" s="194" t="str">
        <f t="shared" ref="A227:A228" si="66">A179</f>
        <v>Pyrolysegas</v>
      </c>
      <c r="B227" s="194" t="str">
        <f t="shared" ref="B227:B228" si="67">IF(B179&lt;&gt;"",B179,"")</f>
        <v>Pyrolyseprodukter</v>
      </c>
      <c r="C227" s="194">
        <f>IF(COUNTIFS('Resultater - Danmark'!$D$3:$D$482,'Resultat-Produktion &amp; forbrug'!A227,'Resultater - Danmark'!$A$3:$A$482,"Til energi")+COUNTIFS('Resultater - Danmark'!$D$3:$D$482,'Resultat-Produktion &amp; forbrug'!A227,'Resultater - Danmark'!$A$3:$A$482,"Biogasanlæg")&gt;0,1,0)</f>
        <v>1</v>
      </c>
      <c r="D227" s="194">
        <f t="shared" si="58"/>
        <v>2030</v>
      </c>
      <c r="E227" s="192" t="s">
        <v>24</v>
      </c>
      <c r="F227" s="195">
        <f>IF(E227="Vestdanmark",SUMIFS(IF(D227=År1,'Resultater - Vestdanmark'!H$3:H$482,IF(D227=År2,'Resultater - Vestdanmark'!I$3:I$482,'Resultater - Vestdanmark'!J$3:J$482)),'Resultater - Vestdanmark'!$F$3:$F$482,$A227,IF(D227=År1,'Resultater - Vestdanmark'!H$3:H$482,IF(D227=År2,'Resultater - Vestdanmark'!I$3:I$482,'Resultater - Vestdanmark'!J$3:J$482)),"&gt;0"),SUMIFS(IF(D227=År1,'Resultater - Østdanmark'!H$3:H$482,IF(D227=År2,'Resultater - Østdanmark'!I$3:I$482,'Resultater - Østdanmark'!J$3:J$482)),'Resultater - Østdanmark'!$F$3:$F$482,$A227,IF(D227=År1,'Resultater - Østdanmark'!H$3:H$482,IF(D227=År2,'Resultater - Østdanmark'!I$3:I$482,'Resultater - Østdanmark'!J$3:J$482)),"&gt;0"))</f>
        <v>0</v>
      </c>
      <c r="G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92">
        <f>IF(E227="Vestdanmark",-IF(A227="Halm",SUMIFS(IF(D227=År1,'Resultater - Vestdanmark'!H$3:H$482,IF(D227=År2,'Resultater - Vestdanmark'!I$3:I$482,'Resultater - Vestdanmark'!J$3:J$482)),'Resultater - Vestdanmark'!$F$3:$F$482,$A227,'Resultater - Vestdanmark'!H$3:H$482,"&lt;0"),0),-IF(A227="Halm",SUMIFS(IF(D227=År1,'Resultater - Østdanmark'!H$3:H$482,IF(D227=År2,'Resultater - Østdanmark'!I$3:I$482,'Resultater - Østdanmark'!J$3:J$482)),'Resultater - Østdanmark'!$F$3:$F$482,$A227,'Resultater - Østdanmark'!H$3:H$482,"&lt;0"),0))</f>
        <v>0</v>
      </c>
      <c r="I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5" t="e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#REF!</v>
      </c>
      <c r="M227" s="157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4" t="e">
        <f t="shared" ref="N227:N228" si="68">F227-SUM(G227:M227)</f>
        <v>#REF!</v>
      </c>
      <c r="O227" s="195" t="e">
        <f t="shared" si="59"/>
        <v>#REF!</v>
      </c>
      <c r="P227" s="205" t="e">
        <f t="shared" ref="P227:P228" si="69">SUM(J227,L227)</f>
        <v>#REF!</v>
      </c>
      <c r="Q227" s="192" t="e">
        <f>IFERROR(VLOOKUP(A227,[1]Energiindhold!$A$2:$C$11,3,FALSE),IFERROR(VLOOKUP(A227,[1]Biogasudbytte!$A$2:$B$18,2,FALSE)*[1]Energiindhold!$C$10,0))*O227</f>
        <v>#REF!</v>
      </c>
      <c r="R227" s="192" t="e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#REF!</v>
      </c>
      <c r="S227" s="192">
        <f>IFERROR(VLOOKUP(A227,[1]Biogasudbytte!$A$2:$B$18,2,FALSE)*[1]Energiindhold!$C$10,0)*J227*IFERROR(VLOOKUP(A227,Biogasanlæg!$F$3:$G$8,2,FALSE),1)</f>
        <v>0</v>
      </c>
      <c r="T227" s="193" t="e">
        <f t="shared" ref="T227:T228" si="70">R227-S227</f>
        <v>#REF!</v>
      </c>
      <c r="U227" s="191" t="e">
        <f>O227*IFERROR(VLOOKUP(A227,[1]Tørstofindhold!A$2:B$24,2,FALSE),0)</f>
        <v>#REF!</v>
      </c>
      <c r="V227" s="192" t="e">
        <f>IF(D227=År1,P227,SUM(O227,P227))*IFERROR(VLOOKUP(A227,[1]Tørstofindhold!A$2:B$24,2,FALSE),0)</f>
        <v>#REF!</v>
      </c>
      <c r="W227" s="192">
        <f>J227*IFERROR(VLOOKUP(A227,[1]Tørstofindhold!A$2:B$24,2,FALSE),0)</f>
        <v>0</v>
      </c>
      <c r="X227" s="193" t="e">
        <f t="shared" ref="X227:X228" si="71">V227-W227</f>
        <v>#REF!</v>
      </c>
      <c r="Y227" s="171" t="e">
        <f t="shared" si="60"/>
        <v>#REF!</v>
      </c>
      <c r="Z227" s="103" t="e">
        <f t="shared" si="61"/>
        <v>#REF!</v>
      </c>
    </row>
    <row r="228" spans="1:26" x14ac:dyDescent="0.25">
      <c r="A228" s="194" t="str">
        <f t="shared" si="66"/>
        <v>Pyrolyseolie</v>
      </c>
      <c r="B228" s="194" t="str">
        <f t="shared" si="67"/>
        <v>Pyrolyseprodukter</v>
      </c>
      <c r="C228" s="194">
        <f>IF(COUNTIFS('Resultater - Danmark'!$D$3:$D$482,'Resultat-Produktion &amp; forbrug'!A228,'Resultater - Danmark'!$A$3:$A$482,"Til energi")+COUNTIFS('Resultater - Danmark'!$D$3:$D$482,'Resultat-Produktion &amp; forbrug'!A228,'Resultater - Danmark'!$A$3:$A$482,"Biogasanlæg")&gt;0,1,0)</f>
        <v>1</v>
      </c>
      <c r="D228" s="194">
        <f t="shared" si="58"/>
        <v>2030</v>
      </c>
      <c r="E228" s="192" t="s">
        <v>24</v>
      </c>
      <c r="F228" s="195">
        <f>IF(E228="Vestdanmark",SUMIFS(IF(D228=År1,'Resultater - Vestdanmark'!H$3:H$482,IF(D228=År2,'Resultater - Vestdanmark'!I$3:I$482,'Resultater - Vestdanmark'!J$3:J$482)),'Resultater - Vestdanmark'!$F$3:$F$482,$A228,IF(D228=År1,'Resultater - Vestdanmark'!H$3:H$482,IF(D228=År2,'Resultater - Vestdanmark'!I$3:I$482,'Resultater - Vestdanmark'!J$3:J$482)),"&gt;0"),SUMIFS(IF(D228=År1,'Resultater - Østdanmark'!H$3:H$482,IF(D228=År2,'Resultater - Østdanmark'!I$3:I$482,'Resultater - Østdanmark'!J$3:J$482)),'Resultater - Østdanmark'!$F$3:$F$482,$A228,IF(D228=År1,'Resultater - Østdanmark'!H$3:H$482,IF(D228=År2,'Resultater - Østdanmark'!I$3:I$482,'Resultater - Østdanmark'!J$3:J$482)),"&gt;0"))</f>
        <v>0</v>
      </c>
      <c r="G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92">
        <f>IF(E228="Vestdanmark",-IF(A228="Halm",SUMIFS(IF(D228=År1,'Resultater - Vestdanmark'!H$3:H$482,IF(D228=År2,'Resultater - Vestdanmark'!I$3:I$482,'Resultater - Vestdanmark'!J$3:J$482)),'Resultater - Vestdanmark'!$F$3:$F$482,$A228,'Resultater - Vestdanmark'!H$3:H$482,"&lt;0"),0),-IF(A228="Halm",SUMIFS(IF(D228=År1,'Resultater - Østdanmark'!H$3:H$482,IF(D228=År2,'Resultater - Østdanmark'!I$3:I$482,'Resultater - Østdanmark'!J$3:J$482)),'Resultater - Østdanmark'!$F$3:$F$482,$A228,'Resultater - Østdanmark'!H$3:H$482,"&lt;0"),0))</f>
        <v>0</v>
      </c>
      <c r="I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5" t="e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#REF!</v>
      </c>
      <c r="M228" s="157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4" t="e">
        <f t="shared" si="68"/>
        <v>#REF!</v>
      </c>
      <c r="O228" s="195" t="e">
        <f t="shared" si="59"/>
        <v>#REF!</v>
      </c>
      <c r="P228" s="205" t="e">
        <f t="shared" si="69"/>
        <v>#REF!</v>
      </c>
      <c r="Q228" s="192" t="e">
        <f>IFERROR(VLOOKUP(A228,[1]Energiindhold!$A$2:$C$11,3,FALSE),IFERROR(VLOOKUP(A228,[1]Biogasudbytte!$A$2:$B$18,2,FALSE)*[1]Energiindhold!$C$10,0))*O228</f>
        <v>#REF!</v>
      </c>
      <c r="R228" s="192" t="e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#REF!</v>
      </c>
      <c r="S228" s="192">
        <f>IFERROR(VLOOKUP(A228,[1]Biogasudbytte!$A$2:$B$18,2,FALSE)*[1]Energiindhold!$C$10,0)*J228*IFERROR(VLOOKUP(A228,Biogasanlæg!$F$3:$G$8,2,FALSE),1)</f>
        <v>0</v>
      </c>
      <c r="T228" s="193" t="e">
        <f t="shared" si="70"/>
        <v>#REF!</v>
      </c>
      <c r="U228" s="191" t="e">
        <f>O228*IFERROR(VLOOKUP(A228,[1]Tørstofindhold!A$2:B$24,2,FALSE),0)</f>
        <v>#REF!</v>
      </c>
      <c r="V228" s="192" t="e">
        <f>IF(D228=År1,P228,SUM(O228,P228))*IFERROR(VLOOKUP(A228,[1]Tørstofindhold!A$2:B$24,2,FALSE),0)</f>
        <v>#REF!</v>
      </c>
      <c r="W228" s="192">
        <f>J228*IFERROR(VLOOKUP(A228,[1]Tørstofindhold!A$2:B$24,2,FALSE),0)</f>
        <v>0</v>
      </c>
      <c r="X228" s="193" t="e">
        <f t="shared" si="71"/>
        <v>#REF!</v>
      </c>
      <c r="Y228" s="171" t="e">
        <f t="shared" si="60"/>
        <v>#REF!</v>
      </c>
      <c r="Z228" s="103" t="e">
        <f t="shared" si="61"/>
        <v>#REF!</v>
      </c>
    </row>
    <row r="229" spans="1:26" x14ac:dyDescent="0.25">
      <c r="A229" s="194" t="str">
        <f t="shared" ref="A229:A274" si="72">A181</f>
        <v>Råmælk</v>
      </c>
      <c r="B229" s="194" t="str">
        <f t="shared" ref="B229:B274" si="73">IF(B181&lt;&gt;"",B181,"")</f>
        <v/>
      </c>
      <c r="C229" s="194">
        <f>IF(COUNTIFS('Resultater - Danmark'!$D$3:$D$482,'Resultat-Produktion &amp; forbrug'!A229,'Resultater - Danmark'!$A$3:$A$482,"Til energi")+COUNTIFS('Resultater - Danmark'!$D$3:$D$482,'Resultat-Produktion &amp; forbrug'!A229,'Resultater - Danmark'!$A$3:$A$482,"Biogasanlæg")&gt;0,1,0)</f>
        <v>0</v>
      </c>
      <c r="D229" s="194">
        <f t="shared" si="58"/>
        <v>2030</v>
      </c>
      <c r="E229" s="192" t="s">
        <v>24</v>
      </c>
      <c r="F229" s="195">
        <f>IF(E229="Vestdanmark",SUMIFS(IF(D229=År1,'Resultater - Vestdanmark'!H$3:H$482,IF(D229=År2,'Resultater - Vestdanmark'!I$3:I$482,'Resultater - Vestdanmark'!J$3:J$482)),'Resultater - Vestdanmark'!$F$3:$F$482,$A229,IF(D229=År1,'Resultater - Vestdanmark'!H$3:H$482,IF(D229=År2,'Resultater - Vestdanmark'!I$3:I$482,'Resultater - Vestdanmark'!J$3:J$482)),"&gt;0"),SUMIFS(IF(D229=År1,'Resultater - Østdanmark'!H$3:H$482,IF(D229=År2,'Resultater - Østdanmark'!I$3:I$482,'Resultater - Østdanmark'!J$3:J$482)),'Resultater - Østdanmark'!$F$3:$F$482,$A229,IF(D229=År1,'Resultater - Østdanmark'!H$3:H$482,IF(D229=År2,'Resultater - Østdanmark'!I$3:I$482,'Resultater - Østdanmark'!J$3:J$482)),"&gt;0"))</f>
        <v>0</v>
      </c>
      <c r="G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92">
        <f>IF(E229="Vestdanmark",-IF(A229="Halm",SUMIFS(IF(D229=År1,'Resultater - Vestdanmark'!H$3:H$482,IF(D229=År2,'Resultater - Vestdanmark'!I$3:I$482,'Resultater - Vestdanmark'!J$3:J$482)),'Resultater - Vestdanmark'!$F$3:$F$482,$A229,'Resultater - Vestdanmark'!H$3:H$482,"&lt;0"),0),-IF(A229="Halm",SUMIFS(IF(D229=År1,'Resultater - Østdanmark'!H$3:H$482,IF(D229=År2,'Resultater - Østdanmark'!I$3:I$482,'Resultater - Østdanmark'!J$3:J$482)),'Resultater - Østdanmark'!$F$3:$F$482,$A229,'Resultater - Østdanmark'!H$3:H$482,"&lt;0"),0))</f>
        <v>0</v>
      </c>
      <c r="I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5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7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4">
        <f t="shared" si="62"/>
        <v>0</v>
      </c>
      <c r="O229" s="195">
        <f t="shared" si="59"/>
        <v>0</v>
      </c>
      <c r="P229" s="205">
        <f t="shared" si="63"/>
        <v>0</v>
      </c>
      <c r="Q229" s="192">
        <f>IFERROR(VLOOKUP(A229,[1]Energiindhold!$A$2:$C$11,3,FALSE),IFERROR(VLOOKUP(A229,[1]Biogasudbytte!$A$2:$B$18,2,FALSE)*[1]Energiindhold!$C$10,0))*O229</f>
        <v>0</v>
      </c>
      <c r="R229" s="192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92">
        <f>IFERROR(VLOOKUP(A229,[1]Biogasudbytte!$A$2:$B$18,2,FALSE)*[1]Energiindhold!$C$10,0)*J229*IFERROR(VLOOKUP(A229,Biogasanlæg!$F$3:$G$8,2,FALSE),1)</f>
        <v>0</v>
      </c>
      <c r="T229" s="193">
        <f t="shared" si="64"/>
        <v>0</v>
      </c>
      <c r="U229" s="191">
        <f>O229*IFERROR(VLOOKUP(A229,[1]Tørstofindhold!A$2:B$24,2,FALSE),0)</f>
        <v>0</v>
      </c>
      <c r="V229" s="192">
        <f>IF(D229=År1,P229,SUM(O229,P229))*IFERROR(VLOOKUP(A229,[1]Tørstofindhold!A$2:B$24,2,FALSE),0)</f>
        <v>0</v>
      </c>
      <c r="W229" s="192">
        <f>J229*IFERROR(VLOOKUP(A229,[1]Tørstofindhold!A$2:B$24,2,FALSE),0)</f>
        <v>0</v>
      </c>
      <c r="X229" s="193">
        <f t="shared" si="65"/>
        <v>0</v>
      </c>
      <c r="Y229" s="171">
        <f t="shared" si="60"/>
        <v>0</v>
      </c>
      <c r="Z229" s="103">
        <f t="shared" si="61"/>
        <v>0</v>
      </c>
    </row>
    <row r="230" spans="1:26" x14ac:dyDescent="0.25">
      <c r="A230" s="194" t="str">
        <f t="shared" si="72"/>
        <v>Raps</v>
      </c>
      <c r="B230" s="194" t="str">
        <f t="shared" si="73"/>
        <v/>
      </c>
      <c r="C230" s="194">
        <f>IF(COUNTIFS('Resultater - Danmark'!$D$3:$D$482,'Resultat-Produktion &amp; forbrug'!A230,'Resultater - Danmark'!$A$3:$A$482,"Til energi")+COUNTIFS('Resultater - Danmark'!$D$3:$D$482,'Resultat-Produktion &amp; forbrug'!A230,'Resultater - Danmark'!$A$3:$A$482,"Biogasanlæg")&gt;0,1,0)</f>
        <v>0</v>
      </c>
      <c r="D230" s="194">
        <f t="shared" si="58"/>
        <v>2030</v>
      </c>
      <c r="E230" s="192" t="s">
        <v>24</v>
      </c>
      <c r="F230" s="195">
        <f>IF(E230="Vestdanmark",SUMIFS(IF(D230=År1,'Resultater - Vestdanmark'!H$3:H$482,IF(D230=År2,'Resultater - Vestdanmark'!I$3:I$482,'Resultater - Vestdanmark'!J$3:J$482)),'Resultater - Vestdanmark'!$F$3:$F$482,$A230,IF(D230=År1,'Resultater - Vestdanmark'!H$3:H$482,IF(D230=År2,'Resultater - Vestdanmark'!I$3:I$482,'Resultater - Vestdanmark'!J$3:J$482)),"&gt;0"),SUMIFS(IF(D230=År1,'Resultater - Østdanmark'!H$3:H$482,IF(D230=År2,'Resultater - Østdanmark'!I$3:I$482,'Resultater - Østdanmark'!J$3:J$482)),'Resultater - Østdanmark'!$F$3:$F$482,$A230,IF(D230=År1,'Resultater - Østdanmark'!H$3:H$482,IF(D230=År2,'Resultater - Østdanmark'!I$3:I$482,'Resultater - Østdanmark'!J$3:J$482)),"&gt;0"))</f>
        <v>0</v>
      </c>
      <c r="G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92">
        <f>IF(E230="Vestdanmark",-IF(A230="Halm",SUMIFS(IF(D230=År1,'Resultater - Vestdanmark'!H$3:H$482,IF(D230=År2,'Resultater - Vestdanmark'!I$3:I$482,'Resultater - Vestdanmark'!J$3:J$482)),'Resultater - Vestdanmark'!$F$3:$F$482,$A230,'Resultater - Vestdanmark'!H$3:H$482,"&lt;0"),0),-IF(A230="Halm",SUMIFS(IF(D230=År1,'Resultater - Østdanmark'!H$3:H$482,IF(D230=År2,'Resultater - Østdanmark'!I$3:I$482,'Resultater - Østdanmark'!J$3:J$482)),'Resultater - Østdanmark'!$F$3:$F$482,$A230,'Resultater - Østdanmark'!H$3:H$482,"&lt;0"),0))</f>
        <v>0</v>
      </c>
      <c r="I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5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7" t="e">
        <f>SUMIFS('Forbrug af biomasse'!E:E,'Forbrug af biomasse'!C:C,'Resultat-Produktion &amp; forbrug'!$A230,'Forbrug af biomasse'!D:D,'Resultat-Produktion &amp; forbrug'!$D230,'Forbrug af biomasse'!G:G,1,'Forbrug af biomasse'!B:B,$E230)</f>
        <v>#REF!</v>
      </c>
      <c r="N230" s="204" t="e">
        <f t="shared" si="62"/>
        <v>#REF!</v>
      </c>
      <c r="O230" s="195">
        <f t="shared" si="59"/>
        <v>0</v>
      </c>
      <c r="P230" s="205">
        <f t="shared" si="63"/>
        <v>0</v>
      </c>
      <c r="Q230" s="192">
        <f>IFERROR(VLOOKUP(A230,[1]Energiindhold!$A$2:$C$11,3,FALSE),IFERROR(VLOOKUP(A230,[1]Biogasudbytte!$A$2:$B$18,2,FALSE)*[1]Energiindhold!$C$10,0))*O230</f>
        <v>0</v>
      </c>
      <c r="R230" s="192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92">
        <f>IFERROR(VLOOKUP(A230,[1]Biogasudbytte!$A$2:$B$18,2,FALSE)*[1]Energiindhold!$C$10,0)*J230*IFERROR(VLOOKUP(A230,Biogasanlæg!$F$3:$G$8,2,FALSE),1)</f>
        <v>0</v>
      </c>
      <c r="T230" s="193">
        <f t="shared" si="64"/>
        <v>0</v>
      </c>
      <c r="U230" s="191">
        <f>O230*IFERROR(VLOOKUP(A230,[1]Tørstofindhold!A$2:B$24,2,FALSE),0)</f>
        <v>0</v>
      </c>
      <c r="V230" s="192">
        <f>IF(D230=År1,P230,SUM(O230,P230))*IFERROR(VLOOKUP(A230,[1]Tørstofindhold!A$2:B$24,2,FALSE),0)</f>
        <v>0</v>
      </c>
      <c r="W230" s="192">
        <f>J230*IFERROR(VLOOKUP(A230,[1]Tørstofindhold!A$2:B$24,2,FALSE),0)</f>
        <v>0</v>
      </c>
      <c r="X230" s="193">
        <f t="shared" si="65"/>
        <v>0</v>
      </c>
      <c r="Y230" s="171" t="e">
        <f t="shared" si="60"/>
        <v>#REF!</v>
      </c>
      <c r="Z230" s="103" t="e">
        <f t="shared" si="61"/>
        <v>#REF!</v>
      </c>
    </row>
    <row r="231" spans="1:26" x14ac:dyDescent="0.25">
      <c r="A231" s="194" t="str">
        <f t="shared" si="72"/>
        <v>Rapskage</v>
      </c>
      <c r="B231" s="194" t="str">
        <f t="shared" si="73"/>
        <v/>
      </c>
      <c r="C231" s="194">
        <f>IF(COUNTIFS('Resultater - Danmark'!$D$3:$D$482,'Resultat-Produktion &amp; forbrug'!A231,'Resultater - Danmark'!$A$3:$A$482,"Til energi")+COUNTIFS('Resultater - Danmark'!$D$3:$D$482,'Resultat-Produktion &amp; forbrug'!A231,'Resultater - Danmark'!$A$3:$A$482,"Biogasanlæg")&gt;0,1,0)</f>
        <v>0</v>
      </c>
      <c r="D231" s="194">
        <f t="shared" si="58"/>
        <v>2030</v>
      </c>
      <c r="E231" s="192" t="s">
        <v>24</v>
      </c>
      <c r="F231" s="195">
        <f>IF(E231="Vestdanmark",SUMIFS(IF(D231=År1,'Resultater - Vestdanmark'!H$3:H$482,IF(D231=År2,'Resultater - Vestdanmark'!I$3:I$482,'Resultater - Vestdanmark'!J$3:J$482)),'Resultater - Vestdanmark'!$F$3:$F$482,$A231,IF(D231=År1,'Resultater - Vestdanmark'!H$3:H$482,IF(D231=År2,'Resultater - Vestdanmark'!I$3:I$482,'Resultater - Vestdanmark'!J$3:J$482)),"&gt;0"),SUMIFS(IF(D231=År1,'Resultater - Østdanmark'!H$3:H$482,IF(D231=År2,'Resultater - Østdanmark'!I$3:I$482,'Resultater - Østdanmark'!J$3:J$482)),'Resultater - Østdanmark'!$F$3:$F$482,$A231,IF(D231=År1,'Resultater - Østdanmark'!H$3:H$482,IF(D231=År2,'Resultater - Østdanmark'!I$3:I$482,'Resultater - Østdanmark'!J$3:J$482)),"&gt;0"))</f>
        <v>0</v>
      </c>
      <c r="G231" s="195" t="e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#REF!</v>
      </c>
      <c r="H231" s="192">
        <f>IF(E231="Vestdanmark",-IF(A231="Halm",SUMIFS(IF(D231=År1,'Resultater - Vestdanmark'!H$3:H$482,IF(D231=År2,'Resultater - Vestdanmark'!I$3:I$482,'Resultater - Vestdanmark'!J$3:J$482)),'Resultater - Vestdanmark'!$F$3:$F$482,$A231,'Resultater - Vestdanmark'!H$3:H$482,"&lt;0"),0),-IF(A231="Halm",SUMIFS(IF(D231=År1,'Resultater - Østdanmark'!H$3:H$482,IF(D231=År2,'Resultater - Østdanmark'!I$3:I$482,'Resultater - Østdanmark'!J$3:J$482)),'Resultater - Østdanmark'!$F$3:$F$482,$A231,'Resultater - Østdanmark'!H$3:H$482,"&lt;0"),0))</f>
        <v>0</v>
      </c>
      <c r="I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5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7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4" t="e">
        <f t="shared" si="62"/>
        <v>#REF!</v>
      </c>
      <c r="O231" s="195">
        <f t="shared" si="59"/>
        <v>0</v>
      </c>
      <c r="P231" s="205">
        <f t="shared" si="63"/>
        <v>0</v>
      </c>
      <c r="Q231" s="192">
        <f>IFERROR(VLOOKUP(A231,[1]Energiindhold!$A$2:$C$11,3,FALSE),IFERROR(VLOOKUP(A231,[1]Biogasudbytte!$A$2:$B$18,2,FALSE)*[1]Energiindhold!$C$10,0))*O231</f>
        <v>0</v>
      </c>
      <c r="R231" s="192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92">
        <f>IFERROR(VLOOKUP(A231,[1]Biogasudbytte!$A$2:$B$18,2,FALSE)*[1]Energiindhold!$C$10,0)*J231*IFERROR(VLOOKUP(A231,Biogasanlæg!$F$3:$G$8,2,FALSE),1)</f>
        <v>0</v>
      </c>
      <c r="T231" s="193">
        <f t="shared" si="64"/>
        <v>0</v>
      </c>
      <c r="U231" s="191">
        <f>O231*IFERROR(VLOOKUP(A231,[1]Tørstofindhold!A$2:B$24,2,FALSE),0)</f>
        <v>0</v>
      </c>
      <c r="V231" s="192">
        <f>IF(D231=År1,P231,SUM(O231,P231))*IFERROR(VLOOKUP(A231,[1]Tørstofindhold!A$2:B$24,2,FALSE),0)</f>
        <v>0</v>
      </c>
      <c r="W231" s="192">
        <f>J231*IFERROR(VLOOKUP(A231,[1]Tørstofindhold!A$2:B$24,2,FALSE),0)</f>
        <v>0</v>
      </c>
      <c r="X231" s="193">
        <f t="shared" si="65"/>
        <v>0</v>
      </c>
      <c r="Y231" s="171" t="e">
        <f t="shared" si="60"/>
        <v>#REF!</v>
      </c>
      <c r="Z231" s="103" t="e">
        <f t="shared" si="61"/>
        <v>#REF!</v>
      </c>
    </row>
    <row r="232" spans="1:26" x14ac:dyDescent="0.25">
      <c r="A232" s="194" t="str">
        <f t="shared" si="72"/>
        <v>Rapsolie</v>
      </c>
      <c r="B232" s="194" t="str">
        <f t="shared" si="73"/>
        <v>Rapsolie</v>
      </c>
      <c r="C232" s="194">
        <f>IF(COUNTIFS('Resultater - Danmark'!$D$3:$D$482,'Resultat-Produktion &amp; forbrug'!A232,'Resultater - Danmark'!$A$3:$A$482,"Til energi")+COUNTIFS('Resultater - Danmark'!$D$3:$D$482,'Resultat-Produktion &amp; forbrug'!A232,'Resultater - Danmark'!$A$3:$A$482,"Biogasanlæg")&gt;0,1,0)</f>
        <v>1</v>
      </c>
      <c r="D232" s="194">
        <f t="shared" si="58"/>
        <v>2030</v>
      </c>
      <c r="E232" s="192" t="s">
        <v>24</v>
      </c>
      <c r="F232" s="195">
        <f>IF(E232="Vestdanmark",SUMIFS(IF(D232=År1,'Resultater - Vestdanmark'!H$3:H$482,IF(D232=År2,'Resultater - Vestdanmark'!I$3:I$482,'Resultater - Vestdanmark'!J$3:J$482)),'Resultater - Vestdanmark'!$F$3:$F$482,$A232,IF(D232=År1,'Resultater - Vestdanmark'!H$3:H$482,IF(D232=År2,'Resultater - Vestdanmark'!I$3:I$482,'Resultater - Vestdanmark'!J$3:J$482)),"&gt;0"),SUMIFS(IF(D232=År1,'Resultater - Østdanmark'!H$3:H$482,IF(D232=År2,'Resultater - Østdanmark'!I$3:I$482,'Resultater - Østdanmark'!J$3:J$482)),'Resultater - Østdanmark'!$F$3:$F$482,$A232,IF(D232=År1,'Resultater - Østdanmark'!H$3:H$482,IF(D232=År2,'Resultater - Østdanmark'!I$3:I$482,'Resultater - Østdanmark'!J$3:J$482)),"&gt;0"))</f>
        <v>0</v>
      </c>
      <c r="G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92">
        <f>IF(E232="Vestdanmark",-IF(A232="Halm",SUMIFS(IF(D232=År1,'Resultater - Vestdanmark'!H$3:H$482,IF(D232=År2,'Resultater - Vestdanmark'!I$3:I$482,'Resultater - Vestdanmark'!J$3:J$482)),'Resultater - Vestdanmark'!$F$3:$F$482,$A232,'Resultater - Vestdanmark'!H$3:H$482,"&lt;0"),0),-IF(A232="Halm",SUMIFS(IF(D232=År1,'Resultater - Østdanmark'!H$3:H$482,IF(D232=År2,'Resultater - Østdanmark'!I$3:I$482,'Resultater - Østdanmark'!J$3:J$482)),'Resultater - Østdanmark'!$F$3:$F$482,$A232,'Resultater - Østdanmark'!H$3:H$482,"&lt;0"),0))</f>
        <v>0</v>
      </c>
      <c r="I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5" t="e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#REF!</v>
      </c>
      <c r="M232" s="157" t="e">
        <f>SUMIFS('Forbrug af biomasse'!E:E,'Forbrug af biomasse'!C:C,'Resultat-Produktion &amp; forbrug'!$A232,'Forbrug af biomasse'!D:D,'Resultat-Produktion &amp; forbrug'!$D232,'Forbrug af biomasse'!G:G,1,'Forbrug af biomasse'!B:B,$E232)</f>
        <v>#REF!</v>
      </c>
      <c r="N232" s="204" t="e">
        <f t="shared" si="62"/>
        <v>#REF!</v>
      </c>
      <c r="O232" s="195" t="e">
        <f t="shared" si="59"/>
        <v>#REF!</v>
      </c>
      <c r="P232" s="205" t="e">
        <f t="shared" si="63"/>
        <v>#REF!</v>
      </c>
      <c r="Q232" s="192" t="e">
        <f>IFERROR(VLOOKUP(A232,[1]Energiindhold!$A$2:$C$11,3,FALSE),IFERROR(VLOOKUP(A232,[1]Biogasudbytte!$A$2:$B$18,2,FALSE)*[1]Energiindhold!$C$10,0))*O232</f>
        <v>#REF!</v>
      </c>
      <c r="R232" s="192" t="e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#REF!</v>
      </c>
      <c r="S232" s="192">
        <f>IFERROR(VLOOKUP(A232,[1]Biogasudbytte!$A$2:$B$18,2,FALSE)*[1]Energiindhold!$C$10,0)*J232*IFERROR(VLOOKUP(A232,Biogasanlæg!$F$3:$G$8,2,FALSE),1)</f>
        <v>0</v>
      </c>
      <c r="T232" s="193" t="e">
        <f t="shared" si="64"/>
        <v>#REF!</v>
      </c>
      <c r="U232" s="191" t="e">
        <f>O232*IFERROR(VLOOKUP(A232,[1]Tørstofindhold!A$2:B$24,2,FALSE),0)</f>
        <v>#REF!</v>
      </c>
      <c r="V232" s="192" t="e">
        <f>IF(D232=År1,P232,SUM(O232,P232))*IFERROR(VLOOKUP(A232,[1]Tørstofindhold!A$2:B$24,2,FALSE),0)</f>
        <v>#REF!</v>
      </c>
      <c r="W232" s="192">
        <f>J232*IFERROR(VLOOKUP(A232,[1]Tørstofindhold!A$2:B$24,2,FALSE),0)</f>
        <v>0</v>
      </c>
      <c r="X232" s="193" t="e">
        <f t="shared" si="65"/>
        <v>#REF!</v>
      </c>
      <c r="Y232" s="171" t="e">
        <f t="shared" si="60"/>
        <v>#REF!</v>
      </c>
      <c r="Z232" s="103" t="e">
        <f t="shared" si="61"/>
        <v>#REF!</v>
      </c>
    </row>
    <row r="233" spans="1:26" x14ac:dyDescent="0.25">
      <c r="A233" s="194" t="str">
        <f t="shared" si="72"/>
        <v>Roer</v>
      </c>
      <c r="B233" s="194" t="str">
        <f t="shared" si="73"/>
        <v>Græs og urter</v>
      </c>
      <c r="C233" s="194">
        <f>IF(COUNTIFS('Resultater - Danmark'!$D$3:$D$482,'Resultat-Produktion &amp; forbrug'!A233,'Resultater - Danmark'!$A$3:$A$482,"Til energi")+COUNTIFS('Resultater - Danmark'!$D$3:$D$482,'Resultat-Produktion &amp; forbrug'!A233,'Resultater - Danmark'!$A$3:$A$482,"Biogasanlæg")&gt;0,1,0)</f>
        <v>1</v>
      </c>
      <c r="D233" s="194">
        <f t="shared" si="58"/>
        <v>2030</v>
      </c>
      <c r="E233" s="192" t="s">
        <v>24</v>
      </c>
      <c r="F233" s="195">
        <f>IF(E233="Vestdanmark",SUMIFS(IF(D233=År1,'Resultater - Vestdanmark'!H$3:H$482,IF(D233=År2,'Resultater - Vestdanmark'!I$3:I$482,'Resultater - Vestdanmark'!J$3:J$482)),'Resultater - Vestdanmark'!$F$3:$F$482,$A233,IF(D233=År1,'Resultater - Vestdanmark'!H$3:H$482,IF(D233=År2,'Resultater - Vestdanmark'!I$3:I$482,'Resultater - Vestdanmark'!J$3:J$482)),"&gt;0"),SUMIFS(IF(D233=År1,'Resultater - Østdanmark'!H$3:H$482,IF(D233=År2,'Resultater - Østdanmark'!I$3:I$482,'Resultater - Østdanmark'!J$3:J$482)),'Resultater - Østdanmark'!$F$3:$F$482,$A233,IF(D233=År1,'Resultater - Østdanmark'!H$3:H$482,IF(D233=År2,'Resultater - Østdanmark'!I$3:I$482,'Resultater - Østdanmark'!J$3:J$482)),"&gt;0"))</f>
        <v>0</v>
      </c>
      <c r="G233" s="195" t="e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#REF!</v>
      </c>
      <c r="H233" s="192">
        <f>IF(E233="Vestdanmark",-IF(A233="Halm",SUMIFS(IF(D233=År1,'Resultater - Vestdanmark'!H$3:H$482,IF(D233=År2,'Resultater - Vestdanmark'!I$3:I$482,'Resultater - Vestdanmark'!J$3:J$482)),'Resultater - Vestdanmark'!$F$3:$F$482,$A233,'Resultater - Vestdanmark'!H$3:H$482,"&lt;0"),0),-IF(A233="Halm",SUMIFS(IF(D233=År1,'Resultater - Østdanmark'!H$3:H$482,IF(D233=År2,'Resultater - Østdanmark'!I$3:I$482,'Resultater - Østdanmark'!J$3:J$482)),'Resultater - Østdanmark'!$F$3:$F$482,$A233,'Resultater - Østdanmark'!H$3:H$482,"&lt;0"),0))</f>
        <v>0</v>
      </c>
      <c r="I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5" t="e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#REF!</v>
      </c>
      <c r="K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5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7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4" t="e">
        <f t="shared" si="62"/>
        <v>#REF!</v>
      </c>
      <c r="O233" s="195" t="e">
        <f t="shared" si="59"/>
        <v>#REF!</v>
      </c>
      <c r="P233" s="205" t="e">
        <f t="shared" si="63"/>
        <v>#REF!</v>
      </c>
      <c r="Q233" s="192" t="e">
        <f>IFERROR(VLOOKUP(A233,[1]Energiindhold!$A$2:$C$11,3,FALSE),IFERROR(VLOOKUP(A233,[1]Biogasudbytte!$A$2:$B$18,2,FALSE)*[1]Energiindhold!$C$10,0))*O233</f>
        <v>#REF!</v>
      </c>
      <c r="R233" s="192" t="e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#REF!</v>
      </c>
      <c r="S233" s="192" t="e">
        <f>IFERROR(VLOOKUP(A233,[1]Biogasudbytte!$A$2:$B$18,2,FALSE)*[1]Energiindhold!$C$10,0)*J233*IFERROR(VLOOKUP(A233,Biogasanlæg!$F$3:$G$8,2,FALSE),1)</f>
        <v>#REF!</v>
      </c>
      <c r="T233" s="193" t="e">
        <f t="shared" si="64"/>
        <v>#REF!</v>
      </c>
      <c r="U233" s="191" t="e">
        <f>O233*IFERROR(VLOOKUP(A233,[1]Tørstofindhold!A$2:B$24,2,FALSE),0)</f>
        <v>#REF!</v>
      </c>
      <c r="V233" s="192" t="e">
        <f>IF(D233=År1,P233,SUM(O233,P233))*IFERROR(VLOOKUP(A233,[1]Tørstofindhold!A$2:B$24,2,FALSE),0)</f>
        <v>#REF!</v>
      </c>
      <c r="W233" s="192" t="e">
        <f>J233*IFERROR(VLOOKUP(A233,[1]Tørstofindhold!A$2:B$24,2,FALSE),0)</f>
        <v>#REF!</v>
      </c>
      <c r="X233" s="193" t="e">
        <f t="shared" si="65"/>
        <v>#REF!</v>
      </c>
      <c r="Y233" s="171" t="e">
        <f t="shared" si="60"/>
        <v>#REF!</v>
      </c>
      <c r="Z233" s="103" t="e">
        <f t="shared" si="61"/>
        <v>#REF!</v>
      </c>
    </row>
    <row r="234" spans="1:26" x14ac:dyDescent="0.25">
      <c r="A234" s="194" t="str">
        <f t="shared" si="72"/>
        <v>Slagteriaffald til andet</v>
      </c>
      <c r="B234" s="194" t="str">
        <f t="shared" si="73"/>
        <v/>
      </c>
      <c r="C234" s="194">
        <f>IF(COUNTIFS('Resultater - Danmark'!$D$3:$D$482,'Resultat-Produktion &amp; forbrug'!A234,'Resultater - Danmark'!$A$3:$A$482,"Til energi")+COUNTIFS('Resultater - Danmark'!$D$3:$D$482,'Resultat-Produktion &amp; forbrug'!A234,'Resultater - Danmark'!$A$3:$A$482,"Biogasanlæg")&gt;0,1,0)</f>
        <v>0</v>
      </c>
      <c r="D234" s="194">
        <f t="shared" si="58"/>
        <v>2030</v>
      </c>
      <c r="E234" s="192" t="s">
        <v>24</v>
      </c>
      <c r="F234" s="195">
        <f>IF(E234="Vestdanmark",SUMIFS(IF(D234=År1,'Resultater - Vestdanmark'!H$3:H$482,IF(D234=År2,'Resultater - Vestdanmark'!I$3:I$482,'Resultater - Vestdanmark'!J$3:J$482)),'Resultater - Vestdanmark'!$F$3:$F$482,$A234,IF(D234=År1,'Resultater - Vestdanmark'!H$3:H$482,IF(D234=År2,'Resultater - Vestdanmark'!I$3:I$482,'Resultater - Vestdanmark'!J$3:J$482)),"&gt;0"),SUMIFS(IF(D234=År1,'Resultater - Østdanmark'!H$3:H$482,IF(D234=År2,'Resultater - Østdanmark'!I$3:I$482,'Resultater - Østdanmark'!J$3:J$482)),'Resultater - Østdanmark'!$F$3:$F$482,$A234,IF(D234=År1,'Resultater - Østdanmark'!H$3:H$482,IF(D234=År2,'Resultater - Østdanmark'!I$3:I$482,'Resultater - Østdanmark'!J$3:J$482)),"&gt;0"))</f>
        <v>0</v>
      </c>
      <c r="G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92">
        <f>IF(E234="Vestdanmark",-IF(A234="Halm",SUMIFS(IF(D234=År1,'Resultater - Vestdanmark'!H$3:H$482,IF(D234=År2,'Resultater - Vestdanmark'!I$3:I$482,'Resultater - Vestdanmark'!J$3:J$482)),'Resultater - Vestdanmark'!$F$3:$F$482,$A234,'Resultater - Vestdanmark'!H$3:H$482,"&lt;0"),0),-IF(A234="Halm",SUMIFS(IF(D234=År1,'Resultater - Østdanmark'!H$3:H$482,IF(D234=År2,'Resultater - Østdanmark'!I$3:I$482,'Resultater - Østdanmark'!J$3:J$482)),'Resultater - Østdanmark'!$F$3:$F$482,$A234,'Resultater - Østdanmark'!H$3:H$482,"&lt;0"),0))</f>
        <v>0</v>
      </c>
      <c r="I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5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7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4">
        <f t="shared" si="62"/>
        <v>0</v>
      </c>
      <c r="O234" s="195">
        <f t="shared" si="59"/>
        <v>0</v>
      </c>
      <c r="P234" s="205">
        <f t="shared" si="63"/>
        <v>0</v>
      </c>
      <c r="Q234" s="192">
        <f>IFERROR(VLOOKUP(A234,[1]Energiindhold!$A$2:$C$11,3,FALSE),IFERROR(VLOOKUP(A234,[1]Biogasudbytte!$A$2:$B$18,2,FALSE)*[1]Energiindhold!$C$10,0))*O234</f>
        <v>0</v>
      </c>
      <c r="R234" s="192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92">
        <f>IFERROR(VLOOKUP(A234,[1]Biogasudbytte!$A$2:$B$18,2,FALSE)*[1]Energiindhold!$C$10,0)*J234*IFERROR(VLOOKUP(A234,Biogasanlæg!$F$3:$G$8,2,FALSE),1)</f>
        <v>0</v>
      </c>
      <c r="T234" s="193">
        <f t="shared" si="64"/>
        <v>0</v>
      </c>
      <c r="U234" s="191">
        <f>O234*IFERROR(VLOOKUP(A234,[1]Tørstofindhold!A$2:B$24,2,FALSE),0)</f>
        <v>0</v>
      </c>
      <c r="V234" s="192">
        <f>IF(D234=År1,P234,SUM(O234,P234))*IFERROR(VLOOKUP(A234,[1]Tørstofindhold!A$2:B$24,2,FALSE),0)</f>
        <v>0</v>
      </c>
      <c r="W234" s="192">
        <f>J234*IFERROR(VLOOKUP(A234,[1]Tørstofindhold!A$2:B$24,2,FALSE),0)</f>
        <v>0</v>
      </c>
      <c r="X234" s="193">
        <f t="shared" si="65"/>
        <v>0</v>
      </c>
      <c r="Y234" s="171">
        <f t="shared" si="60"/>
        <v>0</v>
      </c>
      <c r="Z234" s="103">
        <f t="shared" si="61"/>
        <v>0</v>
      </c>
    </row>
    <row r="235" spans="1:26" x14ac:dyDescent="0.25">
      <c r="A235" s="194" t="str">
        <f t="shared" si="72"/>
        <v>Slagteriaffald til foder</v>
      </c>
      <c r="B235" s="194" t="str">
        <f t="shared" si="73"/>
        <v/>
      </c>
      <c r="C235" s="194">
        <f>IF(COUNTIFS('Resultater - Danmark'!$D$3:$D$482,'Resultat-Produktion &amp; forbrug'!A235,'Resultater - Danmark'!$A$3:$A$482,"Til energi")+COUNTIFS('Resultater - Danmark'!$D$3:$D$482,'Resultat-Produktion &amp; forbrug'!A235,'Resultater - Danmark'!$A$3:$A$482,"Biogasanlæg")&gt;0,1,0)</f>
        <v>0</v>
      </c>
      <c r="D235" s="194">
        <f t="shared" si="58"/>
        <v>2030</v>
      </c>
      <c r="E235" s="192" t="s">
        <v>24</v>
      </c>
      <c r="F235" s="195">
        <f>IF(E235="Vestdanmark",SUMIFS(IF(D235=År1,'Resultater - Vestdanmark'!H$3:H$482,IF(D235=År2,'Resultater - Vestdanmark'!I$3:I$482,'Resultater - Vestdanmark'!J$3:J$482)),'Resultater - Vestdanmark'!$F$3:$F$482,$A235,IF(D235=År1,'Resultater - Vestdanmark'!H$3:H$482,IF(D235=År2,'Resultater - Vestdanmark'!I$3:I$482,'Resultater - Vestdanmark'!J$3:J$482)),"&gt;0"),SUMIFS(IF(D235=År1,'Resultater - Østdanmark'!H$3:H$482,IF(D235=År2,'Resultater - Østdanmark'!I$3:I$482,'Resultater - Østdanmark'!J$3:J$482)),'Resultater - Østdanmark'!$F$3:$F$482,$A235,IF(D235=År1,'Resultater - Østdanmark'!H$3:H$482,IF(D235=År2,'Resultater - Østdanmark'!I$3:I$482,'Resultater - Østdanmark'!J$3:J$482)),"&gt;0"))</f>
        <v>0</v>
      </c>
      <c r="G235" s="195" t="e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#REF!</v>
      </c>
      <c r="H235" s="192">
        <f>IF(E235="Vestdanmark",-IF(A235="Halm",SUMIFS(IF(D235=År1,'Resultater - Vestdanmark'!H$3:H$482,IF(D235=År2,'Resultater - Vestdanmark'!I$3:I$482,'Resultater - Vestdanmark'!J$3:J$482)),'Resultater - Vestdanmark'!$F$3:$F$482,$A235,'Resultater - Vestdanmark'!H$3:H$482,"&lt;0"),0),-IF(A235="Halm",SUMIFS(IF(D235=År1,'Resultater - Østdanmark'!H$3:H$482,IF(D235=År2,'Resultater - Østdanmark'!I$3:I$482,'Resultater - Østdanmark'!J$3:J$482)),'Resultater - Østdanmark'!$F$3:$F$482,$A235,'Resultater - Østdanmark'!H$3:H$482,"&lt;0"),0))</f>
        <v>0</v>
      </c>
      <c r="I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5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7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4" t="e">
        <f t="shared" si="62"/>
        <v>#REF!</v>
      </c>
      <c r="O235" s="195">
        <f t="shared" si="59"/>
        <v>0</v>
      </c>
      <c r="P235" s="205">
        <f t="shared" si="63"/>
        <v>0</v>
      </c>
      <c r="Q235" s="192">
        <f>IFERROR(VLOOKUP(A235,[1]Energiindhold!$A$2:$C$11,3,FALSE),IFERROR(VLOOKUP(A235,[1]Biogasudbytte!$A$2:$B$18,2,FALSE)*[1]Energiindhold!$C$10,0))*O235</f>
        <v>0</v>
      </c>
      <c r="R235" s="192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92">
        <f>IFERROR(VLOOKUP(A235,[1]Biogasudbytte!$A$2:$B$18,2,FALSE)*[1]Energiindhold!$C$10,0)*J235*IFERROR(VLOOKUP(A235,Biogasanlæg!$F$3:$G$8,2,FALSE),1)</f>
        <v>0</v>
      </c>
      <c r="T235" s="193">
        <f t="shared" si="64"/>
        <v>0</v>
      </c>
      <c r="U235" s="191">
        <f>O235*IFERROR(VLOOKUP(A235,[1]Tørstofindhold!A$2:B$24,2,FALSE),0)</f>
        <v>0</v>
      </c>
      <c r="V235" s="192">
        <f>IF(D235=År1,P235,SUM(O235,P235))*IFERROR(VLOOKUP(A235,[1]Tørstofindhold!A$2:B$24,2,FALSE),0)</f>
        <v>0</v>
      </c>
      <c r="W235" s="192">
        <f>J235*IFERROR(VLOOKUP(A235,[1]Tørstofindhold!A$2:B$24,2,FALSE),0)</f>
        <v>0</v>
      </c>
      <c r="X235" s="193">
        <f t="shared" si="65"/>
        <v>0</v>
      </c>
      <c r="Y235" s="171" t="e">
        <f t="shared" si="60"/>
        <v>#REF!</v>
      </c>
      <c r="Z235" s="103" t="e">
        <f t="shared" si="61"/>
        <v>#REF!</v>
      </c>
    </row>
    <row r="236" spans="1:26" x14ac:dyDescent="0.25">
      <c r="A236" s="194" t="str">
        <f t="shared" si="72"/>
        <v>Spildevandsslam</v>
      </c>
      <c r="B236" s="194" t="str">
        <f t="shared" si="73"/>
        <v>Bionedbrydeligt affald</v>
      </c>
      <c r="C236" s="194">
        <f>IF(COUNTIFS('Resultater - Danmark'!$D$3:$D$482,'Resultat-Produktion &amp; forbrug'!A236,'Resultater - Danmark'!$A$3:$A$482,"Til energi")+COUNTIFS('Resultater - Danmark'!$D$3:$D$482,'Resultat-Produktion &amp; forbrug'!A236,'Resultater - Danmark'!$A$3:$A$482,"Biogasanlæg")&gt;0,1,0)</f>
        <v>1</v>
      </c>
      <c r="D236" s="194">
        <f t="shared" si="58"/>
        <v>2030</v>
      </c>
      <c r="E236" s="192" t="s">
        <v>24</v>
      </c>
      <c r="F236" s="195">
        <f>IF(E236="Vestdanmark",SUMIFS(IF(D236=År1,'Resultater - Vestdanmark'!H$3:H$482,IF(D236=År2,'Resultater - Vestdanmark'!I$3:I$482,'Resultater - Vestdanmark'!J$3:J$482)),'Resultater - Vestdanmark'!$F$3:$F$482,$A236,IF(D236=År1,'Resultater - Vestdanmark'!H$3:H$482,IF(D236=År2,'Resultater - Vestdanmark'!I$3:I$482,'Resultater - Vestdanmark'!J$3:J$482)),"&gt;0"),SUMIFS(IF(D236=År1,'Resultater - Østdanmark'!H$3:H$482,IF(D236=År2,'Resultater - Østdanmark'!I$3:I$482,'Resultater - Østdanmark'!J$3:J$482)),'Resultater - Østdanmark'!$F$3:$F$482,$A236,IF(D236=År1,'Resultater - Østdanmark'!H$3:H$482,IF(D236=År2,'Resultater - Østdanmark'!I$3:I$482,'Resultater - Østdanmark'!J$3:J$482)),"&gt;0"))</f>
        <v>0</v>
      </c>
      <c r="G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92">
        <f>IF(E236="Vestdanmark",-IF(A236="Halm",SUMIFS(IF(D236=År1,'Resultater - Vestdanmark'!H$3:H$482,IF(D236=År2,'Resultater - Vestdanmark'!I$3:I$482,'Resultater - Vestdanmark'!J$3:J$482)),'Resultater - Vestdanmark'!$F$3:$F$482,$A236,'Resultater - Vestdanmark'!H$3:H$482,"&lt;0"),0),-IF(A236="Halm",SUMIFS(IF(D236=År1,'Resultater - Østdanmark'!H$3:H$482,IF(D236=År2,'Resultater - Østdanmark'!I$3:I$482,'Resultater - Østdanmark'!J$3:J$482)),'Resultater - Østdanmark'!$F$3:$F$482,$A236,'Resultater - Østdanmark'!H$3:H$482,"&lt;0"),0))</f>
        <v>0</v>
      </c>
      <c r="I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5" t="e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#REF!</v>
      </c>
      <c r="K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5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7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4" t="e">
        <f t="shared" si="62"/>
        <v>#REF!</v>
      </c>
      <c r="O236" s="195" t="e">
        <f t="shared" si="59"/>
        <v>#REF!</v>
      </c>
      <c r="P236" s="205" t="e">
        <f t="shared" si="63"/>
        <v>#REF!</v>
      </c>
      <c r="Q236" s="192" t="e">
        <f>IFERROR(VLOOKUP(A236,[1]Energiindhold!$A$2:$C$11,3,FALSE),IFERROR(VLOOKUP(A236,[1]Biogasudbytte!$A$2:$B$18,2,FALSE)*[1]Energiindhold!$C$10,0))*O236</f>
        <v>#REF!</v>
      </c>
      <c r="R236" s="192" t="e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#REF!</v>
      </c>
      <c r="S236" s="192" t="e">
        <f>IFERROR(VLOOKUP(A236,[1]Biogasudbytte!$A$2:$B$18,2,FALSE)*[1]Energiindhold!$C$10,0)*J236*IFERROR(VLOOKUP(A236,Biogasanlæg!$F$3:$G$8,2,FALSE),1)</f>
        <v>#REF!</v>
      </c>
      <c r="T236" s="193" t="e">
        <f t="shared" si="64"/>
        <v>#REF!</v>
      </c>
      <c r="U236" s="191" t="e">
        <f>O236*IFERROR(VLOOKUP(A236,[1]Tørstofindhold!A$2:B$24,2,FALSE),0)</f>
        <v>#REF!</v>
      </c>
      <c r="V236" s="192" t="e">
        <f>IF(D236=År1,P236,SUM(O236,P236))*IFERROR(VLOOKUP(A236,[1]Tørstofindhold!A$2:B$24,2,FALSE),0)</f>
        <v>#REF!</v>
      </c>
      <c r="W236" s="192" t="e">
        <f>J236*IFERROR(VLOOKUP(A236,[1]Tørstofindhold!A$2:B$24,2,FALSE),0)</f>
        <v>#REF!</v>
      </c>
      <c r="X236" s="193" t="e">
        <f t="shared" si="65"/>
        <v>#REF!</v>
      </c>
      <c r="Y236" s="171" t="e">
        <f t="shared" si="60"/>
        <v>#REF!</v>
      </c>
      <c r="Z236" s="103" t="e">
        <f t="shared" si="61"/>
        <v>#REF!</v>
      </c>
    </row>
    <row r="237" spans="1:26" x14ac:dyDescent="0.25">
      <c r="A237" s="194" t="str">
        <f t="shared" si="72"/>
        <v>Svinegylle</v>
      </c>
      <c r="B237" s="194" t="str">
        <f t="shared" si="73"/>
        <v>Husdyrgødning</v>
      </c>
      <c r="C237" s="194">
        <f>IF(COUNTIFS('Resultater - Danmark'!$D$3:$D$482,'Resultat-Produktion &amp; forbrug'!A237,'Resultater - Danmark'!$A$3:$A$482,"Til energi")+COUNTIFS('Resultater - Danmark'!$D$3:$D$482,'Resultat-Produktion &amp; forbrug'!A237,'Resultater - Danmark'!$A$3:$A$482,"Biogasanlæg")&gt;0,1,0)</f>
        <v>1</v>
      </c>
      <c r="D237" s="194">
        <f t="shared" si="58"/>
        <v>2030</v>
      </c>
      <c r="E237" s="192" t="s">
        <v>24</v>
      </c>
      <c r="F237" s="195">
        <f>IF(E237="Vestdanmark",SUMIFS(IF(D237=År1,'Resultater - Vestdanmark'!H$3:H$482,IF(D237=År2,'Resultater - Vestdanmark'!I$3:I$482,'Resultater - Vestdanmark'!J$3:J$482)),'Resultater - Vestdanmark'!$F$3:$F$482,$A237,IF(D237=År1,'Resultater - Vestdanmark'!H$3:H$482,IF(D237=År2,'Resultater - Vestdanmark'!I$3:I$482,'Resultater - Vestdanmark'!J$3:J$482)),"&gt;0"),SUMIFS(IF(D237=År1,'Resultater - Østdanmark'!H$3:H$482,IF(D237=År2,'Resultater - Østdanmark'!I$3:I$482,'Resultater - Østdanmark'!J$3:J$482)),'Resultater - Østdanmark'!$F$3:$F$482,$A237,IF(D237=År1,'Resultater - Østdanmark'!H$3:H$482,IF(D237=År2,'Resultater - Østdanmark'!I$3:I$482,'Resultater - Østdanmark'!J$3:J$482)),"&gt;0"))</f>
        <v>0</v>
      </c>
      <c r="G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92">
        <f>IF(E237="Vestdanmark",-IF(A237="Halm",SUMIFS(IF(D237=År1,'Resultater - Vestdanmark'!H$3:H$482,IF(D237=År2,'Resultater - Vestdanmark'!I$3:I$482,'Resultater - Vestdanmark'!J$3:J$482)),'Resultater - Vestdanmark'!$F$3:$F$482,$A237,'Resultater - Vestdanmark'!H$3:H$482,"&lt;0"),0),-IF(A237="Halm",SUMIFS(IF(D237=År1,'Resultater - Østdanmark'!H$3:H$482,IF(D237=År2,'Resultater - Østdanmark'!I$3:I$482,'Resultater - Østdanmark'!J$3:J$482)),'Resultater - Østdanmark'!$F$3:$F$482,$A237,'Resultater - Østdanmark'!H$3:H$482,"&lt;0"),0))</f>
        <v>0</v>
      </c>
      <c r="I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5" t="e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#REF!</v>
      </c>
      <c r="K237" s="195" t="e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#REF!</v>
      </c>
      <c r="L237" s="195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7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4" t="e">
        <f t="shared" si="62"/>
        <v>#REF!</v>
      </c>
      <c r="O237" s="195" t="e">
        <f t="shared" si="59"/>
        <v>#REF!</v>
      </c>
      <c r="P237" s="205" t="e">
        <f t="shared" si="63"/>
        <v>#REF!</v>
      </c>
      <c r="Q237" s="192" t="e">
        <f>IFERROR(VLOOKUP(A237,[1]Energiindhold!$A$2:$C$11,3,FALSE),IFERROR(VLOOKUP(A237,[1]Biogasudbytte!$A$2:$B$18,2,FALSE)*[1]Energiindhold!$C$10,0))*O237</f>
        <v>#REF!</v>
      </c>
      <c r="R237" s="192" t="e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#REF!</v>
      </c>
      <c r="S237" s="192" t="e">
        <f>IFERROR(VLOOKUP(A237,[1]Biogasudbytte!$A$2:$B$18,2,FALSE)*[1]Energiindhold!$C$10,0)*J237*IFERROR(VLOOKUP(A237,Biogasanlæg!$F$3:$G$8,2,FALSE),1)</f>
        <v>#REF!</v>
      </c>
      <c r="T237" s="193" t="e">
        <f t="shared" si="64"/>
        <v>#REF!</v>
      </c>
      <c r="U237" s="191" t="e">
        <f>O237*IFERROR(VLOOKUP(A237,[1]Tørstofindhold!A$2:B$24,2,FALSE),0)</f>
        <v>#REF!</v>
      </c>
      <c r="V237" s="192" t="e">
        <f>IF(D237=År1,P237,SUM(O237,P237))*IFERROR(VLOOKUP(A237,[1]Tørstofindhold!A$2:B$24,2,FALSE),0)</f>
        <v>#REF!</v>
      </c>
      <c r="W237" s="192" t="e">
        <f>J237*IFERROR(VLOOKUP(A237,[1]Tørstofindhold!A$2:B$24,2,FALSE),0)</f>
        <v>#REF!</v>
      </c>
      <c r="X237" s="193" t="e">
        <f t="shared" si="65"/>
        <v>#REF!</v>
      </c>
      <c r="Y237" s="171" t="e">
        <f t="shared" si="60"/>
        <v>#REF!</v>
      </c>
      <c r="Z237" s="103" t="e">
        <f t="shared" si="61"/>
        <v>#REF!</v>
      </c>
    </row>
    <row r="238" spans="1:26" x14ac:dyDescent="0.25">
      <c r="A238" s="194" t="str">
        <f t="shared" si="72"/>
        <v>Svinekød</v>
      </c>
      <c r="B238" s="194" t="str">
        <f t="shared" si="73"/>
        <v/>
      </c>
      <c r="C238" s="194">
        <f>IF(COUNTIFS('Resultater - Danmark'!$D$3:$D$482,'Resultat-Produktion &amp; forbrug'!A238,'Resultater - Danmark'!$A$3:$A$482,"Til energi")+COUNTIFS('Resultater - Danmark'!$D$3:$D$482,'Resultat-Produktion &amp; forbrug'!A238,'Resultater - Danmark'!$A$3:$A$482,"Biogasanlæg")&gt;0,1,0)</f>
        <v>0</v>
      </c>
      <c r="D238" s="194">
        <f t="shared" si="58"/>
        <v>2030</v>
      </c>
      <c r="E238" s="192" t="s">
        <v>24</v>
      </c>
      <c r="F238" s="195">
        <f>IF(E238="Vestdanmark",SUMIFS(IF(D238=År1,'Resultater - Vestdanmark'!H$3:H$482,IF(D238=År2,'Resultater - Vestdanmark'!I$3:I$482,'Resultater - Vestdanmark'!J$3:J$482)),'Resultater - Vestdanmark'!$F$3:$F$482,$A238,IF(D238=År1,'Resultater - Vestdanmark'!H$3:H$482,IF(D238=År2,'Resultater - Vestdanmark'!I$3:I$482,'Resultater - Vestdanmark'!J$3:J$482)),"&gt;0"),SUMIFS(IF(D238=År1,'Resultater - Østdanmark'!H$3:H$482,IF(D238=År2,'Resultater - Østdanmark'!I$3:I$482,'Resultater - Østdanmark'!J$3:J$482)),'Resultater - Østdanmark'!$F$3:$F$482,$A238,IF(D238=År1,'Resultater - Østdanmark'!H$3:H$482,IF(D238=År2,'Resultater - Østdanmark'!I$3:I$482,'Resultater - Østdanmark'!J$3:J$482)),"&gt;0"))</f>
        <v>0</v>
      </c>
      <c r="G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92">
        <f>IF(E238="Vestdanmark",-IF(A238="Halm",SUMIFS(IF(D238=År1,'Resultater - Vestdanmark'!H$3:H$482,IF(D238=År2,'Resultater - Vestdanmark'!I$3:I$482,'Resultater - Vestdanmark'!J$3:J$482)),'Resultater - Vestdanmark'!$F$3:$F$482,$A238,'Resultater - Vestdanmark'!H$3:H$482,"&lt;0"),0),-IF(A238="Halm",SUMIFS(IF(D238=År1,'Resultater - Østdanmark'!H$3:H$482,IF(D238=År2,'Resultater - Østdanmark'!I$3:I$482,'Resultater - Østdanmark'!J$3:J$482)),'Resultater - Østdanmark'!$F$3:$F$482,$A238,'Resultater - Østdanmark'!H$3:H$482,"&lt;0"),0))</f>
        <v>0</v>
      </c>
      <c r="I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5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7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4">
        <f t="shared" si="62"/>
        <v>-105526.43984954793</v>
      </c>
      <c r="O238" s="195">
        <f t="shared" si="59"/>
        <v>0</v>
      </c>
      <c r="P238" s="205">
        <f t="shared" si="63"/>
        <v>0</v>
      </c>
      <c r="Q238" s="192">
        <f>IFERROR(VLOOKUP(A238,[1]Energiindhold!$A$2:$C$11,3,FALSE),IFERROR(VLOOKUP(A238,[1]Biogasudbytte!$A$2:$B$18,2,FALSE)*[1]Energiindhold!$C$10,0))*O238</f>
        <v>0</v>
      </c>
      <c r="R238" s="192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92">
        <f>IFERROR(VLOOKUP(A238,[1]Biogasudbytte!$A$2:$B$18,2,FALSE)*[1]Energiindhold!$C$10,0)*J238*IFERROR(VLOOKUP(A238,Biogasanlæg!$F$3:$G$8,2,FALSE),1)</f>
        <v>0</v>
      </c>
      <c r="T238" s="193">
        <f t="shared" si="64"/>
        <v>0</v>
      </c>
      <c r="U238" s="191">
        <f>O238*IFERROR(VLOOKUP(A238,[1]Tørstofindhold!A$2:B$24,2,FALSE),0)</f>
        <v>0</v>
      </c>
      <c r="V238" s="192">
        <f>IF(D238=År1,P238,SUM(O238,P238))*IFERROR(VLOOKUP(A238,[1]Tørstofindhold!A$2:B$24,2,FALSE),0)</f>
        <v>0</v>
      </c>
      <c r="W238" s="192">
        <f>J238*IFERROR(VLOOKUP(A238,[1]Tørstofindhold!A$2:B$24,2,FALSE),0)</f>
        <v>0</v>
      </c>
      <c r="X238" s="193">
        <f t="shared" si="65"/>
        <v>0</v>
      </c>
      <c r="Y238" s="171">
        <f t="shared" si="60"/>
        <v>1</v>
      </c>
      <c r="Z238" s="103">
        <f t="shared" si="61"/>
        <v>0</v>
      </c>
    </row>
    <row r="239" spans="1:26" x14ac:dyDescent="0.25">
      <c r="A239" s="194" t="str">
        <f t="shared" si="72"/>
        <v>Tang</v>
      </c>
      <c r="B239" s="194" t="str">
        <f t="shared" si="73"/>
        <v>Havbiomasse</v>
      </c>
      <c r="C239" s="194">
        <f>IF(COUNTIFS('Resultater - Danmark'!$D$3:$D$482,'Resultat-Produktion &amp; forbrug'!A239,'Resultater - Danmark'!$A$3:$A$482,"Til energi")+COUNTIFS('Resultater - Danmark'!$D$3:$D$482,'Resultat-Produktion &amp; forbrug'!A239,'Resultater - Danmark'!$A$3:$A$482,"Biogasanlæg")&gt;0,1,0)</f>
        <v>1</v>
      </c>
      <c r="D239" s="194">
        <f t="shared" si="58"/>
        <v>2030</v>
      </c>
      <c r="E239" s="192" t="s">
        <v>24</v>
      </c>
      <c r="F239" s="195">
        <f>IF(E239="Vestdanmark",SUMIFS(IF(D239=År1,'Resultater - Vestdanmark'!H$3:H$482,IF(D239=År2,'Resultater - Vestdanmark'!I$3:I$482,'Resultater - Vestdanmark'!J$3:J$482)),'Resultater - Vestdanmark'!$F$3:$F$482,$A239,IF(D239=År1,'Resultater - Vestdanmark'!H$3:H$482,IF(D239=År2,'Resultater - Vestdanmark'!I$3:I$482,'Resultater - Vestdanmark'!J$3:J$482)),"&gt;0"),SUMIFS(IF(D239=År1,'Resultater - Østdanmark'!H$3:H$482,IF(D239=År2,'Resultater - Østdanmark'!I$3:I$482,'Resultater - Østdanmark'!J$3:J$482)),'Resultater - Østdanmark'!$F$3:$F$482,$A239,IF(D239=År1,'Resultater - Østdanmark'!H$3:H$482,IF(D239=År2,'Resultater - Østdanmark'!I$3:I$482,'Resultater - Østdanmark'!J$3:J$482)),"&gt;0"))</f>
        <v>0</v>
      </c>
      <c r="G239" s="195" t="e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#REF!</v>
      </c>
      <c r="H239" s="192">
        <f>IF(E239="Vestdanmark",-IF(A239="Halm",SUMIFS(IF(D239=År1,'Resultater - Vestdanmark'!H$3:H$482,IF(D239=År2,'Resultater - Vestdanmark'!I$3:I$482,'Resultater - Vestdanmark'!J$3:J$482)),'Resultater - Vestdanmark'!$F$3:$F$482,$A239,'Resultater - Vestdanmark'!H$3:H$482,"&lt;0"),0),-IF(A239="Halm",SUMIFS(IF(D239=År1,'Resultater - Østdanmark'!H$3:H$482,IF(D239=År2,'Resultater - Østdanmark'!I$3:I$482,'Resultater - Østdanmark'!J$3:J$482)),'Resultater - Østdanmark'!$F$3:$F$482,$A239,'Resultater - Østdanmark'!H$3:H$482,"&lt;0"),0))</f>
        <v>0</v>
      </c>
      <c r="I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5" t="e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#REF!</v>
      </c>
      <c r="K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5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7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4" t="e">
        <f t="shared" si="62"/>
        <v>#REF!</v>
      </c>
      <c r="O239" s="195" t="e">
        <f t="shared" si="59"/>
        <v>#REF!</v>
      </c>
      <c r="P239" s="205" t="e">
        <f t="shared" si="63"/>
        <v>#REF!</v>
      </c>
      <c r="Q239" s="192" t="e">
        <f>IFERROR(VLOOKUP(A239,[1]Energiindhold!$A$2:$C$11,3,FALSE),IFERROR(VLOOKUP(A239,[1]Biogasudbytte!$A$2:$B$18,2,FALSE)*[1]Energiindhold!$C$10,0))*O239</f>
        <v>#REF!</v>
      </c>
      <c r="R239" s="192" t="e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#REF!</v>
      </c>
      <c r="S239" s="192" t="e">
        <f>IFERROR(VLOOKUP(A239,[1]Biogasudbytte!$A$2:$B$18,2,FALSE)*[1]Energiindhold!$C$10,0)*J239*IFERROR(VLOOKUP(A239,Biogasanlæg!$F$3:$G$8,2,FALSE),1)</f>
        <v>#REF!</v>
      </c>
      <c r="T239" s="193" t="e">
        <f t="shared" si="64"/>
        <v>#REF!</v>
      </c>
      <c r="U239" s="191" t="e">
        <f>O239*IFERROR(VLOOKUP(A239,[1]Tørstofindhold!A$2:B$24,2,FALSE),0)</f>
        <v>#REF!</v>
      </c>
      <c r="V239" s="192" t="e">
        <f>IF(D239=År1,P239,SUM(O239,P239))*IFERROR(VLOOKUP(A239,[1]Tørstofindhold!A$2:B$24,2,FALSE),0)</f>
        <v>#REF!</v>
      </c>
      <c r="W239" s="192" t="e">
        <f>J239*IFERROR(VLOOKUP(A239,[1]Tørstofindhold!A$2:B$24,2,FALSE),0)</f>
        <v>#REF!</v>
      </c>
      <c r="X239" s="193" t="e">
        <f t="shared" si="65"/>
        <v>#REF!</v>
      </c>
      <c r="Y239" s="171" t="e">
        <f t="shared" si="60"/>
        <v>#REF!</v>
      </c>
      <c r="Z239" s="103" t="e">
        <f t="shared" si="61"/>
        <v>#REF!</v>
      </c>
    </row>
    <row r="240" spans="1:26" x14ac:dyDescent="0.25">
      <c r="A240" s="194" t="str">
        <f t="shared" si="72"/>
        <v>Total til biogas</v>
      </c>
      <c r="B240" s="194" t="str">
        <f t="shared" si="73"/>
        <v/>
      </c>
      <c r="C240" s="194">
        <f>IF(COUNTIFS('Resultater - Danmark'!$D$3:$D$482,'Resultat-Produktion &amp; forbrug'!A240,'Resultater - Danmark'!$A$3:$A$482,"Til energi")+COUNTIFS('Resultater - Danmark'!$D$3:$D$482,'Resultat-Produktion &amp; forbrug'!A240,'Resultater - Danmark'!$A$3:$A$482,"Biogasanlæg")&gt;0,1,0)</f>
        <v>1</v>
      </c>
      <c r="D240" s="194">
        <f t="shared" si="58"/>
        <v>2030</v>
      </c>
      <c r="E240" s="192" t="s">
        <v>24</v>
      </c>
      <c r="F240" s="195">
        <f>IF(E240="Vestdanmark",SUMIFS(IF(D240=År1,'Resultater - Vestdanmark'!H$3:H$482,IF(D240=År2,'Resultater - Vestdanmark'!I$3:I$482,'Resultater - Vestdanmark'!J$3:J$482)),'Resultater - Vestdanmark'!$F$3:$F$482,$A240,IF(D240=År1,'Resultater - Vestdanmark'!H$3:H$482,IF(D240=År2,'Resultater - Vestdanmark'!I$3:I$482,'Resultater - Vestdanmark'!J$3:J$482)),"&gt;0"),SUMIFS(IF(D240=År1,'Resultater - Østdanmark'!H$3:H$482,IF(D240=År2,'Resultater - Østdanmark'!I$3:I$482,'Resultater - Østdanmark'!J$3:J$482)),'Resultater - Østdanmark'!$F$3:$F$482,$A240,IF(D240=År1,'Resultater - Østdanmark'!H$3:H$482,IF(D240=År2,'Resultater - Østdanmark'!I$3:I$482,'Resultater - Østdanmark'!J$3:J$482)),"&gt;0"))</f>
        <v>0</v>
      </c>
      <c r="G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92">
        <f>IF(E240="Vestdanmark",-IF(A240="Halm",SUMIFS(IF(D240=År1,'Resultater - Vestdanmark'!H$3:H$482,IF(D240=År2,'Resultater - Vestdanmark'!I$3:I$482,'Resultater - Vestdanmark'!J$3:J$482)),'Resultater - Vestdanmark'!$F$3:$F$482,$A240,'Resultater - Vestdanmark'!H$3:H$482,"&lt;0"),0),-IF(A240="Halm",SUMIFS(IF(D240=År1,'Resultater - Østdanmark'!H$3:H$482,IF(D240=År2,'Resultater - Østdanmark'!I$3:I$482,'Resultater - Østdanmark'!J$3:J$482)),'Resultater - Østdanmark'!$F$3:$F$482,$A240,'Resultater - Østdanmark'!H$3:H$482,"&lt;0"),0))</f>
        <v>0</v>
      </c>
      <c r="I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5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7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4">
        <f t="shared" si="62"/>
        <v>0</v>
      </c>
      <c r="O240" s="195">
        <f t="shared" si="59"/>
        <v>0</v>
      </c>
      <c r="P240" s="205">
        <f t="shared" si="63"/>
        <v>0</v>
      </c>
      <c r="Q240" s="192">
        <f>IFERROR(VLOOKUP(A240,[1]Energiindhold!$A$2:$C$11,3,FALSE),IFERROR(VLOOKUP(A240,[1]Biogasudbytte!$A$2:$B$18,2,FALSE)*[1]Energiindhold!$C$10,0))*O240</f>
        <v>0</v>
      </c>
      <c r="R240" s="192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92">
        <f>IFERROR(VLOOKUP(A240,[1]Biogasudbytte!$A$2:$B$18,2,FALSE)*[1]Energiindhold!$C$10,0)*J240*IFERROR(VLOOKUP(A240,Biogasanlæg!$F$3:$G$8,2,FALSE),1)</f>
        <v>0</v>
      </c>
      <c r="T240" s="193">
        <f t="shared" si="64"/>
        <v>0</v>
      </c>
      <c r="U240" s="191">
        <f>O240*IFERROR(VLOOKUP(A240,[1]Tørstofindhold!A$2:B$24,2,FALSE),0)</f>
        <v>0</v>
      </c>
      <c r="V240" s="192">
        <f>IF(D240=År1,P240,SUM(O240,P240))*IFERROR(VLOOKUP(A240,[1]Tørstofindhold!A$2:B$24,2,FALSE),0)</f>
        <v>0</v>
      </c>
      <c r="W240" s="192">
        <f>J240*IFERROR(VLOOKUP(A240,[1]Tørstofindhold!A$2:B$24,2,FALSE),0)</f>
        <v>0</v>
      </c>
      <c r="X240" s="193">
        <f t="shared" si="65"/>
        <v>0</v>
      </c>
      <c r="Y240" s="171">
        <f t="shared" si="60"/>
        <v>0</v>
      </c>
      <c r="Z240" s="103">
        <f t="shared" si="61"/>
        <v>0</v>
      </c>
    </row>
    <row r="241" spans="1:26" x14ac:dyDescent="0.25">
      <c r="A241" s="194" t="str">
        <f t="shared" si="72"/>
        <v>Træ til energi</v>
      </c>
      <c r="B241" s="194" t="str">
        <f t="shared" si="73"/>
        <v>Vedmasse</v>
      </c>
      <c r="C241" s="194">
        <f>IF(COUNTIFS('Resultater - Danmark'!$D$3:$D$482,'Resultat-Produktion &amp; forbrug'!A241,'Resultater - Danmark'!$A$3:$A$482,"Til energi")+COUNTIFS('Resultater - Danmark'!$D$3:$D$482,'Resultat-Produktion &amp; forbrug'!A241,'Resultater - Danmark'!$A$3:$A$482,"Biogasanlæg")&gt;0,1,0)</f>
        <v>1</v>
      </c>
      <c r="D241" s="194">
        <f t="shared" si="58"/>
        <v>2030</v>
      </c>
      <c r="E241" s="192" t="s">
        <v>24</v>
      </c>
      <c r="F241" s="195">
        <f>IF(E241="Vestdanmark",SUMIFS(IF(D241=År1,'Resultater - Vestdanmark'!H$3:H$482,IF(D241=År2,'Resultater - Vestdanmark'!I$3:I$482,'Resultater - Vestdanmark'!J$3:J$482)),'Resultater - Vestdanmark'!$F$3:$F$482,$A241,IF(D241=År1,'Resultater - Vestdanmark'!H$3:H$482,IF(D241=År2,'Resultater - Vestdanmark'!I$3:I$482,'Resultater - Vestdanmark'!J$3:J$482)),"&gt;0"),SUMIFS(IF(D241=År1,'Resultater - Østdanmark'!H$3:H$482,IF(D241=År2,'Resultater - Østdanmark'!I$3:I$482,'Resultater - Østdanmark'!J$3:J$482)),'Resultater - Østdanmark'!$F$3:$F$482,$A241,IF(D241=År1,'Resultater - Østdanmark'!H$3:H$482,IF(D241=År2,'Resultater - Østdanmark'!I$3:I$482,'Resultater - Østdanmark'!J$3:J$482)),"&gt;0"))</f>
        <v>0</v>
      </c>
      <c r="G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92">
        <f>IF(E241="Vestdanmark",-IF(A241="Halm",SUMIFS(IF(D241=År1,'Resultater - Vestdanmark'!H$3:H$482,IF(D241=År2,'Resultater - Vestdanmark'!I$3:I$482,'Resultater - Vestdanmark'!J$3:J$482)),'Resultater - Vestdanmark'!$F$3:$F$482,$A241,'Resultater - Vestdanmark'!H$3:H$482,"&lt;0"),0),-IF(A241="Halm",SUMIFS(IF(D241=År1,'Resultater - Østdanmark'!H$3:H$482,IF(D241=År2,'Resultater - Østdanmark'!I$3:I$482,'Resultater - Østdanmark'!J$3:J$482)),'Resultater - Østdanmark'!$F$3:$F$482,$A241,'Resultater - Østdanmark'!H$3:H$482,"&lt;0"),0))</f>
        <v>0</v>
      </c>
      <c r="I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5" t="e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#REF!</v>
      </c>
      <c r="M241" s="157" t="e">
        <f>SUMIFS('Forbrug af biomasse'!E:E,'Forbrug af biomasse'!C:C,'Resultat-Produktion &amp; forbrug'!$A241,'Forbrug af biomasse'!D:D,'Resultat-Produktion &amp; forbrug'!$D241,'Forbrug af biomasse'!G:G,1,'Forbrug af biomasse'!B:B,$E241)</f>
        <v>#REF!</v>
      </c>
      <c r="N241" s="204" t="e">
        <f t="shared" si="62"/>
        <v>#REF!</v>
      </c>
      <c r="O241" s="195" t="e">
        <f t="shared" si="59"/>
        <v>#REF!</v>
      </c>
      <c r="P241" s="205" t="e">
        <f t="shared" si="63"/>
        <v>#REF!</v>
      </c>
      <c r="Q241" s="192" t="e">
        <f>IFERROR(VLOOKUP(A241,[1]Energiindhold!$A$2:$C$11,3,FALSE),IFERROR(VLOOKUP(A241,[1]Biogasudbytte!$A$2:$B$18,2,FALSE)*[1]Energiindhold!$C$10,0))*O241</f>
        <v>#REF!</v>
      </c>
      <c r="R241" s="192" t="e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#REF!</v>
      </c>
      <c r="S241" s="192">
        <f>IFERROR(VLOOKUP(A241,[1]Biogasudbytte!$A$2:$B$18,2,FALSE)*[1]Energiindhold!$C$10,0)*J241*IFERROR(VLOOKUP(A241,Biogasanlæg!$F$3:$G$8,2,FALSE),1)</f>
        <v>0</v>
      </c>
      <c r="T241" s="193" t="e">
        <f t="shared" si="64"/>
        <v>#REF!</v>
      </c>
      <c r="U241" s="191" t="e">
        <f>O241*IFERROR(VLOOKUP(A241,[1]Tørstofindhold!A$2:B$24,2,FALSE),0)</f>
        <v>#REF!</v>
      </c>
      <c r="V241" s="192" t="e">
        <f>IF(D241=År1,P241,SUM(O241,P241))*IFERROR(VLOOKUP(A241,[1]Tørstofindhold!A$2:B$24,2,FALSE),0)</f>
        <v>#REF!</v>
      </c>
      <c r="W241" s="192">
        <f>J241*IFERROR(VLOOKUP(A241,[1]Tørstofindhold!A$2:B$24,2,FALSE),0)</f>
        <v>0</v>
      </c>
      <c r="X241" s="193" t="e">
        <f t="shared" si="65"/>
        <v>#REF!</v>
      </c>
      <c r="Y241" s="171" t="e">
        <f t="shared" si="60"/>
        <v>#REF!</v>
      </c>
      <c r="Z241" s="103" t="e">
        <f t="shared" si="61"/>
        <v>#REF!</v>
      </c>
    </row>
    <row r="242" spans="1:26" x14ac:dyDescent="0.25">
      <c r="A242" s="194" t="str">
        <f t="shared" si="72"/>
        <v>Træmaterialer</v>
      </c>
      <c r="B242" s="194" t="str">
        <f t="shared" si="73"/>
        <v/>
      </c>
      <c r="C242" s="194">
        <f>IF(COUNTIFS('Resultater - Danmark'!$D$3:$D$482,'Resultat-Produktion &amp; forbrug'!A242,'Resultater - Danmark'!$A$3:$A$482,"Til energi")+COUNTIFS('Resultater - Danmark'!$D$3:$D$482,'Resultat-Produktion &amp; forbrug'!A242,'Resultater - Danmark'!$A$3:$A$482,"Biogasanlæg")&gt;0,1,0)</f>
        <v>0</v>
      </c>
      <c r="D242" s="194">
        <f t="shared" si="58"/>
        <v>2030</v>
      </c>
      <c r="E242" s="192" t="s">
        <v>24</v>
      </c>
      <c r="F242" s="195">
        <f>IF(E242="Vestdanmark",SUMIFS(IF(D242=År1,'Resultater - Vestdanmark'!H$3:H$482,IF(D242=År2,'Resultater - Vestdanmark'!I$3:I$482,'Resultater - Vestdanmark'!J$3:J$482)),'Resultater - Vestdanmark'!$F$3:$F$482,$A242,IF(D242=År1,'Resultater - Vestdanmark'!H$3:H$482,IF(D242=År2,'Resultater - Vestdanmark'!I$3:I$482,'Resultater - Vestdanmark'!J$3:J$482)),"&gt;0"),SUMIFS(IF(D242=År1,'Resultater - Østdanmark'!H$3:H$482,IF(D242=År2,'Resultater - Østdanmark'!I$3:I$482,'Resultater - Østdanmark'!J$3:J$482)),'Resultater - Østdanmark'!$F$3:$F$482,$A242,IF(D242=År1,'Resultater - Østdanmark'!H$3:H$482,IF(D242=År2,'Resultater - Østdanmark'!I$3:I$482,'Resultater - Østdanmark'!J$3:J$482)),"&gt;0"))</f>
        <v>0</v>
      </c>
      <c r="G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92">
        <f>IF(E242="Vestdanmark",-IF(A242="Halm",SUMIFS(IF(D242=År1,'Resultater - Vestdanmark'!H$3:H$482,IF(D242=År2,'Resultater - Vestdanmark'!I$3:I$482,'Resultater - Vestdanmark'!J$3:J$482)),'Resultater - Vestdanmark'!$F$3:$F$482,$A242,'Resultater - Vestdanmark'!H$3:H$482,"&lt;0"),0),-IF(A242="Halm",SUMIFS(IF(D242=År1,'Resultater - Østdanmark'!H$3:H$482,IF(D242=År2,'Resultater - Østdanmark'!I$3:I$482,'Resultater - Østdanmark'!J$3:J$482)),'Resultater - Østdanmark'!$F$3:$F$482,$A242,'Resultater - Østdanmark'!H$3:H$482,"&lt;0"),0))</f>
        <v>0</v>
      </c>
      <c r="I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5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7">
        <f>SUMIFS('Forbrug af biomasse'!E:E,'Forbrug af biomasse'!C:C,'Resultat-Produktion &amp; forbrug'!$A242,'Forbrug af biomasse'!D:D,'Resultat-Produktion &amp; forbrug'!$D242,'Forbrug af biomasse'!G:G,1,'Forbrug af biomasse'!B:B,$E242)</f>
        <v>0</v>
      </c>
      <c r="N242" s="204">
        <f t="shared" si="62"/>
        <v>0</v>
      </c>
      <c r="O242" s="195">
        <f t="shared" si="59"/>
        <v>0</v>
      </c>
      <c r="P242" s="205">
        <f t="shared" si="63"/>
        <v>0</v>
      </c>
      <c r="Q242" s="192">
        <f>IFERROR(VLOOKUP(A242,[1]Energiindhold!$A$2:$C$11,3,FALSE),IFERROR(VLOOKUP(A242,[1]Biogasudbytte!$A$2:$B$18,2,FALSE)*[1]Energiindhold!$C$10,0))*O242</f>
        <v>0</v>
      </c>
      <c r="R242" s="192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92">
        <f>IFERROR(VLOOKUP(A242,[1]Biogasudbytte!$A$2:$B$18,2,FALSE)*[1]Energiindhold!$C$10,0)*J242*IFERROR(VLOOKUP(A242,Biogasanlæg!$F$3:$G$8,2,FALSE),1)</f>
        <v>0</v>
      </c>
      <c r="T242" s="193">
        <f t="shared" si="64"/>
        <v>0</v>
      </c>
      <c r="U242" s="191">
        <f>O242*IFERROR(VLOOKUP(A242,[1]Tørstofindhold!A$2:B$24,2,FALSE),0)</f>
        <v>0</v>
      </c>
      <c r="V242" s="192">
        <f>IF(D242=År1,P242,SUM(O242,P242))*IFERROR(VLOOKUP(A242,[1]Tørstofindhold!A$2:B$24,2,FALSE),0)</f>
        <v>0</v>
      </c>
      <c r="W242" s="192">
        <f>J242*IFERROR(VLOOKUP(A242,[1]Tørstofindhold!A$2:B$24,2,FALSE),0)</f>
        <v>0</v>
      </c>
      <c r="X242" s="193">
        <f t="shared" si="65"/>
        <v>0</v>
      </c>
      <c r="Y242" s="171">
        <f t="shared" si="60"/>
        <v>0</v>
      </c>
      <c r="Z242" s="103">
        <f t="shared" si="61"/>
        <v>0</v>
      </c>
    </row>
    <row r="243" spans="1:26" x14ac:dyDescent="0.25">
      <c r="A243" s="194" t="str">
        <f t="shared" si="72"/>
        <v>Æg</v>
      </c>
      <c r="B243" s="194" t="str">
        <f t="shared" si="73"/>
        <v/>
      </c>
      <c r="C243" s="194">
        <f>IF(COUNTIFS('Resultater - Danmark'!$D$3:$D$482,'Resultat-Produktion &amp; forbrug'!A243,'Resultater - Danmark'!$A$3:$A$482,"Til energi")+COUNTIFS('Resultater - Danmark'!$D$3:$D$482,'Resultat-Produktion &amp; forbrug'!A243,'Resultater - Danmark'!$A$3:$A$482,"Biogasanlæg")&gt;0,1,0)</f>
        <v>0</v>
      </c>
      <c r="D243" s="194">
        <f t="shared" ref="D243:D281" si="74">År3</f>
        <v>2050</v>
      </c>
      <c r="E243" s="192" t="s">
        <v>24</v>
      </c>
      <c r="F243" s="195">
        <f>IF(E243="Vestdanmark",SUMIFS(IF(D243=År1,'Resultater - Vestdanmark'!H$3:H$482,IF(D243=År2,'Resultater - Vestdanmark'!I$3:I$482,'Resultater - Vestdanmark'!J$3:J$482)),'Resultater - Vestdanmark'!$F$3:$F$482,$A243,IF(D243=År1,'Resultater - Vestdanmark'!H$3:H$482,IF(D243=År2,'Resultater - Vestdanmark'!I$3:I$482,'Resultater - Vestdanmark'!J$3:J$482)),"&gt;0"),SUMIFS(IF(D243=År1,'Resultater - Østdanmark'!H$3:H$482,IF(D243=År2,'Resultater - Østdanmark'!I$3:I$482,'Resultater - Østdanmark'!J$3:J$482)),'Resultater - Østdanmark'!$F$3:$F$482,$A243,IF(D243=År1,'Resultater - Østdanmark'!H$3:H$482,IF(D243=År2,'Resultater - Østdanmark'!I$3:I$482,'Resultater - Østdanmark'!J$3:J$482)),"&gt;0"))</f>
        <v>0</v>
      </c>
      <c r="G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92">
        <f>IF(E243="Vestdanmark",-IF(A243="Halm",SUMIFS(IF(D243=År1,'Resultater - Vestdanmark'!H$3:H$482,IF(D243=År2,'Resultater - Vestdanmark'!I$3:I$482,'Resultater - Vestdanmark'!J$3:J$482)),'Resultater - Vestdanmark'!$F$3:$F$482,$A243,'Resultater - Vestdanmark'!H$3:H$482,"&lt;0"),0),-IF(A243="Halm",SUMIFS(IF(D243=År1,'Resultater - Østdanmark'!H$3:H$482,IF(D243=År2,'Resultater - Østdanmark'!I$3:I$482,'Resultater - Østdanmark'!J$3:J$482)),'Resultater - Østdanmark'!$F$3:$F$482,$A243,'Resultater - Østdanmark'!H$3:H$482,"&lt;0"),0))</f>
        <v>0</v>
      </c>
      <c r="I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5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7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4">
        <f t="shared" si="62"/>
        <v>-29532.002020101954</v>
      </c>
      <c r="O243" s="195">
        <f t="shared" si="59"/>
        <v>0</v>
      </c>
      <c r="P243" s="205">
        <f t="shared" si="63"/>
        <v>0</v>
      </c>
      <c r="Q243" s="192">
        <f>IFERROR(VLOOKUP(A243,[1]Energiindhold!$A$2:$C$11,3,FALSE),IFERROR(VLOOKUP(A243,[1]Biogasudbytte!$A$2:$B$18,2,FALSE)*[1]Energiindhold!$C$10,0))*O243</f>
        <v>0</v>
      </c>
      <c r="R243" s="192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92">
        <f>IFERROR(VLOOKUP(A243,[1]Biogasudbytte!$A$2:$B$18,2,FALSE)*[1]Energiindhold!$C$10,0)*J243*IFERROR(VLOOKUP(A243,Biogasanlæg!$F$3:$G$8,2,FALSE),1)</f>
        <v>0</v>
      </c>
      <c r="T243" s="193">
        <f t="shared" si="64"/>
        <v>0</v>
      </c>
      <c r="U243" s="191">
        <f>O243*IFERROR(VLOOKUP(A243,[1]Tørstofindhold!A$2:B$24,2,FALSE),0)</f>
        <v>0</v>
      </c>
      <c r="V243" s="192">
        <f>IF(D243=År1,P243,SUM(O243,P243))*IFERROR(VLOOKUP(A243,[1]Tørstofindhold!A$2:B$24,2,FALSE),0)</f>
        <v>0</v>
      </c>
      <c r="W243" s="192">
        <f>J243*IFERROR(VLOOKUP(A243,[1]Tørstofindhold!A$2:B$24,2,FALSE),0)</f>
        <v>0</v>
      </c>
      <c r="X243" s="193">
        <f t="shared" si="65"/>
        <v>0</v>
      </c>
      <c r="Y243" s="171">
        <f t="shared" si="60"/>
        <v>1</v>
      </c>
      <c r="Z243" s="103">
        <f t="shared" si="61"/>
        <v>0</v>
      </c>
    </row>
    <row r="244" spans="1:26" x14ac:dyDescent="0.25">
      <c r="A244" s="194" t="str">
        <f t="shared" si="72"/>
        <v>Bælgsæd</v>
      </c>
      <c r="B244" s="194" t="str">
        <f t="shared" si="73"/>
        <v/>
      </c>
      <c r="C244" s="194">
        <f>IF(COUNTIFS('Resultater - Danmark'!$D$3:$D$482,'Resultat-Produktion &amp; forbrug'!A244,'Resultater - Danmark'!$A$3:$A$482,"Til energi")+COUNTIFS('Resultater - Danmark'!$D$3:$D$482,'Resultat-Produktion &amp; forbrug'!A244,'Resultater - Danmark'!$A$3:$A$482,"Biogasanlæg")&gt;0,1,0)</f>
        <v>0</v>
      </c>
      <c r="D244" s="194">
        <f t="shared" si="74"/>
        <v>2050</v>
      </c>
      <c r="E244" s="192" t="s">
        <v>24</v>
      </c>
      <c r="F244" s="195">
        <f>IF(E244="Vestdanmark",SUMIFS(IF(D244=År1,'Resultater - Vestdanmark'!H$3:H$482,IF(D244=År2,'Resultater - Vestdanmark'!I$3:I$482,'Resultater - Vestdanmark'!J$3:J$482)),'Resultater - Vestdanmark'!$F$3:$F$482,$A244,IF(D244=År1,'Resultater - Vestdanmark'!H$3:H$482,IF(D244=År2,'Resultater - Vestdanmark'!I$3:I$482,'Resultater - Vestdanmark'!J$3:J$482)),"&gt;0"),SUMIFS(IF(D244=År1,'Resultater - Østdanmark'!H$3:H$482,IF(D244=År2,'Resultater - Østdanmark'!I$3:I$482,'Resultater - Østdanmark'!J$3:J$482)),'Resultater - Østdanmark'!$F$3:$F$482,$A244,IF(D244=År1,'Resultater - Østdanmark'!H$3:H$482,IF(D244=År2,'Resultater - Østdanmark'!I$3:I$482,'Resultater - Østdanmark'!J$3:J$482)),"&gt;0"))</f>
        <v>0</v>
      </c>
      <c r="G244" s="195" t="e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#REF!</v>
      </c>
      <c r="H244" s="192">
        <f>IF(E244="Vestdanmark",-IF(A244="Halm",SUMIFS(IF(D244=År1,'Resultater - Vestdanmark'!H$3:H$482,IF(D244=År2,'Resultater - Vestdanmark'!I$3:I$482,'Resultater - Vestdanmark'!J$3:J$482)),'Resultater - Vestdanmark'!$F$3:$F$482,$A244,'Resultater - Vestdanmark'!H$3:H$482,"&lt;0"),0),-IF(A244="Halm",SUMIFS(IF(D244=År1,'Resultater - Østdanmark'!H$3:H$482,IF(D244=År2,'Resultater - Østdanmark'!I$3:I$482,'Resultater - Østdanmark'!J$3:J$482)),'Resultater - Østdanmark'!$F$3:$F$482,$A244,'Resultater - Østdanmark'!H$3:H$482,"&lt;0"),0))</f>
        <v>0</v>
      </c>
      <c r="I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5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7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4" t="e">
        <f t="shared" si="62"/>
        <v>#REF!</v>
      </c>
      <c r="O244" s="195">
        <f t="shared" si="59"/>
        <v>0</v>
      </c>
      <c r="P244" s="205">
        <f t="shared" si="63"/>
        <v>0</v>
      </c>
      <c r="Q244" s="192">
        <f>IFERROR(VLOOKUP(A244,[1]Energiindhold!$A$2:$C$11,3,FALSE),IFERROR(VLOOKUP(A244,[1]Biogasudbytte!$A$2:$B$18,2,FALSE)*[1]Energiindhold!$C$10,0))*O244</f>
        <v>0</v>
      </c>
      <c r="R244" s="192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92">
        <f>IFERROR(VLOOKUP(A244,[1]Biogasudbytte!$A$2:$B$18,2,FALSE)*[1]Energiindhold!$C$10,0)*J244*IFERROR(VLOOKUP(A244,Biogasanlæg!$F$3:$G$8,2,FALSE),1)</f>
        <v>0</v>
      </c>
      <c r="T244" s="193">
        <f t="shared" si="64"/>
        <v>0</v>
      </c>
      <c r="U244" s="191">
        <f>O244*IFERROR(VLOOKUP(A244,[1]Tørstofindhold!A$2:B$24,2,FALSE),0)</f>
        <v>0</v>
      </c>
      <c r="V244" s="192">
        <f>IF(D244=År1,P244,SUM(O244,P244))*IFERROR(VLOOKUP(A244,[1]Tørstofindhold!A$2:B$24,2,FALSE),0)</f>
        <v>0</v>
      </c>
      <c r="W244" s="192">
        <f>J244*IFERROR(VLOOKUP(A244,[1]Tørstofindhold!A$2:B$24,2,FALSE),0)</f>
        <v>0</v>
      </c>
      <c r="X244" s="193">
        <f t="shared" si="65"/>
        <v>0</v>
      </c>
      <c r="Y244" s="171" t="e">
        <f t="shared" si="60"/>
        <v>#REF!</v>
      </c>
      <c r="Z244" s="103" t="e">
        <f t="shared" si="61"/>
        <v>#REF!</v>
      </c>
    </row>
    <row r="245" spans="1:26" x14ac:dyDescent="0.25">
      <c r="A245" s="194" t="str">
        <f t="shared" si="72"/>
        <v>Bioaffald</v>
      </c>
      <c r="B245" s="194" t="str">
        <f t="shared" si="73"/>
        <v>Bionedbrydeligt affald</v>
      </c>
      <c r="C245" s="194">
        <f>IF(COUNTIFS('Resultater - Danmark'!$D$3:$D$482,'Resultat-Produktion &amp; forbrug'!A245,'Resultater - Danmark'!$A$3:$A$482,"Til energi")+COUNTIFS('Resultater - Danmark'!$D$3:$D$482,'Resultat-Produktion &amp; forbrug'!A245,'Resultater - Danmark'!$A$3:$A$482,"Biogasanlæg")&gt;0,1,0)</f>
        <v>1</v>
      </c>
      <c r="D245" s="194">
        <f t="shared" si="74"/>
        <v>2050</v>
      </c>
      <c r="E245" s="192" t="s">
        <v>24</v>
      </c>
      <c r="F245" s="195">
        <f>IF(E245="Vestdanmark",SUMIFS(IF(D245=År1,'Resultater - Vestdanmark'!H$3:H$482,IF(D245=År2,'Resultater - Vestdanmark'!I$3:I$482,'Resultater - Vestdanmark'!J$3:J$482)),'Resultater - Vestdanmark'!$F$3:$F$482,$A245,IF(D245=År1,'Resultater - Vestdanmark'!H$3:H$482,IF(D245=År2,'Resultater - Vestdanmark'!I$3:I$482,'Resultater - Vestdanmark'!J$3:J$482)),"&gt;0"),SUMIFS(IF(D245=År1,'Resultater - Østdanmark'!H$3:H$482,IF(D245=År2,'Resultater - Østdanmark'!I$3:I$482,'Resultater - Østdanmark'!J$3:J$482)),'Resultater - Østdanmark'!$F$3:$F$482,$A245,IF(D245=År1,'Resultater - Østdanmark'!H$3:H$482,IF(D245=År2,'Resultater - Østdanmark'!I$3:I$482,'Resultater - Østdanmark'!J$3:J$482)),"&gt;0"))</f>
        <v>0</v>
      </c>
      <c r="G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92">
        <f>IF(E245="Vestdanmark",-IF(A245="Halm",SUMIFS(IF(D245=År1,'Resultater - Vestdanmark'!H$3:H$482,IF(D245=År2,'Resultater - Vestdanmark'!I$3:I$482,'Resultater - Vestdanmark'!J$3:J$482)),'Resultater - Vestdanmark'!$F$3:$F$482,$A245,'Resultater - Vestdanmark'!H$3:H$482,"&lt;0"),0),-IF(A245="Halm",SUMIFS(IF(D245=År1,'Resultater - Østdanmark'!H$3:H$482,IF(D245=År2,'Resultater - Østdanmark'!I$3:I$482,'Resultater - Østdanmark'!J$3:J$482)),'Resultater - Østdanmark'!$F$3:$F$482,$A245,'Resultater - Østdanmark'!H$3:H$482,"&lt;0"),0))</f>
        <v>0</v>
      </c>
      <c r="I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5" t="e">
        <f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#REF!</v>
      </c>
      <c r="K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5" t="e">
        <f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#REF!</v>
      </c>
      <c r="M245" s="157" t="e">
        <f>SUMIFS('Forbrug af biomasse'!E:E,'Forbrug af biomasse'!C:C,'Resultat-Produktion &amp; forbrug'!$A245,'Forbrug af biomasse'!D:D,'Resultat-Produktion &amp; forbrug'!$D245,'Forbrug af biomasse'!G:G,1,'Forbrug af biomasse'!B:B,$E245)</f>
        <v>#REF!</v>
      </c>
      <c r="N245" s="204" t="e">
        <f t="shared" si="62"/>
        <v>#REF!</v>
      </c>
      <c r="O245" s="195" t="e">
        <f t="shared" si="59"/>
        <v>#REF!</v>
      </c>
      <c r="P245" s="205" t="e">
        <f t="shared" si="63"/>
        <v>#REF!</v>
      </c>
      <c r="Q245" s="192" t="e">
        <f>IFERROR(VLOOKUP(A245,[1]Energiindhold!$A$2:$C$11,3,FALSE),IFERROR(VLOOKUP(A245,[1]Biogasudbytte!$A$2:$B$18,2,FALSE)*[1]Energiindhold!$C$10,0))*O245</f>
        <v>#REF!</v>
      </c>
      <c r="R245" s="192" t="e">
        <f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#REF!</v>
      </c>
      <c r="S245" s="192" t="e">
        <f>IFERROR(VLOOKUP(A245,[1]Biogasudbytte!$A$2:$B$18,2,FALSE)*[1]Energiindhold!$C$10,0)*J245*IFERROR(VLOOKUP(A245,Biogasanlæg!$F$3:$G$8,2,FALSE),1)</f>
        <v>#REF!</v>
      </c>
      <c r="T245" s="193" t="e">
        <f t="shared" si="64"/>
        <v>#REF!</v>
      </c>
      <c r="U245" s="191" t="e">
        <f>O245*IFERROR(VLOOKUP(A245,[1]Tørstofindhold!A$2:B$24,2,FALSE),0)</f>
        <v>#REF!</v>
      </c>
      <c r="V245" s="192" t="e">
        <f>IF(D245=År1,P245,SUM(O245,P245))*IFERROR(VLOOKUP(A245,[1]Tørstofindhold!A$2:B$24,2,FALSE),0)</f>
        <v>#REF!</v>
      </c>
      <c r="W245" s="192" t="e">
        <f>J245*IFERROR(VLOOKUP(A245,[1]Tørstofindhold!A$2:B$24,2,FALSE),0)</f>
        <v>#REF!</v>
      </c>
      <c r="X245" s="193" t="e">
        <f t="shared" si="65"/>
        <v>#REF!</v>
      </c>
      <c r="Y245" s="171" t="e">
        <f t="shared" si="60"/>
        <v>#REF!</v>
      </c>
      <c r="Z245" s="103" t="e">
        <f t="shared" si="61"/>
        <v>#REF!</v>
      </c>
    </row>
    <row r="246" spans="1:26" x14ac:dyDescent="0.25">
      <c r="A246" s="194" t="str">
        <f t="shared" si="72"/>
        <v>Biogas</v>
      </c>
      <c r="B246" s="194" t="str">
        <f t="shared" si="73"/>
        <v/>
      </c>
      <c r="C246" s="194">
        <f>IF(COUNTIFS('Resultater - Danmark'!$D$3:$D$482,'Resultat-Produktion &amp; forbrug'!A246,'Resultater - Danmark'!$A$3:$A$482,"Til energi")+COUNTIFS('Resultater - Danmark'!$D$3:$D$482,'Resultat-Produktion &amp; forbrug'!A246,'Resultater - Danmark'!$A$3:$A$482,"Biogasanlæg")&gt;0,1,0)</f>
        <v>1</v>
      </c>
      <c r="D246" s="194">
        <f t="shared" si="74"/>
        <v>2050</v>
      </c>
      <c r="E246" s="192" t="s">
        <v>24</v>
      </c>
      <c r="F246" s="195">
        <f>IF(E246="Vestdanmark",SUMIFS(IF(D246=År1,'Resultater - Vestdanmark'!H$3:H$482,IF(D246=År2,'Resultater - Vestdanmark'!I$3:I$482,'Resultater - Vestdanmark'!J$3:J$482)),'Resultater - Vestdanmark'!$F$3:$F$482,$A246,IF(D246=År1,'Resultater - Vestdanmark'!H$3:H$482,IF(D246=År2,'Resultater - Vestdanmark'!I$3:I$482,'Resultater - Vestdanmark'!J$3:J$482)),"&gt;0"),SUMIFS(IF(D246=År1,'Resultater - Østdanmark'!H$3:H$482,IF(D246=År2,'Resultater - Østdanmark'!I$3:I$482,'Resultater - Østdanmark'!J$3:J$482)),'Resultater - Østdanmark'!$F$3:$F$482,$A246,IF(D246=År1,'Resultater - Østdanmark'!H$3:H$482,IF(D246=År2,'Resultater - Østdanmark'!I$3:I$482,'Resultater - Østdanmark'!J$3:J$482)),"&gt;0"))</f>
        <v>12086250.624000002</v>
      </c>
      <c r="G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92">
        <f>IF(E246="Vestdanmark",-IF(A246="Halm",SUMIFS(IF(D246=År1,'Resultater - Vestdanmark'!H$3:H$482,IF(D246=År2,'Resultater - Vestdanmark'!I$3:I$482,'Resultater - Vestdanmark'!J$3:J$482)),'Resultater - Vestdanmark'!$F$3:$F$482,$A246,'Resultater - Vestdanmark'!H$3:H$482,"&lt;0"),0),-IF(A246="Halm",SUMIFS(IF(D246=År1,'Resultater - Østdanmark'!H$3:H$482,IF(D246=År2,'Resultater - Østdanmark'!I$3:I$482,'Resultater - Østdanmark'!J$3:J$482)),'Resultater - Østdanmark'!$F$3:$F$482,$A246,'Resultater - Østdanmark'!H$3:H$482,"&lt;0"),0))</f>
        <v>0</v>
      </c>
      <c r="I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5">
        <f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12086250.624000002</v>
      </c>
      <c r="M246" s="157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4">
        <f t="shared" si="62"/>
        <v>0</v>
      </c>
      <c r="O246" s="195">
        <f t="shared" si="59"/>
        <v>0</v>
      </c>
      <c r="P246" s="205">
        <f t="shared" si="63"/>
        <v>12086250.624000002</v>
      </c>
      <c r="Q246" s="192">
        <f>IFERROR(VLOOKUP(A246,[1]Energiindhold!$A$2:$C$11,3,FALSE),IFERROR(VLOOKUP(A246,[1]Biogasudbytte!$A$2:$B$18,2,FALSE)*[1]Energiindhold!$C$10,0))*O246</f>
        <v>0</v>
      </c>
      <c r="R246" s="192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92">
        <f>IFERROR(VLOOKUP(A246,[1]Biogasudbytte!$A$2:$B$18,2,FALSE)*[1]Energiindhold!$C$10,0)*J246*IFERROR(VLOOKUP(A246,Biogasanlæg!$F$3:$G$8,2,FALSE),1)</f>
        <v>0</v>
      </c>
      <c r="T246" s="193">
        <f t="shared" si="64"/>
        <v>0</v>
      </c>
      <c r="U246" s="191">
        <f>O246*IFERROR(VLOOKUP(A246,[1]Tørstofindhold!A$2:B$24,2,FALSE),0)</f>
        <v>0</v>
      </c>
      <c r="V246" s="192">
        <f>IF(D246=År1,P246,SUM(O246,P246))*IFERROR(VLOOKUP(A246,[1]Tørstofindhold!A$2:B$24,2,FALSE),0)</f>
        <v>0</v>
      </c>
      <c r="W246" s="192">
        <f>J246*IFERROR(VLOOKUP(A246,[1]Tørstofindhold!A$2:B$24,2,FALSE),0)</f>
        <v>0</v>
      </c>
      <c r="X246" s="193">
        <f t="shared" si="65"/>
        <v>0</v>
      </c>
      <c r="Y246" s="171">
        <f t="shared" si="60"/>
        <v>0</v>
      </c>
      <c r="Z246" s="103">
        <f t="shared" si="61"/>
        <v>0</v>
      </c>
    </row>
    <row r="247" spans="1:26" x14ac:dyDescent="0.25">
      <c r="A247" s="194" t="str">
        <f t="shared" si="72"/>
        <v>Biogasgylle</v>
      </c>
      <c r="B247" s="194" t="str">
        <f t="shared" si="73"/>
        <v/>
      </c>
      <c r="C247" s="194">
        <f>IF(COUNTIFS('Resultater - Danmark'!$D$3:$D$482,'Resultat-Produktion &amp; forbrug'!A247,'Resultater - Danmark'!$A$3:$A$482,"Til energi")+COUNTIFS('Resultater - Danmark'!$D$3:$D$482,'Resultat-Produktion &amp; forbrug'!A247,'Resultater - Danmark'!$A$3:$A$482,"Biogasanlæg")&gt;0,1,0)</f>
        <v>0</v>
      </c>
      <c r="D247" s="194">
        <f t="shared" si="74"/>
        <v>2050</v>
      </c>
      <c r="E247" s="192" t="s">
        <v>24</v>
      </c>
      <c r="F247" s="195">
        <f>IF(E247="Vestdanmark",SUMIFS(IF(D247=År1,'Resultater - Vestdanmark'!H$3:H$482,IF(D247=År2,'Resultater - Vestdanmark'!I$3:I$482,'Resultater - Vestdanmark'!J$3:J$482)),'Resultater - Vestdanmark'!$F$3:$F$482,$A247,IF(D247=År1,'Resultater - Vestdanmark'!H$3:H$482,IF(D247=År2,'Resultater - Vestdanmark'!I$3:I$482,'Resultater - Vestdanmark'!J$3:J$482)),"&gt;0"),SUMIFS(IF(D247=År1,'Resultater - Østdanmark'!H$3:H$482,IF(D247=År2,'Resultater - Østdanmark'!I$3:I$482,'Resultater - Østdanmark'!J$3:J$482)),'Resultater - Østdanmark'!$F$3:$F$482,$A247,IF(D247=År1,'Resultater - Østdanmark'!H$3:H$482,IF(D247=År2,'Resultater - Østdanmark'!I$3:I$482,'Resultater - Østdanmark'!J$3:J$482)),"&gt;0"))</f>
        <v>0</v>
      </c>
      <c r="G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92">
        <f>IF(E247="Vestdanmark",-IF(A247="Halm",SUMIFS(IF(D247=År1,'Resultater - Vestdanmark'!H$3:H$482,IF(D247=År2,'Resultater - Vestdanmark'!I$3:I$482,'Resultater - Vestdanmark'!J$3:J$482)),'Resultater - Vestdanmark'!$F$3:$F$482,$A247,'Resultater - Vestdanmark'!H$3:H$482,"&lt;0"),0),-IF(A247="Halm",SUMIFS(IF(D247=År1,'Resultater - Østdanmark'!H$3:H$482,IF(D247=År2,'Resultater - Østdanmark'!I$3:I$482,'Resultater - Østdanmark'!J$3:J$482)),'Resultater - Østdanmark'!$F$3:$F$482,$A247,'Resultater - Østdanmark'!H$3:H$482,"&lt;0"),0))</f>
        <v>0</v>
      </c>
      <c r="I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5" t="e">
        <f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#REF!</v>
      </c>
      <c r="L247" s="195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7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4" t="e">
        <f t="shared" si="62"/>
        <v>#REF!</v>
      </c>
      <c r="O247" s="195">
        <f t="shared" si="59"/>
        <v>0</v>
      </c>
      <c r="P247" s="205">
        <f t="shared" si="63"/>
        <v>0</v>
      </c>
      <c r="Q247" s="192">
        <f>IFERROR(VLOOKUP(A247,[1]Energiindhold!$A$2:$C$11,3,FALSE),IFERROR(VLOOKUP(A247,[1]Biogasudbytte!$A$2:$B$18,2,FALSE)*[1]Energiindhold!$C$10,0))*O247</f>
        <v>0</v>
      </c>
      <c r="R247" s="192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92">
        <f>IFERROR(VLOOKUP(A247,[1]Biogasudbytte!$A$2:$B$18,2,FALSE)*[1]Energiindhold!$C$10,0)*J247*IFERROR(VLOOKUP(A247,Biogasanlæg!$F$3:$G$8,2,FALSE),1)</f>
        <v>0</v>
      </c>
      <c r="T247" s="193">
        <f t="shared" si="64"/>
        <v>0</v>
      </c>
      <c r="U247" s="191">
        <f>O247*IFERROR(VLOOKUP(A247,[1]Tørstofindhold!A$2:B$24,2,FALSE),0)</f>
        <v>0</v>
      </c>
      <c r="V247" s="192">
        <f>IF(D247=År1,P247,SUM(O247,P247))*IFERROR(VLOOKUP(A247,[1]Tørstofindhold!A$2:B$24,2,FALSE),0)</f>
        <v>0</v>
      </c>
      <c r="W247" s="192">
        <f>J247*IFERROR(VLOOKUP(A247,[1]Tørstofindhold!A$2:B$24,2,FALSE),0)</f>
        <v>0</v>
      </c>
      <c r="X247" s="193">
        <f t="shared" si="65"/>
        <v>0</v>
      </c>
      <c r="Y247" s="171" t="e">
        <f t="shared" si="60"/>
        <v>#REF!</v>
      </c>
      <c r="Z247" s="103" t="e">
        <f t="shared" si="61"/>
        <v>#REF!</v>
      </c>
    </row>
    <row r="248" spans="1:26" x14ac:dyDescent="0.25">
      <c r="A248" s="194" t="str">
        <f t="shared" si="72"/>
        <v>Brun saft</v>
      </c>
      <c r="B248" s="194" t="str">
        <f t="shared" si="73"/>
        <v>Bionedbrydeligt affald</v>
      </c>
      <c r="C248" s="194">
        <f>IF(COUNTIFS('Resultater - Danmark'!$D$3:$D$482,'Resultat-Produktion &amp; forbrug'!A248,'Resultater - Danmark'!$A$3:$A$482,"Til energi")+COUNTIFS('Resultater - Danmark'!$D$3:$D$482,'Resultat-Produktion &amp; forbrug'!A248,'Resultater - Danmark'!$A$3:$A$482,"Biogasanlæg")&gt;0,1,0)</f>
        <v>1</v>
      </c>
      <c r="D248" s="194">
        <f t="shared" si="74"/>
        <v>2050</v>
      </c>
      <c r="E248" s="192" t="s">
        <v>24</v>
      </c>
      <c r="F248" s="195">
        <f>IF(E248="Vestdanmark",SUMIFS(IF(D248=År1,'Resultater - Vestdanmark'!H$3:H$482,IF(D248=År2,'Resultater - Vestdanmark'!I$3:I$482,'Resultater - Vestdanmark'!J$3:J$482)),'Resultater - Vestdanmark'!$F$3:$F$482,$A248,IF(D248=År1,'Resultater - Vestdanmark'!H$3:H$482,IF(D248=År2,'Resultater - Vestdanmark'!I$3:I$482,'Resultater - Vestdanmark'!J$3:J$482)),"&gt;0"),SUMIFS(IF(D248=År1,'Resultater - Østdanmark'!H$3:H$482,IF(D248=År2,'Resultater - Østdanmark'!I$3:I$482,'Resultater - Østdanmark'!J$3:J$482)),'Resultater - Østdanmark'!$F$3:$F$482,$A248,IF(D248=År1,'Resultater - Østdanmark'!H$3:H$482,IF(D248=År2,'Resultater - Østdanmark'!I$3:I$482,'Resultater - Østdanmark'!J$3:J$482)),"&gt;0"))</f>
        <v>0</v>
      </c>
      <c r="G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92">
        <f>IF(E248="Vestdanmark",-IF(A248="Halm",SUMIFS(IF(D248=År1,'Resultater - Vestdanmark'!H$3:H$482,IF(D248=År2,'Resultater - Vestdanmark'!I$3:I$482,'Resultater - Vestdanmark'!J$3:J$482)),'Resultater - Vestdanmark'!$F$3:$F$482,$A248,'Resultater - Vestdanmark'!H$3:H$482,"&lt;0"),0),-IF(A248="Halm",SUMIFS(IF(D248=År1,'Resultater - Østdanmark'!H$3:H$482,IF(D248=År2,'Resultater - Østdanmark'!I$3:I$482,'Resultater - Østdanmark'!J$3:J$482)),'Resultater - Østdanmark'!$F$3:$F$482,$A248,'Resultater - Østdanmark'!H$3:H$482,"&lt;0"),0))</f>
        <v>0</v>
      </c>
      <c r="I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5" t="e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#REF!</v>
      </c>
      <c r="K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5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7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4" t="e">
        <f t="shared" si="62"/>
        <v>#REF!</v>
      </c>
      <c r="O248" s="195" t="e">
        <f t="shared" si="59"/>
        <v>#REF!</v>
      </c>
      <c r="P248" s="205" t="e">
        <f t="shared" si="63"/>
        <v>#REF!</v>
      </c>
      <c r="Q248" s="192" t="e">
        <f>IFERROR(VLOOKUP(A248,[1]Energiindhold!$A$2:$C$11,3,FALSE),IFERROR(VLOOKUP(A248,[1]Biogasudbytte!$A$2:$B$18,2,FALSE)*[1]Energiindhold!$C$10,0))*O248</f>
        <v>#REF!</v>
      </c>
      <c r="R248" s="192" t="e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#REF!</v>
      </c>
      <c r="S248" s="192" t="e">
        <f>IFERROR(VLOOKUP(A248,[1]Biogasudbytte!$A$2:$B$18,2,FALSE)*[1]Energiindhold!$C$10,0)*J248*IFERROR(VLOOKUP(A248,Biogasanlæg!$F$3:$G$8,2,FALSE),1)</f>
        <v>#REF!</v>
      </c>
      <c r="T248" s="193" t="e">
        <f t="shared" si="64"/>
        <v>#REF!</v>
      </c>
      <c r="U248" s="191" t="e">
        <f>O248*IFERROR(VLOOKUP(A248,[1]Tørstofindhold!A$2:B$24,2,FALSE),0)</f>
        <v>#REF!</v>
      </c>
      <c r="V248" s="192" t="e">
        <f>IF(D248=År1,P248,SUM(O248,P248))*IFERROR(VLOOKUP(A248,[1]Tørstofindhold!A$2:B$24,2,FALSE),0)</f>
        <v>#REF!</v>
      </c>
      <c r="W248" s="192" t="e">
        <f>J248*IFERROR(VLOOKUP(A248,[1]Tørstofindhold!A$2:B$24,2,FALSE),0)</f>
        <v>#REF!</v>
      </c>
      <c r="X248" s="193" t="e">
        <f t="shared" si="65"/>
        <v>#REF!</v>
      </c>
      <c r="Y248" s="171" t="e">
        <f t="shared" si="60"/>
        <v>#REF!</v>
      </c>
      <c r="Z248" s="103" t="e">
        <f t="shared" si="61"/>
        <v>#REF!</v>
      </c>
    </row>
    <row r="249" spans="1:26" x14ac:dyDescent="0.25">
      <c r="A249" s="194" t="str">
        <f t="shared" si="72"/>
        <v>Dybstrøelse</v>
      </c>
      <c r="B249" s="194" t="str">
        <f t="shared" si="73"/>
        <v>Husdyrgødning</v>
      </c>
      <c r="C249" s="194">
        <f>IF(COUNTIFS('Resultater - Danmark'!$D$3:$D$482,'Resultat-Produktion &amp; forbrug'!A249,'Resultater - Danmark'!$A$3:$A$482,"Til energi")+COUNTIFS('Resultater - Danmark'!$D$3:$D$482,'Resultat-Produktion &amp; forbrug'!A249,'Resultater - Danmark'!$A$3:$A$482,"Biogasanlæg")&gt;0,1,0)</f>
        <v>1</v>
      </c>
      <c r="D249" s="194">
        <f t="shared" si="74"/>
        <v>2050</v>
      </c>
      <c r="E249" s="192" t="s">
        <v>24</v>
      </c>
      <c r="F249" s="195">
        <f>IF(E249="Vestdanmark",SUMIFS(IF(D249=År1,'Resultater - Vestdanmark'!H$3:H$482,IF(D249=År2,'Resultater - Vestdanmark'!I$3:I$482,'Resultater - Vestdanmark'!J$3:J$482)),'Resultater - Vestdanmark'!$F$3:$F$482,$A249,IF(D249=År1,'Resultater - Vestdanmark'!H$3:H$482,IF(D249=År2,'Resultater - Vestdanmark'!I$3:I$482,'Resultater - Vestdanmark'!J$3:J$482)),"&gt;0"),SUMIFS(IF(D249=År1,'Resultater - Østdanmark'!H$3:H$482,IF(D249=År2,'Resultater - Østdanmark'!I$3:I$482,'Resultater - Østdanmark'!J$3:J$482)),'Resultater - Østdanmark'!$F$3:$F$482,$A249,IF(D249=År1,'Resultater - Østdanmark'!H$3:H$482,IF(D249=År2,'Resultater - Østdanmark'!I$3:I$482,'Resultater - Østdanmark'!J$3:J$482)),"&gt;0"))</f>
        <v>0</v>
      </c>
      <c r="G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92">
        <f>IF(E249="Vestdanmark",-IF(A249="Halm",SUMIFS(IF(D249=År1,'Resultater - Vestdanmark'!H$3:H$482,IF(D249=År2,'Resultater - Vestdanmark'!I$3:I$482,'Resultater - Vestdanmark'!J$3:J$482)),'Resultater - Vestdanmark'!$F$3:$F$482,$A249,'Resultater - Vestdanmark'!H$3:H$482,"&lt;0"),0),-IF(A249="Halm",SUMIFS(IF(D249=År1,'Resultater - Østdanmark'!H$3:H$482,IF(D249=År2,'Resultater - Østdanmark'!I$3:I$482,'Resultater - Østdanmark'!J$3:J$482)),'Resultater - Østdanmark'!$F$3:$F$482,$A249,'Resultater - Østdanmark'!H$3:H$482,"&lt;0"),0))</f>
        <v>0</v>
      </c>
      <c r="I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5" t="e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#REF!</v>
      </c>
      <c r="K249" s="195" t="e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#REF!</v>
      </c>
      <c r="L249" s="195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7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4" t="e">
        <f t="shared" si="62"/>
        <v>#REF!</v>
      </c>
      <c r="O249" s="195" t="e">
        <f t="shared" si="59"/>
        <v>#REF!</v>
      </c>
      <c r="P249" s="205" t="e">
        <f t="shared" si="63"/>
        <v>#REF!</v>
      </c>
      <c r="Q249" s="192" t="e">
        <f>IFERROR(VLOOKUP(A249,[1]Energiindhold!$A$2:$C$11,3,FALSE),IFERROR(VLOOKUP(A249,[1]Biogasudbytte!$A$2:$B$18,2,FALSE)*[1]Energiindhold!$C$10,0))*O249</f>
        <v>#REF!</v>
      </c>
      <c r="R249" s="192" t="e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#REF!</v>
      </c>
      <c r="S249" s="192" t="e">
        <f>IFERROR(VLOOKUP(A249,[1]Biogasudbytte!$A$2:$B$18,2,FALSE)*[1]Energiindhold!$C$10,0)*J249*IFERROR(VLOOKUP(A249,Biogasanlæg!$F$3:$G$8,2,FALSE),1)</f>
        <v>#REF!</v>
      </c>
      <c r="T249" s="193" t="e">
        <f t="shared" si="64"/>
        <v>#REF!</v>
      </c>
      <c r="U249" s="191" t="e">
        <f>O249*IFERROR(VLOOKUP(A249,[1]Tørstofindhold!A$2:B$24,2,FALSE),0)</f>
        <v>#REF!</v>
      </c>
      <c r="V249" s="192" t="e">
        <f>IF(D249=År1,P249,SUM(O249,P249))*IFERROR(VLOOKUP(A249,[1]Tørstofindhold!A$2:B$24,2,FALSE),0)</f>
        <v>#REF!</v>
      </c>
      <c r="W249" s="192" t="e">
        <f>J249*IFERROR(VLOOKUP(A249,[1]Tørstofindhold!A$2:B$24,2,FALSE),0)</f>
        <v>#REF!</v>
      </c>
      <c r="X249" s="193" t="e">
        <f t="shared" si="65"/>
        <v>#REF!</v>
      </c>
      <c r="Y249" s="171" t="e">
        <f t="shared" si="60"/>
        <v>#REF!</v>
      </c>
      <c r="Z249" s="103" t="e">
        <f t="shared" si="61"/>
        <v>#REF!</v>
      </c>
    </row>
    <row r="250" spans="1:26" x14ac:dyDescent="0.25">
      <c r="A250" s="194" t="str">
        <f t="shared" si="72"/>
        <v>Fiberfraktion</v>
      </c>
      <c r="B250" s="194" t="str">
        <f t="shared" si="73"/>
        <v/>
      </c>
      <c r="C250" s="194">
        <f>IF(COUNTIFS('Resultater - Danmark'!$D$3:$D$482,'Resultat-Produktion &amp; forbrug'!A250,'Resultater - Danmark'!$A$3:$A$482,"Til energi")+COUNTIFS('Resultater - Danmark'!$D$3:$D$482,'Resultat-Produktion &amp; forbrug'!A250,'Resultater - Danmark'!$A$3:$A$482,"Biogasanlæg")&gt;0,1,0)</f>
        <v>0</v>
      </c>
      <c r="D250" s="194">
        <f t="shared" si="74"/>
        <v>2050</v>
      </c>
      <c r="E250" s="192" t="s">
        <v>24</v>
      </c>
      <c r="F250" s="195">
        <f>IF(E250="Vestdanmark",SUMIFS(IF(D250=År1,'Resultater - Vestdanmark'!H$3:H$482,IF(D250=År2,'Resultater - Vestdanmark'!I$3:I$482,'Resultater - Vestdanmark'!J$3:J$482)),'Resultater - Vestdanmark'!$F$3:$F$482,$A250,IF(D250=År1,'Resultater - Vestdanmark'!H$3:H$482,IF(D250=År2,'Resultater - Vestdanmark'!I$3:I$482,'Resultater - Vestdanmark'!J$3:J$482)),"&gt;0"),SUMIFS(IF(D250=År1,'Resultater - Østdanmark'!H$3:H$482,IF(D250=År2,'Resultater - Østdanmark'!I$3:I$482,'Resultater - Østdanmark'!J$3:J$482)),'Resultater - Østdanmark'!$F$3:$F$482,$A250,IF(D250=År1,'Resultater - Østdanmark'!H$3:H$482,IF(D250=År2,'Resultater - Østdanmark'!I$3:I$482,'Resultater - Østdanmark'!J$3:J$482)),"&gt;0"))</f>
        <v>0</v>
      </c>
      <c r="G250" s="195" t="e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#REF!</v>
      </c>
      <c r="H250" s="192">
        <f>IF(E250="Vestdanmark",-IF(A250="Halm",SUMIFS(IF(D250=År1,'Resultater - Vestdanmark'!H$3:H$482,IF(D250=År2,'Resultater - Vestdanmark'!I$3:I$482,'Resultater - Vestdanmark'!J$3:J$482)),'Resultater - Vestdanmark'!$F$3:$F$482,$A250,'Resultater - Vestdanmark'!H$3:H$482,"&lt;0"),0),-IF(A250="Halm",SUMIFS(IF(D250=År1,'Resultater - Østdanmark'!H$3:H$482,IF(D250=År2,'Resultater - Østdanmark'!I$3:I$482,'Resultater - Østdanmark'!J$3:J$482)),'Resultater - Østdanmark'!$F$3:$F$482,$A250,'Resultater - Østdanmark'!H$3:H$482,"&lt;0"),0))</f>
        <v>0</v>
      </c>
      <c r="I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5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7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4" t="e">
        <f t="shared" si="62"/>
        <v>#REF!</v>
      </c>
      <c r="O250" s="195">
        <f t="shared" si="59"/>
        <v>0</v>
      </c>
      <c r="P250" s="205">
        <f t="shared" si="63"/>
        <v>0</v>
      </c>
      <c r="Q250" s="192">
        <f>IFERROR(VLOOKUP(A250,[1]Energiindhold!$A$2:$C$11,3,FALSE),IFERROR(VLOOKUP(A250,[1]Biogasudbytte!$A$2:$B$18,2,FALSE)*[1]Energiindhold!$C$10,0))*O250</f>
        <v>0</v>
      </c>
      <c r="R250" s="192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92">
        <f>IFERROR(VLOOKUP(A250,[1]Biogasudbytte!$A$2:$B$18,2,FALSE)*[1]Energiindhold!$C$10,0)*J250*IFERROR(VLOOKUP(A250,Biogasanlæg!$F$3:$G$8,2,FALSE),1)</f>
        <v>0</v>
      </c>
      <c r="T250" s="193">
        <f t="shared" si="64"/>
        <v>0</v>
      </c>
      <c r="U250" s="191">
        <f>O250*IFERROR(VLOOKUP(A250,[1]Tørstofindhold!A$2:B$24,2,FALSE),0)</f>
        <v>0</v>
      </c>
      <c r="V250" s="192">
        <f>IF(D250=År1,P250,SUM(O250,P250))*IFERROR(VLOOKUP(A250,[1]Tørstofindhold!A$2:B$24,2,FALSE),0)</f>
        <v>0</v>
      </c>
      <c r="W250" s="192">
        <f>J250*IFERROR(VLOOKUP(A250,[1]Tørstofindhold!A$2:B$24,2,FALSE),0)</f>
        <v>0</v>
      </c>
      <c r="X250" s="193">
        <f t="shared" si="65"/>
        <v>0</v>
      </c>
      <c r="Y250" s="171" t="e">
        <f t="shared" si="60"/>
        <v>#REF!</v>
      </c>
      <c r="Z250" s="103" t="e">
        <f t="shared" si="61"/>
        <v>#REF!</v>
      </c>
    </row>
    <row r="251" spans="1:26" x14ac:dyDescent="0.25">
      <c r="A251" s="194" t="str">
        <f t="shared" si="72"/>
        <v>Fjerkrægylle</v>
      </c>
      <c r="B251" s="194" t="str">
        <f t="shared" si="73"/>
        <v>Husdyrgødning</v>
      </c>
      <c r="C251" s="194">
        <f>IF(COUNTIFS('Resultater - Danmark'!$D$3:$D$482,'Resultat-Produktion &amp; forbrug'!A251,'Resultater - Danmark'!$A$3:$A$482,"Til energi")+COUNTIFS('Resultater - Danmark'!$D$3:$D$482,'Resultat-Produktion &amp; forbrug'!A251,'Resultater - Danmark'!$A$3:$A$482,"Biogasanlæg")&gt;0,1,0)</f>
        <v>1</v>
      </c>
      <c r="D251" s="194">
        <f t="shared" si="74"/>
        <v>2050</v>
      </c>
      <c r="E251" s="192" t="s">
        <v>24</v>
      </c>
      <c r="F251" s="195">
        <f>IF(E251="Vestdanmark",SUMIFS(IF(D251=År1,'Resultater - Vestdanmark'!H$3:H$482,IF(D251=År2,'Resultater - Vestdanmark'!I$3:I$482,'Resultater - Vestdanmark'!J$3:J$482)),'Resultater - Vestdanmark'!$F$3:$F$482,$A251,IF(D251=År1,'Resultater - Vestdanmark'!H$3:H$482,IF(D251=År2,'Resultater - Vestdanmark'!I$3:I$482,'Resultater - Vestdanmark'!J$3:J$482)),"&gt;0"),SUMIFS(IF(D251=År1,'Resultater - Østdanmark'!H$3:H$482,IF(D251=År2,'Resultater - Østdanmark'!I$3:I$482,'Resultater - Østdanmark'!J$3:J$482)),'Resultater - Østdanmark'!$F$3:$F$482,$A251,IF(D251=År1,'Resultater - Østdanmark'!H$3:H$482,IF(D251=År2,'Resultater - Østdanmark'!I$3:I$482,'Resultater - Østdanmark'!J$3:J$482)),"&gt;0"))</f>
        <v>0</v>
      </c>
      <c r="G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92">
        <f>IF(E251="Vestdanmark",-IF(A251="Halm",SUMIFS(IF(D251=År1,'Resultater - Vestdanmark'!H$3:H$482,IF(D251=År2,'Resultater - Vestdanmark'!I$3:I$482,'Resultater - Vestdanmark'!J$3:J$482)),'Resultater - Vestdanmark'!$F$3:$F$482,$A251,'Resultater - Vestdanmark'!H$3:H$482,"&lt;0"),0),-IF(A251="Halm",SUMIFS(IF(D251=År1,'Resultater - Østdanmark'!H$3:H$482,IF(D251=År2,'Resultater - Østdanmark'!I$3:I$482,'Resultater - Østdanmark'!J$3:J$482)),'Resultater - Østdanmark'!$F$3:$F$482,$A251,'Resultater - Østdanmark'!H$3:H$482,"&lt;0"),0))</f>
        <v>0</v>
      </c>
      <c r="I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5" t="e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#REF!</v>
      </c>
      <c r="K251" s="195" t="e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#REF!</v>
      </c>
      <c r="L251" s="195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7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4" t="e">
        <f t="shared" si="62"/>
        <v>#REF!</v>
      </c>
      <c r="O251" s="195" t="e">
        <f t="shared" si="59"/>
        <v>#REF!</v>
      </c>
      <c r="P251" s="205" t="e">
        <f t="shared" si="63"/>
        <v>#REF!</v>
      </c>
      <c r="Q251" s="192" t="e">
        <f>IFERROR(VLOOKUP(A251,[1]Energiindhold!$A$2:$C$11,3,FALSE),IFERROR(VLOOKUP(A251,[1]Biogasudbytte!$A$2:$B$18,2,FALSE)*[1]Energiindhold!$C$10,0))*O251</f>
        <v>#REF!</v>
      </c>
      <c r="R251" s="192" t="e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#REF!</v>
      </c>
      <c r="S251" s="192" t="e">
        <f>IFERROR(VLOOKUP(A251,[1]Biogasudbytte!$A$2:$B$18,2,FALSE)*[1]Energiindhold!$C$10,0)*J251*IFERROR(VLOOKUP(A251,Biogasanlæg!$F$3:$G$8,2,FALSE),1)</f>
        <v>#REF!</v>
      </c>
      <c r="T251" s="193" t="e">
        <f t="shared" si="64"/>
        <v>#REF!</v>
      </c>
      <c r="U251" s="191" t="e">
        <f>O251*IFERROR(VLOOKUP(A251,[1]Tørstofindhold!A$2:B$24,2,FALSE),0)</f>
        <v>#REF!</v>
      </c>
      <c r="V251" s="192" t="e">
        <f>IF(D251=År1,P251,SUM(O251,P251))*IFERROR(VLOOKUP(A251,[1]Tørstofindhold!A$2:B$24,2,FALSE),0)</f>
        <v>#REF!</v>
      </c>
      <c r="W251" s="192" t="e">
        <f>J251*IFERROR(VLOOKUP(A251,[1]Tørstofindhold!A$2:B$24,2,FALSE),0)</f>
        <v>#REF!</v>
      </c>
      <c r="X251" s="193" t="e">
        <f t="shared" si="65"/>
        <v>#REF!</v>
      </c>
      <c r="Y251" s="171" t="e">
        <f t="shared" si="60"/>
        <v>#REF!</v>
      </c>
      <c r="Z251" s="103" t="e">
        <f t="shared" si="61"/>
        <v>#REF!</v>
      </c>
    </row>
    <row r="252" spans="1:26" x14ac:dyDescent="0.25">
      <c r="A252" s="194" t="str">
        <f t="shared" si="72"/>
        <v>Fjerkrækød</v>
      </c>
      <c r="B252" s="194" t="str">
        <f t="shared" si="73"/>
        <v/>
      </c>
      <c r="C252" s="194">
        <f>IF(COUNTIFS('Resultater - Danmark'!$D$3:$D$482,'Resultat-Produktion &amp; forbrug'!A252,'Resultater - Danmark'!$A$3:$A$482,"Til energi")+COUNTIFS('Resultater - Danmark'!$D$3:$D$482,'Resultat-Produktion &amp; forbrug'!A252,'Resultater - Danmark'!$A$3:$A$482,"Biogasanlæg")&gt;0,1,0)</f>
        <v>0</v>
      </c>
      <c r="D252" s="194">
        <f t="shared" si="74"/>
        <v>2050</v>
      </c>
      <c r="E252" s="192" t="s">
        <v>24</v>
      </c>
      <c r="F252" s="195">
        <f>IF(E252="Vestdanmark",SUMIFS(IF(D252=År1,'Resultater - Vestdanmark'!H$3:H$482,IF(D252=År2,'Resultater - Vestdanmark'!I$3:I$482,'Resultater - Vestdanmark'!J$3:J$482)),'Resultater - Vestdanmark'!$F$3:$F$482,$A252,IF(D252=År1,'Resultater - Vestdanmark'!H$3:H$482,IF(D252=År2,'Resultater - Vestdanmark'!I$3:I$482,'Resultater - Vestdanmark'!J$3:J$482)),"&gt;0"),SUMIFS(IF(D252=År1,'Resultater - Østdanmark'!H$3:H$482,IF(D252=År2,'Resultater - Østdanmark'!I$3:I$482,'Resultater - Østdanmark'!J$3:J$482)),'Resultater - Østdanmark'!$F$3:$F$482,$A252,IF(D252=År1,'Resultater - Østdanmark'!H$3:H$482,IF(D252=År2,'Resultater - Østdanmark'!I$3:I$482,'Resultater - Østdanmark'!J$3:J$482)),"&gt;0"))</f>
        <v>0</v>
      </c>
      <c r="G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92">
        <f>IF(E252="Vestdanmark",-IF(A252="Halm",SUMIFS(IF(D252=År1,'Resultater - Vestdanmark'!H$3:H$482,IF(D252=År2,'Resultater - Vestdanmark'!I$3:I$482,'Resultater - Vestdanmark'!J$3:J$482)),'Resultater - Vestdanmark'!$F$3:$F$482,$A252,'Resultater - Vestdanmark'!H$3:H$482,"&lt;0"),0),-IF(A252="Halm",SUMIFS(IF(D252=År1,'Resultater - Østdanmark'!H$3:H$482,IF(D252=År2,'Resultater - Østdanmark'!I$3:I$482,'Resultater - Østdanmark'!J$3:J$482)),'Resultater - Østdanmark'!$F$3:$F$482,$A252,'Resultater - Østdanmark'!H$3:H$482,"&lt;0"),0))</f>
        <v>0</v>
      </c>
      <c r="I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5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7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4">
        <f t="shared" si="62"/>
        <v>-31993.002188443785</v>
      </c>
      <c r="O252" s="195">
        <f t="shared" si="59"/>
        <v>0</v>
      </c>
      <c r="P252" s="205">
        <f t="shared" si="63"/>
        <v>0</v>
      </c>
      <c r="Q252" s="192">
        <f>IFERROR(VLOOKUP(A252,[1]Energiindhold!$A$2:$C$11,3,FALSE),IFERROR(VLOOKUP(A252,[1]Biogasudbytte!$A$2:$B$18,2,FALSE)*[1]Energiindhold!$C$10,0))*O252</f>
        <v>0</v>
      </c>
      <c r="R252" s="192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92">
        <f>IFERROR(VLOOKUP(A252,[1]Biogasudbytte!$A$2:$B$18,2,FALSE)*[1]Energiindhold!$C$10,0)*J252*IFERROR(VLOOKUP(A252,Biogasanlæg!$F$3:$G$8,2,FALSE),1)</f>
        <v>0</v>
      </c>
      <c r="T252" s="193">
        <f t="shared" si="64"/>
        <v>0</v>
      </c>
      <c r="U252" s="191">
        <f>O252*IFERROR(VLOOKUP(A252,[1]Tørstofindhold!A$2:B$24,2,FALSE),0)</f>
        <v>0</v>
      </c>
      <c r="V252" s="192">
        <f>IF(D252=År1,P252,SUM(O252,P252))*IFERROR(VLOOKUP(A252,[1]Tørstofindhold!A$2:B$24,2,FALSE),0)</f>
        <v>0</v>
      </c>
      <c r="W252" s="192">
        <f>J252*IFERROR(VLOOKUP(A252,[1]Tørstofindhold!A$2:B$24,2,FALSE),0)</f>
        <v>0</v>
      </c>
      <c r="X252" s="193">
        <f t="shared" si="65"/>
        <v>0</v>
      </c>
      <c r="Y252" s="171">
        <f t="shared" si="60"/>
        <v>1</v>
      </c>
      <c r="Z252" s="103">
        <f t="shared" si="61"/>
        <v>0</v>
      </c>
    </row>
    <row r="253" spans="1:26" x14ac:dyDescent="0.25">
      <c r="A253" s="194" t="str">
        <f t="shared" si="72"/>
        <v>Frø</v>
      </c>
      <c r="B253" s="194" t="str">
        <f t="shared" si="73"/>
        <v/>
      </c>
      <c r="C253" s="194">
        <f>IF(COUNTIFS('Resultater - Danmark'!$D$3:$D$482,'Resultat-Produktion &amp; forbrug'!A253,'Resultater - Danmark'!$A$3:$A$482,"Til energi")+COUNTIFS('Resultater - Danmark'!$D$3:$D$482,'Resultat-Produktion &amp; forbrug'!A253,'Resultater - Danmark'!$A$3:$A$482,"Biogasanlæg")&gt;0,1,0)</f>
        <v>0</v>
      </c>
      <c r="D253" s="194">
        <f t="shared" si="74"/>
        <v>2050</v>
      </c>
      <c r="E253" s="192" t="s">
        <v>24</v>
      </c>
      <c r="F253" s="195">
        <f>IF(E253="Vestdanmark",SUMIFS(IF(D253=År1,'Resultater - Vestdanmark'!H$3:H$482,IF(D253=År2,'Resultater - Vestdanmark'!I$3:I$482,'Resultater - Vestdanmark'!J$3:J$482)),'Resultater - Vestdanmark'!$F$3:$F$482,$A253,IF(D253=År1,'Resultater - Vestdanmark'!H$3:H$482,IF(D253=År2,'Resultater - Vestdanmark'!I$3:I$482,'Resultater - Vestdanmark'!J$3:J$482)),"&gt;0"),SUMIFS(IF(D253=År1,'Resultater - Østdanmark'!H$3:H$482,IF(D253=År2,'Resultater - Østdanmark'!I$3:I$482,'Resultater - Østdanmark'!J$3:J$482)),'Resultater - Østdanmark'!$F$3:$F$482,$A253,IF(D253=År1,'Resultater - Østdanmark'!H$3:H$482,IF(D253=År2,'Resultater - Østdanmark'!I$3:I$482,'Resultater - Østdanmark'!J$3:J$482)),"&gt;0"))</f>
        <v>0</v>
      </c>
      <c r="G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92">
        <f>IF(E253="Vestdanmark",-IF(A253="Halm",SUMIFS(IF(D253=År1,'Resultater - Vestdanmark'!H$3:H$482,IF(D253=År2,'Resultater - Vestdanmark'!I$3:I$482,'Resultater - Vestdanmark'!J$3:J$482)),'Resultater - Vestdanmark'!$F$3:$F$482,$A253,'Resultater - Vestdanmark'!H$3:H$482,"&lt;0"),0),-IF(A253="Halm",SUMIFS(IF(D253=År1,'Resultater - Østdanmark'!H$3:H$482,IF(D253=År2,'Resultater - Østdanmark'!I$3:I$482,'Resultater - Østdanmark'!J$3:J$482)),'Resultater - Østdanmark'!$F$3:$F$482,$A253,'Resultater - Østdanmark'!H$3:H$482,"&lt;0"),0))</f>
        <v>0</v>
      </c>
      <c r="I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5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7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4">
        <f t="shared" si="62"/>
        <v>0</v>
      </c>
      <c r="O253" s="195">
        <f t="shared" si="59"/>
        <v>0</v>
      </c>
      <c r="P253" s="205">
        <f t="shared" si="63"/>
        <v>0</v>
      </c>
      <c r="Q253" s="192">
        <f>IFERROR(VLOOKUP(A253,[1]Energiindhold!$A$2:$C$11,3,FALSE),IFERROR(VLOOKUP(A253,[1]Biogasudbytte!$A$2:$B$18,2,FALSE)*[1]Energiindhold!$C$10,0))*O253</f>
        <v>0</v>
      </c>
      <c r="R253" s="192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92">
        <f>IFERROR(VLOOKUP(A253,[1]Biogasudbytte!$A$2:$B$18,2,FALSE)*[1]Energiindhold!$C$10,0)*J253*IFERROR(VLOOKUP(A253,Biogasanlæg!$F$3:$G$8,2,FALSE),1)</f>
        <v>0</v>
      </c>
      <c r="T253" s="193">
        <f t="shared" si="64"/>
        <v>0</v>
      </c>
      <c r="U253" s="191">
        <f>O253*IFERROR(VLOOKUP(A253,[1]Tørstofindhold!A$2:B$24,2,FALSE),0)</f>
        <v>0</v>
      </c>
      <c r="V253" s="192">
        <f>IF(D253=År1,P253,SUM(O253,P253))*IFERROR(VLOOKUP(A253,[1]Tørstofindhold!A$2:B$24,2,FALSE),0)</f>
        <v>0</v>
      </c>
      <c r="W253" s="192">
        <f>J253*IFERROR(VLOOKUP(A253,[1]Tørstofindhold!A$2:B$24,2,FALSE),0)</f>
        <v>0</v>
      </c>
      <c r="X253" s="193">
        <f t="shared" si="65"/>
        <v>0</v>
      </c>
      <c r="Y253" s="171">
        <f t="shared" si="60"/>
        <v>0</v>
      </c>
      <c r="Z253" s="103">
        <f t="shared" si="61"/>
        <v>0</v>
      </c>
    </row>
    <row r="254" spans="1:26" x14ac:dyDescent="0.25">
      <c r="A254" s="194" t="str">
        <f t="shared" si="72"/>
        <v>Frugt</v>
      </c>
      <c r="B254" s="194" t="str">
        <f t="shared" si="73"/>
        <v/>
      </c>
      <c r="C254" s="194">
        <f>IF(COUNTIFS('Resultater - Danmark'!$D$3:$D$482,'Resultat-Produktion &amp; forbrug'!A254,'Resultater - Danmark'!$A$3:$A$482,"Til energi")+COUNTIFS('Resultater - Danmark'!$D$3:$D$482,'Resultat-Produktion &amp; forbrug'!A254,'Resultater - Danmark'!$A$3:$A$482,"Biogasanlæg")&gt;0,1,0)</f>
        <v>0</v>
      </c>
      <c r="D254" s="194">
        <f t="shared" si="74"/>
        <v>2050</v>
      </c>
      <c r="E254" s="192" t="s">
        <v>24</v>
      </c>
      <c r="F254" s="195">
        <f>IF(E254="Vestdanmark",SUMIFS(IF(D254=År1,'Resultater - Vestdanmark'!H$3:H$482,IF(D254=År2,'Resultater - Vestdanmark'!I$3:I$482,'Resultater - Vestdanmark'!J$3:J$482)),'Resultater - Vestdanmark'!$F$3:$F$482,$A254,IF(D254=År1,'Resultater - Vestdanmark'!H$3:H$482,IF(D254=År2,'Resultater - Vestdanmark'!I$3:I$482,'Resultater - Vestdanmark'!J$3:J$482)),"&gt;0"),SUMIFS(IF(D254=År1,'Resultater - Østdanmark'!H$3:H$482,IF(D254=År2,'Resultater - Østdanmark'!I$3:I$482,'Resultater - Østdanmark'!J$3:J$482)),'Resultater - Østdanmark'!$F$3:$F$482,$A254,IF(D254=År1,'Resultater - Østdanmark'!H$3:H$482,IF(D254=År2,'Resultater - Østdanmark'!I$3:I$482,'Resultater - Østdanmark'!J$3:J$482)),"&gt;0"))</f>
        <v>0</v>
      </c>
      <c r="G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92">
        <f>IF(E254="Vestdanmark",-IF(A254="Halm",SUMIFS(IF(D254=År1,'Resultater - Vestdanmark'!H$3:H$482,IF(D254=År2,'Resultater - Vestdanmark'!I$3:I$482,'Resultater - Vestdanmark'!J$3:J$482)),'Resultater - Vestdanmark'!$F$3:$F$482,$A254,'Resultater - Vestdanmark'!H$3:H$482,"&lt;0"),0),-IF(A254="Halm",SUMIFS(IF(D254=År1,'Resultater - Østdanmark'!H$3:H$482,IF(D254=År2,'Resultater - Østdanmark'!I$3:I$482,'Resultater - Østdanmark'!J$3:J$482)),'Resultater - Østdanmark'!$F$3:$F$482,$A254,'Resultater - Østdanmark'!H$3:H$482,"&lt;0"),0))</f>
        <v>0</v>
      </c>
      <c r="I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5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7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4">
        <f t="shared" si="62"/>
        <v>-233795.01599247381</v>
      </c>
      <c r="O254" s="195">
        <f t="shared" si="59"/>
        <v>0</v>
      </c>
      <c r="P254" s="205">
        <f t="shared" si="63"/>
        <v>0</v>
      </c>
      <c r="Q254" s="192">
        <f>IFERROR(VLOOKUP(A254,[1]Energiindhold!$A$2:$C$11,3,FALSE),IFERROR(VLOOKUP(A254,[1]Biogasudbytte!$A$2:$B$18,2,FALSE)*[1]Energiindhold!$C$10,0))*O254</f>
        <v>0</v>
      </c>
      <c r="R254" s="192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92">
        <f>IFERROR(VLOOKUP(A254,[1]Biogasudbytte!$A$2:$B$18,2,FALSE)*[1]Energiindhold!$C$10,0)*J254*IFERROR(VLOOKUP(A254,Biogasanlæg!$F$3:$G$8,2,FALSE),1)</f>
        <v>0</v>
      </c>
      <c r="T254" s="193">
        <f t="shared" si="64"/>
        <v>0</v>
      </c>
      <c r="U254" s="191">
        <f>O254*IFERROR(VLOOKUP(A254,[1]Tørstofindhold!A$2:B$24,2,FALSE),0)</f>
        <v>0</v>
      </c>
      <c r="V254" s="192">
        <f>IF(D254=År1,P254,SUM(O254,P254))*IFERROR(VLOOKUP(A254,[1]Tørstofindhold!A$2:B$24,2,FALSE),0)</f>
        <v>0</v>
      </c>
      <c r="W254" s="192">
        <f>J254*IFERROR(VLOOKUP(A254,[1]Tørstofindhold!A$2:B$24,2,FALSE),0)</f>
        <v>0</v>
      </c>
      <c r="X254" s="193">
        <f t="shared" si="65"/>
        <v>0</v>
      </c>
      <c r="Y254" s="171">
        <f t="shared" si="60"/>
        <v>1</v>
      </c>
      <c r="Z254" s="103">
        <f t="shared" si="61"/>
        <v>0</v>
      </c>
    </row>
    <row r="255" spans="1:26" x14ac:dyDescent="0.25">
      <c r="A255" s="194" t="str">
        <f t="shared" si="72"/>
        <v>Glycerin</v>
      </c>
      <c r="B255" s="194" t="str">
        <f t="shared" si="73"/>
        <v>Glycerin</v>
      </c>
      <c r="C255" s="194">
        <f>IF(COUNTIFS('Resultater - Danmark'!$D$3:$D$482,'Resultat-Produktion &amp; forbrug'!A255,'Resultater - Danmark'!$A$3:$A$482,"Til energi")+COUNTIFS('Resultater - Danmark'!$D$3:$D$482,'Resultat-Produktion &amp; forbrug'!A255,'Resultater - Danmark'!$A$3:$A$482,"Biogasanlæg")&gt;0,1,0)</f>
        <v>1</v>
      </c>
      <c r="D255" s="194">
        <f t="shared" si="74"/>
        <v>2050</v>
      </c>
      <c r="E255" s="192" t="s">
        <v>24</v>
      </c>
      <c r="F255" s="195">
        <f>IF(E255="Vestdanmark",SUMIFS(IF(D255=År1,'Resultater - Vestdanmark'!H$3:H$482,IF(D255=År2,'Resultater - Vestdanmark'!I$3:I$482,'Resultater - Vestdanmark'!J$3:J$482)),'Resultater - Vestdanmark'!$F$3:$F$482,$A255,IF(D255=År1,'Resultater - Vestdanmark'!H$3:H$482,IF(D255=År2,'Resultater - Vestdanmark'!I$3:I$482,'Resultater - Vestdanmark'!J$3:J$482)),"&gt;0"),SUMIFS(IF(D255=År1,'Resultater - Østdanmark'!H$3:H$482,IF(D255=År2,'Resultater - Østdanmark'!I$3:I$482,'Resultater - Østdanmark'!J$3:J$482)),'Resultater - Østdanmark'!$F$3:$F$482,$A255,IF(D255=År1,'Resultater - Østdanmark'!H$3:H$482,IF(D255=År2,'Resultater - Østdanmark'!I$3:I$482,'Resultater - Østdanmark'!J$3:J$482)),"&gt;0"))</f>
        <v>0</v>
      </c>
      <c r="G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92">
        <f>IF(E255="Vestdanmark",-IF(A255="Halm",SUMIFS(IF(D255=År1,'Resultater - Vestdanmark'!H$3:H$482,IF(D255=År2,'Resultater - Vestdanmark'!I$3:I$482,'Resultater - Vestdanmark'!J$3:J$482)),'Resultater - Vestdanmark'!$F$3:$F$482,$A255,'Resultater - Vestdanmark'!H$3:H$482,"&lt;0"),0),-IF(A255="Halm",SUMIFS(IF(D255=År1,'Resultater - Østdanmark'!H$3:H$482,IF(D255=År2,'Resultater - Østdanmark'!I$3:I$482,'Resultater - Østdanmark'!J$3:J$482)),'Resultater - Østdanmark'!$F$3:$F$482,$A255,'Resultater - Østdanmark'!H$3:H$482,"&lt;0"),0))</f>
        <v>0</v>
      </c>
      <c r="I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5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7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4">
        <f t="shared" si="62"/>
        <v>-28548.400000000001</v>
      </c>
      <c r="O255" s="195">
        <f t="shared" si="59"/>
        <v>0</v>
      </c>
      <c r="P255" s="205">
        <f t="shared" si="63"/>
        <v>28548.400000000001</v>
      </c>
      <c r="Q255" s="192">
        <f>IFERROR(VLOOKUP(A255,[1]Energiindhold!$A$2:$C$11,3,FALSE),IFERROR(VLOOKUP(A255,[1]Biogasudbytte!$A$2:$B$18,2,FALSE)*[1]Energiindhold!$C$10,0))*O255</f>
        <v>0</v>
      </c>
      <c r="R255" s="192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92">
        <f>IFERROR(VLOOKUP(A255,[1]Biogasudbytte!$A$2:$B$18,2,FALSE)*[1]Energiindhold!$C$10,0)*J255*IFERROR(VLOOKUP(A255,Biogasanlæg!$F$3:$G$8,2,FALSE),1)</f>
        <v>0.43389639740160008</v>
      </c>
      <c r="T255" s="193">
        <f t="shared" si="64"/>
        <v>0</v>
      </c>
      <c r="U255" s="191">
        <f>O255*IFERROR(VLOOKUP(A255,[1]Tørstofindhold!A$2:B$24,2,FALSE),0)</f>
        <v>0</v>
      </c>
      <c r="V255" s="192">
        <f>IF(D255=År1,P255,SUM(O255,P255))*IFERROR(VLOOKUP(A255,[1]Tørstofindhold!A$2:B$24,2,FALSE),0)</f>
        <v>25693.56</v>
      </c>
      <c r="W255" s="192">
        <f>J255*IFERROR(VLOOKUP(A255,[1]Tørstofindhold!A$2:B$24,2,FALSE),0)</f>
        <v>25693.56</v>
      </c>
      <c r="X255" s="193">
        <f t="shared" si="65"/>
        <v>0</v>
      </c>
      <c r="Y255" s="171">
        <f t="shared" si="60"/>
        <v>1</v>
      </c>
      <c r="Z255" s="103">
        <f t="shared" si="61"/>
        <v>0</v>
      </c>
    </row>
    <row r="256" spans="1:26" x14ac:dyDescent="0.25">
      <c r="A256" s="194" t="str">
        <f t="shared" si="72"/>
        <v>Græs</v>
      </c>
      <c r="B256" s="194" t="str">
        <f t="shared" si="73"/>
        <v>Græs og urter</v>
      </c>
      <c r="C256" s="194">
        <f>IF(COUNTIFS('Resultater - Danmark'!$D$3:$D$482,'Resultat-Produktion &amp; forbrug'!A256,'Resultater - Danmark'!$A$3:$A$482,"Til energi")+COUNTIFS('Resultater - Danmark'!$D$3:$D$482,'Resultat-Produktion &amp; forbrug'!A256,'Resultater - Danmark'!$A$3:$A$482,"Biogasanlæg")&gt;0,1,0)</f>
        <v>1</v>
      </c>
      <c r="D256" s="194">
        <f t="shared" si="74"/>
        <v>2050</v>
      </c>
      <c r="E256" s="192" t="s">
        <v>24</v>
      </c>
      <c r="F256" s="195">
        <f>IF(E256="Vestdanmark",SUMIFS(IF(D256=År1,'Resultater - Vestdanmark'!H$3:H$482,IF(D256=År2,'Resultater - Vestdanmark'!I$3:I$482,'Resultater - Vestdanmark'!J$3:J$482)),'Resultater - Vestdanmark'!$F$3:$F$482,$A256,IF(D256=År1,'Resultater - Vestdanmark'!H$3:H$482,IF(D256=År2,'Resultater - Vestdanmark'!I$3:I$482,'Resultater - Vestdanmark'!J$3:J$482)),"&gt;0"),SUMIFS(IF(D256=År1,'Resultater - Østdanmark'!H$3:H$482,IF(D256=År2,'Resultater - Østdanmark'!I$3:I$482,'Resultater - Østdanmark'!J$3:J$482)),'Resultater - Østdanmark'!$F$3:$F$482,$A256,IF(D256=År1,'Resultater - Østdanmark'!H$3:H$482,IF(D256=År2,'Resultater - Østdanmark'!I$3:I$482,'Resultater - Østdanmark'!J$3:J$482)),"&gt;0"))</f>
        <v>0</v>
      </c>
      <c r="G256" s="195" t="e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#REF!</v>
      </c>
      <c r="H256" s="192">
        <f>IF(E256="Vestdanmark",-IF(A256="Halm",SUMIFS(IF(D256=År1,'Resultater - Vestdanmark'!H$3:H$482,IF(D256=År2,'Resultater - Vestdanmark'!I$3:I$482,'Resultater - Vestdanmark'!J$3:J$482)),'Resultater - Vestdanmark'!$F$3:$F$482,$A256,'Resultater - Vestdanmark'!H$3:H$482,"&lt;0"),0),-IF(A256="Halm",SUMIFS(IF(D256=År1,'Resultater - Østdanmark'!H$3:H$482,IF(D256=År2,'Resultater - Østdanmark'!I$3:I$482,'Resultater - Østdanmark'!J$3:J$482)),'Resultater - Østdanmark'!$F$3:$F$482,$A256,'Resultater - Østdanmark'!H$3:H$482,"&lt;0"),0))</f>
        <v>0</v>
      </c>
      <c r="I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5" t="e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#REF!</v>
      </c>
      <c r="K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5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7" t="e">
        <f>SUMIFS('Forbrug af biomasse'!E:E,'Forbrug af biomasse'!C:C,'Resultat-Produktion &amp; forbrug'!$A256,'Forbrug af biomasse'!D:D,'Resultat-Produktion &amp; forbrug'!$D256,'Forbrug af biomasse'!G:G,1,'Forbrug af biomasse'!B:B,$E256)</f>
        <v>#REF!</v>
      </c>
      <c r="N256" s="204" t="e">
        <f t="shared" si="62"/>
        <v>#REF!</v>
      </c>
      <c r="O256" s="195" t="e">
        <f t="shared" si="59"/>
        <v>#REF!</v>
      </c>
      <c r="P256" s="205" t="e">
        <f t="shared" si="63"/>
        <v>#REF!</v>
      </c>
      <c r="Q256" s="192" t="e">
        <f>IFERROR(VLOOKUP(A256,[1]Energiindhold!$A$2:$C$11,3,FALSE),IFERROR(VLOOKUP(A256,[1]Biogasudbytte!$A$2:$B$18,2,FALSE)*[1]Energiindhold!$C$10,0))*O256</f>
        <v>#REF!</v>
      </c>
      <c r="R256" s="192" t="e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#REF!</v>
      </c>
      <c r="S256" s="192" t="e">
        <f>IFERROR(VLOOKUP(A256,[1]Biogasudbytte!$A$2:$B$18,2,FALSE)*[1]Energiindhold!$C$10,0)*J256*IFERROR(VLOOKUP(A256,Biogasanlæg!$F$3:$G$8,2,FALSE),1)</f>
        <v>#REF!</v>
      </c>
      <c r="T256" s="193" t="e">
        <f t="shared" si="64"/>
        <v>#REF!</v>
      </c>
      <c r="U256" s="191" t="e">
        <f>O256*IFERROR(VLOOKUP(A256,[1]Tørstofindhold!A$2:B$24,2,FALSE),0)</f>
        <v>#REF!</v>
      </c>
      <c r="V256" s="192" t="e">
        <f>IF(D256=År1,P256,SUM(O256,P256))*IFERROR(VLOOKUP(A256,[1]Tørstofindhold!A$2:B$24,2,FALSE),0)</f>
        <v>#REF!</v>
      </c>
      <c r="W256" s="192" t="e">
        <f>J256*IFERROR(VLOOKUP(A256,[1]Tørstofindhold!A$2:B$24,2,FALSE),0)</f>
        <v>#REF!</v>
      </c>
      <c r="X256" s="193" t="e">
        <f t="shared" si="65"/>
        <v>#REF!</v>
      </c>
      <c r="Y256" s="171" t="e">
        <f t="shared" si="60"/>
        <v>#REF!</v>
      </c>
      <c r="Z256" s="103" t="e">
        <f t="shared" si="61"/>
        <v>#REF!</v>
      </c>
    </row>
    <row r="257" spans="1:26" x14ac:dyDescent="0.25">
      <c r="A257" s="194" t="str">
        <f t="shared" si="72"/>
        <v>Græsprotein</v>
      </c>
      <c r="B257" s="194" t="str">
        <f t="shared" si="73"/>
        <v/>
      </c>
      <c r="C257" s="194">
        <f>IF(COUNTIFS('Resultater - Danmark'!$D$3:$D$482,'Resultat-Produktion &amp; forbrug'!A257,'Resultater - Danmark'!$A$3:$A$482,"Til energi")+COUNTIFS('Resultater - Danmark'!$D$3:$D$482,'Resultat-Produktion &amp; forbrug'!A257,'Resultater - Danmark'!$A$3:$A$482,"Biogasanlæg")&gt;0,1,0)</f>
        <v>0</v>
      </c>
      <c r="D257" s="194">
        <f t="shared" si="74"/>
        <v>2050</v>
      </c>
      <c r="E257" s="192" t="s">
        <v>24</v>
      </c>
      <c r="F257" s="195">
        <f>IF(E257="Vestdanmark",SUMIFS(IF(D257=År1,'Resultater - Vestdanmark'!H$3:H$482,IF(D257=År2,'Resultater - Vestdanmark'!I$3:I$482,'Resultater - Vestdanmark'!J$3:J$482)),'Resultater - Vestdanmark'!$F$3:$F$482,$A257,IF(D257=År1,'Resultater - Vestdanmark'!H$3:H$482,IF(D257=År2,'Resultater - Vestdanmark'!I$3:I$482,'Resultater - Vestdanmark'!J$3:J$482)),"&gt;0"),SUMIFS(IF(D257=År1,'Resultater - Østdanmark'!H$3:H$482,IF(D257=År2,'Resultater - Østdanmark'!I$3:I$482,'Resultater - Østdanmark'!J$3:J$482)),'Resultater - Østdanmark'!$F$3:$F$482,$A257,IF(D257=År1,'Resultater - Østdanmark'!H$3:H$482,IF(D257=År2,'Resultater - Østdanmark'!I$3:I$482,'Resultater - Østdanmark'!J$3:J$482)),"&gt;0"))</f>
        <v>0</v>
      </c>
      <c r="G257" s="195" t="e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#REF!</v>
      </c>
      <c r="H257" s="192">
        <f>IF(E257="Vestdanmark",-IF(A257="Halm",SUMIFS(IF(D257=År1,'Resultater - Vestdanmark'!H$3:H$482,IF(D257=År2,'Resultater - Vestdanmark'!I$3:I$482,'Resultater - Vestdanmark'!J$3:J$482)),'Resultater - Vestdanmark'!$F$3:$F$482,$A257,'Resultater - Vestdanmark'!H$3:H$482,"&lt;0"),0),-IF(A257="Halm",SUMIFS(IF(D257=År1,'Resultater - Østdanmark'!H$3:H$482,IF(D257=År2,'Resultater - Østdanmark'!I$3:I$482,'Resultater - Østdanmark'!J$3:J$482)),'Resultater - Østdanmark'!$F$3:$F$482,$A257,'Resultater - Østdanmark'!H$3:H$482,"&lt;0"),0))</f>
        <v>0</v>
      </c>
      <c r="I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5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7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4" t="e">
        <f t="shared" si="62"/>
        <v>#REF!</v>
      </c>
      <c r="O257" s="195">
        <f t="shared" si="59"/>
        <v>0</v>
      </c>
      <c r="P257" s="205">
        <f t="shared" si="63"/>
        <v>0</v>
      </c>
      <c r="Q257" s="192">
        <f>IFERROR(VLOOKUP(A257,[1]Energiindhold!$A$2:$C$11,3,FALSE),IFERROR(VLOOKUP(A257,[1]Biogasudbytte!$A$2:$B$18,2,FALSE)*[1]Energiindhold!$C$10,0))*O257</f>
        <v>0</v>
      </c>
      <c r="R257" s="192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92">
        <f>IFERROR(VLOOKUP(A257,[1]Biogasudbytte!$A$2:$B$18,2,FALSE)*[1]Energiindhold!$C$10,0)*J257*IFERROR(VLOOKUP(A257,Biogasanlæg!$F$3:$G$8,2,FALSE),1)</f>
        <v>0</v>
      </c>
      <c r="T257" s="193">
        <f t="shared" si="64"/>
        <v>0</v>
      </c>
      <c r="U257" s="191">
        <f>O257*IFERROR(VLOOKUP(A257,[1]Tørstofindhold!A$2:B$24,2,FALSE),0)</f>
        <v>0</v>
      </c>
      <c r="V257" s="192">
        <f>IF(D257=År1,P257,SUM(O257,P257))*IFERROR(VLOOKUP(A257,[1]Tørstofindhold!A$2:B$24,2,FALSE),0)</f>
        <v>0</v>
      </c>
      <c r="W257" s="192">
        <f>J257*IFERROR(VLOOKUP(A257,[1]Tørstofindhold!A$2:B$24,2,FALSE),0)</f>
        <v>0</v>
      </c>
      <c r="X257" s="193">
        <f t="shared" si="65"/>
        <v>0</v>
      </c>
      <c r="Y257" s="171" t="e">
        <f t="shared" si="60"/>
        <v>#REF!</v>
      </c>
      <c r="Z257" s="103" t="e">
        <f t="shared" si="61"/>
        <v>#REF!</v>
      </c>
    </row>
    <row r="258" spans="1:26" x14ac:dyDescent="0.25">
      <c r="A258" s="194" t="str">
        <f t="shared" si="72"/>
        <v>Grøntsager</v>
      </c>
      <c r="B258" s="194" t="str">
        <f t="shared" si="73"/>
        <v/>
      </c>
      <c r="C258" s="194">
        <f>IF(COUNTIFS('Resultater - Danmark'!$D$3:$D$482,'Resultat-Produktion &amp; forbrug'!A258,'Resultater - Danmark'!$A$3:$A$482,"Til energi")+COUNTIFS('Resultater - Danmark'!$D$3:$D$482,'Resultat-Produktion &amp; forbrug'!A258,'Resultater - Danmark'!$A$3:$A$482,"Biogasanlæg")&gt;0,1,0)</f>
        <v>0</v>
      </c>
      <c r="D258" s="194">
        <f t="shared" si="74"/>
        <v>2050</v>
      </c>
      <c r="E258" s="192" t="s">
        <v>24</v>
      </c>
      <c r="F258" s="195">
        <f>IF(E258="Vestdanmark",SUMIFS(IF(D258=År1,'Resultater - Vestdanmark'!H$3:H$482,IF(D258=År2,'Resultater - Vestdanmark'!I$3:I$482,'Resultater - Vestdanmark'!J$3:J$482)),'Resultater - Vestdanmark'!$F$3:$F$482,$A258,IF(D258=År1,'Resultater - Vestdanmark'!H$3:H$482,IF(D258=År2,'Resultater - Vestdanmark'!I$3:I$482,'Resultater - Vestdanmark'!J$3:J$482)),"&gt;0"),SUMIFS(IF(D258=År1,'Resultater - Østdanmark'!H$3:H$482,IF(D258=År2,'Resultater - Østdanmark'!I$3:I$482,'Resultater - Østdanmark'!J$3:J$482)),'Resultater - Østdanmark'!$F$3:$F$482,$A258,IF(D258=År1,'Resultater - Østdanmark'!H$3:H$482,IF(D258=År2,'Resultater - Østdanmark'!I$3:I$482,'Resultater - Østdanmark'!J$3:J$482)),"&gt;0"))</f>
        <v>0</v>
      </c>
      <c r="G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92">
        <f>IF(E258="Vestdanmark",-IF(A258="Halm",SUMIFS(IF(D258=År1,'Resultater - Vestdanmark'!H$3:H$482,IF(D258=År2,'Resultater - Vestdanmark'!I$3:I$482,'Resultater - Vestdanmark'!J$3:J$482)),'Resultater - Vestdanmark'!$F$3:$F$482,$A258,'Resultater - Vestdanmark'!H$3:H$482,"&lt;0"),0),-IF(A258="Halm",SUMIFS(IF(D258=År1,'Resultater - Østdanmark'!H$3:H$482,IF(D258=År2,'Resultater - Østdanmark'!I$3:I$482,'Resultater - Østdanmark'!J$3:J$482)),'Resultater - Østdanmark'!$F$3:$F$482,$A258,'Resultater - Østdanmark'!H$3:H$482,"&lt;0"),0))</f>
        <v>0</v>
      </c>
      <c r="I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5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7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4">
        <f t="shared" si="62"/>
        <v>-244869.51675001203</v>
      </c>
      <c r="O258" s="195">
        <f t="shared" si="59"/>
        <v>0</v>
      </c>
      <c r="P258" s="205">
        <f t="shared" si="63"/>
        <v>0</v>
      </c>
      <c r="Q258" s="192">
        <f>IFERROR(VLOOKUP(A258,[1]Energiindhold!$A$2:$C$11,3,FALSE),IFERROR(VLOOKUP(A258,[1]Biogasudbytte!$A$2:$B$18,2,FALSE)*[1]Energiindhold!$C$10,0))*O258</f>
        <v>0</v>
      </c>
      <c r="R258" s="192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92">
        <f>IFERROR(VLOOKUP(A258,[1]Biogasudbytte!$A$2:$B$18,2,FALSE)*[1]Energiindhold!$C$10,0)*J258*IFERROR(VLOOKUP(A258,Biogasanlæg!$F$3:$G$8,2,FALSE),1)</f>
        <v>0</v>
      </c>
      <c r="T258" s="193">
        <f t="shared" si="64"/>
        <v>0</v>
      </c>
      <c r="U258" s="191">
        <f>O258*IFERROR(VLOOKUP(A258,[1]Tørstofindhold!A$2:B$24,2,FALSE),0)</f>
        <v>0</v>
      </c>
      <c r="V258" s="192">
        <f>IF(D258=År1,P258,SUM(O258,P258))*IFERROR(VLOOKUP(A258,[1]Tørstofindhold!A$2:B$24,2,FALSE),0)</f>
        <v>0</v>
      </c>
      <c r="W258" s="192">
        <f>J258*IFERROR(VLOOKUP(A258,[1]Tørstofindhold!A$2:B$24,2,FALSE),0)</f>
        <v>0</v>
      </c>
      <c r="X258" s="193">
        <f t="shared" si="65"/>
        <v>0</v>
      </c>
      <c r="Y258" s="171">
        <f t="shared" si="60"/>
        <v>1</v>
      </c>
      <c r="Z258" s="103">
        <f t="shared" si="61"/>
        <v>0</v>
      </c>
    </row>
    <row r="259" spans="1:26" x14ac:dyDescent="0.25">
      <c r="A259" s="194" t="str">
        <f t="shared" si="72"/>
        <v>Halm</v>
      </c>
      <c r="B259" s="194" t="str">
        <f t="shared" si="73"/>
        <v>Halm og strå</v>
      </c>
      <c r="C259" s="194">
        <f>IF(COUNTIFS('Resultater - Danmark'!$D$3:$D$482,'Resultat-Produktion &amp; forbrug'!A259,'Resultater - Danmark'!$A$3:$A$482,"Til energi")+COUNTIFS('Resultater - Danmark'!$D$3:$D$482,'Resultat-Produktion &amp; forbrug'!A259,'Resultater - Danmark'!$A$3:$A$482,"Biogasanlæg")&gt;0,1,0)</f>
        <v>1</v>
      </c>
      <c r="D259" s="194">
        <f t="shared" si="74"/>
        <v>2050</v>
      </c>
      <c r="E259" s="192" t="s">
        <v>24</v>
      </c>
      <c r="F259" s="195">
        <f>IF(E259="Vestdanmark",SUMIFS(IF(D259=År1,'Resultater - Vestdanmark'!H$3:H$482,IF(D259=År2,'Resultater - Vestdanmark'!I$3:I$482,'Resultater - Vestdanmark'!J$3:J$482)),'Resultater - Vestdanmark'!$F$3:$F$482,$A259,IF(D259=År1,'Resultater - Vestdanmark'!H$3:H$482,IF(D259=År2,'Resultater - Vestdanmark'!I$3:I$482,'Resultater - Vestdanmark'!J$3:J$482)),"&gt;0"),SUMIFS(IF(D259=År1,'Resultater - Østdanmark'!H$3:H$482,IF(D259=År2,'Resultater - Østdanmark'!I$3:I$482,'Resultater - Østdanmark'!J$3:J$482)),'Resultater - Østdanmark'!$F$3:$F$482,$A259,IF(D259=År1,'Resultater - Østdanmark'!H$3:H$482,IF(D259=År2,'Resultater - Østdanmark'!I$3:I$482,'Resultater - Østdanmark'!J$3:J$482)),"&gt;0"))</f>
        <v>0</v>
      </c>
      <c r="G259" s="195" t="e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#REF!</v>
      </c>
      <c r="H259" s="192">
        <f>IF(E259="Vestdanmark",-IF(A259="Halm",SUMIFS(IF(D259=År1,'Resultater - Vestdanmark'!H$3:H$482,IF(D259=År2,'Resultater - Vestdanmark'!I$3:I$482,'Resultater - Vestdanmark'!J$3:J$482)),'Resultater - Vestdanmark'!$F$3:$F$482,$A259,'Resultater - Vestdanmark'!H$3:H$482,"&lt;0"),0),-IF(A259="Halm",SUMIFS(IF(D259=År1,'Resultater - Østdanmark'!H$3:H$482,IF(D259=År2,'Resultater - Østdanmark'!I$3:I$482,'Resultater - Østdanmark'!J$3:J$482)),'Resultater - Østdanmark'!$F$3:$F$482,$A259,'Resultater - Østdanmark'!H$3:H$482,"&lt;0"),0))</f>
        <v>0</v>
      </c>
      <c r="I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5" t="e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#REF!</v>
      </c>
      <c r="K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5" t="e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#REF!</v>
      </c>
      <c r="M259" s="157" t="e">
        <f>SUMIFS('Forbrug af biomasse'!E:E,'Forbrug af biomasse'!C:C,'Resultat-Produktion &amp; forbrug'!$A259,'Forbrug af biomasse'!D:D,'Resultat-Produktion &amp; forbrug'!$D259,'Forbrug af biomasse'!G:G,1,'Forbrug af biomasse'!B:B,$E259)</f>
        <v>#REF!</v>
      </c>
      <c r="N259" s="204" t="e">
        <f t="shared" si="62"/>
        <v>#REF!</v>
      </c>
      <c r="O259" s="195" t="e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#REF!</v>
      </c>
      <c r="P259" s="205" t="e">
        <f t="shared" si="63"/>
        <v>#REF!</v>
      </c>
      <c r="Q259" s="192" t="e">
        <f>IFERROR(VLOOKUP(A259,[1]Energiindhold!$A$2:$C$11,3,FALSE),IFERROR(VLOOKUP(A259,[1]Biogasudbytte!$A$2:$B$18,2,FALSE)*[1]Energiindhold!$C$10,0))*O259</f>
        <v>#REF!</v>
      </c>
      <c r="R259" s="192" t="e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#REF!</v>
      </c>
      <c r="S259" s="192" t="e">
        <f>IFERROR(VLOOKUP(A259,[1]Biogasudbytte!$A$2:$B$18,2,FALSE)*[1]Energiindhold!$C$10,0)*J259*IFERROR(VLOOKUP(A259,Biogasanlæg!$F$3:$G$8,2,FALSE),1)</f>
        <v>#REF!</v>
      </c>
      <c r="T259" s="193" t="e">
        <f t="shared" si="64"/>
        <v>#REF!</v>
      </c>
      <c r="U259" s="191" t="e">
        <f>O259*IFERROR(VLOOKUP(A259,[1]Tørstofindhold!A$2:B$24,2,FALSE),0)</f>
        <v>#REF!</v>
      </c>
      <c r="V259" s="192" t="e">
        <f>IF(D259=År1,P259,SUM(O259,P259))*IFERROR(VLOOKUP(A259,[1]Tørstofindhold!A$2:B$24,2,FALSE),0)</f>
        <v>#REF!</v>
      </c>
      <c r="W259" s="192" t="e">
        <f>J259*IFERROR(VLOOKUP(A259,[1]Tørstofindhold!A$2:B$24,2,FALSE),0)</f>
        <v>#REF!</v>
      </c>
      <c r="X259" s="193" t="e">
        <f t="shared" si="65"/>
        <v>#REF!</v>
      </c>
      <c r="Y259" s="171" t="e">
        <f t="shared" ref="Y259:Y274" si="76">IF(SUMIFS($N$3:$N$290,$A$3:$A$290,A259,$D$3:$D$290,D259)&lt;0,1,0)</f>
        <v>#REF!</v>
      </c>
      <c r="Z259" s="103" t="e">
        <f t="shared" ref="Z259:Z274" si="77">IF(SUMIFS($N$3:$N$290,$A$3:$A$290,A259,$D$3:$D$290,D259)&gt;0,1,0)</f>
        <v>#REF!</v>
      </c>
    </row>
    <row r="260" spans="1:26" x14ac:dyDescent="0.25">
      <c r="A260" s="194" t="str">
        <f t="shared" si="72"/>
        <v>Have/parkaffald</v>
      </c>
      <c r="B260" s="194" t="str">
        <f t="shared" si="73"/>
        <v>Bionedbrydeligt affald</v>
      </c>
      <c r="C260" s="194">
        <f>IF(COUNTIFS('Resultater - Danmark'!$D$3:$D$482,'Resultat-Produktion &amp; forbrug'!A260,'Resultater - Danmark'!$A$3:$A$482,"Til energi")+COUNTIFS('Resultater - Danmark'!$D$3:$D$482,'Resultat-Produktion &amp; forbrug'!A260,'Resultater - Danmark'!$A$3:$A$482,"Biogasanlæg")&gt;0,1,0)</f>
        <v>1</v>
      </c>
      <c r="D260" s="194">
        <f t="shared" si="74"/>
        <v>2050</v>
      </c>
      <c r="E260" s="192" t="s">
        <v>24</v>
      </c>
      <c r="F260" s="195">
        <f>IF(E260="Vestdanmark",SUMIFS(IF(D260=År1,'Resultater - Vestdanmark'!H$3:H$482,IF(D260=År2,'Resultater - Vestdanmark'!I$3:I$482,'Resultater - Vestdanmark'!J$3:J$482)),'Resultater - Vestdanmark'!$F$3:$F$482,$A260,IF(D260=År1,'Resultater - Vestdanmark'!H$3:H$482,IF(D260=År2,'Resultater - Vestdanmark'!I$3:I$482,'Resultater - Vestdanmark'!J$3:J$482)),"&gt;0"),SUMIFS(IF(D260=År1,'Resultater - Østdanmark'!H$3:H$482,IF(D260=År2,'Resultater - Østdanmark'!I$3:I$482,'Resultater - Østdanmark'!J$3:J$482)),'Resultater - Østdanmark'!$F$3:$F$482,$A260,IF(D260=År1,'Resultater - Østdanmark'!H$3:H$482,IF(D260=År2,'Resultater - Østdanmark'!I$3:I$482,'Resultater - Østdanmark'!J$3:J$482)),"&gt;0"))</f>
        <v>0</v>
      </c>
      <c r="G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92">
        <f>IF(E260="Vestdanmark",-IF(A260="Halm",SUMIFS(IF(D260=År1,'Resultater - Vestdanmark'!H$3:H$482,IF(D260=År2,'Resultater - Vestdanmark'!I$3:I$482,'Resultater - Vestdanmark'!J$3:J$482)),'Resultater - Vestdanmark'!$F$3:$F$482,$A260,'Resultater - Vestdanmark'!H$3:H$482,"&lt;0"),0),-IF(A260="Halm",SUMIFS(IF(D260=År1,'Resultater - Østdanmark'!H$3:H$482,IF(D260=År2,'Resultater - Østdanmark'!I$3:I$482,'Resultater - Østdanmark'!J$3:J$482)),'Resultater - Østdanmark'!$F$3:$F$482,$A260,'Resultater - Østdanmark'!H$3:H$482,"&lt;0"),0))</f>
        <v>0</v>
      </c>
      <c r="I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5" t="e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#REF!</v>
      </c>
      <c r="K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5" t="e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#REF!</v>
      </c>
      <c r="M260" s="157" t="e">
        <f>SUMIFS('Forbrug af biomasse'!E:E,'Forbrug af biomasse'!C:C,'Resultat-Produktion &amp; forbrug'!$A260,'Forbrug af biomasse'!D:D,'Resultat-Produktion &amp; forbrug'!$D260,'Forbrug af biomasse'!G:G,1,'Forbrug af biomasse'!B:B,$E260)</f>
        <v>#REF!</v>
      </c>
      <c r="N260" s="204" t="e">
        <f t="shared" si="62"/>
        <v>#REF!</v>
      </c>
      <c r="O260" s="195" t="e">
        <f t="shared" si="75"/>
        <v>#REF!</v>
      </c>
      <c r="P260" s="205" t="e">
        <f t="shared" si="63"/>
        <v>#REF!</v>
      </c>
      <c r="Q260" s="192" t="e">
        <f>IFERROR(VLOOKUP(A260,[1]Energiindhold!$A$2:$C$11,3,FALSE),IFERROR(VLOOKUP(A260,[1]Biogasudbytte!$A$2:$B$18,2,FALSE)*[1]Energiindhold!$C$10,0))*O260</f>
        <v>#REF!</v>
      </c>
      <c r="R260" s="192" t="e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#REF!</v>
      </c>
      <c r="S260" s="192" t="e">
        <f>IFERROR(VLOOKUP(A260,[1]Biogasudbytte!$A$2:$B$18,2,FALSE)*[1]Energiindhold!$C$10,0)*J260*IFERROR(VLOOKUP(A260,Biogasanlæg!$F$3:$G$8,2,FALSE),1)</f>
        <v>#REF!</v>
      </c>
      <c r="T260" s="193" t="e">
        <f t="shared" si="64"/>
        <v>#REF!</v>
      </c>
      <c r="U260" s="191" t="e">
        <f>O260*IFERROR(VLOOKUP(A260,[1]Tørstofindhold!A$2:B$24,2,FALSE),0)</f>
        <v>#REF!</v>
      </c>
      <c r="V260" s="192" t="e">
        <f>IF(D260=År1,P260,SUM(O260,P260))*IFERROR(VLOOKUP(A260,[1]Tørstofindhold!A$2:B$24,2,FALSE),0)</f>
        <v>#REF!</v>
      </c>
      <c r="W260" s="192" t="e">
        <f>J260*IFERROR(VLOOKUP(A260,[1]Tørstofindhold!A$2:B$24,2,FALSE),0)</f>
        <v>#REF!</v>
      </c>
      <c r="X260" s="193" t="e">
        <f t="shared" si="65"/>
        <v>#REF!</v>
      </c>
      <c r="Y260" s="171" t="e">
        <f t="shared" si="76"/>
        <v>#REF!</v>
      </c>
      <c r="Z260" s="103" t="e">
        <f t="shared" si="77"/>
        <v>#REF!</v>
      </c>
    </row>
    <row r="261" spans="1:26" x14ac:dyDescent="0.25">
      <c r="A261" s="194" t="str">
        <f t="shared" si="72"/>
        <v>Import af foder</v>
      </c>
      <c r="B261" s="194" t="str">
        <f t="shared" si="73"/>
        <v/>
      </c>
      <c r="C261" s="194">
        <f>IF(COUNTIFS('Resultater - Danmark'!$D$3:$D$482,'Resultat-Produktion &amp; forbrug'!A261,'Resultater - Danmark'!$A$3:$A$482,"Til energi")+COUNTIFS('Resultater - Danmark'!$D$3:$D$482,'Resultat-Produktion &amp; forbrug'!A261,'Resultater - Danmark'!$A$3:$A$482,"Biogasanlæg")&gt;0,1,0)</f>
        <v>0</v>
      </c>
      <c r="D261" s="194">
        <f t="shared" si="74"/>
        <v>2050</v>
      </c>
      <c r="E261" s="192" t="s">
        <v>24</v>
      </c>
      <c r="F261" s="195">
        <f>IF(E261="Vestdanmark",SUMIFS(IF(D261=År1,'Resultater - Vestdanmark'!H$3:H$482,IF(D261=År2,'Resultater - Vestdanmark'!I$3:I$482,'Resultater - Vestdanmark'!J$3:J$482)),'Resultater - Vestdanmark'!$F$3:$F$482,$A261,IF(D261=År1,'Resultater - Vestdanmark'!H$3:H$482,IF(D261=År2,'Resultater - Vestdanmark'!I$3:I$482,'Resultater - Vestdanmark'!J$3:J$482)),"&gt;0"),SUMIFS(IF(D261=År1,'Resultater - Østdanmark'!H$3:H$482,IF(D261=År2,'Resultater - Østdanmark'!I$3:I$482,'Resultater - Østdanmark'!J$3:J$482)),'Resultater - Østdanmark'!$F$3:$F$482,$A261,IF(D261=År1,'Resultater - Østdanmark'!H$3:H$482,IF(D261=År2,'Resultater - Østdanmark'!I$3:I$482,'Resultater - Østdanmark'!J$3:J$482)),"&gt;0"))</f>
        <v>0</v>
      </c>
      <c r="G261" s="195" t="e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#REF!</v>
      </c>
      <c r="H261" s="192">
        <f>IF(E261="Vestdanmark",-IF(A261="Halm",SUMIFS(IF(D261=År1,'Resultater - Vestdanmark'!H$3:H$482,IF(D261=År2,'Resultater - Vestdanmark'!I$3:I$482,'Resultater - Vestdanmark'!J$3:J$482)),'Resultater - Vestdanmark'!$F$3:$F$482,$A261,'Resultater - Vestdanmark'!H$3:H$482,"&lt;0"),0),-IF(A261="Halm",SUMIFS(IF(D261=År1,'Resultater - Østdanmark'!H$3:H$482,IF(D261=År2,'Resultater - Østdanmark'!I$3:I$482,'Resultater - Østdanmark'!J$3:J$482)),'Resultater - Østdanmark'!$F$3:$F$482,$A261,'Resultater - Østdanmark'!H$3:H$482,"&lt;0"),0))</f>
        <v>0</v>
      </c>
      <c r="I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5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7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4" t="e">
        <f t="shared" si="62"/>
        <v>#REF!</v>
      </c>
      <c r="O261" s="195">
        <f t="shared" si="75"/>
        <v>0</v>
      </c>
      <c r="P261" s="205">
        <f t="shared" si="63"/>
        <v>0</v>
      </c>
      <c r="Q261" s="192">
        <f>IFERROR(VLOOKUP(A261,[1]Energiindhold!$A$2:$C$11,3,FALSE),IFERROR(VLOOKUP(A261,[1]Biogasudbytte!$A$2:$B$18,2,FALSE)*[1]Energiindhold!$C$10,0))*O261</f>
        <v>0</v>
      </c>
      <c r="R261" s="192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92">
        <f>IFERROR(VLOOKUP(A261,[1]Biogasudbytte!$A$2:$B$18,2,FALSE)*[1]Energiindhold!$C$10,0)*J261*IFERROR(VLOOKUP(A261,Biogasanlæg!$F$3:$G$8,2,FALSE),1)</f>
        <v>0</v>
      </c>
      <c r="T261" s="193">
        <f t="shared" si="64"/>
        <v>0</v>
      </c>
      <c r="U261" s="191">
        <f>O261*IFERROR(VLOOKUP(A261,[1]Tørstofindhold!A$2:B$24,2,FALSE),0)</f>
        <v>0</v>
      </c>
      <c r="V261" s="192">
        <f>IF(D261=År1,P261,SUM(O261,P261))*IFERROR(VLOOKUP(A261,[1]Tørstofindhold!A$2:B$24,2,FALSE),0)</f>
        <v>0</v>
      </c>
      <c r="W261" s="192">
        <f>J261*IFERROR(VLOOKUP(A261,[1]Tørstofindhold!A$2:B$24,2,FALSE),0)</f>
        <v>0</v>
      </c>
      <c r="X261" s="193">
        <f t="shared" si="65"/>
        <v>0</v>
      </c>
      <c r="Y261" s="171" t="e">
        <f t="shared" si="76"/>
        <v>#REF!</v>
      </c>
      <c r="Z261" s="103" t="e">
        <f t="shared" si="77"/>
        <v>#REF!</v>
      </c>
    </row>
    <row r="262" spans="1:26" x14ac:dyDescent="0.25">
      <c r="A262" s="194" t="str">
        <f t="shared" si="72"/>
        <v>Industriaffald</v>
      </c>
      <c r="B262" s="194" t="str">
        <f t="shared" si="73"/>
        <v>Bionedbrydeligt affald</v>
      </c>
      <c r="C262" s="194">
        <f>IF(COUNTIFS('Resultater - Danmark'!$D$3:$D$482,'Resultat-Produktion &amp; forbrug'!A262,'Resultater - Danmark'!$A$3:$A$482,"Til energi")+COUNTIFS('Resultater - Danmark'!$D$3:$D$482,'Resultat-Produktion &amp; forbrug'!A262,'Resultater - Danmark'!$A$3:$A$482,"Biogasanlæg")&gt;0,1,0)</f>
        <v>1</v>
      </c>
      <c r="D262" s="194">
        <f t="shared" si="74"/>
        <v>2050</v>
      </c>
      <c r="E262" s="192" t="s">
        <v>24</v>
      </c>
      <c r="F262" s="195">
        <f>IF(E262="Vestdanmark",SUMIFS(IF(D262=År1,'Resultater - Vestdanmark'!H$3:H$482,IF(D262=År2,'Resultater - Vestdanmark'!I$3:I$482,'Resultater - Vestdanmark'!J$3:J$482)),'Resultater - Vestdanmark'!$F$3:$F$482,$A262,IF(D262=År1,'Resultater - Vestdanmark'!H$3:H$482,IF(D262=År2,'Resultater - Vestdanmark'!I$3:I$482,'Resultater - Vestdanmark'!J$3:J$482)),"&gt;0"),SUMIFS(IF(D262=År1,'Resultater - Østdanmark'!H$3:H$482,IF(D262=År2,'Resultater - Østdanmark'!I$3:I$482,'Resultater - Østdanmark'!J$3:J$482)),'Resultater - Østdanmark'!$F$3:$F$482,$A262,IF(D262=År1,'Resultater - Østdanmark'!H$3:H$482,IF(D262=År2,'Resultater - Østdanmark'!I$3:I$482,'Resultater - Østdanmark'!J$3:J$482)),"&gt;0"))</f>
        <v>0</v>
      </c>
      <c r="G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92">
        <f>IF(E262="Vestdanmark",-IF(A262="Halm",SUMIFS(IF(D262=År1,'Resultater - Vestdanmark'!H$3:H$482,IF(D262=År2,'Resultater - Vestdanmark'!I$3:I$482,'Resultater - Vestdanmark'!J$3:J$482)),'Resultater - Vestdanmark'!$F$3:$F$482,$A262,'Resultater - Vestdanmark'!H$3:H$482,"&lt;0"),0),-IF(A262="Halm",SUMIFS(IF(D262=År1,'Resultater - Østdanmark'!H$3:H$482,IF(D262=År2,'Resultater - Østdanmark'!I$3:I$482,'Resultater - Østdanmark'!J$3:J$482)),'Resultater - Østdanmark'!$F$3:$F$482,$A262,'Resultater - Østdanmark'!H$3:H$482,"&lt;0"),0))</f>
        <v>0</v>
      </c>
      <c r="I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5" t="e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#REF!</v>
      </c>
      <c r="K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5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7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4" t="e">
        <f t="shared" si="62"/>
        <v>#REF!</v>
      </c>
      <c r="O262" s="195" t="e">
        <f t="shared" si="75"/>
        <v>#REF!</v>
      </c>
      <c r="P262" s="205" t="e">
        <f t="shared" si="63"/>
        <v>#REF!</v>
      </c>
      <c r="Q262" s="192" t="e">
        <f>IFERROR(VLOOKUP(A262,[1]Energiindhold!$A$2:$C$11,3,FALSE),IFERROR(VLOOKUP(A262,[1]Biogasudbytte!$A$2:$B$18,2,FALSE)*[1]Energiindhold!$C$10,0))*O262</f>
        <v>#REF!</v>
      </c>
      <c r="R262" s="192" t="e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#REF!</v>
      </c>
      <c r="S262" s="192" t="e">
        <f>IFERROR(VLOOKUP(A262,[1]Biogasudbytte!$A$2:$B$18,2,FALSE)*[1]Energiindhold!$C$10,0)*J262*IFERROR(VLOOKUP(A262,Biogasanlæg!$F$3:$G$8,2,FALSE),1)</f>
        <v>#REF!</v>
      </c>
      <c r="T262" s="193" t="e">
        <f t="shared" si="64"/>
        <v>#REF!</v>
      </c>
      <c r="U262" s="191" t="e">
        <f>O262*IFERROR(VLOOKUP(A262,[1]Tørstofindhold!A$2:B$24,2,FALSE),0)</f>
        <v>#REF!</v>
      </c>
      <c r="V262" s="192" t="e">
        <f>IF(D262=År1,P262,SUM(O262,P262))*IFERROR(VLOOKUP(A262,[1]Tørstofindhold!A$2:B$24,2,FALSE),0)</f>
        <v>#REF!</v>
      </c>
      <c r="W262" s="192" t="e">
        <f>J262*IFERROR(VLOOKUP(A262,[1]Tørstofindhold!A$2:B$24,2,FALSE),0)</f>
        <v>#REF!</v>
      </c>
      <c r="X262" s="193" t="e">
        <f t="shared" si="65"/>
        <v>#REF!</v>
      </c>
      <c r="Y262" s="171" t="e">
        <f t="shared" si="76"/>
        <v>#REF!</v>
      </c>
      <c r="Z262" s="103" t="e">
        <f t="shared" si="77"/>
        <v>#REF!</v>
      </c>
    </row>
    <row r="263" spans="1:26" x14ac:dyDescent="0.25">
      <c r="A263" s="194" t="str">
        <f t="shared" si="72"/>
        <v>Juletræer</v>
      </c>
      <c r="B263" s="194" t="str">
        <f t="shared" si="73"/>
        <v/>
      </c>
      <c r="C263" s="194">
        <f>IF(COUNTIFS('Resultater - Danmark'!$D$3:$D$482,'Resultat-Produktion &amp; forbrug'!A263,'Resultater - Danmark'!$A$3:$A$482,"Til energi")+COUNTIFS('Resultater - Danmark'!$D$3:$D$482,'Resultat-Produktion &amp; forbrug'!A263,'Resultater - Danmark'!$A$3:$A$482,"Biogasanlæg")&gt;0,1,0)</f>
        <v>0</v>
      </c>
      <c r="D263" s="194">
        <f t="shared" si="74"/>
        <v>2050</v>
      </c>
      <c r="E263" s="192" t="s">
        <v>24</v>
      </c>
      <c r="F263" s="195">
        <f>IF(E263="Vestdanmark",SUMIFS(IF(D263=År1,'Resultater - Vestdanmark'!H$3:H$482,IF(D263=År2,'Resultater - Vestdanmark'!I$3:I$482,'Resultater - Vestdanmark'!J$3:J$482)),'Resultater - Vestdanmark'!$F$3:$F$482,$A263,IF(D263=År1,'Resultater - Vestdanmark'!H$3:H$482,IF(D263=År2,'Resultater - Vestdanmark'!I$3:I$482,'Resultater - Vestdanmark'!J$3:J$482)),"&gt;0"),SUMIFS(IF(D263=År1,'Resultater - Østdanmark'!H$3:H$482,IF(D263=År2,'Resultater - Østdanmark'!I$3:I$482,'Resultater - Østdanmark'!J$3:J$482)),'Resultater - Østdanmark'!$F$3:$F$482,$A263,IF(D263=År1,'Resultater - Østdanmark'!H$3:H$482,IF(D263=År2,'Resultater - Østdanmark'!I$3:I$482,'Resultater - Østdanmark'!J$3:J$482)),"&gt;0"))</f>
        <v>0</v>
      </c>
      <c r="G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92">
        <f>IF(E263="Vestdanmark",-IF(A263="Halm",SUMIFS(IF(D263=År1,'Resultater - Vestdanmark'!H$3:H$482,IF(D263=År2,'Resultater - Vestdanmark'!I$3:I$482,'Resultater - Vestdanmark'!J$3:J$482)),'Resultater - Vestdanmark'!$F$3:$F$482,$A263,'Resultater - Vestdanmark'!H$3:H$482,"&lt;0"),0),-IF(A263="Halm",SUMIFS(IF(D263=År1,'Resultater - Østdanmark'!H$3:H$482,IF(D263=År2,'Resultater - Østdanmark'!I$3:I$482,'Resultater - Østdanmark'!J$3:J$482)),'Resultater - Østdanmark'!$F$3:$F$482,$A263,'Resultater - Østdanmark'!H$3:H$482,"&lt;0"),0))</f>
        <v>0</v>
      </c>
      <c r="I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5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7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4">
        <f t="shared" si="62"/>
        <v>0</v>
      </c>
      <c r="O263" s="195">
        <f t="shared" si="75"/>
        <v>0</v>
      </c>
      <c r="P263" s="205">
        <f t="shared" si="63"/>
        <v>0</v>
      </c>
      <c r="Q263" s="192">
        <f>IFERROR(VLOOKUP(A263,[1]Energiindhold!$A$2:$C$11,3,FALSE),IFERROR(VLOOKUP(A263,[1]Biogasudbytte!$A$2:$B$18,2,FALSE)*[1]Energiindhold!$C$10,0))*O263</f>
        <v>0</v>
      </c>
      <c r="R263" s="192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92">
        <f>IFERROR(VLOOKUP(A263,[1]Biogasudbytte!$A$2:$B$18,2,FALSE)*[1]Energiindhold!$C$10,0)*J263*IFERROR(VLOOKUP(A263,Biogasanlæg!$F$3:$G$8,2,FALSE),1)</f>
        <v>0</v>
      </c>
      <c r="T263" s="193">
        <f t="shared" si="64"/>
        <v>0</v>
      </c>
      <c r="U263" s="191">
        <f>O263*IFERROR(VLOOKUP(A263,[1]Tørstofindhold!A$2:B$24,2,FALSE),0)</f>
        <v>0</v>
      </c>
      <c r="V263" s="192">
        <f>IF(D263=År1,P263,SUM(O263,P263))*IFERROR(VLOOKUP(A263,[1]Tørstofindhold!A$2:B$24,2,FALSE),0)</f>
        <v>0</v>
      </c>
      <c r="W263" s="192">
        <f>J263*IFERROR(VLOOKUP(A263,[1]Tørstofindhold!A$2:B$24,2,FALSE),0)</f>
        <v>0</v>
      </c>
      <c r="X263" s="193">
        <f t="shared" si="65"/>
        <v>0</v>
      </c>
      <c r="Y263" s="171">
        <f t="shared" si="76"/>
        <v>0</v>
      </c>
      <c r="Z263" s="103">
        <f t="shared" si="77"/>
        <v>0</v>
      </c>
    </row>
    <row r="264" spans="1:26" x14ac:dyDescent="0.25">
      <c r="A264" s="194" t="str">
        <f t="shared" si="72"/>
        <v>Kartofler</v>
      </c>
      <c r="B264" s="194" t="str">
        <f t="shared" si="73"/>
        <v/>
      </c>
      <c r="C264" s="194">
        <f>IF(COUNTIFS('Resultater - Danmark'!$D$3:$D$482,'Resultat-Produktion &amp; forbrug'!A264,'Resultater - Danmark'!$A$3:$A$482,"Til energi")+COUNTIFS('Resultater - Danmark'!$D$3:$D$482,'Resultat-Produktion &amp; forbrug'!A264,'Resultater - Danmark'!$A$3:$A$482,"Biogasanlæg")&gt;0,1,0)</f>
        <v>0</v>
      </c>
      <c r="D264" s="194">
        <f t="shared" si="74"/>
        <v>2050</v>
      </c>
      <c r="E264" s="192" t="s">
        <v>24</v>
      </c>
      <c r="F264" s="195">
        <f>IF(E264="Vestdanmark",SUMIFS(IF(D264=År1,'Resultater - Vestdanmark'!H$3:H$482,IF(D264=År2,'Resultater - Vestdanmark'!I$3:I$482,'Resultater - Vestdanmark'!J$3:J$482)),'Resultater - Vestdanmark'!$F$3:$F$482,$A264,IF(D264=År1,'Resultater - Vestdanmark'!H$3:H$482,IF(D264=År2,'Resultater - Vestdanmark'!I$3:I$482,'Resultater - Vestdanmark'!J$3:J$482)),"&gt;0"),SUMIFS(IF(D264=År1,'Resultater - Østdanmark'!H$3:H$482,IF(D264=År2,'Resultater - Østdanmark'!I$3:I$482,'Resultater - Østdanmark'!J$3:J$482)),'Resultater - Østdanmark'!$F$3:$F$482,$A264,IF(D264=År1,'Resultater - Østdanmark'!H$3:H$482,IF(D264=År2,'Resultater - Østdanmark'!I$3:I$482,'Resultater - Østdanmark'!J$3:J$482)),"&gt;0"))</f>
        <v>0</v>
      </c>
      <c r="G264" s="195" t="e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#REF!</v>
      </c>
      <c r="H264" s="192">
        <f>IF(E264="Vestdanmark",-IF(A264="Halm",SUMIFS(IF(D264=År1,'Resultater - Vestdanmark'!H$3:H$482,IF(D264=År2,'Resultater - Vestdanmark'!I$3:I$482,'Resultater - Vestdanmark'!J$3:J$482)),'Resultater - Vestdanmark'!$F$3:$F$482,$A264,'Resultater - Vestdanmark'!H$3:H$482,"&lt;0"),0),-IF(A264="Halm",SUMIFS(IF(D264=År1,'Resultater - Østdanmark'!H$3:H$482,IF(D264=År2,'Resultater - Østdanmark'!I$3:I$482,'Resultater - Østdanmark'!J$3:J$482)),'Resultater - Østdanmark'!$F$3:$F$482,$A264,'Resultater - Østdanmark'!H$3:H$482,"&lt;0"),0))</f>
        <v>0</v>
      </c>
      <c r="I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5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7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4" t="e">
        <f t="shared" si="62"/>
        <v>#REF!</v>
      </c>
      <c r="O264" s="195">
        <f t="shared" si="75"/>
        <v>0</v>
      </c>
      <c r="P264" s="205">
        <f t="shared" si="63"/>
        <v>0</v>
      </c>
      <c r="Q264" s="192">
        <f>IFERROR(VLOOKUP(A264,[1]Energiindhold!$A$2:$C$11,3,FALSE),IFERROR(VLOOKUP(A264,[1]Biogasudbytte!$A$2:$B$18,2,FALSE)*[1]Energiindhold!$C$10,0))*O264</f>
        <v>0</v>
      </c>
      <c r="R264" s="192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92">
        <f>IFERROR(VLOOKUP(A264,[1]Biogasudbytte!$A$2:$B$18,2,FALSE)*[1]Energiindhold!$C$10,0)*J264*IFERROR(VLOOKUP(A264,Biogasanlæg!$F$3:$G$8,2,FALSE),1)</f>
        <v>0</v>
      </c>
      <c r="T264" s="193">
        <f t="shared" si="64"/>
        <v>0</v>
      </c>
      <c r="U264" s="191">
        <f>O264*IFERROR(VLOOKUP(A264,[1]Tørstofindhold!A$2:B$24,2,FALSE),0)</f>
        <v>0</v>
      </c>
      <c r="V264" s="192">
        <f>IF(D264=År1,P264,SUM(O264,P264))*IFERROR(VLOOKUP(A264,[1]Tørstofindhold!A$2:B$24,2,FALSE),0)</f>
        <v>0</v>
      </c>
      <c r="W264" s="192">
        <f>J264*IFERROR(VLOOKUP(A264,[1]Tørstofindhold!A$2:B$24,2,FALSE),0)</f>
        <v>0</v>
      </c>
      <c r="X264" s="193">
        <f t="shared" si="65"/>
        <v>0</v>
      </c>
      <c r="Y264" s="171" t="e">
        <f t="shared" si="76"/>
        <v>#REF!</v>
      </c>
      <c r="Z264" s="103" t="e">
        <f t="shared" si="77"/>
        <v>#REF!</v>
      </c>
    </row>
    <row r="265" spans="1:26" x14ac:dyDescent="0.25">
      <c r="A265" s="194" t="str">
        <f t="shared" si="72"/>
        <v>Korn</v>
      </c>
      <c r="B265" s="194" t="str">
        <f t="shared" si="73"/>
        <v>Halm og strå</v>
      </c>
      <c r="C265" s="194">
        <f>IF(COUNTIFS('Resultater - Danmark'!$D$3:$D$482,'Resultat-Produktion &amp; forbrug'!A265,'Resultater - Danmark'!$A$3:$A$482,"Til energi")+COUNTIFS('Resultater - Danmark'!$D$3:$D$482,'Resultat-Produktion &amp; forbrug'!A265,'Resultater - Danmark'!$A$3:$A$482,"Biogasanlæg")&gt;0,1,0)</f>
        <v>1</v>
      </c>
      <c r="D265" s="194">
        <f t="shared" si="74"/>
        <v>2050</v>
      </c>
      <c r="E265" s="192" t="s">
        <v>24</v>
      </c>
      <c r="F265" s="195">
        <f>IF(E265="Vestdanmark",SUMIFS(IF(D265=År1,'Resultater - Vestdanmark'!H$3:H$482,IF(D265=År2,'Resultater - Vestdanmark'!I$3:I$482,'Resultater - Vestdanmark'!J$3:J$482)),'Resultater - Vestdanmark'!$F$3:$F$482,$A265,IF(D265=År1,'Resultater - Vestdanmark'!H$3:H$482,IF(D265=År2,'Resultater - Vestdanmark'!I$3:I$482,'Resultater - Vestdanmark'!J$3:J$482)),"&gt;0"),SUMIFS(IF(D265=År1,'Resultater - Østdanmark'!H$3:H$482,IF(D265=År2,'Resultater - Østdanmark'!I$3:I$482,'Resultater - Østdanmark'!J$3:J$482)),'Resultater - Østdanmark'!$F$3:$F$482,$A265,IF(D265=År1,'Resultater - Østdanmark'!H$3:H$482,IF(D265=År2,'Resultater - Østdanmark'!I$3:I$482,'Resultater - Østdanmark'!J$3:J$482)),"&gt;0"))</f>
        <v>0</v>
      </c>
      <c r="G265" s="195" t="e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#REF!</v>
      </c>
      <c r="H265" s="192">
        <f>IF(E265="Vestdanmark",-IF(A265="Halm",SUMIFS(IF(D265=År1,'Resultater - Vestdanmark'!H$3:H$482,IF(D265=År2,'Resultater - Vestdanmark'!I$3:I$482,'Resultater - Vestdanmark'!J$3:J$482)),'Resultater - Vestdanmark'!$F$3:$F$482,$A265,'Resultater - Vestdanmark'!H$3:H$482,"&lt;0"),0),-IF(A265="Halm",SUMIFS(IF(D265=År1,'Resultater - Østdanmark'!H$3:H$482,IF(D265=År2,'Resultater - Østdanmark'!I$3:I$482,'Resultater - Østdanmark'!J$3:J$482)),'Resultater - Østdanmark'!$F$3:$F$482,$A265,'Resultater - Østdanmark'!H$3:H$482,"&lt;0"),0))</f>
        <v>0</v>
      </c>
      <c r="I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5" t="e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#REF!</v>
      </c>
      <c r="K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5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7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4" t="e">
        <f t="shared" si="62"/>
        <v>#REF!</v>
      </c>
      <c r="O265" s="195" t="e">
        <f t="shared" si="75"/>
        <v>#REF!</v>
      </c>
      <c r="P265" s="205" t="e">
        <f t="shared" si="63"/>
        <v>#REF!</v>
      </c>
      <c r="Q265" s="192" t="e">
        <f>IFERROR(VLOOKUP(A265,[1]Energiindhold!$A$2:$C$11,3,FALSE),IFERROR(VLOOKUP(A265,[1]Biogasudbytte!$A$2:$B$18,2,FALSE)*[1]Energiindhold!$C$10,0))*O265</f>
        <v>#REF!</v>
      </c>
      <c r="R265" s="192" t="e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#REF!</v>
      </c>
      <c r="S265" s="192" t="e">
        <f>IFERROR(VLOOKUP(A265,[1]Biogasudbytte!$A$2:$B$18,2,FALSE)*[1]Energiindhold!$C$10,0)*J265*IFERROR(VLOOKUP(A265,Biogasanlæg!$F$3:$G$8,2,FALSE),1)</f>
        <v>#REF!</v>
      </c>
      <c r="T265" s="193" t="e">
        <f t="shared" si="64"/>
        <v>#REF!</v>
      </c>
      <c r="U265" s="191" t="e">
        <f>O265*IFERROR(VLOOKUP(A265,[1]Tørstofindhold!A$2:B$24,2,FALSE),0)</f>
        <v>#REF!</v>
      </c>
      <c r="V265" s="192" t="e">
        <f>IF(D265=År1,P265,SUM(O265,P265))*IFERROR(VLOOKUP(A265,[1]Tørstofindhold!A$2:B$24,2,FALSE),0)</f>
        <v>#REF!</v>
      </c>
      <c r="W265" s="192" t="e">
        <f>J265*IFERROR(VLOOKUP(A265,[1]Tørstofindhold!A$2:B$24,2,FALSE),0)</f>
        <v>#REF!</v>
      </c>
      <c r="X265" s="193" t="e">
        <f t="shared" si="65"/>
        <v>#REF!</v>
      </c>
      <c r="Y265" s="171" t="e">
        <f t="shared" si="76"/>
        <v>#REF!</v>
      </c>
      <c r="Z265" s="103" t="e">
        <f t="shared" si="77"/>
        <v>#REF!</v>
      </c>
    </row>
    <row r="266" spans="1:26" x14ac:dyDescent="0.25">
      <c r="A266" s="194" t="str">
        <f t="shared" si="72"/>
        <v>Kunstgødning</v>
      </c>
      <c r="B266" s="194" t="str">
        <f t="shared" si="73"/>
        <v/>
      </c>
      <c r="C266" s="194">
        <f>IF(COUNTIFS('Resultater - Danmark'!$D$3:$D$482,'Resultat-Produktion &amp; forbrug'!A266,'Resultater - Danmark'!$A$3:$A$482,"Til energi")+COUNTIFS('Resultater - Danmark'!$D$3:$D$482,'Resultat-Produktion &amp; forbrug'!A266,'Resultater - Danmark'!$A$3:$A$482,"Biogasanlæg")&gt;0,1,0)</f>
        <v>0</v>
      </c>
      <c r="D266" s="194">
        <f t="shared" si="74"/>
        <v>2050</v>
      </c>
      <c r="E266" s="192" t="s">
        <v>24</v>
      </c>
      <c r="F266" s="195">
        <f>IF(E266="Vestdanmark",SUMIFS(IF(D266=År1,'Resultater - Vestdanmark'!H$3:H$482,IF(D266=År2,'Resultater - Vestdanmark'!I$3:I$482,'Resultater - Vestdanmark'!J$3:J$482)),'Resultater - Vestdanmark'!$F$3:$F$482,$A266,IF(D266=År1,'Resultater - Vestdanmark'!H$3:H$482,IF(D266=År2,'Resultater - Vestdanmark'!I$3:I$482,'Resultater - Vestdanmark'!J$3:J$482)),"&gt;0"),SUMIFS(IF(D266=År1,'Resultater - Østdanmark'!H$3:H$482,IF(D266=År2,'Resultater - Østdanmark'!I$3:I$482,'Resultater - Østdanmark'!J$3:J$482)),'Resultater - Østdanmark'!$F$3:$F$482,$A266,IF(D266=År1,'Resultater - Østdanmark'!H$3:H$482,IF(D266=År2,'Resultater - Østdanmark'!I$3:I$482,'Resultater - Østdanmark'!J$3:J$482)),"&gt;0"))</f>
        <v>0</v>
      </c>
      <c r="G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92">
        <f>IF(E266="Vestdanmark",-IF(A266="Halm",SUMIFS(IF(D266=År1,'Resultater - Vestdanmark'!H$3:H$482,IF(D266=År2,'Resultater - Vestdanmark'!I$3:I$482,'Resultater - Vestdanmark'!J$3:J$482)),'Resultater - Vestdanmark'!$F$3:$F$482,$A266,'Resultater - Vestdanmark'!H$3:H$482,"&lt;0"),0),-IF(A266="Halm",SUMIFS(IF(D266=År1,'Resultater - Østdanmark'!H$3:H$482,IF(D266=År2,'Resultater - Østdanmark'!I$3:I$482,'Resultater - Østdanmark'!J$3:J$482)),'Resultater - Østdanmark'!$F$3:$F$482,$A266,'Resultater - Østdanmark'!H$3:H$482,"&lt;0"),0))</f>
        <v>0</v>
      </c>
      <c r="I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5" t="e">
        <f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#REF!</v>
      </c>
      <c r="L266" s="195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7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4" t="e">
        <f t="shared" si="62"/>
        <v>#REF!</v>
      </c>
      <c r="O266" s="195">
        <f t="shared" si="75"/>
        <v>0</v>
      </c>
      <c r="P266" s="205">
        <f t="shared" si="63"/>
        <v>0</v>
      </c>
      <c r="Q266" s="192">
        <f>IFERROR(VLOOKUP(A266,[1]Energiindhold!$A$2:$C$11,3,FALSE),IFERROR(VLOOKUP(A266,[1]Biogasudbytte!$A$2:$B$18,2,FALSE)*[1]Energiindhold!$C$10,0))*O266</f>
        <v>0</v>
      </c>
      <c r="R266" s="192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92">
        <f>IFERROR(VLOOKUP(A266,[1]Biogasudbytte!$A$2:$B$18,2,FALSE)*[1]Energiindhold!$C$10,0)*J266*IFERROR(VLOOKUP(A266,Biogasanlæg!$F$3:$G$8,2,FALSE),1)</f>
        <v>0</v>
      </c>
      <c r="T266" s="193">
        <f t="shared" si="64"/>
        <v>0</v>
      </c>
      <c r="U266" s="191">
        <f>O266*IFERROR(VLOOKUP(A266,[1]Tørstofindhold!A$2:B$24,2,FALSE),0)</f>
        <v>0</v>
      </c>
      <c r="V266" s="192">
        <f>IF(D266=År1,P266,SUM(O266,P266))*IFERROR(VLOOKUP(A266,[1]Tørstofindhold!A$2:B$24,2,FALSE),0)</f>
        <v>0</v>
      </c>
      <c r="W266" s="192">
        <f>J266*IFERROR(VLOOKUP(A266,[1]Tørstofindhold!A$2:B$24,2,FALSE),0)</f>
        <v>0</v>
      </c>
      <c r="X266" s="193">
        <f t="shared" si="65"/>
        <v>0</v>
      </c>
      <c r="Y266" s="171" t="e">
        <f t="shared" si="76"/>
        <v>#REF!</v>
      </c>
      <c r="Z266" s="103" t="e">
        <f t="shared" si="77"/>
        <v>#REF!</v>
      </c>
    </row>
    <row r="267" spans="1:26" x14ac:dyDescent="0.25">
      <c r="A267" s="194" t="str">
        <f t="shared" si="72"/>
        <v>Kvæggylle</v>
      </c>
      <c r="B267" s="194" t="str">
        <f t="shared" si="73"/>
        <v>Husdyrgødning</v>
      </c>
      <c r="C267" s="194">
        <f>IF(COUNTIFS('Resultater - Danmark'!$D$3:$D$482,'Resultat-Produktion &amp; forbrug'!A267,'Resultater - Danmark'!$A$3:$A$482,"Til energi")+COUNTIFS('Resultater - Danmark'!$D$3:$D$482,'Resultat-Produktion &amp; forbrug'!A267,'Resultater - Danmark'!$A$3:$A$482,"Biogasanlæg")&gt;0,1,0)</f>
        <v>1</v>
      </c>
      <c r="D267" s="194">
        <f t="shared" si="74"/>
        <v>2050</v>
      </c>
      <c r="E267" s="192" t="s">
        <v>24</v>
      </c>
      <c r="F267" s="195">
        <f>IF(E267="Vestdanmark",SUMIFS(IF(D267=År1,'Resultater - Vestdanmark'!H$3:H$482,IF(D267=År2,'Resultater - Vestdanmark'!I$3:I$482,'Resultater - Vestdanmark'!J$3:J$482)),'Resultater - Vestdanmark'!$F$3:$F$482,$A267,IF(D267=År1,'Resultater - Vestdanmark'!H$3:H$482,IF(D267=År2,'Resultater - Vestdanmark'!I$3:I$482,'Resultater - Vestdanmark'!J$3:J$482)),"&gt;0"),SUMIFS(IF(D267=År1,'Resultater - Østdanmark'!H$3:H$482,IF(D267=År2,'Resultater - Østdanmark'!I$3:I$482,'Resultater - Østdanmark'!J$3:J$482)),'Resultater - Østdanmark'!$F$3:$F$482,$A267,IF(D267=År1,'Resultater - Østdanmark'!H$3:H$482,IF(D267=År2,'Resultater - Østdanmark'!I$3:I$482,'Resultater - Østdanmark'!J$3:J$482)),"&gt;0"))</f>
        <v>0</v>
      </c>
      <c r="G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92">
        <f>IF(E267="Vestdanmark",-IF(A267="Halm",SUMIFS(IF(D267=År1,'Resultater - Vestdanmark'!H$3:H$482,IF(D267=År2,'Resultater - Vestdanmark'!I$3:I$482,'Resultater - Vestdanmark'!J$3:J$482)),'Resultater - Vestdanmark'!$F$3:$F$482,$A267,'Resultater - Vestdanmark'!H$3:H$482,"&lt;0"),0),-IF(A267="Halm",SUMIFS(IF(D267=År1,'Resultater - Østdanmark'!H$3:H$482,IF(D267=År2,'Resultater - Østdanmark'!I$3:I$482,'Resultater - Østdanmark'!J$3:J$482)),'Resultater - Østdanmark'!$F$3:$F$482,$A267,'Resultater - Østdanmark'!H$3:H$482,"&lt;0"),0))</f>
        <v>0</v>
      </c>
      <c r="I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5" t="e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#REF!</v>
      </c>
      <c r="K267" s="195" t="e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#REF!</v>
      </c>
      <c r="L267" s="195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7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4" t="e">
        <f t="shared" si="62"/>
        <v>#REF!</v>
      </c>
      <c r="O267" s="195" t="e">
        <f t="shared" si="75"/>
        <v>#REF!</v>
      </c>
      <c r="P267" s="205" t="e">
        <f t="shared" si="63"/>
        <v>#REF!</v>
      </c>
      <c r="Q267" s="192" t="e">
        <f>IFERROR(VLOOKUP(A267,[1]Energiindhold!$A$2:$C$11,3,FALSE),IFERROR(VLOOKUP(A267,[1]Biogasudbytte!$A$2:$B$18,2,FALSE)*[1]Energiindhold!$C$10,0))*O267</f>
        <v>#REF!</v>
      </c>
      <c r="R267" s="192" t="e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#REF!</v>
      </c>
      <c r="S267" s="192" t="e">
        <f>IFERROR(VLOOKUP(A267,[1]Biogasudbytte!$A$2:$B$18,2,FALSE)*[1]Energiindhold!$C$10,0)*J267*IFERROR(VLOOKUP(A267,Biogasanlæg!$F$3:$G$8,2,FALSE),1)</f>
        <v>#REF!</v>
      </c>
      <c r="T267" s="193" t="e">
        <f t="shared" si="64"/>
        <v>#REF!</v>
      </c>
      <c r="U267" s="191" t="e">
        <f>O267*IFERROR(VLOOKUP(A267,[1]Tørstofindhold!A$2:B$24,2,FALSE),0)</f>
        <v>#REF!</v>
      </c>
      <c r="V267" s="192" t="e">
        <f>IF(D267=År1,P267,SUM(O267,P267))*IFERROR(VLOOKUP(A267,[1]Tørstofindhold!A$2:B$24,2,FALSE),0)</f>
        <v>#REF!</v>
      </c>
      <c r="W267" s="192" t="e">
        <f>J267*IFERROR(VLOOKUP(A267,[1]Tørstofindhold!A$2:B$24,2,FALSE),0)</f>
        <v>#REF!</v>
      </c>
      <c r="X267" s="193" t="e">
        <f t="shared" si="65"/>
        <v>#REF!</v>
      </c>
      <c r="Y267" s="171" t="e">
        <f t="shared" si="76"/>
        <v>#REF!</v>
      </c>
      <c r="Z267" s="103" t="e">
        <f t="shared" si="77"/>
        <v>#REF!</v>
      </c>
    </row>
    <row r="268" spans="1:26" x14ac:dyDescent="0.25">
      <c r="A268" s="194" t="str">
        <f t="shared" si="72"/>
        <v>Mælk til foder</v>
      </c>
      <c r="B268" s="194" t="str">
        <f t="shared" si="73"/>
        <v/>
      </c>
      <c r="C268" s="194">
        <f>IF(COUNTIFS('Resultater - Danmark'!$D$3:$D$482,'Resultat-Produktion &amp; forbrug'!A268,'Resultater - Danmark'!$A$3:$A$482,"Til energi")+COUNTIFS('Resultater - Danmark'!$D$3:$D$482,'Resultat-Produktion &amp; forbrug'!A268,'Resultater - Danmark'!$A$3:$A$482,"Biogasanlæg")&gt;0,1,0)</f>
        <v>0</v>
      </c>
      <c r="D268" s="194">
        <f t="shared" si="74"/>
        <v>2050</v>
      </c>
      <c r="E268" s="192" t="s">
        <v>24</v>
      </c>
      <c r="F268" s="195">
        <f>IF(E268="Vestdanmark",SUMIFS(IF(D268=År1,'Resultater - Vestdanmark'!H$3:H$482,IF(D268=År2,'Resultater - Vestdanmark'!I$3:I$482,'Resultater - Vestdanmark'!J$3:J$482)),'Resultater - Vestdanmark'!$F$3:$F$482,$A268,IF(D268=År1,'Resultater - Vestdanmark'!H$3:H$482,IF(D268=År2,'Resultater - Vestdanmark'!I$3:I$482,'Resultater - Vestdanmark'!J$3:J$482)),"&gt;0"),SUMIFS(IF(D268=År1,'Resultater - Østdanmark'!H$3:H$482,IF(D268=År2,'Resultater - Østdanmark'!I$3:I$482,'Resultater - Østdanmark'!J$3:J$482)),'Resultater - Østdanmark'!$F$3:$F$482,$A268,IF(D268=År1,'Resultater - Østdanmark'!H$3:H$482,IF(D268=År2,'Resultater - Østdanmark'!I$3:I$482,'Resultater - Østdanmark'!J$3:J$482)),"&gt;0"))</f>
        <v>0</v>
      </c>
      <c r="G268" s="195" t="e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#REF!</v>
      </c>
      <c r="H268" s="192">
        <f>IF(E268="Vestdanmark",-IF(A268="Halm",SUMIFS(IF(D268=År1,'Resultater - Vestdanmark'!H$3:H$482,IF(D268=År2,'Resultater - Vestdanmark'!I$3:I$482,'Resultater - Vestdanmark'!J$3:J$482)),'Resultater - Vestdanmark'!$F$3:$F$482,$A268,'Resultater - Vestdanmark'!H$3:H$482,"&lt;0"),0),-IF(A268="Halm",SUMIFS(IF(D268=År1,'Resultater - Østdanmark'!H$3:H$482,IF(D268=År2,'Resultater - Østdanmark'!I$3:I$482,'Resultater - Østdanmark'!J$3:J$482)),'Resultater - Østdanmark'!$F$3:$F$482,$A268,'Resultater - Østdanmark'!H$3:H$482,"&lt;0"),0))</f>
        <v>0</v>
      </c>
      <c r="I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5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7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4" t="e">
        <f t="shared" si="62"/>
        <v>#REF!</v>
      </c>
      <c r="O268" s="195">
        <f t="shared" si="75"/>
        <v>0</v>
      </c>
      <c r="P268" s="205">
        <f t="shared" si="63"/>
        <v>0</v>
      </c>
      <c r="Q268" s="192">
        <f>IFERROR(VLOOKUP(A268,[1]Energiindhold!$A$2:$C$11,3,FALSE),IFERROR(VLOOKUP(A268,[1]Biogasudbytte!$A$2:$B$18,2,FALSE)*[1]Energiindhold!$C$10,0))*O268</f>
        <v>0</v>
      </c>
      <c r="R268" s="192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92">
        <f>IFERROR(VLOOKUP(A268,[1]Biogasudbytte!$A$2:$B$18,2,FALSE)*[1]Energiindhold!$C$10,0)*J268*IFERROR(VLOOKUP(A268,Biogasanlæg!$F$3:$G$8,2,FALSE),1)</f>
        <v>0</v>
      </c>
      <c r="T268" s="193">
        <f t="shared" si="64"/>
        <v>0</v>
      </c>
      <c r="U268" s="191">
        <f>O268*IFERROR(VLOOKUP(A268,[1]Tørstofindhold!A$2:B$24,2,FALSE),0)</f>
        <v>0</v>
      </c>
      <c r="V268" s="192">
        <f>IF(D268=År1,P268,SUM(O268,P268))*IFERROR(VLOOKUP(A268,[1]Tørstofindhold!A$2:B$24,2,FALSE),0)</f>
        <v>0</v>
      </c>
      <c r="W268" s="192">
        <f>J268*IFERROR(VLOOKUP(A268,[1]Tørstofindhold!A$2:B$24,2,FALSE),0)</f>
        <v>0</v>
      </c>
      <c r="X268" s="193">
        <f t="shared" si="65"/>
        <v>0</v>
      </c>
      <c r="Y268" s="171" t="e">
        <f t="shared" si="76"/>
        <v>#REF!</v>
      </c>
      <c r="Z268" s="103" t="e">
        <f t="shared" si="77"/>
        <v>#REF!</v>
      </c>
    </row>
    <row r="269" spans="1:26" x14ac:dyDescent="0.25">
      <c r="A269" s="194" t="str">
        <f t="shared" si="72"/>
        <v>Majs</v>
      </c>
      <c r="B269" s="194" t="str">
        <f t="shared" si="73"/>
        <v>Græs og urter</v>
      </c>
      <c r="C269" s="194">
        <f>IF(COUNTIFS('Resultater - Danmark'!$D$3:$D$482,'Resultat-Produktion &amp; forbrug'!A269,'Resultater - Danmark'!$A$3:$A$482,"Til energi")+COUNTIFS('Resultater - Danmark'!$D$3:$D$482,'Resultat-Produktion &amp; forbrug'!A269,'Resultater - Danmark'!$A$3:$A$482,"Biogasanlæg")&gt;0,1,0)</f>
        <v>1</v>
      </c>
      <c r="D269" s="194">
        <f t="shared" si="74"/>
        <v>2050</v>
      </c>
      <c r="E269" s="192" t="s">
        <v>24</v>
      </c>
      <c r="F269" s="195">
        <f>IF(E269="Vestdanmark",SUMIFS(IF(D269=År1,'Resultater - Vestdanmark'!H$3:H$482,IF(D269=År2,'Resultater - Vestdanmark'!I$3:I$482,'Resultater - Vestdanmark'!J$3:J$482)),'Resultater - Vestdanmark'!$F$3:$F$482,$A269,IF(D269=År1,'Resultater - Vestdanmark'!H$3:H$482,IF(D269=År2,'Resultater - Vestdanmark'!I$3:I$482,'Resultater - Vestdanmark'!J$3:J$482)),"&gt;0"),SUMIFS(IF(D269=År1,'Resultater - Østdanmark'!H$3:H$482,IF(D269=År2,'Resultater - Østdanmark'!I$3:I$482,'Resultater - Østdanmark'!J$3:J$482)),'Resultater - Østdanmark'!$F$3:$F$482,$A269,IF(D269=År1,'Resultater - Østdanmark'!H$3:H$482,IF(D269=År2,'Resultater - Østdanmark'!I$3:I$482,'Resultater - Østdanmark'!J$3:J$482)),"&gt;0"))</f>
        <v>0</v>
      </c>
      <c r="G269" s="195" t="e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#REF!</v>
      </c>
      <c r="H269" s="192">
        <f>IF(E269="Vestdanmark",-IF(A269="Halm",SUMIFS(IF(D269=År1,'Resultater - Vestdanmark'!H$3:H$482,IF(D269=År2,'Resultater - Vestdanmark'!I$3:I$482,'Resultater - Vestdanmark'!J$3:J$482)),'Resultater - Vestdanmark'!$F$3:$F$482,$A269,'Resultater - Vestdanmark'!H$3:H$482,"&lt;0"),0),-IF(A269="Halm",SUMIFS(IF(D269=År1,'Resultater - Østdanmark'!H$3:H$482,IF(D269=År2,'Resultater - Østdanmark'!I$3:I$482,'Resultater - Østdanmark'!J$3:J$482)),'Resultater - Østdanmark'!$F$3:$F$482,$A269,'Resultater - Østdanmark'!H$3:H$482,"&lt;0"),0))</f>
        <v>0</v>
      </c>
      <c r="I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5" t="e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#REF!</v>
      </c>
      <c r="K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5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7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4" t="e">
        <f t="shared" si="62"/>
        <v>#REF!</v>
      </c>
      <c r="O269" s="195" t="e">
        <f t="shared" si="75"/>
        <v>#REF!</v>
      </c>
      <c r="P269" s="205" t="e">
        <f t="shared" si="63"/>
        <v>#REF!</v>
      </c>
      <c r="Q269" s="192" t="e">
        <f>IFERROR(VLOOKUP(A269,[1]Energiindhold!$A$2:$C$11,3,FALSE),IFERROR(VLOOKUP(A269,[1]Biogasudbytte!$A$2:$B$18,2,FALSE)*[1]Energiindhold!$C$10,0))*O269</f>
        <v>#REF!</v>
      </c>
      <c r="R269" s="192" t="e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#REF!</v>
      </c>
      <c r="S269" s="192" t="e">
        <f>IFERROR(VLOOKUP(A269,[1]Biogasudbytte!$A$2:$B$18,2,FALSE)*[1]Energiindhold!$C$10,0)*J269*IFERROR(VLOOKUP(A269,Biogasanlæg!$F$3:$G$8,2,FALSE),1)</f>
        <v>#REF!</v>
      </c>
      <c r="T269" s="193" t="e">
        <f t="shared" si="64"/>
        <v>#REF!</v>
      </c>
      <c r="U269" s="191" t="e">
        <f>O269*IFERROR(VLOOKUP(A269,[1]Tørstofindhold!A$2:B$24,2,FALSE),0)</f>
        <v>#REF!</v>
      </c>
      <c r="V269" s="192" t="e">
        <f>IF(D269=År1,P269,SUM(O269,P269))*IFERROR(VLOOKUP(A269,[1]Tørstofindhold!A$2:B$24,2,FALSE),0)</f>
        <v>#REF!</v>
      </c>
      <c r="W269" s="192" t="e">
        <f>J269*IFERROR(VLOOKUP(A269,[1]Tørstofindhold!A$2:B$24,2,FALSE),0)</f>
        <v>#REF!</v>
      </c>
      <c r="X269" s="193" t="e">
        <f t="shared" si="65"/>
        <v>#REF!</v>
      </c>
      <c r="Y269" s="171" t="e">
        <f t="shared" si="76"/>
        <v>#REF!</v>
      </c>
      <c r="Z269" s="103" t="e">
        <f t="shared" si="77"/>
        <v>#REF!</v>
      </c>
    </row>
    <row r="270" spans="1:26" x14ac:dyDescent="0.25">
      <c r="A270" s="194" t="str">
        <f t="shared" si="72"/>
        <v>Mejeriprodukter</v>
      </c>
      <c r="B270" s="194" t="str">
        <f t="shared" si="73"/>
        <v/>
      </c>
      <c r="C270" s="194">
        <f>IF(COUNTIFS('Resultater - Danmark'!$D$3:$D$482,'Resultat-Produktion &amp; forbrug'!A270,'Resultater - Danmark'!$A$3:$A$482,"Til energi")+COUNTIFS('Resultater - Danmark'!$D$3:$D$482,'Resultat-Produktion &amp; forbrug'!A270,'Resultater - Danmark'!$A$3:$A$482,"Biogasanlæg")&gt;0,1,0)</f>
        <v>0</v>
      </c>
      <c r="D270" s="194">
        <f t="shared" si="74"/>
        <v>2050</v>
      </c>
      <c r="E270" s="192" t="s">
        <v>24</v>
      </c>
      <c r="F270" s="195">
        <f>IF(E270="Vestdanmark",SUMIFS(IF(D270=År1,'Resultater - Vestdanmark'!H$3:H$482,IF(D270=År2,'Resultater - Vestdanmark'!I$3:I$482,'Resultater - Vestdanmark'!J$3:J$482)),'Resultater - Vestdanmark'!$F$3:$F$482,$A270,IF(D270=År1,'Resultater - Vestdanmark'!H$3:H$482,IF(D270=År2,'Resultater - Vestdanmark'!I$3:I$482,'Resultater - Vestdanmark'!J$3:J$482)),"&gt;0"),SUMIFS(IF(D270=År1,'Resultater - Østdanmark'!H$3:H$482,IF(D270=År2,'Resultater - Østdanmark'!I$3:I$482,'Resultater - Østdanmark'!J$3:J$482)),'Resultater - Østdanmark'!$F$3:$F$482,$A270,IF(D270=År1,'Resultater - Østdanmark'!H$3:H$482,IF(D270=År2,'Resultater - Østdanmark'!I$3:I$482,'Resultater - Østdanmark'!J$3:J$482)),"&gt;0"))</f>
        <v>0</v>
      </c>
      <c r="G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92">
        <f>IF(E270="Vestdanmark",-IF(A270="Halm",SUMIFS(IF(D270=År1,'Resultater - Vestdanmark'!H$3:H$482,IF(D270=År2,'Resultater - Vestdanmark'!I$3:I$482,'Resultater - Vestdanmark'!J$3:J$482)),'Resultater - Vestdanmark'!$F$3:$F$482,$A270,'Resultater - Vestdanmark'!H$3:H$482,"&lt;0"),0),-IF(A270="Halm",SUMIFS(IF(D270=År1,'Resultater - Østdanmark'!H$3:H$482,IF(D270=År2,'Resultater - Østdanmark'!I$3:I$482,'Resultater - Østdanmark'!J$3:J$482)),'Resultater - Østdanmark'!$F$3:$F$482,$A270,'Resultater - Østdanmark'!H$3:H$482,"&lt;0"),0))</f>
        <v>0</v>
      </c>
      <c r="I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5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7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4">
        <f t="shared" si="62"/>
        <v>-428214.02929147833</v>
      </c>
      <c r="O270" s="195">
        <f t="shared" si="75"/>
        <v>0</v>
      </c>
      <c r="P270" s="205">
        <f t="shared" si="63"/>
        <v>0</v>
      </c>
      <c r="Q270" s="192">
        <f>IFERROR(VLOOKUP(A270,[1]Energiindhold!$A$2:$C$11,3,FALSE),IFERROR(VLOOKUP(A270,[1]Biogasudbytte!$A$2:$B$18,2,FALSE)*[1]Energiindhold!$C$10,0))*O270</f>
        <v>0</v>
      </c>
      <c r="R270" s="192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92">
        <f>IFERROR(VLOOKUP(A270,[1]Biogasudbytte!$A$2:$B$18,2,FALSE)*[1]Energiindhold!$C$10,0)*J270*IFERROR(VLOOKUP(A270,Biogasanlæg!$F$3:$G$8,2,FALSE),1)</f>
        <v>0</v>
      </c>
      <c r="T270" s="193">
        <f t="shared" si="64"/>
        <v>0</v>
      </c>
      <c r="U270" s="191">
        <f>O270*IFERROR(VLOOKUP(A270,[1]Tørstofindhold!A$2:B$24,2,FALSE),0)</f>
        <v>0</v>
      </c>
      <c r="V270" s="192">
        <f>IF(D270=År1,P270,SUM(O270,P270))*IFERROR(VLOOKUP(A270,[1]Tørstofindhold!A$2:B$24,2,FALSE),0)</f>
        <v>0</v>
      </c>
      <c r="W270" s="192">
        <f>J270*IFERROR(VLOOKUP(A270,[1]Tørstofindhold!A$2:B$24,2,FALSE),0)</f>
        <v>0</v>
      </c>
      <c r="X270" s="193">
        <f t="shared" si="65"/>
        <v>0</v>
      </c>
      <c r="Y270" s="171">
        <f t="shared" si="76"/>
        <v>1</v>
      </c>
      <c r="Z270" s="103">
        <f t="shared" si="77"/>
        <v>0</v>
      </c>
    </row>
    <row r="271" spans="1:26" x14ac:dyDescent="0.25">
      <c r="A271" s="194" t="str">
        <f t="shared" si="72"/>
        <v>Muslinger</v>
      </c>
      <c r="B271" s="194" t="str">
        <f t="shared" si="73"/>
        <v>Havbiomasse</v>
      </c>
      <c r="C271" s="194">
        <f>IF(COUNTIFS('Resultater - Danmark'!$D$3:$D$482,'Resultat-Produktion &amp; forbrug'!A271,'Resultater - Danmark'!$A$3:$A$482,"Til energi")+COUNTIFS('Resultater - Danmark'!$D$3:$D$482,'Resultat-Produktion &amp; forbrug'!A271,'Resultater - Danmark'!$A$3:$A$482,"Biogasanlæg")&gt;0,1,0)</f>
        <v>1</v>
      </c>
      <c r="D271" s="194">
        <f t="shared" si="74"/>
        <v>2050</v>
      </c>
      <c r="E271" s="192" t="s">
        <v>24</v>
      </c>
      <c r="F271" s="195">
        <f>IF(E271="Vestdanmark",SUMIFS(IF(D271=År1,'Resultater - Vestdanmark'!H$3:H$482,IF(D271=År2,'Resultater - Vestdanmark'!I$3:I$482,'Resultater - Vestdanmark'!J$3:J$482)),'Resultater - Vestdanmark'!$F$3:$F$482,$A271,IF(D271=År1,'Resultater - Vestdanmark'!H$3:H$482,IF(D271=År2,'Resultater - Vestdanmark'!I$3:I$482,'Resultater - Vestdanmark'!J$3:J$482)),"&gt;0"),SUMIFS(IF(D271=År1,'Resultater - Østdanmark'!H$3:H$482,IF(D271=År2,'Resultater - Østdanmark'!I$3:I$482,'Resultater - Østdanmark'!J$3:J$482)),'Resultater - Østdanmark'!$F$3:$F$482,$A271,IF(D271=År1,'Resultater - Østdanmark'!H$3:H$482,IF(D271=År2,'Resultater - Østdanmark'!I$3:I$482,'Resultater - Østdanmark'!J$3:J$482)),"&gt;0"))</f>
        <v>0</v>
      </c>
      <c r="G271" s="195" t="e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#REF!</v>
      </c>
      <c r="H271" s="192">
        <f>IF(E271="Vestdanmark",-IF(A271="Halm",SUMIFS(IF(D271=År1,'Resultater - Vestdanmark'!H$3:H$482,IF(D271=År2,'Resultater - Vestdanmark'!I$3:I$482,'Resultater - Vestdanmark'!J$3:J$482)),'Resultater - Vestdanmark'!$F$3:$F$482,$A271,'Resultater - Vestdanmark'!H$3:H$482,"&lt;0"),0),-IF(A271="Halm",SUMIFS(IF(D271=År1,'Resultater - Østdanmark'!H$3:H$482,IF(D271=År2,'Resultater - Østdanmark'!I$3:I$482,'Resultater - Østdanmark'!J$3:J$482)),'Resultater - Østdanmark'!$F$3:$F$482,$A271,'Resultater - Østdanmark'!H$3:H$482,"&lt;0"),0))</f>
        <v>0</v>
      </c>
      <c r="I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5" t="e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#REF!</v>
      </c>
      <c r="K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5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7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4" t="e">
        <f t="shared" si="62"/>
        <v>#REF!</v>
      </c>
      <c r="O271" s="195" t="e">
        <f t="shared" si="75"/>
        <v>#REF!</v>
      </c>
      <c r="P271" s="205" t="e">
        <f t="shared" si="63"/>
        <v>#REF!</v>
      </c>
      <c r="Q271" s="192" t="e">
        <f>IFERROR(VLOOKUP(A271,[1]Energiindhold!$A$2:$C$11,3,FALSE),IFERROR(VLOOKUP(A271,[1]Biogasudbytte!$A$2:$B$18,2,FALSE)*[1]Energiindhold!$C$10,0))*O271</f>
        <v>#REF!</v>
      </c>
      <c r="R271" s="192" t="e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#REF!</v>
      </c>
      <c r="S271" s="192" t="e">
        <f>IFERROR(VLOOKUP(A271,[1]Biogasudbytte!$A$2:$B$18,2,FALSE)*[1]Energiindhold!$C$10,0)*J271*IFERROR(VLOOKUP(A271,Biogasanlæg!$F$3:$G$8,2,FALSE),1)</f>
        <v>#REF!</v>
      </c>
      <c r="T271" s="193" t="e">
        <f t="shared" si="64"/>
        <v>#REF!</v>
      </c>
      <c r="U271" s="191" t="e">
        <f>O271*IFERROR(VLOOKUP(A271,[1]Tørstofindhold!A$2:B$24,2,FALSE),0)</f>
        <v>#REF!</v>
      </c>
      <c r="V271" s="192" t="e">
        <f>IF(D271=År1,P271,SUM(O271,P271))*IFERROR(VLOOKUP(A271,[1]Tørstofindhold!A$2:B$24,2,FALSE),0)</f>
        <v>#REF!</v>
      </c>
      <c r="W271" s="192" t="e">
        <f>J271*IFERROR(VLOOKUP(A271,[1]Tørstofindhold!A$2:B$24,2,FALSE),0)</f>
        <v>#REF!</v>
      </c>
      <c r="X271" s="193" t="e">
        <f t="shared" si="65"/>
        <v>#REF!</v>
      </c>
      <c r="Y271" s="171" t="e">
        <f t="shared" si="76"/>
        <v>#REF!</v>
      </c>
      <c r="Z271" s="103" t="e">
        <f t="shared" si="77"/>
        <v>#REF!</v>
      </c>
    </row>
    <row r="272" spans="1:26" x14ac:dyDescent="0.25">
      <c r="A272" s="194" t="str">
        <f t="shared" si="72"/>
        <v>Oksekød</v>
      </c>
      <c r="B272" s="194" t="str">
        <f t="shared" si="73"/>
        <v/>
      </c>
      <c r="C272" s="194">
        <f>IF(COUNTIFS('Resultater - Danmark'!$D$3:$D$482,'Resultat-Produktion &amp; forbrug'!A272,'Resultater - Danmark'!$A$3:$A$482,"Til energi")+COUNTIFS('Resultater - Danmark'!$D$3:$D$482,'Resultat-Produktion &amp; forbrug'!A272,'Resultater - Danmark'!$A$3:$A$482,"Biogasanlæg")&gt;0,1,0)</f>
        <v>0</v>
      </c>
      <c r="D272" s="194">
        <f t="shared" si="74"/>
        <v>2050</v>
      </c>
      <c r="E272" s="192" t="s">
        <v>24</v>
      </c>
      <c r="F272" s="195">
        <f>IF(E272="Vestdanmark",SUMIFS(IF(D272=År1,'Resultater - Vestdanmark'!H$3:H$482,IF(D272=År2,'Resultater - Vestdanmark'!I$3:I$482,'Resultater - Vestdanmark'!J$3:J$482)),'Resultater - Vestdanmark'!$F$3:$F$482,$A272,IF(D272=År1,'Resultater - Vestdanmark'!H$3:H$482,IF(D272=År2,'Resultater - Vestdanmark'!I$3:I$482,'Resultater - Vestdanmark'!J$3:J$482)),"&gt;0"),SUMIFS(IF(D272=År1,'Resultater - Østdanmark'!H$3:H$482,IF(D272=År2,'Resultater - Østdanmark'!I$3:I$482,'Resultater - Østdanmark'!J$3:J$482)),'Resultater - Østdanmark'!$F$3:$F$482,$A272,IF(D272=År1,'Resultater - Østdanmark'!H$3:H$482,IF(D272=År2,'Resultater - Østdanmark'!I$3:I$482,'Resultater - Østdanmark'!J$3:J$482)),"&gt;0"))</f>
        <v>0</v>
      </c>
      <c r="G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92">
        <f>IF(E272="Vestdanmark",-IF(A272="Halm",SUMIFS(IF(D272=År1,'Resultater - Vestdanmark'!H$3:H$482,IF(D272=År2,'Resultater - Vestdanmark'!I$3:I$482,'Resultater - Vestdanmark'!J$3:J$482)),'Resultater - Vestdanmark'!$F$3:$F$482,$A272,'Resultater - Vestdanmark'!H$3:H$482,"&lt;0"),0),-IF(A272="Halm",SUMIFS(IF(D272=År1,'Resultater - Østdanmark'!H$3:H$482,IF(D272=År2,'Resultater - Østdanmark'!I$3:I$482,'Resultater - Østdanmark'!J$3:J$482)),'Resultater - Østdanmark'!$F$3:$F$482,$A272,'Resultater - Østdanmark'!H$3:H$482,"&lt;0"),0))</f>
        <v>0</v>
      </c>
      <c r="I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5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7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4">
        <f t="shared" si="62"/>
        <v>-54412.71372203785</v>
      </c>
      <c r="O272" s="195">
        <f t="shared" si="75"/>
        <v>0</v>
      </c>
      <c r="P272" s="205">
        <f t="shared" si="63"/>
        <v>0</v>
      </c>
      <c r="Q272" s="192">
        <f>IFERROR(VLOOKUP(A272,[1]Energiindhold!$A$2:$C$11,3,FALSE),IFERROR(VLOOKUP(A272,[1]Biogasudbytte!$A$2:$B$18,2,FALSE)*[1]Energiindhold!$C$10,0))*O272</f>
        <v>0</v>
      </c>
      <c r="R272" s="192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92">
        <f>IFERROR(VLOOKUP(A272,[1]Biogasudbytte!$A$2:$B$18,2,FALSE)*[1]Energiindhold!$C$10,0)*J272*IFERROR(VLOOKUP(A272,Biogasanlæg!$F$3:$G$8,2,FALSE),1)</f>
        <v>0</v>
      </c>
      <c r="T272" s="193">
        <f t="shared" si="64"/>
        <v>0</v>
      </c>
      <c r="U272" s="191">
        <f>O272*IFERROR(VLOOKUP(A272,[1]Tørstofindhold!A$2:B$24,2,FALSE),0)</f>
        <v>0</v>
      </c>
      <c r="V272" s="192">
        <f>IF(D272=År1,P272,SUM(O272,P272))*IFERROR(VLOOKUP(A272,[1]Tørstofindhold!A$2:B$24,2,FALSE),0)</f>
        <v>0</v>
      </c>
      <c r="W272" s="192">
        <f>J272*IFERROR(VLOOKUP(A272,[1]Tørstofindhold!A$2:B$24,2,FALSE),0)</f>
        <v>0</v>
      </c>
      <c r="X272" s="193">
        <f t="shared" si="65"/>
        <v>0</v>
      </c>
      <c r="Y272" s="171">
        <f t="shared" si="76"/>
        <v>1</v>
      </c>
      <c r="Z272" s="103">
        <f t="shared" si="77"/>
        <v>0</v>
      </c>
    </row>
    <row r="273" spans="1:26" x14ac:dyDescent="0.25">
      <c r="A273" s="194" t="str">
        <f t="shared" si="72"/>
        <v>Øvrige</v>
      </c>
      <c r="B273" s="194" t="str">
        <f t="shared" si="73"/>
        <v/>
      </c>
      <c r="C273" s="194">
        <f>IF(COUNTIFS('Resultater - Danmark'!$D$3:$D$482,'Resultat-Produktion &amp; forbrug'!A273,'Resultater - Danmark'!$A$3:$A$482,"Til energi")+COUNTIFS('Resultater - Danmark'!$D$3:$D$482,'Resultat-Produktion &amp; forbrug'!A273,'Resultater - Danmark'!$A$3:$A$482,"Biogasanlæg")&gt;0,1,0)</f>
        <v>0</v>
      </c>
      <c r="D273" s="194">
        <f t="shared" si="74"/>
        <v>2050</v>
      </c>
      <c r="E273" s="192" t="s">
        <v>24</v>
      </c>
      <c r="F273" s="195">
        <f>IF(E273="Vestdanmark",SUMIFS(IF(D273=År1,'Resultater - Vestdanmark'!H$3:H$482,IF(D273=År2,'Resultater - Vestdanmark'!I$3:I$482,'Resultater - Vestdanmark'!J$3:J$482)),'Resultater - Vestdanmark'!$F$3:$F$482,$A273,IF(D273=År1,'Resultater - Vestdanmark'!H$3:H$482,IF(D273=År2,'Resultater - Vestdanmark'!I$3:I$482,'Resultater - Vestdanmark'!J$3:J$482)),"&gt;0"),SUMIFS(IF(D273=År1,'Resultater - Østdanmark'!H$3:H$482,IF(D273=År2,'Resultater - Østdanmark'!I$3:I$482,'Resultater - Østdanmark'!J$3:J$482)),'Resultater - Østdanmark'!$F$3:$F$482,$A273,IF(D273=År1,'Resultater - Østdanmark'!H$3:H$482,IF(D273=År2,'Resultater - Østdanmark'!I$3:I$482,'Resultater - Østdanmark'!J$3:J$482)),"&gt;0"))</f>
        <v>0</v>
      </c>
      <c r="G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92">
        <f>IF(E273="Vestdanmark",-IF(A273="Halm",SUMIFS(IF(D273=År1,'Resultater - Vestdanmark'!H$3:H$482,IF(D273=År2,'Resultater - Vestdanmark'!I$3:I$482,'Resultater - Vestdanmark'!J$3:J$482)),'Resultater - Vestdanmark'!$F$3:$F$482,$A273,'Resultater - Vestdanmark'!H$3:H$482,"&lt;0"),0),-IF(A273="Halm",SUMIFS(IF(D273=År1,'Resultater - Østdanmark'!H$3:H$482,IF(D273=År2,'Resultater - Østdanmark'!I$3:I$482,'Resultater - Østdanmark'!J$3:J$482)),'Resultater - Østdanmark'!$F$3:$F$482,$A273,'Resultater - Østdanmark'!H$3:H$482,"&lt;0"),0))</f>
        <v>0</v>
      </c>
      <c r="I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5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7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4">
        <f t="shared" si="62"/>
        <v>0</v>
      </c>
      <c r="O273" s="195">
        <f t="shared" si="75"/>
        <v>0</v>
      </c>
      <c r="P273" s="205">
        <f t="shared" si="63"/>
        <v>0</v>
      </c>
      <c r="Q273" s="192">
        <f>IFERROR(VLOOKUP(A273,[1]Energiindhold!$A$2:$C$11,3,FALSE),IFERROR(VLOOKUP(A273,[1]Biogasudbytte!$A$2:$B$18,2,FALSE)*[1]Energiindhold!$C$10,0))*O273</f>
        <v>0</v>
      </c>
      <c r="R273" s="192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92">
        <f>IFERROR(VLOOKUP(A273,[1]Biogasudbytte!$A$2:$B$18,2,FALSE)*[1]Energiindhold!$C$10,0)*J273*IFERROR(VLOOKUP(A273,Biogasanlæg!$F$3:$G$8,2,FALSE),1)</f>
        <v>0</v>
      </c>
      <c r="T273" s="193">
        <f t="shared" si="64"/>
        <v>0</v>
      </c>
      <c r="U273" s="191">
        <f>O273*IFERROR(VLOOKUP(A273,[1]Tørstofindhold!A$2:B$24,2,FALSE),0)</f>
        <v>0</v>
      </c>
      <c r="V273" s="192">
        <f>IF(D273=År1,P273,SUM(O273,P273))*IFERROR(VLOOKUP(A273,[1]Tørstofindhold!A$2:B$24,2,FALSE),0)</f>
        <v>0</v>
      </c>
      <c r="W273" s="192">
        <f>J273*IFERROR(VLOOKUP(A273,[1]Tørstofindhold!A$2:B$24,2,FALSE),0)</f>
        <v>0</v>
      </c>
      <c r="X273" s="193">
        <f t="shared" si="65"/>
        <v>0</v>
      </c>
      <c r="Y273" s="171">
        <f t="shared" si="76"/>
        <v>0</v>
      </c>
      <c r="Z273" s="103">
        <f t="shared" si="77"/>
        <v>0</v>
      </c>
    </row>
    <row r="274" spans="1:26" x14ac:dyDescent="0.25">
      <c r="A274" s="194" t="str">
        <f t="shared" si="72"/>
        <v>Pil &amp; poppel</v>
      </c>
      <c r="B274" s="194" t="str">
        <f t="shared" si="73"/>
        <v>Vedmasse</v>
      </c>
      <c r="C274" s="194">
        <f>IF(COUNTIFS('Resultater - Danmark'!$D$3:$D$482,'Resultat-Produktion &amp; forbrug'!A274,'Resultater - Danmark'!$A$3:$A$482,"Til energi")+COUNTIFS('Resultater - Danmark'!$D$3:$D$482,'Resultat-Produktion &amp; forbrug'!A274,'Resultater - Danmark'!$A$3:$A$482,"Biogasanlæg")&gt;0,1,0)</f>
        <v>1</v>
      </c>
      <c r="D274" s="194">
        <f t="shared" si="74"/>
        <v>2050</v>
      </c>
      <c r="E274" s="192" t="s">
        <v>24</v>
      </c>
      <c r="F274" s="195">
        <f>IF(E274="Vestdanmark",SUMIFS(IF(D274=År1,'Resultater - Vestdanmark'!H$3:H$482,IF(D274=År2,'Resultater - Vestdanmark'!I$3:I$482,'Resultater - Vestdanmark'!J$3:J$482)),'Resultater - Vestdanmark'!$F$3:$F$482,$A274,IF(D274=År1,'Resultater - Vestdanmark'!H$3:H$482,IF(D274=År2,'Resultater - Vestdanmark'!I$3:I$482,'Resultater - Vestdanmark'!J$3:J$482)),"&gt;0"),SUMIFS(IF(D274=År1,'Resultater - Østdanmark'!H$3:H$482,IF(D274=År2,'Resultater - Østdanmark'!I$3:I$482,'Resultater - Østdanmark'!J$3:J$482)),'Resultater - Østdanmark'!$F$3:$F$482,$A274,IF(D274=År1,'Resultater - Østdanmark'!H$3:H$482,IF(D274=År2,'Resultater - Østdanmark'!I$3:I$482,'Resultater - Østdanmark'!J$3:J$482)),"&gt;0"))</f>
        <v>0</v>
      </c>
      <c r="G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92">
        <f>IF(E274="Vestdanmark",-IF(A274="Halm",SUMIFS(IF(D274=År1,'Resultater - Vestdanmark'!H$3:H$482,IF(D274=År2,'Resultater - Vestdanmark'!I$3:I$482,'Resultater - Vestdanmark'!J$3:J$482)),'Resultater - Vestdanmark'!$F$3:$F$482,$A274,'Resultater - Vestdanmark'!H$3:H$482,"&lt;0"),0),-IF(A274="Halm",SUMIFS(IF(D274=År1,'Resultater - Østdanmark'!H$3:H$482,IF(D274=År2,'Resultater - Østdanmark'!I$3:I$482,'Resultater - Østdanmark'!J$3:J$482)),'Resultater - Østdanmark'!$F$3:$F$482,$A274,'Resultater - Østdanmark'!H$3:H$482,"&lt;0"),0))</f>
        <v>0</v>
      </c>
      <c r="I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5" t="e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#REF!</v>
      </c>
      <c r="M274" s="157" t="e">
        <f>SUMIFS('Forbrug af biomasse'!E:E,'Forbrug af biomasse'!C:C,'Resultat-Produktion &amp; forbrug'!$A274,'Forbrug af biomasse'!D:D,'Resultat-Produktion &amp; forbrug'!$D274,'Forbrug af biomasse'!G:G,1,'Forbrug af biomasse'!B:B,$E274)</f>
        <v>#REF!</v>
      </c>
      <c r="N274" s="204" t="e">
        <f t="shared" si="62"/>
        <v>#REF!</v>
      </c>
      <c r="O274" s="195" t="e">
        <f t="shared" si="75"/>
        <v>#REF!</v>
      </c>
      <c r="P274" s="205" t="e">
        <f t="shared" si="63"/>
        <v>#REF!</v>
      </c>
      <c r="Q274" s="192" t="e">
        <f>IFERROR(VLOOKUP(A274,[1]Energiindhold!$A$2:$C$11,3,FALSE),IFERROR(VLOOKUP(A274,[1]Biogasudbytte!$A$2:$B$18,2,FALSE)*[1]Energiindhold!$C$10,0))*O274</f>
        <v>#REF!</v>
      </c>
      <c r="R274" s="192" t="e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#REF!</v>
      </c>
      <c r="S274" s="192">
        <f>IFERROR(VLOOKUP(A274,[1]Biogasudbytte!$A$2:$B$18,2,FALSE)*[1]Energiindhold!$C$10,0)*J274*IFERROR(VLOOKUP(A274,Biogasanlæg!$F$3:$G$8,2,FALSE),1)</f>
        <v>0</v>
      </c>
      <c r="T274" s="193" t="e">
        <f t="shared" si="64"/>
        <v>#REF!</v>
      </c>
      <c r="U274" s="191" t="e">
        <f>O274*IFERROR(VLOOKUP(A274,[1]Tørstofindhold!A$2:B$24,2,FALSE),0)</f>
        <v>#REF!</v>
      </c>
      <c r="V274" s="192" t="e">
        <f>IF(D274=År1,P274,SUM(O274,P274))*IFERROR(VLOOKUP(A274,[1]Tørstofindhold!A$2:B$24,2,FALSE),0)</f>
        <v>#REF!</v>
      </c>
      <c r="W274" s="192">
        <f>J274*IFERROR(VLOOKUP(A274,[1]Tørstofindhold!A$2:B$24,2,FALSE),0)</f>
        <v>0</v>
      </c>
      <c r="X274" s="193" t="e">
        <f t="shared" si="65"/>
        <v>#REF!</v>
      </c>
      <c r="Y274" s="171" t="e">
        <f t="shared" si="76"/>
        <v>#REF!</v>
      </c>
      <c r="Z274" s="103" t="e">
        <f t="shared" si="77"/>
        <v>#REF!</v>
      </c>
    </row>
    <row r="275" spans="1:26" x14ac:dyDescent="0.25">
      <c r="A275" s="194" t="str">
        <f t="shared" ref="A275:A276" si="78">A227</f>
        <v>Pyrolysegas</v>
      </c>
      <c r="B275" s="194" t="str">
        <f t="shared" ref="B275:B276" si="79">IF(B227&lt;&gt;"",B227,"")</f>
        <v>Pyrolyseprodukter</v>
      </c>
      <c r="C275" s="194">
        <f>IF(COUNTIFS('Resultater - Danmark'!$D$3:$D$482,'Resultat-Produktion &amp; forbrug'!A275,'Resultater - Danmark'!$A$3:$A$482,"Til energi")+COUNTIFS('Resultater - Danmark'!$D$3:$D$482,'Resultat-Produktion &amp; forbrug'!A275,'Resultater - Danmark'!$A$3:$A$482,"Biogasanlæg")&gt;0,1,0)</f>
        <v>1</v>
      </c>
      <c r="D275" s="194">
        <f t="shared" si="74"/>
        <v>2050</v>
      </c>
      <c r="E275" s="192" t="s">
        <v>24</v>
      </c>
      <c r="F275" s="195">
        <f>IF(E275="Vestdanmark",SUMIFS(IF(D275=År1,'Resultater - Vestdanmark'!H$3:H$482,IF(D275=År2,'Resultater - Vestdanmark'!I$3:I$482,'Resultater - Vestdanmark'!J$3:J$482)),'Resultater - Vestdanmark'!$F$3:$F$482,$A275,IF(D275=År1,'Resultater - Vestdanmark'!H$3:H$482,IF(D275=År2,'Resultater - Vestdanmark'!I$3:I$482,'Resultater - Vestdanmark'!J$3:J$482)),"&gt;0"),SUMIFS(IF(D275=År1,'Resultater - Østdanmark'!H$3:H$482,IF(D275=År2,'Resultater - Østdanmark'!I$3:I$482,'Resultater - Østdanmark'!J$3:J$482)),'Resultater - Østdanmark'!$F$3:$F$482,$A275,IF(D275=År1,'Resultater - Østdanmark'!H$3:H$482,IF(D275=År2,'Resultater - Østdanmark'!I$3:I$482,'Resultater - Østdanmark'!J$3:J$482)),"&gt;0"))</f>
        <v>0</v>
      </c>
      <c r="G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92">
        <f>IF(E275="Vestdanmark",-IF(A275="Halm",SUMIFS(IF(D275=År1,'Resultater - Vestdanmark'!H$3:H$482,IF(D275=År2,'Resultater - Vestdanmark'!I$3:I$482,'Resultater - Vestdanmark'!J$3:J$482)),'Resultater - Vestdanmark'!$F$3:$F$482,$A275,'Resultater - Vestdanmark'!H$3:H$482,"&lt;0"),0),-IF(A275="Halm",SUMIFS(IF(D275=År1,'Resultater - Østdanmark'!H$3:H$482,IF(D275=År2,'Resultater - Østdanmark'!I$3:I$482,'Resultater - Østdanmark'!J$3:J$482)),'Resultater - Østdanmark'!$F$3:$F$482,$A275,'Resultater - Østdanmark'!H$3:H$482,"&lt;0"),0))</f>
        <v>0</v>
      </c>
      <c r="I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5" t="e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#REF!</v>
      </c>
      <c r="M275" s="157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4" t="e">
        <f t="shared" ref="N275:N276" si="80">F275-SUM(G275:M275)</f>
        <v>#REF!</v>
      </c>
      <c r="O275" s="195" t="e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#REF!</v>
      </c>
      <c r="P275" s="205" t="e">
        <f t="shared" ref="P275:P276" si="82">SUM(J275,L275)</f>
        <v>#REF!</v>
      </c>
      <c r="Q275" s="192" t="e">
        <f>IFERROR(VLOOKUP(A275,[1]Energiindhold!$A$2:$C$11,3,FALSE),IFERROR(VLOOKUP(A275,[1]Biogasudbytte!$A$2:$B$18,2,FALSE)*[1]Energiindhold!$C$10,0))*O275</f>
        <v>#REF!</v>
      </c>
      <c r="R275" s="192" t="e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#REF!</v>
      </c>
      <c r="S275" s="192">
        <f>IFERROR(VLOOKUP(A275,[1]Biogasudbytte!$A$2:$B$18,2,FALSE)*[1]Energiindhold!$C$10,0)*J275*IFERROR(VLOOKUP(A275,Biogasanlæg!$F$3:$G$8,2,FALSE),1)</f>
        <v>0</v>
      </c>
      <c r="T275" s="193" t="e">
        <f t="shared" ref="T275:T276" si="83">R275-S275</f>
        <v>#REF!</v>
      </c>
      <c r="U275" s="191" t="e">
        <f>O275*IFERROR(VLOOKUP(A275,[1]Tørstofindhold!A$2:B$24,2,FALSE),0)</f>
        <v>#REF!</v>
      </c>
      <c r="V275" s="192" t="e">
        <f>IF(D275=År1,P275,SUM(O275,P275))*IFERROR(VLOOKUP(A275,[1]Tørstofindhold!A$2:B$24,2,FALSE),0)</f>
        <v>#REF!</v>
      </c>
      <c r="W275" s="192">
        <f>J275*IFERROR(VLOOKUP(A275,[1]Tørstofindhold!A$2:B$24,2,FALSE),0)</f>
        <v>0</v>
      </c>
      <c r="X275" s="193" t="e">
        <f t="shared" ref="X275:X276" si="84">V275-W275</f>
        <v>#REF!</v>
      </c>
      <c r="Y275" s="171" t="e">
        <f t="shared" ref="Y275:Y276" si="85">IF(SUMIFS($N$3:$N$290,$A$3:$A$290,A275,$D$3:$D$290,D275)&lt;0,1,0)</f>
        <v>#REF!</v>
      </c>
      <c r="Z275" s="103" t="e">
        <f t="shared" ref="Z275:Z276" si="86">IF(SUMIFS($N$3:$N$290,$A$3:$A$290,A275,$D$3:$D$290,D275)&gt;0,1,0)</f>
        <v>#REF!</v>
      </c>
    </row>
    <row r="276" spans="1:26" x14ac:dyDescent="0.25">
      <c r="A276" s="194" t="str">
        <f t="shared" si="78"/>
        <v>Pyrolyseolie</v>
      </c>
      <c r="B276" s="194" t="str">
        <f t="shared" si="79"/>
        <v>Pyrolyseprodukter</v>
      </c>
      <c r="C276" s="194">
        <f>IF(COUNTIFS('Resultater - Danmark'!$D$3:$D$482,'Resultat-Produktion &amp; forbrug'!A276,'Resultater - Danmark'!$A$3:$A$482,"Til energi")+COUNTIFS('Resultater - Danmark'!$D$3:$D$482,'Resultat-Produktion &amp; forbrug'!A276,'Resultater - Danmark'!$A$3:$A$482,"Biogasanlæg")&gt;0,1,0)</f>
        <v>1</v>
      </c>
      <c r="D276" s="194">
        <f t="shared" si="74"/>
        <v>2050</v>
      </c>
      <c r="E276" s="192" t="s">
        <v>24</v>
      </c>
      <c r="F276" s="195">
        <f>IF(E276="Vestdanmark",SUMIFS(IF(D276=År1,'Resultater - Vestdanmark'!H$3:H$482,IF(D276=År2,'Resultater - Vestdanmark'!I$3:I$482,'Resultater - Vestdanmark'!J$3:J$482)),'Resultater - Vestdanmark'!$F$3:$F$482,$A276,IF(D276=År1,'Resultater - Vestdanmark'!H$3:H$482,IF(D276=År2,'Resultater - Vestdanmark'!I$3:I$482,'Resultater - Vestdanmark'!J$3:J$482)),"&gt;0"),SUMIFS(IF(D276=År1,'Resultater - Østdanmark'!H$3:H$482,IF(D276=År2,'Resultater - Østdanmark'!I$3:I$482,'Resultater - Østdanmark'!J$3:J$482)),'Resultater - Østdanmark'!$F$3:$F$482,$A276,IF(D276=År1,'Resultater - Østdanmark'!H$3:H$482,IF(D276=År2,'Resultater - Østdanmark'!I$3:I$482,'Resultater - Østdanmark'!J$3:J$482)),"&gt;0"))</f>
        <v>0</v>
      </c>
      <c r="G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92">
        <f>IF(E276="Vestdanmark",-IF(A276="Halm",SUMIFS(IF(D276=År1,'Resultater - Vestdanmark'!H$3:H$482,IF(D276=År2,'Resultater - Vestdanmark'!I$3:I$482,'Resultater - Vestdanmark'!J$3:J$482)),'Resultater - Vestdanmark'!$F$3:$F$482,$A276,'Resultater - Vestdanmark'!H$3:H$482,"&lt;0"),0),-IF(A276="Halm",SUMIFS(IF(D276=År1,'Resultater - Østdanmark'!H$3:H$482,IF(D276=År2,'Resultater - Østdanmark'!I$3:I$482,'Resultater - Østdanmark'!J$3:J$482)),'Resultater - Østdanmark'!$F$3:$F$482,$A276,'Resultater - Østdanmark'!H$3:H$482,"&lt;0"),0))</f>
        <v>0</v>
      </c>
      <c r="I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5" t="e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#REF!</v>
      </c>
      <c r="M276" s="157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4" t="e">
        <f t="shared" si="80"/>
        <v>#REF!</v>
      </c>
      <c r="O276" s="195" t="e">
        <f t="shared" si="81"/>
        <v>#REF!</v>
      </c>
      <c r="P276" s="205" t="e">
        <f t="shared" si="82"/>
        <v>#REF!</v>
      </c>
      <c r="Q276" s="192" t="e">
        <f>IFERROR(VLOOKUP(A276,[1]Energiindhold!$A$2:$C$11,3,FALSE),IFERROR(VLOOKUP(A276,[1]Biogasudbytte!$A$2:$B$18,2,FALSE)*[1]Energiindhold!$C$10,0))*O276</f>
        <v>#REF!</v>
      </c>
      <c r="R276" s="192" t="e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#REF!</v>
      </c>
      <c r="S276" s="192">
        <f>IFERROR(VLOOKUP(A276,[1]Biogasudbytte!$A$2:$B$18,2,FALSE)*[1]Energiindhold!$C$10,0)*J276*IFERROR(VLOOKUP(A276,Biogasanlæg!$F$3:$G$8,2,FALSE),1)</f>
        <v>0</v>
      </c>
      <c r="T276" s="193" t="e">
        <f t="shared" si="83"/>
        <v>#REF!</v>
      </c>
      <c r="U276" s="191" t="e">
        <f>O276*IFERROR(VLOOKUP(A276,[1]Tørstofindhold!A$2:B$24,2,FALSE),0)</f>
        <v>#REF!</v>
      </c>
      <c r="V276" s="192" t="e">
        <f>IF(D276=År1,P276,SUM(O276,P276))*IFERROR(VLOOKUP(A276,[1]Tørstofindhold!A$2:B$24,2,FALSE),0)</f>
        <v>#REF!</v>
      </c>
      <c r="W276" s="192">
        <f>J276*IFERROR(VLOOKUP(A276,[1]Tørstofindhold!A$2:B$24,2,FALSE),0)</f>
        <v>0</v>
      </c>
      <c r="X276" s="193" t="e">
        <f t="shared" si="84"/>
        <v>#REF!</v>
      </c>
      <c r="Y276" s="171" t="e">
        <f t="shared" si="85"/>
        <v>#REF!</v>
      </c>
      <c r="Z276" s="103" t="e">
        <f t="shared" si="86"/>
        <v>#REF!</v>
      </c>
    </row>
    <row r="277" spans="1:26" x14ac:dyDescent="0.25">
      <c r="A277" s="194" t="str">
        <f t="shared" ref="A277:A290" si="87">A229</f>
        <v>Råmælk</v>
      </c>
      <c r="B277" s="194" t="str">
        <f t="shared" ref="B277:B290" si="88">IF(B229&lt;&gt;"",B229,"")</f>
        <v/>
      </c>
      <c r="C277" s="194">
        <f>IF(COUNTIFS('Resultater - Danmark'!$D$3:$D$482,'Resultat-Produktion &amp; forbrug'!A277,'Resultater - Danmark'!$A$3:$A$482,"Til energi")+COUNTIFS('Resultater - Danmark'!$D$3:$D$482,'Resultat-Produktion &amp; forbrug'!A277,'Resultater - Danmark'!$A$3:$A$482,"Biogasanlæg")&gt;0,1,0)</f>
        <v>0</v>
      </c>
      <c r="D277" s="194">
        <f t="shared" si="74"/>
        <v>2050</v>
      </c>
      <c r="E277" s="192" t="s">
        <v>24</v>
      </c>
      <c r="F277" s="195">
        <f>IF(E277="Vestdanmark",SUMIFS(IF(D277=År1,'Resultater - Vestdanmark'!H$3:H$482,IF(D277=År2,'Resultater - Vestdanmark'!I$3:I$482,'Resultater - Vestdanmark'!J$3:J$482)),'Resultater - Vestdanmark'!$F$3:$F$482,$A277,IF(D277=År1,'Resultater - Vestdanmark'!H$3:H$482,IF(D277=År2,'Resultater - Vestdanmark'!I$3:I$482,'Resultater - Vestdanmark'!J$3:J$482)),"&gt;0"),SUMIFS(IF(D277=År1,'Resultater - Østdanmark'!H$3:H$482,IF(D277=År2,'Resultater - Østdanmark'!I$3:I$482,'Resultater - Østdanmark'!J$3:J$482)),'Resultater - Østdanmark'!$F$3:$F$482,$A277,IF(D277=År1,'Resultater - Østdanmark'!H$3:H$482,IF(D277=År2,'Resultater - Østdanmark'!I$3:I$482,'Resultater - Østdanmark'!J$3:J$482)),"&gt;0"))</f>
        <v>0</v>
      </c>
      <c r="G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92">
        <f>IF(E277="Vestdanmark",-IF(A277="Halm",SUMIFS(IF(D277=År1,'Resultater - Vestdanmark'!H$3:H$482,IF(D277=År2,'Resultater - Vestdanmark'!I$3:I$482,'Resultater - Vestdanmark'!J$3:J$482)),'Resultater - Vestdanmark'!$F$3:$F$482,$A277,'Resultater - Vestdanmark'!H$3:H$482,"&lt;0"),0),-IF(A277="Halm",SUMIFS(IF(D277=År1,'Resultater - Østdanmark'!H$3:H$482,IF(D277=År2,'Resultater - Østdanmark'!I$3:I$482,'Resultater - Østdanmark'!J$3:J$482)),'Resultater - Østdanmark'!$F$3:$F$482,$A277,'Resultater - Østdanmark'!H$3:H$482,"&lt;0"),0))</f>
        <v>0</v>
      </c>
      <c r="I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5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7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4">
        <f t="shared" si="62"/>
        <v>0</v>
      </c>
      <c r="O277" s="195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5">
        <f t="shared" si="63"/>
        <v>0</v>
      </c>
      <c r="Q277" s="192">
        <f>IFERROR(VLOOKUP(A277,[1]Energiindhold!$A$2:$C$11,3,FALSE),IFERROR(VLOOKUP(A277,[1]Biogasudbytte!$A$2:$B$18,2,FALSE)*[1]Energiindhold!$C$10,0))*O277</f>
        <v>0</v>
      </c>
      <c r="R277" s="192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92">
        <f>IFERROR(VLOOKUP(A277,[1]Biogasudbytte!$A$2:$B$18,2,FALSE)*[1]Energiindhold!$C$10,0)*J277*IFERROR(VLOOKUP(A277,Biogasanlæg!$F$3:$G$8,2,FALSE),1)</f>
        <v>0</v>
      </c>
      <c r="T277" s="193">
        <f t="shared" si="64"/>
        <v>0</v>
      </c>
      <c r="U277" s="191">
        <f>O277*IFERROR(VLOOKUP(A277,[1]Tørstofindhold!A$2:B$24,2,FALSE),0)</f>
        <v>0</v>
      </c>
      <c r="V277" s="192">
        <f>IF(D277=År1,P277,SUM(O277,P277))*IFERROR(VLOOKUP(A277,[1]Tørstofindhold!A$2:B$24,2,FALSE),0)</f>
        <v>0</v>
      </c>
      <c r="W277" s="192">
        <f>J277*IFERROR(VLOOKUP(A277,[1]Tørstofindhold!A$2:B$24,2,FALSE),0)</f>
        <v>0</v>
      </c>
      <c r="X277" s="193">
        <f t="shared" si="65"/>
        <v>0</v>
      </c>
      <c r="Y277" s="171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0</v>
      </c>
    </row>
    <row r="278" spans="1:26" x14ac:dyDescent="0.25">
      <c r="A278" s="194" t="str">
        <f t="shared" si="87"/>
        <v>Raps</v>
      </c>
      <c r="B278" s="194" t="str">
        <f t="shared" si="88"/>
        <v/>
      </c>
      <c r="C278" s="194">
        <f>IF(COUNTIFS('Resultater - Danmark'!$D$3:$D$482,'Resultat-Produktion &amp; forbrug'!A278,'Resultater - Danmark'!$A$3:$A$482,"Til energi")+COUNTIFS('Resultater - Danmark'!$D$3:$D$482,'Resultat-Produktion &amp; forbrug'!A278,'Resultater - Danmark'!$A$3:$A$482,"Biogasanlæg")&gt;0,1,0)</f>
        <v>0</v>
      </c>
      <c r="D278" s="194">
        <f t="shared" si="74"/>
        <v>2050</v>
      </c>
      <c r="E278" s="192" t="s">
        <v>24</v>
      </c>
      <c r="F278" s="195">
        <f>IF(E278="Vestdanmark",SUMIFS(IF(D278=År1,'Resultater - Vestdanmark'!H$3:H$482,IF(D278=År2,'Resultater - Vestdanmark'!I$3:I$482,'Resultater - Vestdanmark'!J$3:J$482)),'Resultater - Vestdanmark'!$F$3:$F$482,$A278,IF(D278=År1,'Resultater - Vestdanmark'!H$3:H$482,IF(D278=År2,'Resultater - Vestdanmark'!I$3:I$482,'Resultater - Vestdanmark'!J$3:J$482)),"&gt;0"),SUMIFS(IF(D278=År1,'Resultater - Østdanmark'!H$3:H$482,IF(D278=År2,'Resultater - Østdanmark'!I$3:I$482,'Resultater - Østdanmark'!J$3:J$482)),'Resultater - Østdanmark'!$F$3:$F$482,$A278,IF(D278=År1,'Resultater - Østdanmark'!H$3:H$482,IF(D278=År2,'Resultater - Østdanmark'!I$3:I$482,'Resultater - Østdanmark'!J$3:J$482)),"&gt;0"))</f>
        <v>0</v>
      </c>
      <c r="G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92">
        <f>IF(E278="Vestdanmark",-IF(A278="Halm",SUMIFS(IF(D278=År1,'Resultater - Vestdanmark'!H$3:H$482,IF(D278=År2,'Resultater - Vestdanmark'!I$3:I$482,'Resultater - Vestdanmark'!J$3:J$482)),'Resultater - Vestdanmark'!$F$3:$F$482,$A278,'Resultater - Vestdanmark'!H$3:H$482,"&lt;0"),0),-IF(A278="Halm",SUMIFS(IF(D278=År1,'Resultater - Østdanmark'!H$3:H$482,IF(D278=År2,'Resultater - Østdanmark'!I$3:I$482,'Resultater - Østdanmark'!J$3:J$482)),'Resultater - Østdanmark'!$F$3:$F$482,$A278,'Resultater - Østdanmark'!H$3:H$482,"&lt;0"),0))</f>
        <v>0</v>
      </c>
      <c r="I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5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7" t="e">
        <f>SUMIFS('Forbrug af biomasse'!E:E,'Forbrug af biomasse'!C:C,'Resultat-Produktion &amp; forbrug'!$A278,'Forbrug af biomasse'!D:D,'Resultat-Produktion &amp; forbrug'!$D278,'Forbrug af biomasse'!G:G,1,'Forbrug af biomasse'!B:B,$E278)</f>
        <v>#REF!</v>
      </c>
      <c r="N278" s="204" t="e">
        <f t="shared" si="62"/>
        <v>#REF!</v>
      </c>
      <c r="O278" s="195">
        <f t="shared" si="89"/>
        <v>0</v>
      </c>
      <c r="P278" s="205">
        <f t="shared" si="63"/>
        <v>0</v>
      </c>
      <c r="Q278" s="192">
        <f>IFERROR(VLOOKUP(A278,[1]Energiindhold!$A$2:$C$11,3,FALSE),IFERROR(VLOOKUP(A278,[1]Biogasudbytte!$A$2:$B$18,2,FALSE)*[1]Energiindhold!$C$10,0))*O278</f>
        <v>0</v>
      </c>
      <c r="R278" s="192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92">
        <f>IFERROR(VLOOKUP(A278,[1]Biogasudbytte!$A$2:$B$18,2,FALSE)*[1]Energiindhold!$C$10,0)*J278*IFERROR(VLOOKUP(A278,Biogasanlæg!$F$3:$G$8,2,FALSE),1)</f>
        <v>0</v>
      </c>
      <c r="T278" s="193">
        <f t="shared" si="64"/>
        <v>0</v>
      </c>
      <c r="U278" s="191">
        <f>O278*IFERROR(VLOOKUP(A278,[1]Tørstofindhold!A$2:B$24,2,FALSE),0)</f>
        <v>0</v>
      </c>
      <c r="V278" s="192">
        <f>IF(D278=År1,P278,SUM(O278,P278))*IFERROR(VLOOKUP(A278,[1]Tørstofindhold!A$2:B$24,2,FALSE),0)</f>
        <v>0</v>
      </c>
      <c r="W278" s="192">
        <f>J278*IFERROR(VLOOKUP(A278,[1]Tørstofindhold!A$2:B$24,2,FALSE),0)</f>
        <v>0</v>
      </c>
      <c r="X278" s="193">
        <f t="shared" si="65"/>
        <v>0</v>
      </c>
      <c r="Y278" s="171" t="e">
        <f t="shared" si="90"/>
        <v>#REF!</v>
      </c>
      <c r="Z278" s="103" t="e">
        <f t="shared" si="91"/>
        <v>#REF!</v>
      </c>
    </row>
    <row r="279" spans="1:26" x14ac:dyDescent="0.25">
      <c r="A279" s="194" t="str">
        <f t="shared" si="87"/>
        <v>Rapskage</v>
      </c>
      <c r="B279" s="194" t="str">
        <f t="shared" si="88"/>
        <v/>
      </c>
      <c r="C279" s="194">
        <f>IF(COUNTIFS('Resultater - Danmark'!$D$3:$D$482,'Resultat-Produktion &amp; forbrug'!A279,'Resultater - Danmark'!$A$3:$A$482,"Til energi")+COUNTIFS('Resultater - Danmark'!$D$3:$D$482,'Resultat-Produktion &amp; forbrug'!A279,'Resultater - Danmark'!$A$3:$A$482,"Biogasanlæg")&gt;0,1,0)</f>
        <v>0</v>
      </c>
      <c r="D279" s="194">
        <f t="shared" si="74"/>
        <v>2050</v>
      </c>
      <c r="E279" s="192" t="s">
        <v>24</v>
      </c>
      <c r="F279" s="195">
        <f>IF(E279="Vestdanmark",SUMIFS(IF(D279=År1,'Resultater - Vestdanmark'!H$3:H$482,IF(D279=År2,'Resultater - Vestdanmark'!I$3:I$482,'Resultater - Vestdanmark'!J$3:J$482)),'Resultater - Vestdanmark'!$F$3:$F$482,$A279,IF(D279=År1,'Resultater - Vestdanmark'!H$3:H$482,IF(D279=År2,'Resultater - Vestdanmark'!I$3:I$482,'Resultater - Vestdanmark'!J$3:J$482)),"&gt;0"),SUMIFS(IF(D279=År1,'Resultater - Østdanmark'!H$3:H$482,IF(D279=År2,'Resultater - Østdanmark'!I$3:I$482,'Resultater - Østdanmark'!J$3:J$482)),'Resultater - Østdanmark'!$F$3:$F$482,$A279,IF(D279=År1,'Resultater - Østdanmark'!H$3:H$482,IF(D279=År2,'Resultater - Østdanmark'!I$3:I$482,'Resultater - Østdanmark'!J$3:J$482)),"&gt;0"))</f>
        <v>0</v>
      </c>
      <c r="G279" s="195" t="e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#REF!</v>
      </c>
      <c r="H279" s="192">
        <f>IF(E279="Vestdanmark",-IF(A279="Halm",SUMIFS(IF(D279=År1,'Resultater - Vestdanmark'!H$3:H$482,IF(D279=År2,'Resultater - Vestdanmark'!I$3:I$482,'Resultater - Vestdanmark'!J$3:J$482)),'Resultater - Vestdanmark'!$F$3:$F$482,$A279,'Resultater - Vestdanmark'!H$3:H$482,"&lt;0"),0),-IF(A279="Halm",SUMIFS(IF(D279=År1,'Resultater - Østdanmark'!H$3:H$482,IF(D279=År2,'Resultater - Østdanmark'!I$3:I$482,'Resultater - Østdanmark'!J$3:J$482)),'Resultater - Østdanmark'!$F$3:$F$482,$A279,'Resultater - Østdanmark'!H$3:H$482,"&lt;0"),0))</f>
        <v>0</v>
      </c>
      <c r="I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5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7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4" t="e">
        <f t="shared" si="62"/>
        <v>#REF!</v>
      </c>
      <c r="O279" s="195">
        <f t="shared" si="89"/>
        <v>0</v>
      </c>
      <c r="P279" s="205">
        <f t="shared" si="63"/>
        <v>0</v>
      </c>
      <c r="Q279" s="192">
        <f>IFERROR(VLOOKUP(A279,[1]Energiindhold!$A$2:$C$11,3,FALSE),IFERROR(VLOOKUP(A279,[1]Biogasudbytte!$A$2:$B$18,2,FALSE)*[1]Energiindhold!$C$10,0))*O279</f>
        <v>0</v>
      </c>
      <c r="R279" s="192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92">
        <f>IFERROR(VLOOKUP(A279,[1]Biogasudbytte!$A$2:$B$18,2,FALSE)*[1]Energiindhold!$C$10,0)*J279*IFERROR(VLOOKUP(A279,Biogasanlæg!$F$3:$G$8,2,FALSE),1)</f>
        <v>0</v>
      </c>
      <c r="T279" s="193">
        <f t="shared" si="64"/>
        <v>0</v>
      </c>
      <c r="U279" s="191">
        <f>O279*IFERROR(VLOOKUP(A279,[1]Tørstofindhold!A$2:B$24,2,FALSE),0)</f>
        <v>0</v>
      </c>
      <c r="V279" s="192">
        <f>IF(D279=År1,P279,SUM(O279,P279))*IFERROR(VLOOKUP(A279,[1]Tørstofindhold!A$2:B$24,2,FALSE),0)</f>
        <v>0</v>
      </c>
      <c r="W279" s="192">
        <f>J279*IFERROR(VLOOKUP(A279,[1]Tørstofindhold!A$2:B$24,2,FALSE),0)</f>
        <v>0</v>
      </c>
      <c r="X279" s="193">
        <f t="shared" si="65"/>
        <v>0</v>
      </c>
      <c r="Y279" s="171" t="e">
        <f t="shared" si="90"/>
        <v>#REF!</v>
      </c>
      <c r="Z279" s="103" t="e">
        <f t="shared" si="91"/>
        <v>#REF!</v>
      </c>
    </row>
    <row r="280" spans="1:26" x14ac:dyDescent="0.25">
      <c r="A280" s="194" t="str">
        <f t="shared" si="87"/>
        <v>Rapsolie</v>
      </c>
      <c r="B280" s="194" t="str">
        <f t="shared" si="88"/>
        <v>Rapsolie</v>
      </c>
      <c r="C280" s="194">
        <f>IF(COUNTIFS('Resultater - Danmark'!$D$3:$D$482,'Resultat-Produktion &amp; forbrug'!A280,'Resultater - Danmark'!$A$3:$A$482,"Til energi")+COUNTIFS('Resultater - Danmark'!$D$3:$D$482,'Resultat-Produktion &amp; forbrug'!A280,'Resultater - Danmark'!$A$3:$A$482,"Biogasanlæg")&gt;0,1,0)</f>
        <v>1</v>
      </c>
      <c r="D280" s="194">
        <f t="shared" si="74"/>
        <v>2050</v>
      </c>
      <c r="E280" s="192" t="s">
        <v>24</v>
      </c>
      <c r="F280" s="195">
        <f>IF(E280="Vestdanmark",SUMIFS(IF(D280=År1,'Resultater - Vestdanmark'!H$3:H$482,IF(D280=År2,'Resultater - Vestdanmark'!I$3:I$482,'Resultater - Vestdanmark'!J$3:J$482)),'Resultater - Vestdanmark'!$F$3:$F$482,$A280,IF(D280=År1,'Resultater - Vestdanmark'!H$3:H$482,IF(D280=År2,'Resultater - Vestdanmark'!I$3:I$482,'Resultater - Vestdanmark'!J$3:J$482)),"&gt;0"),SUMIFS(IF(D280=År1,'Resultater - Østdanmark'!H$3:H$482,IF(D280=År2,'Resultater - Østdanmark'!I$3:I$482,'Resultater - Østdanmark'!J$3:J$482)),'Resultater - Østdanmark'!$F$3:$F$482,$A280,IF(D280=År1,'Resultater - Østdanmark'!H$3:H$482,IF(D280=År2,'Resultater - Østdanmark'!I$3:I$482,'Resultater - Østdanmark'!J$3:J$482)),"&gt;0"))</f>
        <v>0</v>
      </c>
      <c r="G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92">
        <f>IF(E280="Vestdanmark",-IF(A280="Halm",SUMIFS(IF(D280=År1,'Resultater - Vestdanmark'!H$3:H$482,IF(D280=År2,'Resultater - Vestdanmark'!I$3:I$482,'Resultater - Vestdanmark'!J$3:J$482)),'Resultater - Vestdanmark'!$F$3:$F$482,$A280,'Resultater - Vestdanmark'!H$3:H$482,"&lt;0"),0),-IF(A280="Halm",SUMIFS(IF(D280=År1,'Resultater - Østdanmark'!H$3:H$482,IF(D280=År2,'Resultater - Østdanmark'!I$3:I$482,'Resultater - Østdanmark'!J$3:J$482)),'Resultater - Østdanmark'!$F$3:$F$482,$A280,'Resultater - Østdanmark'!H$3:H$482,"&lt;0"),0))</f>
        <v>0</v>
      </c>
      <c r="I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5" t="e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#REF!</v>
      </c>
      <c r="M280" s="157" t="e">
        <f>SUMIFS('Forbrug af biomasse'!E:E,'Forbrug af biomasse'!C:C,'Resultat-Produktion &amp; forbrug'!$A280,'Forbrug af biomasse'!D:D,'Resultat-Produktion &amp; forbrug'!$D280,'Forbrug af biomasse'!G:G,1,'Forbrug af biomasse'!B:B,$E280)</f>
        <v>#REF!</v>
      </c>
      <c r="N280" s="204" t="e">
        <f t="shared" si="62"/>
        <v>#REF!</v>
      </c>
      <c r="O280" s="195" t="e">
        <f t="shared" si="89"/>
        <v>#REF!</v>
      </c>
      <c r="P280" s="205" t="e">
        <f t="shared" si="63"/>
        <v>#REF!</v>
      </c>
      <c r="Q280" s="192" t="e">
        <f>IFERROR(VLOOKUP(A280,[1]Energiindhold!$A$2:$C$11,3,FALSE),IFERROR(VLOOKUP(A280,[1]Biogasudbytte!$A$2:$B$18,2,FALSE)*[1]Energiindhold!$C$10,0))*O280</f>
        <v>#REF!</v>
      </c>
      <c r="R280" s="192" t="e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#REF!</v>
      </c>
      <c r="S280" s="192">
        <f>IFERROR(VLOOKUP(A280,[1]Biogasudbytte!$A$2:$B$18,2,FALSE)*[1]Energiindhold!$C$10,0)*J280*IFERROR(VLOOKUP(A280,Biogasanlæg!$F$3:$G$8,2,FALSE),1)</f>
        <v>0</v>
      </c>
      <c r="T280" s="193" t="e">
        <f t="shared" si="64"/>
        <v>#REF!</v>
      </c>
      <c r="U280" s="191" t="e">
        <f>O280*IFERROR(VLOOKUP(A280,[1]Tørstofindhold!A$2:B$24,2,FALSE),0)</f>
        <v>#REF!</v>
      </c>
      <c r="V280" s="192" t="e">
        <f>IF(D280=År1,P280,SUM(O280,P280))*IFERROR(VLOOKUP(A280,[1]Tørstofindhold!A$2:B$24,2,FALSE),0)</f>
        <v>#REF!</v>
      </c>
      <c r="W280" s="192">
        <f>J280*IFERROR(VLOOKUP(A280,[1]Tørstofindhold!A$2:B$24,2,FALSE),0)</f>
        <v>0</v>
      </c>
      <c r="X280" s="193" t="e">
        <f t="shared" si="65"/>
        <v>#REF!</v>
      </c>
      <c r="Y280" s="171" t="e">
        <f t="shared" si="90"/>
        <v>#REF!</v>
      </c>
      <c r="Z280" s="103" t="e">
        <f t="shared" si="91"/>
        <v>#REF!</v>
      </c>
    </row>
    <row r="281" spans="1:26" x14ac:dyDescent="0.25">
      <c r="A281" s="194" t="str">
        <f t="shared" si="87"/>
        <v>Roer</v>
      </c>
      <c r="B281" s="194" t="str">
        <f t="shared" si="88"/>
        <v>Græs og urter</v>
      </c>
      <c r="C281" s="194">
        <f>IF(COUNTIFS('Resultater - Danmark'!$D$3:$D$482,'Resultat-Produktion &amp; forbrug'!A281,'Resultater - Danmark'!$A$3:$A$482,"Til energi")+COUNTIFS('Resultater - Danmark'!$D$3:$D$482,'Resultat-Produktion &amp; forbrug'!A281,'Resultater - Danmark'!$A$3:$A$482,"Biogasanlæg")&gt;0,1,0)</f>
        <v>1</v>
      </c>
      <c r="D281" s="194">
        <f t="shared" si="74"/>
        <v>2050</v>
      </c>
      <c r="E281" s="192" t="s">
        <v>24</v>
      </c>
      <c r="F281" s="195">
        <f>IF(E281="Vestdanmark",SUMIFS(IF(D281=År1,'Resultater - Vestdanmark'!H$3:H$482,IF(D281=År2,'Resultater - Vestdanmark'!I$3:I$482,'Resultater - Vestdanmark'!J$3:J$482)),'Resultater - Vestdanmark'!$F$3:$F$482,$A281,IF(D281=År1,'Resultater - Vestdanmark'!H$3:H$482,IF(D281=År2,'Resultater - Vestdanmark'!I$3:I$482,'Resultater - Vestdanmark'!J$3:J$482)),"&gt;0"),SUMIFS(IF(D281=År1,'Resultater - Østdanmark'!H$3:H$482,IF(D281=År2,'Resultater - Østdanmark'!I$3:I$482,'Resultater - Østdanmark'!J$3:J$482)),'Resultater - Østdanmark'!$F$3:$F$482,$A281,IF(D281=År1,'Resultater - Østdanmark'!H$3:H$482,IF(D281=År2,'Resultater - Østdanmark'!I$3:I$482,'Resultater - Østdanmark'!J$3:J$482)),"&gt;0"))</f>
        <v>0</v>
      </c>
      <c r="G281" s="195" t="e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#REF!</v>
      </c>
      <c r="H281" s="192">
        <f>IF(E281="Vestdanmark",-IF(A281="Halm",SUMIFS(IF(D281=År1,'Resultater - Vestdanmark'!H$3:H$482,IF(D281=År2,'Resultater - Vestdanmark'!I$3:I$482,'Resultater - Vestdanmark'!J$3:J$482)),'Resultater - Vestdanmark'!$F$3:$F$482,$A281,'Resultater - Vestdanmark'!H$3:H$482,"&lt;0"),0),-IF(A281="Halm",SUMIFS(IF(D281=År1,'Resultater - Østdanmark'!H$3:H$482,IF(D281=År2,'Resultater - Østdanmark'!I$3:I$482,'Resultater - Østdanmark'!J$3:J$482)),'Resultater - Østdanmark'!$F$3:$F$482,$A281,'Resultater - Østdanmark'!H$3:H$482,"&lt;0"),0))</f>
        <v>0</v>
      </c>
      <c r="I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5" t="e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#REF!</v>
      </c>
      <c r="K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5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7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4" t="e">
        <f t="shared" si="62"/>
        <v>#REF!</v>
      </c>
      <c r="O281" s="195" t="e">
        <f t="shared" si="89"/>
        <v>#REF!</v>
      </c>
      <c r="P281" s="205" t="e">
        <f t="shared" si="63"/>
        <v>#REF!</v>
      </c>
      <c r="Q281" s="192" t="e">
        <f>IFERROR(VLOOKUP(A281,[1]Energiindhold!$A$2:$C$11,3,FALSE),IFERROR(VLOOKUP(A281,[1]Biogasudbytte!$A$2:$B$18,2,FALSE)*[1]Energiindhold!$C$10,0))*O281</f>
        <v>#REF!</v>
      </c>
      <c r="R281" s="192" t="e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#REF!</v>
      </c>
      <c r="S281" s="192" t="e">
        <f>IFERROR(VLOOKUP(A281,[1]Biogasudbytte!$A$2:$B$18,2,FALSE)*[1]Energiindhold!$C$10,0)*J281*IFERROR(VLOOKUP(A281,Biogasanlæg!$F$3:$G$8,2,FALSE),1)</f>
        <v>#REF!</v>
      </c>
      <c r="T281" s="193" t="e">
        <f t="shared" si="64"/>
        <v>#REF!</v>
      </c>
      <c r="U281" s="191" t="e">
        <f>O281*IFERROR(VLOOKUP(A281,[1]Tørstofindhold!A$2:B$24,2,FALSE),0)</f>
        <v>#REF!</v>
      </c>
      <c r="V281" s="192" t="e">
        <f>IF(D281=År1,P281,SUM(O281,P281))*IFERROR(VLOOKUP(A281,[1]Tørstofindhold!A$2:B$24,2,FALSE),0)</f>
        <v>#REF!</v>
      </c>
      <c r="W281" s="192" t="e">
        <f>J281*IFERROR(VLOOKUP(A281,[1]Tørstofindhold!A$2:B$24,2,FALSE),0)</f>
        <v>#REF!</v>
      </c>
      <c r="X281" s="193" t="e">
        <f t="shared" si="65"/>
        <v>#REF!</v>
      </c>
      <c r="Y281" s="171" t="e">
        <f t="shared" si="90"/>
        <v>#REF!</v>
      </c>
      <c r="Z281" s="103" t="e">
        <f t="shared" si="91"/>
        <v>#REF!</v>
      </c>
    </row>
    <row r="282" spans="1:26" x14ac:dyDescent="0.25">
      <c r="A282" s="194" t="str">
        <f t="shared" si="87"/>
        <v>Slagteriaffald til andet</v>
      </c>
      <c r="B282" s="194" t="str">
        <f t="shared" si="88"/>
        <v/>
      </c>
      <c r="C282" s="194">
        <f>IF(COUNTIFS('Resultater - Danmark'!$D$3:$D$482,'Resultat-Produktion &amp; forbrug'!A282,'Resultater - Danmark'!$A$3:$A$482,"Til energi")+COUNTIFS('Resultater - Danmark'!$D$3:$D$482,'Resultat-Produktion &amp; forbrug'!A282,'Resultater - Danmark'!$A$3:$A$482,"Biogasanlæg")&gt;0,1,0)</f>
        <v>0</v>
      </c>
      <c r="D282" s="194">
        <f t="shared" ref="D282:D290" si="92">År3</f>
        <v>2050</v>
      </c>
      <c r="E282" s="192" t="s">
        <v>24</v>
      </c>
      <c r="F282" s="195">
        <f>IF(E282="Vestdanmark",SUMIFS(IF(D282=År1,'Resultater - Vestdanmark'!H$3:H$482,IF(D282=År2,'Resultater - Vestdanmark'!I$3:I$482,'Resultater - Vestdanmark'!J$3:J$482)),'Resultater - Vestdanmark'!$F$3:$F$482,$A282,IF(D282=År1,'Resultater - Vestdanmark'!H$3:H$482,IF(D282=År2,'Resultater - Vestdanmark'!I$3:I$482,'Resultater - Vestdanmark'!J$3:J$482)),"&gt;0"),SUMIFS(IF(D282=År1,'Resultater - Østdanmark'!H$3:H$482,IF(D282=År2,'Resultater - Østdanmark'!I$3:I$482,'Resultater - Østdanmark'!J$3:J$482)),'Resultater - Østdanmark'!$F$3:$F$482,$A282,IF(D282=År1,'Resultater - Østdanmark'!H$3:H$482,IF(D282=År2,'Resultater - Østdanmark'!I$3:I$482,'Resultater - Østdanmark'!J$3:J$482)),"&gt;0"))</f>
        <v>0</v>
      </c>
      <c r="G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92">
        <f>IF(E282="Vestdanmark",-IF(A282="Halm",SUMIFS(IF(D282=År1,'Resultater - Vestdanmark'!H$3:H$482,IF(D282=År2,'Resultater - Vestdanmark'!I$3:I$482,'Resultater - Vestdanmark'!J$3:J$482)),'Resultater - Vestdanmark'!$F$3:$F$482,$A282,'Resultater - Vestdanmark'!H$3:H$482,"&lt;0"),0),-IF(A282="Halm",SUMIFS(IF(D282=År1,'Resultater - Østdanmark'!H$3:H$482,IF(D282=År2,'Resultater - Østdanmark'!I$3:I$482,'Resultater - Østdanmark'!J$3:J$482)),'Resultater - Østdanmark'!$F$3:$F$482,$A282,'Resultater - Østdanmark'!H$3:H$482,"&lt;0"),0))</f>
        <v>0</v>
      </c>
      <c r="I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5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7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4">
        <f t="shared" ref="N282:N290" si="93">F282-SUM(G282:M282)</f>
        <v>0</v>
      </c>
      <c r="O282" s="195">
        <f t="shared" si="89"/>
        <v>0</v>
      </c>
      <c r="P282" s="205">
        <f t="shared" ref="P282:P290" si="94">SUM(J282,L282)</f>
        <v>0</v>
      </c>
      <c r="Q282" s="192">
        <f>IFERROR(VLOOKUP(A282,[1]Energiindhold!$A$2:$C$11,3,FALSE),IFERROR(VLOOKUP(A282,[1]Biogasudbytte!$A$2:$B$18,2,FALSE)*[1]Energiindhold!$C$10,0))*O282</f>
        <v>0</v>
      </c>
      <c r="R282" s="192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92">
        <f>IFERROR(VLOOKUP(A282,[1]Biogasudbytte!$A$2:$B$18,2,FALSE)*[1]Energiindhold!$C$10,0)*J282*IFERROR(VLOOKUP(A282,Biogasanlæg!$F$3:$G$8,2,FALSE),1)</f>
        <v>0</v>
      </c>
      <c r="T282" s="193">
        <f t="shared" ref="T282:T290" si="95">R282-S282</f>
        <v>0</v>
      </c>
      <c r="U282" s="191">
        <f>O282*IFERROR(VLOOKUP(A282,[1]Tørstofindhold!A$2:B$24,2,FALSE),0)</f>
        <v>0</v>
      </c>
      <c r="V282" s="192">
        <f>IF(D282=År1,P282,SUM(O282,P282))*IFERROR(VLOOKUP(A282,[1]Tørstofindhold!A$2:B$24,2,FALSE),0)</f>
        <v>0</v>
      </c>
      <c r="W282" s="192">
        <f>J282*IFERROR(VLOOKUP(A282,[1]Tørstofindhold!A$2:B$24,2,FALSE),0)</f>
        <v>0</v>
      </c>
      <c r="X282" s="193">
        <f t="shared" ref="X282:X290" si="96">V282-W282</f>
        <v>0</v>
      </c>
      <c r="Y282" s="171">
        <f t="shared" si="90"/>
        <v>0</v>
      </c>
      <c r="Z282" s="103">
        <f t="shared" si="91"/>
        <v>0</v>
      </c>
    </row>
    <row r="283" spans="1:26" x14ac:dyDescent="0.25">
      <c r="A283" s="194" t="str">
        <f t="shared" si="87"/>
        <v>Slagteriaffald til foder</v>
      </c>
      <c r="B283" s="194" t="str">
        <f t="shared" si="88"/>
        <v/>
      </c>
      <c r="C283" s="194">
        <f>IF(COUNTIFS('Resultater - Danmark'!$D$3:$D$482,'Resultat-Produktion &amp; forbrug'!A283,'Resultater - Danmark'!$A$3:$A$482,"Til energi")+COUNTIFS('Resultater - Danmark'!$D$3:$D$482,'Resultat-Produktion &amp; forbrug'!A283,'Resultater - Danmark'!$A$3:$A$482,"Biogasanlæg")&gt;0,1,0)</f>
        <v>0</v>
      </c>
      <c r="D283" s="194">
        <f t="shared" si="92"/>
        <v>2050</v>
      </c>
      <c r="E283" s="192" t="s">
        <v>24</v>
      </c>
      <c r="F283" s="195">
        <f>IF(E283="Vestdanmark",SUMIFS(IF(D283=År1,'Resultater - Vestdanmark'!H$3:H$482,IF(D283=År2,'Resultater - Vestdanmark'!I$3:I$482,'Resultater - Vestdanmark'!J$3:J$482)),'Resultater - Vestdanmark'!$F$3:$F$482,$A283,IF(D283=År1,'Resultater - Vestdanmark'!H$3:H$482,IF(D283=År2,'Resultater - Vestdanmark'!I$3:I$482,'Resultater - Vestdanmark'!J$3:J$482)),"&gt;0"),SUMIFS(IF(D283=År1,'Resultater - Østdanmark'!H$3:H$482,IF(D283=År2,'Resultater - Østdanmark'!I$3:I$482,'Resultater - Østdanmark'!J$3:J$482)),'Resultater - Østdanmark'!$F$3:$F$482,$A283,IF(D283=År1,'Resultater - Østdanmark'!H$3:H$482,IF(D283=År2,'Resultater - Østdanmark'!I$3:I$482,'Resultater - Østdanmark'!J$3:J$482)),"&gt;0"))</f>
        <v>0</v>
      </c>
      <c r="G283" s="195" t="e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#REF!</v>
      </c>
      <c r="H283" s="192">
        <f>IF(E283="Vestdanmark",-IF(A283="Halm",SUMIFS(IF(D283=År1,'Resultater - Vestdanmark'!H$3:H$482,IF(D283=År2,'Resultater - Vestdanmark'!I$3:I$482,'Resultater - Vestdanmark'!J$3:J$482)),'Resultater - Vestdanmark'!$F$3:$F$482,$A283,'Resultater - Vestdanmark'!H$3:H$482,"&lt;0"),0),-IF(A283="Halm",SUMIFS(IF(D283=År1,'Resultater - Østdanmark'!H$3:H$482,IF(D283=År2,'Resultater - Østdanmark'!I$3:I$482,'Resultater - Østdanmark'!J$3:J$482)),'Resultater - Østdanmark'!$F$3:$F$482,$A283,'Resultater - Østdanmark'!H$3:H$482,"&lt;0"),0))</f>
        <v>0</v>
      </c>
      <c r="I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5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7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4" t="e">
        <f t="shared" si="93"/>
        <v>#REF!</v>
      </c>
      <c r="O283" s="195">
        <f t="shared" si="89"/>
        <v>0</v>
      </c>
      <c r="P283" s="205">
        <f t="shared" si="94"/>
        <v>0</v>
      </c>
      <c r="Q283" s="192">
        <f>IFERROR(VLOOKUP(A283,[1]Energiindhold!$A$2:$C$11,3,FALSE),IFERROR(VLOOKUP(A283,[1]Biogasudbytte!$A$2:$B$18,2,FALSE)*[1]Energiindhold!$C$10,0))*O283</f>
        <v>0</v>
      </c>
      <c r="R283" s="192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92">
        <f>IFERROR(VLOOKUP(A283,[1]Biogasudbytte!$A$2:$B$18,2,FALSE)*[1]Energiindhold!$C$10,0)*J283*IFERROR(VLOOKUP(A283,Biogasanlæg!$F$3:$G$8,2,FALSE),1)</f>
        <v>0</v>
      </c>
      <c r="T283" s="193">
        <f t="shared" si="95"/>
        <v>0</v>
      </c>
      <c r="U283" s="191">
        <f>O283*IFERROR(VLOOKUP(A283,[1]Tørstofindhold!A$2:B$24,2,FALSE),0)</f>
        <v>0</v>
      </c>
      <c r="V283" s="192">
        <f>IF(D283=År1,P283,SUM(O283,P283))*IFERROR(VLOOKUP(A283,[1]Tørstofindhold!A$2:B$24,2,FALSE),0)</f>
        <v>0</v>
      </c>
      <c r="W283" s="192">
        <f>J283*IFERROR(VLOOKUP(A283,[1]Tørstofindhold!A$2:B$24,2,FALSE),0)</f>
        <v>0</v>
      </c>
      <c r="X283" s="193">
        <f t="shared" si="96"/>
        <v>0</v>
      </c>
      <c r="Y283" s="171" t="e">
        <f t="shared" si="90"/>
        <v>#REF!</v>
      </c>
      <c r="Z283" s="103" t="e">
        <f t="shared" si="91"/>
        <v>#REF!</v>
      </c>
    </row>
    <row r="284" spans="1:26" x14ac:dyDescent="0.25">
      <c r="A284" s="194" t="str">
        <f t="shared" si="87"/>
        <v>Spildevandsslam</v>
      </c>
      <c r="B284" s="194" t="str">
        <f t="shared" si="88"/>
        <v>Bionedbrydeligt affald</v>
      </c>
      <c r="C284" s="194">
        <f>IF(COUNTIFS('Resultater - Danmark'!$D$3:$D$482,'Resultat-Produktion &amp; forbrug'!A284,'Resultater - Danmark'!$A$3:$A$482,"Til energi")+COUNTIFS('Resultater - Danmark'!$D$3:$D$482,'Resultat-Produktion &amp; forbrug'!A284,'Resultater - Danmark'!$A$3:$A$482,"Biogasanlæg")&gt;0,1,0)</f>
        <v>1</v>
      </c>
      <c r="D284" s="194">
        <f t="shared" si="92"/>
        <v>2050</v>
      </c>
      <c r="E284" s="192" t="s">
        <v>24</v>
      </c>
      <c r="F284" s="195">
        <f>IF(E284="Vestdanmark",SUMIFS(IF(D284=År1,'Resultater - Vestdanmark'!H$3:H$482,IF(D284=År2,'Resultater - Vestdanmark'!I$3:I$482,'Resultater - Vestdanmark'!J$3:J$482)),'Resultater - Vestdanmark'!$F$3:$F$482,$A284,IF(D284=År1,'Resultater - Vestdanmark'!H$3:H$482,IF(D284=År2,'Resultater - Vestdanmark'!I$3:I$482,'Resultater - Vestdanmark'!J$3:J$482)),"&gt;0"),SUMIFS(IF(D284=År1,'Resultater - Østdanmark'!H$3:H$482,IF(D284=År2,'Resultater - Østdanmark'!I$3:I$482,'Resultater - Østdanmark'!J$3:J$482)),'Resultater - Østdanmark'!$F$3:$F$482,$A284,IF(D284=År1,'Resultater - Østdanmark'!H$3:H$482,IF(D284=År2,'Resultater - Østdanmark'!I$3:I$482,'Resultater - Østdanmark'!J$3:J$482)),"&gt;0"))</f>
        <v>0</v>
      </c>
      <c r="G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92">
        <f>IF(E284="Vestdanmark",-IF(A284="Halm",SUMIFS(IF(D284=År1,'Resultater - Vestdanmark'!H$3:H$482,IF(D284=År2,'Resultater - Vestdanmark'!I$3:I$482,'Resultater - Vestdanmark'!J$3:J$482)),'Resultater - Vestdanmark'!$F$3:$F$482,$A284,'Resultater - Vestdanmark'!H$3:H$482,"&lt;0"),0),-IF(A284="Halm",SUMIFS(IF(D284=År1,'Resultater - Østdanmark'!H$3:H$482,IF(D284=År2,'Resultater - Østdanmark'!I$3:I$482,'Resultater - Østdanmark'!J$3:J$482)),'Resultater - Østdanmark'!$F$3:$F$482,$A284,'Resultater - Østdanmark'!H$3:H$482,"&lt;0"),0))</f>
        <v>0</v>
      </c>
      <c r="I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5" t="e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#REF!</v>
      </c>
      <c r="K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5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7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4" t="e">
        <f t="shared" si="93"/>
        <v>#REF!</v>
      </c>
      <c r="O284" s="195" t="e">
        <f t="shared" si="89"/>
        <v>#REF!</v>
      </c>
      <c r="P284" s="205" t="e">
        <f t="shared" si="94"/>
        <v>#REF!</v>
      </c>
      <c r="Q284" s="192" t="e">
        <f>IFERROR(VLOOKUP(A284,[1]Energiindhold!$A$2:$C$11,3,FALSE),IFERROR(VLOOKUP(A284,[1]Biogasudbytte!$A$2:$B$18,2,FALSE)*[1]Energiindhold!$C$10,0))*O284</f>
        <v>#REF!</v>
      </c>
      <c r="R284" s="192" t="e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#REF!</v>
      </c>
      <c r="S284" s="192" t="e">
        <f>IFERROR(VLOOKUP(A284,[1]Biogasudbytte!$A$2:$B$18,2,FALSE)*[1]Energiindhold!$C$10,0)*J284*IFERROR(VLOOKUP(A284,Biogasanlæg!$F$3:$G$8,2,FALSE),1)</f>
        <v>#REF!</v>
      </c>
      <c r="T284" s="193" t="e">
        <f t="shared" si="95"/>
        <v>#REF!</v>
      </c>
      <c r="U284" s="191" t="e">
        <f>O284*IFERROR(VLOOKUP(A284,[1]Tørstofindhold!A$2:B$24,2,FALSE),0)</f>
        <v>#REF!</v>
      </c>
      <c r="V284" s="192" t="e">
        <f>IF(D284=År1,P284,SUM(O284,P284))*IFERROR(VLOOKUP(A284,[1]Tørstofindhold!A$2:B$24,2,FALSE),0)</f>
        <v>#REF!</v>
      </c>
      <c r="W284" s="192" t="e">
        <f>J284*IFERROR(VLOOKUP(A284,[1]Tørstofindhold!A$2:B$24,2,FALSE),0)</f>
        <v>#REF!</v>
      </c>
      <c r="X284" s="193" t="e">
        <f t="shared" si="96"/>
        <v>#REF!</v>
      </c>
      <c r="Y284" s="171" t="e">
        <f t="shared" si="90"/>
        <v>#REF!</v>
      </c>
      <c r="Z284" s="103" t="e">
        <f t="shared" si="91"/>
        <v>#REF!</v>
      </c>
    </row>
    <row r="285" spans="1:26" x14ac:dyDescent="0.25">
      <c r="A285" s="194" t="str">
        <f t="shared" si="87"/>
        <v>Svinegylle</v>
      </c>
      <c r="B285" s="194" t="str">
        <f t="shared" si="88"/>
        <v>Husdyrgødning</v>
      </c>
      <c r="C285" s="194">
        <f>IF(COUNTIFS('Resultater - Danmark'!$D$3:$D$482,'Resultat-Produktion &amp; forbrug'!A285,'Resultater - Danmark'!$A$3:$A$482,"Til energi")+COUNTIFS('Resultater - Danmark'!$D$3:$D$482,'Resultat-Produktion &amp; forbrug'!A285,'Resultater - Danmark'!$A$3:$A$482,"Biogasanlæg")&gt;0,1,0)</f>
        <v>1</v>
      </c>
      <c r="D285" s="194">
        <f t="shared" si="92"/>
        <v>2050</v>
      </c>
      <c r="E285" s="192" t="s">
        <v>24</v>
      </c>
      <c r="F285" s="195">
        <f>IF(E285="Vestdanmark",SUMIFS(IF(D285=År1,'Resultater - Vestdanmark'!H$3:H$482,IF(D285=År2,'Resultater - Vestdanmark'!I$3:I$482,'Resultater - Vestdanmark'!J$3:J$482)),'Resultater - Vestdanmark'!$F$3:$F$482,$A285,IF(D285=År1,'Resultater - Vestdanmark'!H$3:H$482,IF(D285=År2,'Resultater - Vestdanmark'!I$3:I$482,'Resultater - Vestdanmark'!J$3:J$482)),"&gt;0"),SUMIFS(IF(D285=År1,'Resultater - Østdanmark'!H$3:H$482,IF(D285=År2,'Resultater - Østdanmark'!I$3:I$482,'Resultater - Østdanmark'!J$3:J$482)),'Resultater - Østdanmark'!$F$3:$F$482,$A285,IF(D285=År1,'Resultater - Østdanmark'!H$3:H$482,IF(D285=År2,'Resultater - Østdanmark'!I$3:I$482,'Resultater - Østdanmark'!J$3:J$482)),"&gt;0"))</f>
        <v>0</v>
      </c>
      <c r="G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92">
        <f>IF(E285="Vestdanmark",-IF(A285="Halm",SUMIFS(IF(D285=År1,'Resultater - Vestdanmark'!H$3:H$482,IF(D285=År2,'Resultater - Vestdanmark'!I$3:I$482,'Resultater - Vestdanmark'!J$3:J$482)),'Resultater - Vestdanmark'!$F$3:$F$482,$A285,'Resultater - Vestdanmark'!H$3:H$482,"&lt;0"),0),-IF(A285="Halm",SUMIFS(IF(D285=År1,'Resultater - Østdanmark'!H$3:H$482,IF(D285=År2,'Resultater - Østdanmark'!I$3:I$482,'Resultater - Østdanmark'!J$3:J$482)),'Resultater - Østdanmark'!$F$3:$F$482,$A285,'Resultater - Østdanmark'!H$3:H$482,"&lt;0"),0))</f>
        <v>0</v>
      </c>
      <c r="I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5" t="e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#REF!</v>
      </c>
      <c r="K285" s="195" t="e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#REF!</v>
      </c>
      <c r="L285" s="195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7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4" t="e">
        <f t="shared" si="93"/>
        <v>#REF!</v>
      </c>
      <c r="O285" s="195" t="e">
        <f t="shared" si="89"/>
        <v>#REF!</v>
      </c>
      <c r="P285" s="205" t="e">
        <f t="shared" si="94"/>
        <v>#REF!</v>
      </c>
      <c r="Q285" s="192" t="e">
        <f>IFERROR(VLOOKUP(A285,[1]Energiindhold!$A$2:$C$11,3,FALSE),IFERROR(VLOOKUP(A285,[1]Biogasudbytte!$A$2:$B$18,2,FALSE)*[1]Energiindhold!$C$10,0))*O285</f>
        <v>#REF!</v>
      </c>
      <c r="R285" s="192" t="e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#REF!</v>
      </c>
      <c r="S285" s="192" t="e">
        <f>IFERROR(VLOOKUP(A285,[1]Biogasudbytte!$A$2:$B$18,2,FALSE)*[1]Energiindhold!$C$10,0)*J285*IFERROR(VLOOKUP(A285,Biogasanlæg!$F$3:$G$8,2,FALSE),1)</f>
        <v>#REF!</v>
      </c>
      <c r="T285" s="193" t="e">
        <f t="shared" si="95"/>
        <v>#REF!</v>
      </c>
      <c r="U285" s="191" t="e">
        <f>O285*IFERROR(VLOOKUP(A285,[1]Tørstofindhold!A$2:B$24,2,FALSE),0)</f>
        <v>#REF!</v>
      </c>
      <c r="V285" s="192" t="e">
        <f>IF(D285=År1,P285,SUM(O285,P285))*IFERROR(VLOOKUP(A285,[1]Tørstofindhold!A$2:B$24,2,FALSE),0)</f>
        <v>#REF!</v>
      </c>
      <c r="W285" s="192" t="e">
        <f>J285*IFERROR(VLOOKUP(A285,[1]Tørstofindhold!A$2:B$24,2,FALSE),0)</f>
        <v>#REF!</v>
      </c>
      <c r="X285" s="193" t="e">
        <f t="shared" si="96"/>
        <v>#REF!</v>
      </c>
      <c r="Y285" s="171" t="e">
        <f t="shared" si="90"/>
        <v>#REF!</v>
      </c>
      <c r="Z285" s="103" t="e">
        <f t="shared" si="91"/>
        <v>#REF!</v>
      </c>
    </row>
    <row r="286" spans="1:26" x14ac:dyDescent="0.25">
      <c r="A286" s="194" t="str">
        <f t="shared" si="87"/>
        <v>Svinekød</v>
      </c>
      <c r="B286" s="194" t="str">
        <f t="shared" si="88"/>
        <v/>
      </c>
      <c r="C286" s="194">
        <f>IF(COUNTIFS('Resultater - Danmark'!$D$3:$D$482,'Resultat-Produktion &amp; forbrug'!A286,'Resultater - Danmark'!$A$3:$A$482,"Til energi")+COUNTIFS('Resultater - Danmark'!$D$3:$D$482,'Resultat-Produktion &amp; forbrug'!A286,'Resultater - Danmark'!$A$3:$A$482,"Biogasanlæg")&gt;0,1,0)</f>
        <v>0</v>
      </c>
      <c r="D286" s="194">
        <f t="shared" si="92"/>
        <v>2050</v>
      </c>
      <c r="E286" s="192" t="s">
        <v>24</v>
      </c>
      <c r="F286" s="195">
        <f>IF(E286="Vestdanmark",SUMIFS(IF(D286=År1,'Resultater - Vestdanmark'!H$3:H$482,IF(D286=År2,'Resultater - Vestdanmark'!I$3:I$482,'Resultater - Vestdanmark'!J$3:J$482)),'Resultater - Vestdanmark'!$F$3:$F$482,$A286,IF(D286=År1,'Resultater - Vestdanmark'!H$3:H$482,IF(D286=År2,'Resultater - Vestdanmark'!I$3:I$482,'Resultater - Vestdanmark'!J$3:J$482)),"&gt;0"),SUMIFS(IF(D286=År1,'Resultater - Østdanmark'!H$3:H$482,IF(D286=År2,'Resultater - Østdanmark'!I$3:I$482,'Resultater - Østdanmark'!J$3:J$482)),'Resultater - Østdanmark'!$F$3:$F$482,$A286,IF(D286=År1,'Resultater - Østdanmark'!H$3:H$482,IF(D286=År2,'Resultater - Østdanmark'!I$3:I$482,'Resultater - Østdanmark'!J$3:J$482)),"&gt;0"))</f>
        <v>0</v>
      </c>
      <c r="G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92">
        <f>IF(E286="Vestdanmark",-IF(A286="Halm",SUMIFS(IF(D286=År1,'Resultater - Vestdanmark'!H$3:H$482,IF(D286=År2,'Resultater - Vestdanmark'!I$3:I$482,'Resultater - Vestdanmark'!J$3:J$482)),'Resultater - Vestdanmark'!$F$3:$F$482,$A286,'Resultater - Vestdanmark'!H$3:H$482,"&lt;0"),0),-IF(A286="Halm",SUMIFS(IF(D286=År1,'Resultater - Østdanmark'!H$3:H$482,IF(D286=År2,'Resultater - Østdanmark'!I$3:I$482,'Resultater - Østdanmark'!J$3:J$482)),'Resultater - Østdanmark'!$F$3:$F$482,$A286,'Resultater - Østdanmark'!H$3:H$482,"&lt;0"),0))</f>
        <v>0</v>
      </c>
      <c r="I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5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7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4">
        <f t="shared" si="93"/>
        <v>-110474.29755686472</v>
      </c>
      <c r="O286" s="195">
        <f t="shared" si="89"/>
        <v>0</v>
      </c>
      <c r="P286" s="205">
        <f t="shared" si="94"/>
        <v>0</v>
      </c>
      <c r="Q286" s="192">
        <f>IFERROR(VLOOKUP(A286,[1]Energiindhold!$A$2:$C$11,3,FALSE),IFERROR(VLOOKUP(A286,[1]Biogasudbytte!$A$2:$B$18,2,FALSE)*[1]Energiindhold!$C$10,0))*O286</f>
        <v>0</v>
      </c>
      <c r="R286" s="192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92">
        <f>IFERROR(VLOOKUP(A286,[1]Biogasudbytte!$A$2:$B$18,2,FALSE)*[1]Energiindhold!$C$10,0)*J286*IFERROR(VLOOKUP(A286,Biogasanlæg!$F$3:$G$8,2,FALSE),1)</f>
        <v>0</v>
      </c>
      <c r="T286" s="193">
        <f t="shared" si="95"/>
        <v>0</v>
      </c>
      <c r="U286" s="191">
        <f>O286*IFERROR(VLOOKUP(A286,[1]Tørstofindhold!A$2:B$24,2,FALSE),0)</f>
        <v>0</v>
      </c>
      <c r="V286" s="192">
        <f>IF(D286=År1,P286,SUM(O286,P286))*IFERROR(VLOOKUP(A286,[1]Tørstofindhold!A$2:B$24,2,FALSE),0)</f>
        <v>0</v>
      </c>
      <c r="W286" s="192">
        <f>J286*IFERROR(VLOOKUP(A286,[1]Tørstofindhold!A$2:B$24,2,FALSE),0)</f>
        <v>0</v>
      </c>
      <c r="X286" s="193">
        <f t="shared" si="96"/>
        <v>0</v>
      </c>
      <c r="Y286" s="171">
        <f t="shared" si="90"/>
        <v>1</v>
      </c>
      <c r="Z286" s="103">
        <f t="shared" si="91"/>
        <v>0</v>
      </c>
    </row>
    <row r="287" spans="1:26" x14ac:dyDescent="0.25">
      <c r="A287" s="194" t="str">
        <f t="shared" si="87"/>
        <v>Tang</v>
      </c>
      <c r="B287" s="194" t="str">
        <f t="shared" si="88"/>
        <v>Havbiomasse</v>
      </c>
      <c r="C287" s="194">
        <f>IF(COUNTIFS('Resultater - Danmark'!$D$3:$D$482,'Resultat-Produktion &amp; forbrug'!A287,'Resultater - Danmark'!$A$3:$A$482,"Til energi")+COUNTIFS('Resultater - Danmark'!$D$3:$D$482,'Resultat-Produktion &amp; forbrug'!A287,'Resultater - Danmark'!$A$3:$A$482,"Biogasanlæg")&gt;0,1,0)</f>
        <v>1</v>
      </c>
      <c r="D287" s="194">
        <f t="shared" si="92"/>
        <v>2050</v>
      </c>
      <c r="E287" s="192" t="s">
        <v>24</v>
      </c>
      <c r="F287" s="195">
        <f>IF(E287="Vestdanmark",SUMIFS(IF(D287=År1,'Resultater - Vestdanmark'!H$3:H$482,IF(D287=År2,'Resultater - Vestdanmark'!I$3:I$482,'Resultater - Vestdanmark'!J$3:J$482)),'Resultater - Vestdanmark'!$F$3:$F$482,$A287,IF(D287=År1,'Resultater - Vestdanmark'!H$3:H$482,IF(D287=År2,'Resultater - Vestdanmark'!I$3:I$482,'Resultater - Vestdanmark'!J$3:J$482)),"&gt;0"),SUMIFS(IF(D287=År1,'Resultater - Østdanmark'!H$3:H$482,IF(D287=År2,'Resultater - Østdanmark'!I$3:I$482,'Resultater - Østdanmark'!J$3:J$482)),'Resultater - Østdanmark'!$F$3:$F$482,$A287,IF(D287=År1,'Resultater - Østdanmark'!H$3:H$482,IF(D287=År2,'Resultater - Østdanmark'!I$3:I$482,'Resultater - Østdanmark'!J$3:J$482)),"&gt;0"))</f>
        <v>0</v>
      </c>
      <c r="G287" s="195" t="e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#REF!</v>
      </c>
      <c r="H287" s="192">
        <f>IF(E287="Vestdanmark",-IF(A287="Halm",SUMIFS(IF(D287=År1,'Resultater - Vestdanmark'!H$3:H$482,IF(D287=År2,'Resultater - Vestdanmark'!I$3:I$482,'Resultater - Vestdanmark'!J$3:J$482)),'Resultater - Vestdanmark'!$F$3:$F$482,$A287,'Resultater - Vestdanmark'!H$3:H$482,"&lt;0"),0),-IF(A287="Halm",SUMIFS(IF(D287=År1,'Resultater - Østdanmark'!H$3:H$482,IF(D287=År2,'Resultater - Østdanmark'!I$3:I$482,'Resultater - Østdanmark'!J$3:J$482)),'Resultater - Østdanmark'!$F$3:$F$482,$A287,'Resultater - Østdanmark'!H$3:H$482,"&lt;0"),0))</f>
        <v>0</v>
      </c>
      <c r="I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5" t="e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#REF!</v>
      </c>
      <c r="K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5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7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4" t="e">
        <f t="shared" si="93"/>
        <v>#REF!</v>
      </c>
      <c r="O287" s="195" t="e">
        <f t="shared" si="89"/>
        <v>#REF!</v>
      </c>
      <c r="P287" s="205" t="e">
        <f t="shared" si="94"/>
        <v>#REF!</v>
      </c>
      <c r="Q287" s="192" t="e">
        <f>IFERROR(VLOOKUP(A287,[1]Energiindhold!$A$2:$C$11,3,FALSE),IFERROR(VLOOKUP(A287,[1]Biogasudbytte!$A$2:$B$18,2,FALSE)*[1]Energiindhold!$C$10,0))*O287</f>
        <v>#REF!</v>
      </c>
      <c r="R287" s="192" t="e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#REF!</v>
      </c>
      <c r="S287" s="192" t="e">
        <f>IFERROR(VLOOKUP(A287,[1]Biogasudbytte!$A$2:$B$18,2,FALSE)*[1]Energiindhold!$C$10,0)*J287*IFERROR(VLOOKUP(A287,Biogasanlæg!$F$3:$G$8,2,FALSE),1)</f>
        <v>#REF!</v>
      </c>
      <c r="T287" s="193" t="e">
        <f t="shared" si="95"/>
        <v>#REF!</v>
      </c>
      <c r="U287" s="191" t="e">
        <f>O287*IFERROR(VLOOKUP(A287,[1]Tørstofindhold!A$2:B$24,2,FALSE),0)</f>
        <v>#REF!</v>
      </c>
      <c r="V287" s="192" t="e">
        <f>IF(D287=År1,P287,SUM(O287,P287))*IFERROR(VLOOKUP(A287,[1]Tørstofindhold!A$2:B$24,2,FALSE),0)</f>
        <v>#REF!</v>
      </c>
      <c r="W287" s="192" t="e">
        <f>J287*IFERROR(VLOOKUP(A287,[1]Tørstofindhold!A$2:B$24,2,FALSE),0)</f>
        <v>#REF!</v>
      </c>
      <c r="X287" s="193" t="e">
        <f t="shared" si="96"/>
        <v>#REF!</v>
      </c>
      <c r="Y287" s="171" t="e">
        <f t="shared" si="90"/>
        <v>#REF!</v>
      </c>
      <c r="Z287" s="103" t="e">
        <f t="shared" si="91"/>
        <v>#REF!</v>
      </c>
    </row>
    <row r="288" spans="1:26" x14ac:dyDescent="0.25">
      <c r="A288" s="194" t="str">
        <f t="shared" si="87"/>
        <v>Total til biogas</v>
      </c>
      <c r="B288" s="194" t="str">
        <f t="shared" si="88"/>
        <v/>
      </c>
      <c r="C288" s="194">
        <f>IF(COUNTIFS('Resultater - Danmark'!$D$3:$D$482,'Resultat-Produktion &amp; forbrug'!A288,'Resultater - Danmark'!$A$3:$A$482,"Til energi")+COUNTIFS('Resultater - Danmark'!$D$3:$D$482,'Resultat-Produktion &amp; forbrug'!A288,'Resultater - Danmark'!$A$3:$A$482,"Biogasanlæg")&gt;0,1,0)</f>
        <v>1</v>
      </c>
      <c r="D288" s="194">
        <f t="shared" si="92"/>
        <v>2050</v>
      </c>
      <c r="E288" s="192" t="s">
        <v>24</v>
      </c>
      <c r="F288" s="195">
        <f>IF(E288="Vestdanmark",SUMIFS(IF(D288=År1,'Resultater - Vestdanmark'!H$3:H$482,IF(D288=År2,'Resultater - Vestdanmark'!I$3:I$482,'Resultater - Vestdanmark'!J$3:J$482)),'Resultater - Vestdanmark'!$F$3:$F$482,$A288,IF(D288=År1,'Resultater - Vestdanmark'!H$3:H$482,IF(D288=År2,'Resultater - Vestdanmark'!I$3:I$482,'Resultater - Vestdanmark'!J$3:J$482)),"&gt;0"),SUMIFS(IF(D288=År1,'Resultater - Østdanmark'!H$3:H$482,IF(D288=År2,'Resultater - Østdanmark'!I$3:I$482,'Resultater - Østdanmark'!J$3:J$482)),'Resultater - Østdanmark'!$F$3:$F$482,$A288,IF(D288=År1,'Resultater - Østdanmark'!H$3:H$482,IF(D288=År2,'Resultater - Østdanmark'!I$3:I$482,'Resultater - Østdanmark'!J$3:J$482)),"&gt;0"))</f>
        <v>0</v>
      </c>
      <c r="G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92">
        <f>IF(E288="Vestdanmark",-IF(A288="Halm",SUMIFS(IF(D288=År1,'Resultater - Vestdanmark'!H$3:H$482,IF(D288=År2,'Resultater - Vestdanmark'!I$3:I$482,'Resultater - Vestdanmark'!J$3:J$482)),'Resultater - Vestdanmark'!$F$3:$F$482,$A288,'Resultater - Vestdanmark'!H$3:H$482,"&lt;0"),0),-IF(A288="Halm",SUMIFS(IF(D288=År1,'Resultater - Østdanmark'!H$3:H$482,IF(D288=År2,'Resultater - Østdanmark'!I$3:I$482,'Resultater - Østdanmark'!J$3:J$482)),'Resultater - Østdanmark'!$F$3:$F$482,$A288,'Resultater - Østdanmark'!H$3:H$482,"&lt;0"),0))</f>
        <v>0</v>
      </c>
      <c r="I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5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7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4">
        <f t="shared" si="93"/>
        <v>0</v>
      </c>
      <c r="O288" s="195">
        <f t="shared" si="89"/>
        <v>0</v>
      </c>
      <c r="P288" s="205">
        <f t="shared" si="94"/>
        <v>0</v>
      </c>
      <c r="Q288" s="192">
        <f>IFERROR(VLOOKUP(A288,[1]Energiindhold!$A$2:$C$11,3,FALSE),IFERROR(VLOOKUP(A288,[1]Biogasudbytte!$A$2:$B$18,2,FALSE)*[1]Energiindhold!$C$10,0))*O288</f>
        <v>0</v>
      </c>
      <c r="R288" s="192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92">
        <f>IFERROR(VLOOKUP(A288,[1]Biogasudbytte!$A$2:$B$18,2,FALSE)*[1]Energiindhold!$C$10,0)*J288*IFERROR(VLOOKUP(A288,Biogasanlæg!$F$3:$G$8,2,FALSE),1)</f>
        <v>0</v>
      </c>
      <c r="T288" s="193">
        <f t="shared" si="95"/>
        <v>0</v>
      </c>
      <c r="U288" s="191">
        <f>O288*IFERROR(VLOOKUP(A288,[1]Tørstofindhold!A$2:B$24,2,FALSE),0)</f>
        <v>0</v>
      </c>
      <c r="V288" s="192">
        <f>IF(D288=År1,P288,SUM(O288,P288))*IFERROR(VLOOKUP(A288,[1]Tørstofindhold!A$2:B$24,2,FALSE),0)</f>
        <v>0</v>
      </c>
      <c r="W288" s="192">
        <f>J288*IFERROR(VLOOKUP(A288,[1]Tørstofindhold!A$2:B$24,2,FALSE),0)</f>
        <v>0</v>
      </c>
      <c r="X288" s="193">
        <f t="shared" si="96"/>
        <v>0</v>
      </c>
      <c r="Y288" s="171">
        <f t="shared" si="90"/>
        <v>0</v>
      </c>
      <c r="Z288" s="103">
        <f t="shared" si="91"/>
        <v>0</v>
      </c>
    </row>
    <row r="289" spans="1:26" x14ac:dyDescent="0.25">
      <c r="A289" s="194" t="str">
        <f t="shared" si="87"/>
        <v>Træ til energi</v>
      </c>
      <c r="B289" s="194" t="str">
        <f t="shared" si="88"/>
        <v>Vedmasse</v>
      </c>
      <c r="C289" s="194">
        <f>IF(COUNTIFS('Resultater - Danmark'!$D$3:$D$482,'Resultat-Produktion &amp; forbrug'!A289,'Resultater - Danmark'!$A$3:$A$482,"Til energi")+COUNTIFS('Resultater - Danmark'!$D$3:$D$482,'Resultat-Produktion &amp; forbrug'!A289,'Resultater - Danmark'!$A$3:$A$482,"Biogasanlæg")&gt;0,1,0)</f>
        <v>1</v>
      </c>
      <c r="D289" s="194">
        <f t="shared" si="92"/>
        <v>2050</v>
      </c>
      <c r="E289" s="192" t="s">
        <v>24</v>
      </c>
      <c r="F289" s="195">
        <f>IF(E289="Vestdanmark",SUMIFS(IF(D289=År1,'Resultater - Vestdanmark'!H$3:H$482,IF(D289=År2,'Resultater - Vestdanmark'!I$3:I$482,'Resultater - Vestdanmark'!J$3:J$482)),'Resultater - Vestdanmark'!$F$3:$F$482,$A289,IF(D289=År1,'Resultater - Vestdanmark'!H$3:H$482,IF(D289=År2,'Resultater - Vestdanmark'!I$3:I$482,'Resultater - Vestdanmark'!J$3:J$482)),"&gt;0"),SUMIFS(IF(D289=År1,'Resultater - Østdanmark'!H$3:H$482,IF(D289=År2,'Resultater - Østdanmark'!I$3:I$482,'Resultater - Østdanmark'!J$3:J$482)),'Resultater - Østdanmark'!$F$3:$F$482,$A289,IF(D289=År1,'Resultater - Østdanmark'!H$3:H$482,IF(D289=År2,'Resultater - Østdanmark'!I$3:I$482,'Resultater - Østdanmark'!J$3:J$482)),"&gt;0"))</f>
        <v>0</v>
      </c>
      <c r="G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92">
        <f>IF(E289="Vestdanmark",-IF(A289="Halm",SUMIFS(IF(D289=År1,'Resultater - Vestdanmark'!H$3:H$482,IF(D289=År2,'Resultater - Vestdanmark'!I$3:I$482,'Resultater - Vestdanmark'!J$3:J$482)),'Resultater - Vestdanmark'!$F$3:$F$482,$A289,'Resultater - Vestdanmark'!H$3:H$482,"&lt;0"),0),-IF(A289="Halm",SUMIFS(IF(D289=År1,'Resultater - Østdanmark'!H$3:H$482,IF(D289=År2,'Resultater - Østdanmark'!I$3:I$482,'Resultater - Østdanmark'!J$3:J$482)),'Resultater - Østdanmark'!$F$3:$F$482,$A289,'Resultater - Østdanmark'!H$3:H$482,"&lt;0"),0))</f>
        <v>0</v>
      </c>
      <c r="I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5" t="e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#REF!</v>
      </c>
      <c r="M289" s="157" t="e">
        <f>SUMIFS('Forbrug af biomasse'!E:E,'Forbrug af biomasse'!C:C,'Resultat-Produktion &amp; forbrug'!$A289,'Forbrug af biomasse'!D:D,'Resultat-Produktion &amp; forbrug'!$D289,'Forbrug af biomasse'!G:G,1,'Forbrug af biomasse'!B:B,$E289)</f>
        <v>#REF!</v>
      </c>
      <c r="N289" s="204" t="e">
        <f t="shared" si="93"/>
        <v>#REF!</v>
      </c>
      <c r="O289" s="195" t="e">
        <f t="shared" si="89"/>
        <v>#REF!</v>
      </c>
      <c r="P289" s="205" t="e">
        <f t="shared" si="94"/>
        <v>#REF!</v>
      </c>
      <c r="Q289" s="192" t="e">
        <f>IFERROR(VLOOKUP(A289,[1]Energiindhold!$A$2:$C$11,3,FALSE),IFERROR(VLOOKUP(A289,[1]Biogasudbytte!$A$2:$B$18,2,FALSE)*[1]Energiindhold!$C$10,0))*O289</f>
        <v>#REF!</v>
      </c>
      <c r="R289" s="192" t="e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#REF!</v>
      </c>
      <c r="S289" s="192">
        <f>IFERROR(VLOOKUP(A289,[1]Biogasudbytte!$A$2:$B$18,2,FALSE)*[1]Energiindhold!$C$10,0)*J289*IFERROR(VLOOKUP(A289,Biogasanlæg!$F$3:$G$8,2,FALSE),1)</f>
        <v>0</v>
      </c>
      <c r="T289" s="193" t="e">
        <f t="shared" si="95"/>
        <v>#REF!</v>
      </c>
      <c r="U289" s="191" t="e">
        <f>O289*IFERROR(VLOOKUP(A289,[1]Tørstofindhold!A$2:B$24,2,FALSE),0)</f>
        <v>#REF!</v>
      </c>
      <c r="V289" s="192" t="e">
        <f>IF(D289=År1,P289,SUM(O289,P289))*IFERROR(VLOOKUP(A289,[1]Tørstofindhold!A$2:B$24,2,FALSE),0)</f>
        <v>#REF!</v>
      </c>
      <c r="W289" s="192">
        <f>J289*IFERROR(VLOOKUP(A289,[1]Tørstofindhold!A$2:B$24,2,FALSE),0)</f>
        <v>0</v>
      </c>
      <c r="X289" s="193" t="e">
        <f t="shared" si="96"/>
        <v>#REF!</v>
      </c>
      <c r="Y289" s="171" t="e">
        <f t="shared" si="90"/>
        <v>#REF!</v>
      </c>
      <c r="Z289" s="103" t="e">
        <f t="shared" si="91"/>
        <v>#REF!</v>
      </c>
    </row>
    <row r="290" spans="1:26" ht="15.75" thickBot="1" x14ac:dyDescent="0.3">
      <c r="A290" s="194" t="str">
        <f t="shared" si="87"/>
        <v>Træmaterialer</v>
      </c>
      <c r="B290" s="194" t="str">
        <f t="shared" si="88"/>
        <v/>
      </c>
      <c r="C290" s="194">
        <f>IF(COUNTIFS('Resultater - Danmark'!$D$3:$D$482,'Resultat-Produktion &amp; forbrug'!A290,'Resultater - Danmark'!$A$3:$A$482,"Til energi")+COUNTIFS('Resultater - Danmark'!$D$3:$D$482,'Resultat-Produktion &amp; forbrug'!A290,'Resultater - Danmark'!$A$3:$A$482,"Biogasanlæg")&gt;0,1,0)</f>
        <v>0</v>
      </c>
      <c r="D290" s="194">
        <f t="shared" si="92"/>
        <v>2050</v>
      </c>
      <c r="E290" s="192" t="s">
        <v>24</v>
      </c>
      <c r="F290" s="195">
        <f>IF(E290="Vestdanmark",SUMIFS(IF(D290=År1,'Resultater - Vestdanmark'!H$3:H$482,IF(D290=År2,'Resultater - Vestdanmark'!I$3:I$482,'Resultater - Vestdanmark'!J$3:J$482)),'Resultater - Vestdanmark'!$F$3:$F$482,$A290,IF(D290=År1,'Resultater - Vestdanmark'!H$3:H$482,IF(D290=År2,'Resultater - Vestdanmark'!I$3:I$482,'Resultater - Vestdanmark'!J$3:J$482)),"&gt;0"),SUMIFS(IF(D290=År1,'Resultater - Østdanmark'!H$3:H$482,IF(D290=År2,'Resultater - Østdanmark'!I$3:I$482,'Resultater - Østdanmark'!J$3:J$482)),'Resultater - Østdanmark'!$F$3:$F$482,$A290,IF(D290=År1,'Resultater - Østdanmark'!H$3:H$482,IF(D290=År2,'Resultater - Østdanmark'!I$3:I$482,'Resultater - Østdanmark'!J$3:J$482)),"&gt;0"))</f>
        <v>0</v>
      </c>
      <c r="G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92">
        <f>IF(E290="Vestdanmark",-IF(A290="Halm",SUMIFS(IF(D290=År1,'Resultater - Vestdanmark'!H$3:H$482,IF(D290=År2,'Resultater - Vestdanmark'!I$3:I$482,'Resultater - Vestdanmark'!J$3:J$482)),'Resultater - Vestdanmark'!$F$3:$F$482,$A290,'Resultater - Vestdanmark'!H$3:H$482,"&lt;0"),0),-IF(A290="Halm",SUMIFS(IF(D290=År1,'Resultater - Østdanmark'!H$3:H$482,IF(D290=År2,'Resultater - Østdanmark'!I$3:I$482,'Resultater - Østdanmark'!J$3:J$482)),'Resultater - Østdanmark'!$F$3:$F$482,$A290,'Resultater - Østdanmark'!H$3:H$482,"&lt;0"),0))</f>
        <v>0</v>
      </c>
      <c r="I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5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7">
        <f>SUMIFS('Forbrug af biomasse'!E:E,'Forbrug af biomasse'!C:C,'Resultat-Produktion &amp; forbrug'!$A290,'Forbrug af biomasse'!D:D,'Resultat-Produktion &amp; forbrug'!$D290,'Forbrug af biomasse'!G:G,1,'Forbrug af biomasse'!B:B,$E290)</f>
        <v>0</v>
      </c>
      <c r="N290" s="206">
        <f t="shared" si="93"/>
        <v>0</v>
      </c>
      <c r="O290" s="207">
        <f t="shared" si="89"/>
        <v>0</v>
      </c>
      <c r="P290" s="208">
        <f t="shared" si="94"/>
        <v>0</v>
      </c>
      <c r="Q290" s="197">
        <f>IFERROR(VLOOKUP(A290,[1]Energiindhold!$A$2:$C$11,3,FALSE),IFERROR(VLOOKUP(A290,[1]Biogasudbytte!$A$2:$B$18,2,FALSE)*[1]Energiindhold!$C$10,0))*O290</f>
        <v>0</v>
      </c>
      <c r="R290" s="197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7">
        <f>IFERROR(VLOOKUP(A290,[1]Biogasudbytte!$A$2:$B$18,2,FALSE)*[1]Energiindhold!$C$10,0)*J290*IFERROR(VLOOKUP(A290,Biogasanlæg!$F$3:$G$8,2,FALSE),1)</f>
        <v>0</v>
      </c>
      <c r="T290" s="198">
        <f t="shared" si="95"/>
        <v>0</v>
      </c>
      <c r="U290" s="196">
        <f>O290*IFERROR(VLOOKUP(A290,[1]Tørstofindhold!A$2:B$24,2,FALSE),0)</f>
        <v>0</v>
      </c>
      <c r="V290" s="197">
        <f>IF(D290=År1,P290,SUM(O290,P290))*IFERROR(VLOOKUP(A290,[1]Tørstofindhold!A$2:B$24,2,FALSE),0)</f>
        <v>0</v>
      </c>
      <c r="W290" s="197">
        <f>J290*IFERROR(VLOOKUP(A290,[1]Tørstofindhold!A$2:B$24,2,FALSE),0)</f>
        <v>0</v>
      </c>
      <c r="X290" s="198">
        <f t="shared" si="96"/>
        <v>0</v>
      </c>
      <c r="Y290" s="171">
        <f t="shared" si="90"/>
        <v>0</v>
      </c>
      <c r="Z290" s="103">
        <f t="shared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topLeftCell="A17" workbookViewId="0">
      <selection activeCell="D24" sqref="D24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366" t="s">
        <v>23</v>
      </c>
      <c r="B2" s="367"/>
      <c r="C2" s="367"/>
      <c r="D2" s="367"/>
      <c r="E2" s="367"/>
      <c r="F2" s="367"/>
      <c r="G2" s="367"/>
      <c r="H2" s="367"/>
      <c r="I2" s="367"/>
      <c r="J2" s="367"/>
      <c r="K2" s="367"/>
      <c r="L2" s="367"/>
      <c r="M2" s="367"/>
      <c r="N2" s="367"/>
      <c r="O2" s="367"/>
      <c r="P2" s="367"/>
      <c r="Q2" s="367"/>
      <c r="R2" s="367"/>
      <c r="S2" s="367"/>
      <c r="T2" s="367"/>
      <c r="U2" s="368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362" t="s">
        <v>7</v>
      </c>
      <c r="D3" s="363"/>
      <c r="E3" s="363"/>
      <c r="F3" s="363"/>
      <c r="G3" s="363"/>
      <c r="H3" s="363"/>
      <c r="I3" s="363"/>
      <c r="J3" s="363"/>
      <c r="K3" s="364"/>
      <c r="L3" s="362" t="s">
        <v>8</v>
      </c>
      <c r="M3" s="363"/>
      <c r="N3" s="363"/>
      <c r="O3" s="363"/>
      <c r="P3" s="363"/>
      <c r="Q3" s="363"/>
      <c r="R3" s="363"/>
      <c r="S3" s="363"/>
      <c r="T3" s="364"/>
      <c r="U3" s="71"/>
      <c r="W3" s="31" t="s">
        <v>282</v>
      </c>
      <c r="X3" s="35">
        <f>C24+C51</f>
        <v>11808068</v>
      </c>
      <c r="Y3" s="11">
        <f>D24+D51</f>
        <v>9597731.076909367</v>
      </c>
      <c r="Z3" s="23">
        <f>E24+E51</f>
        <v>9238493.3130771164</v>
      </c>
    </row>
    <row r="4" spans="1:26" ht="15.75" thickBot="1" x14ac:dyDescent="0.3">
      <c r="A4" s="61"/>
      <c r="B4" s="63"/>
      <c r="C4" s="172">
        <f>År1</f>
        <v>2019</v>
      </c>
      <c r="D4" s="172">
        <f>År1</f>
        <v>2019</v>
      </c>
      <c r="E4" s="172">
        <f>År1</f>
        <v>2019</v>
      </c>
      <c r="F4" s="173">
        <f>År2</f>
        <v>2030</v>
      </c>
      <c r="G4" s="173">
        <f>År2</f>
        <v>2030</v>
      </c>
      <c r="H4" s="173">
        <f>År2</f>
        <v>2030</v>
      </c>
      <c r="I4" s="173">
        <f>År3</f>
        <v>2050</v>
      </c>
      <c r="J4" s="173">
        <f>År3</f>
        <v>2050</v>
      </c>
      <c r="K4" s="173">
        <f>År3</f>
        <v>2050</v>
      </c>
      <c r="L4" s="172">
        <f>År1</f>
        <v>2019</v>
      </c>
      <c r="M4" s="172">
        <f>År1</f>
        <v>2019</v>
      </c>
      <c r="N4" s="172">
        <f>År1</f>
        <v>2019</v>
      </c>
      <c r="O4" s="173">
        <f>År2</f>
        <v>2030</v>
      </c>
      <c r="P4" s="173">
        <f>År2</f>
        <v>2030</v>
      </c>
      <c r="Q4" s="173">
        <f>År2</f>
        <v>2030</v>
      </c>
      <c r="R4" s="173">
        <f>År3</f>
        <v>2050</v>
      </c>
      <c r="S4" s="173">
        <f>År3</f>
        <v>2050</v>
      </c>
      <c r="T4" s="173">
        <f>År3</f>
        <v>2050</v>
      </c>
      <c r="U4" s="71"/>
      <c r="W4" s="31" t="s">
        <v>283</v>
      </c>
      <c r="X4" s="35">
        <f t="shared" ref="X4:Z5" si="0">C25+C52</f>
        <v>1267084</v>
      </c>
      <c r="Y4" s="11">
        <f t="shared" si="0"/>
        <v>1002383.4251010446</v>
      </c>
      <c r="Z4" s="23">
        <f t="shared" si="0"/>
        <v>953433.53878271766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284</v>
      </c>
      <c r="X5" s="48">
        <f t="shared" si="0"/>
        <v>19782594</v>
      </c>
      <c r="Y5" s="16">
        <f t="shared" si="0"/>
        <v>15770289.144075628</v>
      </c>
      <c r="Z5" s="24">
        <f t="shared" si="0"/>
        <v>15029002.18033967</v>
      </c>
    </row>
    <row r="6" spans="1:26" x14ac:dyDescent="0.25">
      <c r="A6" s="61"/>
      <c r="B6" s="41" t="str">
        <f>[1]Afgrødefordeling!C2</f>
        <v>Korn</v>
      </c>
      <c r="C6" s="35" t="e">
        <f>VLOOKUP($B6,'[1]Afgrødefordeling - jordtype'!$F$4:$I$17,MATCH(C$5,'[1]Afgrødefordeling - jordtype'!$F$3:$I$3,0),FALSE)*(1-Landbrug!$C$5)*Arealanvendelse!J$26</f>
        <v>#VALUE!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 t="e">
        <f>IF(Landbrug!$D$47&gt;0,SUMIF(Landbrug!$B$32:$B$45,$B6,IF(F4=År2,Landbrug!$D$32:$D$45,Landbrug!$E$32:$E$45)),'[1]Afgrødefordeling - jordtype'!$G4)*(1-Landbrug!$D$5)*Arealanvendelse!M$26</f>
        <v>#VALUE!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 t="e">
        <f>IF(Landbrug!$E$47&gt;0,SUMIF(Landbrug!$B$32:$B$45,$B6,IF(I4=År2,Landbrug!$D$32:$D$45,Landbrug!$E$32:$E$45)),'[1]Afgrødefordeling - jordtype'!$G4)*(1-Landbrug!$E$5)*Arealanvendelse!P$26</f>
        <v>#VALUE!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 t="e">
        <f>VLOOKUP($B6,'[1]Afgrødefordeling - jordtype'!$F$4:$I$17,MATCH(C$5,'[1]Afgrødefordeling - jordtype'!$F$3:$I$3,0),FALSE)*(Landbrug!$C$5)*Arealanvendelse!J$26</f>
        <v>#VALUE!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 t="e">
        <f>IF(Landbrug!$D$47&gt;0,SUMIF(Landbrug!$B$32:$B$45,$B6,IF(F4=År2,Landbrug!$D$32:$D$45,Landbrug!$E$32:$E$45)),'[1]Afgrødefordeling - jordtype'!$G4)*(Landbrug!$D$5)*Arealanvendelse!M$26</f>
        <v>#VALUE!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 t="e">
        <f>IF(Landbrug!$E$47&gt;0,SUMIF(Landbrug!$B$32:$B$45,$B6,IF(I4=År2,Landbrug!$D$32:$D$45,Landbrug!$E$32:$E$45)),'[1]Afgrødefordeling - jordtype'!$G4)*(Landbrug!$E$5)*Arealanvendelse!P$26</f>
        <v>#VALUE!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285</v>
      </c>
      <c r="X6" s="34">
        <f t="shared" ref="X6:Z8" si="1">F24+F51</f>
        <v>490924</v>
      </c>
      <c r="Y6" s="11">
        <f t="shared" si="1"/>
        <v>552772.32309063291</v>
      </c>
      <c r="Z6" s="23">
        <f t="shared" si="1"/>
        <v>912010.08692288375</v>
      </c>
    </row>
    <row r="7" spans="1:26" x14ac:dyDescent="0.25">
      <c r="A7" s="61"/>
      <c r="B7" s="41" t="str">
        <f>[1]Afgrødefordeling!C3</f>
        <v>Bælgsæd</v>
      </c>
      <c r="C7" s="35" t="e">
        <f>VLOOKUP($B7,'[1]Afgrødefordeling - jordtype'!$F$4:$I$17,MATCH(C$5,'[1]Afgrødefordeling - jordtype'!$F$3:$I$3,0),FALSE)*(1-Landbrug!$C$5)*Arealanvendelse!J$26</f>
        <v>#VALUE!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 t="e">
        <f>IF(Landbrug!$D$47&gt;0,SUMIF(Landbrug!$B$32:$B$45,$B7,IF(F5=År2,Landbrug!$D$32:$D$45,Landbrug!$E$32:$E$45)),'[1]Afgrødefordeling - jordtype'!$G5)*(1-Landbrug!$D$5)*Arealanvendelse!M$26</f>
        <v>#VALUE!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 t="e">
        <f>IF(Landbrug!$E$47&gt;0,SUMIF(Landbrug!$B$32:$B$45,$B7,IF(I5=År2,Landbrug!$D$32:$D$45,Landbrug!$E$32:$E$45)),'[1]Afgrødefordeling - jordtype'!$G5)*(1-Landbrug!$E$5)*Arealanvendelse!P$26</f>
        <v>#VALUE!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 t="e">
        <f>VLOOKUP($B7,'[1]Afgrødefordeling - jordtype'!$F$4:$I$17,MATCH(C$5,'[1]Afgrødefordeling - jordtype'!$F$3:$I$3,0),FALSE)*(Landbrug!$C$5)*Arealanvendelse!J$26</f>
        <v>#VALUE!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 t="e">
        <f>IF(Landbrug!$D$47&gt;0,SUMIF(Landbrug!$B$32:$B$45,$B7,IF(F5=År2,Landbrug!$D$32:$D$45,Landbrug!$E$32:$E$45)),'[1]Afgrødefordeling - jordtype'!$G5)*(Landbrug!$D$5)*Arealanvendelse!M$26</f>
        <v>#VALUE!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 t="e">
        <f>IF(Landbrug!$E$47&gt;0,SUMIF(Landbrug!$B$32:$B$45,$B7,IF(I5=År2,Landbrug!$D$32:$D$45,Landbrug!$E$32:$E$45)),'[1]Afgrødefordeling - jordtype'!$G5)*(Landbrug!$E$5)*Arealanvendelse!P$26</f>
        <v>#VALUE!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286</v>
      </c>
      <c r="X7" s="34">
        <f t="shared" si="1"/>
        <v>224348</v>
      </c>
      <c r="Y7" s="11">
        <f t="shared" si="1"/>
        <v>210555.77489895534</v>
      </c>
      <c r="Z7" s="23">
        <f t="shared" si="1"/>
        <v>259505.66121728224</v>
      </c>
    </row>
    <row r="8" spans="1:26" ht="15.75" thickBot="1" x14ac:dyDescent="0.3">
      <c r="A8" s="61"/>
      <c r="B8" s="41" t="str">
        <f>[1]Afgrødefordeling!C4</f>
        <v>Raps</v>
      </c>
      <c r="C8" s="35" t="e">
        <f>VLOOKUP($B8,'[1]Afgrødefordeling - jordtype'!$F$4:$I$17,MATCH(C$5,'[1]Afgrødefordeling - jordtype'!$F$3:$I$3,0),FALSE)*(1-Landbrug!$C$5)*Arealanvendelse!J$26</f>
        <v>#VALUE!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 t="e">
        <f>IF(Landbrug!$D$47&gt;0,SUMIF(Landbrug!$B$32:$B$45,$B8,IF(F6=År2,Landbrug!$D$32:$D$45,Landbrug!$E$32:$E$45)),'[1]Afgrødefordeling - jordtype'!$G6)*(1-Landbrug!$D$5)*Arealanvendelse!M$26</f>
        <v>#VALUE!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 t="e">
        <f>IF(Landbrug!$E$47&gt;0,SUMIF(Landbrug!$B$32:$B$45,$B8,IF(I6=År2,Landbrug!$D$32:$D$45,Landbrug!$E$32:$E$45)),'[1]Afgrødefordeling - jordtype'!$G6)*(1-Landbrug!$E$5)*Arealanvendelse!P$26</f>
        <v>#VALUE!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 t="e">
        <f>VLOOKUP($B8,'[1]Afgrødefordeling - jordtype'!$F$4:$I$17,MATCH(C$5,'[1]Afgrødefordeling - jordtype'!$F$3:$I$3,0),FALSE)*(Landbrug!$C$5)*Arealanvendelse!J$26</f>
        <v>#VALUE!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 t="e">
        <f>IF(Landbrug!$D$47&gt;0,SUMIF(Landbrug!$B$32:$B$45,$B8,IF(F6=År2,Landbrug!$D$32:$D$45,Landbrug!$E$32:$E$45)),'[1]Afgrødefordeling - jordtype'!$G6)*(Landbrug!$D$5)*Arealanvendelse!M$26</f>
        <v>#VALUE!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 t="e">
        <f>IF(Landbrug!$E$47&gt;0,SUMIF(Landbrug!$B$32:$B$45,$B8,IF(I6=År2,Landbrug!$D$32:$D$45,Landbrug!$E$32:$E$45)),'[1]Afgrødefordeling - jordtype'!$G6)*(Landbrug!$E$5)*Arealanvendelse!P$26</f>
        <v>#VALUE!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287</v>
      </c>
      <c r="X8" s="47">
        <f t="shared" si="1"/>
        <v>3277287</v>
      </c>
      <c r="Y8" s="16">
        <f t="shared" si="1"/>
        <v>3034725.0559243709</v>
      </c>
      <c r="Z8" s="24">
        <f t="shared" si="1"/>
        <v>3776012.0196603313</v>
      </c>
    </row>
    <row r="9" spans="1:26" x14ac:dyDescent="0.25">
      <c r="A9" s="61"/>
      <c r="B9" s="41" t="str">
        <f>[1]Afgrødefordeling!C5</f>
        <v>Græs</v>
      </c>
      <c r="C9" s="35" t="e">
        <f>VLOOKUP($B9,'[1]Afgrødefordeling - jordtype'!$F$4:$I$17,MATCH(C$5,'[1]Afgrødefordeling - jordtype'!$F$3:$I$3,0),FALSE)*(1-Landbrug!$C$5)*Arealanvendelse!J$26</f>
        <v>#VALUE!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 t="e">
        <f>IF(Landbrug!$D$47&gt;0,SUMIF(Landbrug!$B$32:$B$45,$B9,IF(F7=År2,Landbrug!$D$32:$D$45,Landbrug!$E$32:$E$45)),'[1]Afgrødefordeling - jordtype'!$G7)*(1-Landbrug!$D$5)*Arealanvendelse!M$26</f>
        <v>#VALUE!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 t="e">
        <f>IF(Landbrug!$E$47&gt;0,SUMIF(Landbrug!$B$32:$B$45,$B9,IF(I7=År2,Landbrug!$D$32:$D$45,Landbrug!$E$32:$E$45)),'[1]Afgrødefordeling - jordtype'!$G7)*(1-Landbrug!$E$5)*Arealanvendelse!P$26</f>
        <v>#VALUE!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 t="e">
        <f>VLOOKUP($B9,'[1]Afgrødefordeling - jordtype'!$F$4:$I$17,MATCH(C$5,'[1]Afgrødefordeling - jordtype'!$F$3:$I$3,0),FALSE)*(Landbrug!$C$5)*Arealanvendelse!J$26</f>
        <v>#VALUE!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 t="e">
        <f>IF(Landbrug!$D$47&gt;0,SUMIF(Landbrug!$B$32:$B$45,$B9,IF(F7=År2,Landbrug!$D$32:$D$45,Landbrug!$E$32:$E$45)),'[1]Afgrødefordeling - jordtype'!$G7)*(Landbrug!$D$5)*Arealanvendelse!M$26</f>
        <v>#VALUE!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 t="e">
        <f>IF(Landbrug!$E$47&gt;0,SUMIF(Landbrug!$B$32:$B$45,$B9,IF(I7=År2,Landbrug!$D$32:$D$45,Landbrug!$E$32:$E$45)),'[1]Afgrødefordeling - jordtype'!$G7)*(Landbrug!$E$5)*Arealanvendelse!P$26</f>
        <v>#VALUE!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25">
      <c r="A10" s="61"/>
      <c r="B10" s="41" t="str">
        <f>[1]Afgrødefordeling!C6</f>
        <v>Grøntsager</v>
      </c>
      <c r="C10" s="35" t="e">
        <f>VLOOKUP($B10,'[1]Afgrødefordeling - jordtype'!$F$4:$I$17,MATCH(C$5,'[1]Afgrødefordeling - jordtype'!$F$3:$I$3,0),FALSE)*(1-Landbrug!$C$5)*Arealanvendelse!J$26</f>
        <v>#VALUE!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 t="e">
        <f>IF(Landbrug!$D$47&gt;0,SUMIF(Landbrug!$B$32:$B$45,$B10,IF(F8=År2,Landbrug!$D$32:$D$45,Landbrug!$E$32:$E$45)),'[1]Afgrødefordeling - jordtype'!$G8)*(1-Landbrug!$D$5)*Arealanvendelse!M$26</f>
        <v>#VALUE!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 t="e">
        <f>IF(Landbrug!$E$47&gt;0,SUMIF(Landbrug!$B$32:$B$45,$B10,IF(I8=År2,Landbrug!$D$32:$D$45,Landbrug!$E$32:$E$45)),'[1]Afgrødefordeling - jordtype'!$G8)*(1-Landbrug!$E$5)*Arealanvendelse!P$26</f>
        <v>#VALUE!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 t="e">
        <f>VLOOKUP($B10,'[1]Afgrødefordeling - jordtype'!$F$4:$I$17,MATCH(C$5,'[1]Afgrødefordeling - jordtype'!$F$3:$I$3,0),FALSE)*(Landbrug!$C$5)*Arealanvendelse!J$26</f>
        <v>#VALUE!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 t="e">
        <f>IF(Landbrug!$D$47&gt;0,SUMIF(Landbrug!$B$32:$B$45,$B10,IF(F8=År2,Landbrug!$D$32:$D$45,Landbrug!$E$32:$E$45)),'[1]Afgrødefordeling - jordtype'!$G8)*(Landbrug!$D$5)*Arealanvendelse!M$26</f>
        <v>#VALUE!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 t="e">
        <f>IF(Landbrug!$E$47&gt;0,SUMIF(Landbrug!$B$32:$B$45,$B10,IF(I8=År2,Landbrug!$D$32:$D$45,Landbrug!$E$32:$E$45)),'[1]Afgrødefordeling - jordtype'!$G8)*(Landbrug!$E$5)*Arealanvendelse!P$26</f>
        <v>#VALUE!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25">
      <c r="A11" s="61"/>
      <c r="B11" s="41" t="str">
        <f>[1]Afgrødefordeling!C7</f>
        <v>Kartofler</v>
      </c>
      <c r="C11" s="35" t="e">
        <f>VLOOKUP($B11,'[1]Afgrødefordeling - jordtype'!$F$4:$I$17,MATCH(C$5,'[1]Afgrødefordeling - jordtype'!$F$3:$I$3,0),FALSE)*(1-Landbrug!$C$5)*Arealanvendelse!J$26</f>
        <v>#VALUE!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 t="e">
        <f>IF(Landbrug!$D$47&gt;0,SUMIF(Landbrug!$B$32:$B$45,$B11,IF(F9=År2,Landbrug!$D$32:$D$45,Landbrug!$E$32:$E$45)),'[1]Afgrødefordeling - jordtype'!$G9)*(1-Landbrug!$D$5)*Arealanvendelse!M$26</f>
        <v>#VALUE!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 t="e">
        <f>IF(Landbrug!$E$47&gt;0,SUMIF(Landbrug!$B$32:$B$45,$B11,IF(I9=År2,Landbrug!$D$32:$D$45,Landbrug!$E$32:$E$45)),'[1]Afgrødefordeling - jordtype'!$G9)*(1-Landbrug!$E$5)*Arealanvendelse!P$26</f>
        <v>#VALUE!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 t="e">
        <f>VLOOKUP($B11,'[1]Afgrødefordeling - jordtype'!$F$4:$I$17,MATCH(C$5,'[1]Afgrødefordeling - jordtype'!$F$3:$I$3,0),FALSE)*(Landbrug!$C$5)*Arealanvendelse!J$26</f>
        <v>#VALUE!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 t="e">
        <f>IF(Landbrug!$D$47&gt;0,SUMIF(Landbrug!$B$32:$B$45,$B11,IF(F9=År2,Landbrug!$D$32:$D$45,Landbrug!$E$32:$E$45)),'[1]Afgrødefordeling - jordtype'!$G9)*(Landbrug!$D$5)*Arealanvendelse!M$26</f>
        <v>#VALUE!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 t="e">
        <f>IF(Landbrug!$E$47&gt;0,SUMIF(Landbrug!$B$32:$B$45,$B11,IF(I9=År2,Landbrug!$D$32:$D$45,Landbrug!$E$32:$E$45)),'[1]Afgrødefordeling - jordtype'!$G9)*(Landbrug!$E$5)*Arealanvendelse!P$26</f>
        <v>#VALUE!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25">
      <c r="A12" s="61"/>
      <c r="B12" s="41" t="str">
        <f>[1]Afgrødefordeling!C8</f>
        <v>Roer</v>
      </c>
      <c r="C12" s="35" t="e">
        <f>VLOOKUP($B12,'[1]Afgrødefordeling - jordtype'!$F$4:$I$17,MATCH(C$5,'[1]Afgrødefordeling - jordtype'!$F$3:$I$3,0),FALSE)*(1-Landbrug!$C$5)*Arealanvendelse!J$26</f>
        <v>#VALUE!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 t="e">
        <f>IF(Landbrug!$D$47&gt;0,SUMIF(Landbrug!$B$32:$B$45,$B12,IF(F10=År2,Landbrug!$D$32:$D$45,Landbrug!$E$32:$E$45)),'[1]Afgrødefordeling - jordtype'!$G10)*(1-Landbrug!$D$5)*Arealanvendelse!M$26</f>
        <v>#VALUE!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 t="e">
        <f>IF(Landbrug!$E$47&gt;0,SUMIF(Landbrug!$B$32:$B$45,$B12,IF(I10=År2,Landbrug!$D$32:$D$45,Landbrug!$E$32:$E$45)),'[1]Afgrødefordeling - jordtype'!$G10)*(1-Landbrug!$E$5)*Arealanvendelse!P$26</f>
        <v>#VALUE!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 t="e">
        <f>VLOOKUP($B12,'[1]Afgrødefordeling - jordtype'!$F$4:$I$17,MATCH(C$5,'[1]Afgrødefordeling - jordtype'!$F$3:$I$3,0),FALSE)*(Landbrug!$C$5)*Arealanvendelse!J$26</f>
        <v>#VALUE!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 t="e">
        <f>IF(Landbrug!$D$47&gt;0,SUMIF(Landbrug!$B$32:$B$45,$B12,IF(F10=År2,Landbrug!$D$32:$D$45,Landbrug!$E$32:$E$45)),'[1]Afgrødefordeling - jordtype'!$G10)*(Landbrug!$D$5)*Arealanvendelse!M$26</f>
        <v>#VALUE!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 t="e">
        <f>IF(Landbrug!$E$47&gt;0,SUMIF(Landbrug!$B$32:$B$45,$B12,IF(I10=År2,Landbrug!$D$32:$D$45,Landbrug!$E$32:$E$45)),'[1]Afgrødefordeling - jordtype'!$G10)*(Landbrug!$E$5)*Arealanvendelse!P$26</f>
        <v>#VALUE!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25">
      <c r="A13" s="61"/>
      <c r="B13" s="41" t="str">
        <f>[1]Afgrødefordeling!C9</f>
        <v>Majs</v>
      </c>
      <c r="C13" s="35" t="e">
        <f>VLOOKUP($B13,'[1]Afgrødefordeling - jordtype'!$F$4:$I$17,MATCH(C$5,'[1]Afgrødefordeling - jordtype'!$F$3:$I$3,0),FALSE)*(1-Landbrug!$C$5)*Arealanvendelse!J$26</f>
        <v>#VALUE!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 t="e">
        <f>IF(Landbrug!$D$47&gt;0,SUMIF(Landbrug!$B$32:$B$45,$B13,IF(F11=År2,Landbrug!$D$32:$D$45,Landbrug!$E$32:$E$45)),'[1]Afgrødefordeling - jordtype'!$G11)*(1-Landbrug!$D$5)*Arealanvendelse!M$26</f>
        <v>#VALUE!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 t="e">
        <f>IF(Landbrug!$E$47&gt;0,SUMIF(Landbrug!$B$32:$B$45,$B13,IF(I11=År2,Landbrug!$D$32:$D$45,Landbrug!$E$32:$E$45)),'[1]Afgrødefordeling - jordtype'!$G11)*(1-Landbrug!$E$5)*Arealanvendelse!P$26</f>
        <v>#VALUE!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 t="e">
        <f>VLOOKUP($B13,'[1]Afgrødefordeling - jordtype'!$F$4:$I$17,MATCH(C$5,'[1]Afgrødefordeling - jordtype'!$F$3:$I$3,0),FALSE)*(Landbrug!$C$5)*Arealanvendelse!J$26</f>
        <v>#VALUE!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 t="e">
        <f>IF(Landbrug!$D$47&gt;0,SUMIF(Landbrug!$B$32:$B$45,$B13,IF(F11=År2,Landbrug!$D$32:$D$45,Landbrug!$E$32:$E$45)),'[1]Afgrødefordeling - jordtype'!$G11)*(Landbrug!$D$5)*Arealanvendelse!M$26</f>
        <v>#VALUE!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 t="e">
        <f>IF(Landbrug!$E$47&gt;0,SUMIF(Landbrug!$B$32:$B$45,$B13,IF(I11=År2,Landbrug!$D$32:$D$45,Landbrug!$E$32:$E$45)),'[1]Afgrødefordeling - jordtype'!$G11)*(Landbrug!$E$5)*Arealanvendelse!P$26</f>
        <v>#VALUE!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25">
      <c r="A14" s="61"/>
      <c r="B14" s="41" t="str">
        <f>[1]Afgrødefordeling!C10</f>
        <v>Frugt</v>
      </c>
      <c r="C14" s="35" t="e">
        <f>VLOOKUP($B14,'[1]Afgrødefordeling - jordtype'!$F$4:$I$17,MATCH(C$5,'[1]Afgrødefordeling - jordtype'!$F$3:$I$3,0),FALSE)*(1-Landbrug!$C$5)*Arealanvendelse!J$26</f>
        <v>#VALUE!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 t="e">
        <f>IF(Landbrug!$D$47&gt;0,SUMIF(Landbrug!$B$32:$B$45,$B14,IF(F12=År2,Landbrug!$D$32:$D$45,Landbrug!$E$32:$E$45)),'[1]Afgrødefordeling - jordtype'!$G12)*(1-Landbrug!$D$5)*Arealanvendelse!M$26</f>
        <v>#VALUE!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 t="e">
        <f>IF(Landbrug!$E$47&gt;0,SUMIF(Landbrug!$B$32:$B$45,$B14,IF(I12=År2,Landbrug!$D$32:$D$45,Landbrug!$E$32:$E$45)),'[1]Afgrødefordeling - jordtype'!$G12)*(1-Landbrug!$E$5)*Arealanvendelse!P$26</f>
        <v>#VALUE!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 t="e">
        <f>VLOOKUP($B14,'[1]Afgrødefordeling - jordtype'!$F$4:$I$17,MATCH(C$5,'[1]Afgrødefordeling - jordtype'!$F$3:$I$3,0),FALSE)*(Landbrug!$C$5)*Arealanvendelse!J$26</f>
        <v>#VALUE!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 t="e">
        <f>IF(Landbrug!$D$47&gt;0,SUMIF(Landbrug!$B$32:$B$45,$B14,IF(F12=År2,Landbrug!$D$32:$D$45,Landbrug!$E$32:$E$45)),'[1]Afgrødefordeling - jordtype'!$G12)*(Landbrug!$D$5)*Arealanvendelse!M$26</f>
        <v>#VALUE!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 t="e">
        <f>IF(Landbrug!$E$47&gt;0,SUMIF(Landbrug!$B$32:$B$45,$B14,IF(I12=År2,Landbrug!$D$32:$D$45,Landbrug!$E$32:$E$45)),'[1]Afgrødefordeling - jordtype'!$G12)*(Landbrug!$E$5)*Arealanvendelse!P$26</f>
        <v>#VALUE!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25">
      <c r="A15" s="61"/>
      <c r="B15" s="41" t="str">
        <f>[1]Afgrødefordeling!C11</f>
        <v>Øvrige</v>
      </c>
      <c r="C15" s="35" t="e">
        <f>VLOOKUP($B15,'[1]Afgrødefordeling - jordtype'!$F$4:$I$17,MATCH(C$5,'[1]Afgrødefordeling - jordtype'!$F$3:$I$3,0),FALSE)*(1-Landbrug!$C$5)*Arealanvendelse!J$26</f>
        <v>#VALUE!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 t="e">
        <f>IF(Landbrug!$D$47&gt;0,SUMIF(Landbrug!$B$32:$B$45,$B15,IF(F13=År2,Landbrug!$D$32:$D$45,Landbrug!$E$32:$E$45)),'[1]Afgrødefordeling - jordtype'!$G13)*(1-Landbrug!$D$5)*Arealanvendelse!M$26</f>
        <v>#VALUE!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 t="e">
        <f>IF(Landbrug!$E$47&gt;0,SUMIF(Landbrug!$B$32:$B$45,$B15,IF(I13=År2,Landbrug!$D$32:$D$45,Landbrug!$E$32:$E$45)),'[1]Afgrødefordeling - jordtype'!$G13)*(1-Landbrug!$E$5)*Arealanvendelse!P$26</f>
        <v>#VALUE!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 t="e">
        <f>VLOOKUP($B15,'[1]Afgrødefordeling - jordtype'!$F$4:$I$17,MATCH(C$5,'[1]Afgrødefordeling - jordtype'!$F$3:$I$3,0),FALSE)*(Landbrug!$C$5)*Arealanvendelse!J$26</f>
        <v>#VALUE!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 t="e">
        <f>IF(Landbrug!$D$47&gt;0,SUMIF(Landbrug!$B$32:$B$45,$B15,IF(F13=År2,Landbrug!$D$32:$D$45,Landbrug!$E$32:$E$45)),'[1]Afgrødefordeling - jordtype'!$G13)*(Landbrug!$D$5)*Arealanvendelse!M$26</f>
        <v>#VALUE!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 t="e">
        <f>IF(Landbrug!$E$47&gt;0,SUMIF(Landbrug!$B$32:$B$45,$B15,IF(I13=År2,Landbrug!$D$32:$D$45,Landbrug!$E$32:$E$45)),'[1]Afgrødefordeling - jordtype'!$G13)*(Landbrug!$E$5)*Arealanvendelse!P$26</f>
        <v>#VALUE!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25">
      <c r="A16" s="61"/>
      <c r="B16" s="41" t="str">
        <f>[1]Afgrødefordeling!C12</f>
        <v>Frø</v>
      </c>
      <c r="C16" s="35" t="e">
        <f>VLOOKUP($B16,'[1]Afgrødefordeling - jordtype'!$F$4:$I$17,MATCH(C$5,'[1]Afgrødefordeling - jordtype'!$F$3:$I$3,0),FALSE)*(1-Landbrug!$C$5)*Arealanvendelse!J$26</f>
        <v>#VALUE!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 t="e">
        <f>IF(Landbrug!$D$47&gt;0,SUMIF(Landbrug!$B$32:$B$45,$B16,IF(F14=År2,Landbrug!$D$32:$D$45,Landbrug!$E$32:$E$45)),'[1]Afgrødefordeling - jordtype'!$G14)*(1-Landbrug!$D$5)*Arealanvendelse!M$26</f>
        <v>#VALUE!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 t="e">
        <f>IF(Landbrug!$E$47&gt;0,SUMIF(Landbrug!$B$32:$B$45,$B16,IF(I14=År2,Landbrug!$D$32:$D$45,Landbrug!$E$32:$E$45)),'[1]Afgrødefordeling - jordtype'!$G14)*(1-Landbrug!$E$5)*Arealanvendelse!P$26</f>
        <v>#VALUE!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 t="e">
        <f>VLOOKUP($B16,'[1]Afgrødefordeling - jordtype'!$F$4:$I$17,MATCH(C$5,'[1]Afgrødefordeling - jordtype'!$F$3:$I$3,0),FALSE)*(Landbrug!$C$5)*Arealanvendelse!J$26</f>
        <v>#VALUE!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 t="e">
        <f>IF(Landbrug!$D$47&gt;0,SUMIF(Landbrug!$B$32:$B$45,$B16,IF(F14=År2,Landbrug!$D$32:$D$45,Landbrug!$E$32:$E$45)),'[1]Afgrødefordeling - jordtype'!$G14)*(Landbrug!$D$5)*Arealanvendelse!M$26</f>
        <v>#VALUE!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 t="e">
        <f>IF(Landbrug!$E$47&gt;0,SUMIF(Landbrug!$B$32:$B$45,$B16,IF(I14=År2,Landbrug!$D$32:$D$45,Landbrug!$E$32:$E$45)),'[1]Afgrødefordeling - jordtype'!$G14)*(Landbrug!$E$5)*Arealanvendelse!P$26</f>
        <v>#VALUE!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25">
      <c r="A17" s="61"/>
      <c r="B17" s="42" t="str">
        <f>[1]Afgrødefordeling!C13</f>
        <v>Juletræer</v>
      </c>
      <c r="C17" s="35" t="e">
        <f>VLOOKUP($B17,'[1]Afgrødefordeling - jordtype'!$F$4:$I$17,MATCH(C$5,'[1]Afgrødefordeling - jordtype'!$F$3:$I$3,0),FALSE)*(1-Landbrug!$C$5)*Arealanvendelse!J$26</f>
        <v>#VALUE!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 t="e">
        <f>IF(Landbrug!$D$47&gt;0,SUMIF(Landbrug!$B$32:$B$45,$B17,IF(F15=År2,Landbrug!$D$32:$D$45,Landbrug!$E$32:$E$45)),'[1]Afgrødefordeling - jordtype'!$G15)*(1-Landbrug!$D$5)*Arealanvendelse!M$26</f>
        <v>#VALUE!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 t="e">
        <f>IF(Landbrug!$E$47&gt;0,SUMIF(Landbrug!$B$32:$B$45,$B17,IF(I15=År2,Landbrug!$D$32:$D$45,Landbrug!$E$32:$E$45)),'[1]Afgrødefordeling - jordtype'!$G15)*(1-Landbrug!$E$5)*Arealanvendelse!P$26</f>
        <v>#VALUE!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 t="e">
        <f>VLOOKUP($B17,'[1]Afgrødefordeling - jordtype'!$F$4:$I$17,MATCH(C$5,'[1]Afgrødefordeling - jordtype'!$F$3:$I$3,0),FALSE)*(Landbrug!$C$5)*Arealanvendelse!J$26</f>
        <v>#VALUE!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 t="e">
        <f>IF(Landbrug!$D$47&gt;0,SUMIF(Landbrug!$B$32:$B$45,$B17,IF(F15=År2,Landbrug!$D$32:$D$45,Landbrug!$E$32:$E$45)),'[1]Afgrødefordeling - jordtype'!$G15)*(Landbrug!$D$5)*Arealanvendelse!M$26</f>
        <v>#VALUE!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 t="e">
        <f>IF(Landbrug!$E$47&gt;0,SUMIF(Landbrug!$B$32:$B$45,$B17,IF(I15=År2,Landbrug!$D$32:$D$45,Landbrug!$E$32:$E$45)),'[1]Afgrødefordeling - jordtype'!$G15)*(Landbrug!$E$5)*Arealanvendelse!P$26</f>
        <v>#VALUE!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25">
      <c r="A18" s="61"/>
      <c r="B18" s="42" t="str">
        <f>[1]Afgrødefordeling!C14</f>
        <v>Pil &amp; poppel</v>
      </c>
      <c r="C18" s="35" t="e">
        <f>VLOOKUP($B18,'[1]Afgrødefordeling - jordtype'!$F$4:$I$17,MATCH(C$5,'[1]Afgrødefordeling - jordtype'!$F$3:$I$3,0),FALSE)*(1-Landbrug!$C$5)*Arealanvendelse!J$26</f>
        <v>#VALUE!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 t="e">
        <f>IF(Landbrug!$D$47&gt;0,SUMIF(Landbrug!$B$32:$B$45,$B18,IF(F16=År2,Landbrug!$D$32:$D$45,Landbrug!$E$32:$E$45)),'[1]Afgrødefordeling - jordtype'!$G16)*(1-Landbrug!$D$5)*Arealanvendelse!M$26</f>
        <v>#VALUE!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 t="e">
        <f>IF(Landbrug!$E$47&gt;0,SUMIF(Landbrug!$B$32:$B$45,$B18,IF(I16=År2,Landbrug!$D$32:$D$45,Landbrug!$E$32:$E$45)),'[1]Afgrødefordeling - jordtype'!$G16)*(1-Landbrug!$E$5)*Arealanvendelse!P$26</f>
        <v>#VALUE!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 t="e">
        <f>VLOOKUP($B18,'[1]Afgrødefordeling - jordtype'!$F$4:$I$17,MATCH(C$5,'[1]Afgrødefordeling - jordtype'!$F$3:$I$3,0),FALSE)*(Landbrug!$C$5)*Arealanvendelse!J$26</f>
        <v>#VALUE!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 t="e">
        <f>IF(Landbrug!$D$47&gt;0,SUMIF(Landbrug!$B$32:$B$45,$B18,IF(F16=År2,Landbrug!$D$32:$D$45,Landbrug!$E$32:$E$45)),'[1]Afgrødefordeling - jordtype'!$G16)*(Landbrug!$D$5)*Arealanvendelse!M$26</f>
        <v>#VALUE!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 t="e">
        <f>IF(Landbrug!$E$47&gt;0,SUMIF(Landbrug!$B$32:$B$45,$B18,IF(I16=År2,Landbrug!$D$32:$D$45,Landbrug!$E$32:$E$45)),'[1]Afgrødefordeling - jordtype'!$G16)*(Landbrug!$E$5)*Arealanvendelse!P$26</f>
        <v>#VALUE!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25">
      <c r="A19" s="61"/>
      <c r="B19" s="42" t="str">
        <f>[1]Afgrødefordeling!C15</f>
        <v>Permanent græs</v>
      </c>
      <c r="C19" s="35" t="e">
        <f>VLOOKUP($B19,'[1]Afgrødefordeling - jordtype'!$F$4:$I$17,MATCH(C$5,'[1]Afgrødefordeling - jordtype'!$F$3:$I$3,0),FALSE)*(1-Landbrug!$C$5)*Arealanvendelse!J$26</f>
        <v>#VALUE!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 t="e">
        <f>IF(Landbrug!$D$47&gt;0,SUMIF(Landbrug!$B$32:$B$45,$B19,IF(F17=År2,Landbrug!$D$32:$D$45,Landbrug!$E$32:$E$45)),'[1]Afgrødefordeling - jordtype'!$G17)*(1-Landbrug!$D$5)*Arealanvendelse!M$26</f>
        <v>#VALUE!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 t="e">
        <f>IF(Landbrug!$E$47&gt;0,SUMIF(Landbrug!$B$32:$B$45,$B19,IF(I17=År2,Landbrug!$D$32:$D$45,Landbrug!$E$32:$E$45)),'[1]Afgrødefordeling - jordtype'!$G17)*(1-Landbrug!$E$5)*Arealanvendelse!P$26</f>
        <v>#VALUE!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 t="e">
        <f>VLOOKUP($B19,'[1]Afgrødefordeling - jordtype'!$F$4:$I$17,MATCH(C$5,'[1]Afgrødefordeling - jordtype'!$F$3:$I$3,0),FALSE)*(Landbrug!$C$5)*Arealanvendelse!J$26</f>
        <v>#VALUE!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 t="e">
        <f>IF(Landbrug!$D$47&gt;0,SUMIF(Landbrug!$B$32:$B$45,$B19,IF(F17=År2,Landbrug!$D$32:$D$45,Landbrug!$E$32:$E$45)),'[1]Afgrødefordeling - jordtype'!$G17)*(Landbrug!$D$5)*Arealanvendelse!M$26</f>
        <v>#VALUE!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 t="e">
        <f>IF(Landbrug!$E$47&gt;0,SUMIF(Landbrug!$B$32:$B$45,$B19,IF(I17=År2,Landbrug!$D$32:$D$45,Landbrug!$E$32:$E$45)),'[1]Afgrødefordeling - jordtype'!$G17)*(Landbrug!$E$5)*Arealanvendelse!P$26</f>
        <v>#VALUE!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5.75" thickBot="1" x14ac:dyDescent="0.3">
      <c r="A20" s="61"/>
      <c r="B20" s="43" t="s">
        <v>30</v>
      </c>
      <c r="C20" s="36" t="e">
        <f t="shared" ref="C20:T20" si="2">SUM(C6:C19)</f>
        <v>#VALUE!</v>
      </c>
      <c r="D20" s="37">
        <f t="shared" si="2"/>
        <v>80438.813155800992</v>
      </c>
      <c r="E20" s="37">
        <f t="shared" si="2"/>
        <v>62614.567180798636</v>
      </c>
      <c r="F20" s="38" t="e">
        <f t="shared" si="2"/>
        <v>#VALUE!</v>
      </c>
      <c r="G20" s="38">
        <f t="shared" si="2"/>
        <v>72619.812449615012</v>
      </c>
      <c r="H20" s="38">
        <f t="shared" si="2"/>
        <v>55230.474335887055</v>
      </c>
      <c r="I20" s="38" t="e">
        <f t="shared" si="2"/>
        <v>#VALUE!</v>
      </c>
      <c r="J20" s="38">
        <f t="shared" si="2"/>
        <v>69261.670833447832</v>
      </c>
      <c r="K20" s="39">
        <f t="shared" si="2"/>
        <v>52676.463961973204</v>
      </c>
      <c r="L20" s="36" t="e">
        <f t="shared" si="2"/>
        <v>#VALUE!</v>
      </c>
      <c r="M20" s="37">
        <f t="shared" si="2"/>
        <v>10285.028457291377</v>
      </c>
      <c r="N20" s="37">
        <f t="shared" si="2"/>
        <v>8005.9933759608657</v>
      </c>
      <c r="O20" s="38" t="e">
        <f t="shared" si="2"/>
        <v>#VALUE!</v>
      </c>
      <c r="P20" s="38">
        <f t="shared" si="2"/>
        <v>11333.727954564192</v>
      </c>
      <c r="Q20" s="38">
        <f t="shared" si="2"/>
        <v>8619.7850119592531</v>
      </c>
      <c r="R20" s="38" t="e">
        <f t="shared" si="2"/>
        <v>#VALUE!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362" t="s">
        <v>7</v>
      </c>
      <c r="D22" s="363"/>
      <c r="E22" s="364"/>
      <c r="F22" s="365" t="s">
        <v>8</v>
      </c>
      <c r="G22" s="363"/>
      <c r="H22" s="364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8065001.0864567999</v>
      </c>
      <c r="E24" s="23">
        <f>($F24+$C24)*Landbrug!E11*(1-Landbrug!E6)</f>
        <v>7721242.9104568008</v>
      </c>
      <c r="F24" s="34">
        <f>SUM([1]Dyrehold!E58:G61)</f>
        <v>475477</v>
      </c>
      <c r="G24" s="11">
        <f>($F24+$C24)*Landbrug!D11*Landbrug!D6</f>
        <v>528953.31354319979</v>
      </c>
      <c r="H24" s="23">
        <f>($F24+$C24)*Landbrug!E11*Landbrug!E6</f>
        <v>872711.48954319966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922303.28256640851</v>
      </c>
      <c r="E25" s="23">
        <f>($F25+$C25)*Landbrug!E12*(1-Landbrug!E7)</f>
        <v>877744.4345664084</v>
      </c>
      <c r="F25" s="34">
        <f>SUM([1]Dyrehold!E36:G51)</f>
        <v>207835</v>
      </c>
      <c r="G25" s="11">
        <f>($F25+$C25)*Landbrug!D12*Landbrug!D7</f>
        <v>191667.91743359147</v>
      </c>
      <c r="H25" s="23">
        <f>($F25+$C25)*Landbrug!E12*Landbrug!E7</f>
        <v>236226.76543359147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14232454.554315863</v>
      </c>
      <c r="E26" s="24">
        <f>($F26+$C26)*Landbrug!E13*(1-Landbrug!E8)</f>
        <v>13551675.866315866</v>
      </c>
      <c r="F26" s="47">
        <f>SUM([1]Dyrehold!E65:G78)</f>
        <v>3062300</v>
      </c>
      <c r="G26" s="16">
        <f>($F26+$C26)*Landbrug!D13*Landbrug!D8</f>
        <v>2787012.6456841351</v>
      </c>
      <c r="H26" s="24">
        <f>($F26+$C26)*Landbrug!E13*Landbrug!E8</f>
        <v>3467791.3336841348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369" t="s">
        <v>24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370"/>
      <c r="R29" s="370"/>
      <c r="S29" s="370"/>
      <c r="T29" s="370"/>
      <c r="U29" s="371"/>
    </row>
    <row r="30" spans="1:21" x14ac:dyDescent="0.25">
      <c r="A30" s="56"/>
      <c r="B30" s="53"/>
      <c r="C30" s="372" t="s">
        <v>7</v>
      </c>
      <c r="D30" s="373"/>
      <c r="E30" s="373"/>
      <c r="F30" s="373"/>
      <c r="G30" s="373"/>
      <c r="H30" s="373"/>
      <c r="I30" s="373"/>
      <c r="J30" s="373"/>
      <c r="K30" s="374"/>
      <c r="L30" s="372" t="s">
        <v>8</v>
      </c>
      <c r="M30" s="373"/>
      <c r="N30" s="373"/>
      <c r="O30" s="373"/>
      <c r="P30" s="373"/>
      <c r="Q30" s="373"/>
      <c r="R30" s="373"/>
      <c r="S30" s="373"/>
      <c r="T30" s="374"/>
      <c r="U30" s="53"/>
    </row>
    <row r="31" spans="1:21" ht="15.75" thickBot="1" x14ac:dyDescent="0.3">
      <c r="A31" s="56"/>
      <c r="B31" s="55"/>
      <c r="C31" s="172">
        <f>År1</f>
        <v>2019</v>
      </c>
      <c r="D31" s="172">
        <f>År1</f>
        <v>2019</v>
      </c>
      <c r="E31" s="172">
        <f>År1</f>
        <v>2019</v>
      </c>
      <c r="F31" s="173">
        <f>År2</f>
        <v>2030</v>
      </c>
      <c r="G31" s="173">
        <f>År2</f>
        <v>2030</v>
      </c>
      <c r="H31" s="173">
        <f>År2</f>
        <v>2030</v>
      </c>
      <c r="I31" s="173">
        <f>År3</f>
        <v>2050</v>
      </c>
      <c r="J31" s="173">
        <f>År3</f>
        <v>2050</v>
      </c>
      <c r="K31" s="173">
        <f>År3</f>
        <v>2050</v>
      </c>
      <c r="L31" s="172">
        <f>År1</f>
        <v>2019</v>
      </c>
      <c r="M31" s="172">
        <f>År1</f>
        <v>2019</v>
      </c>
      <c r="N31" s="172">
        <f>År1</f>
        <v>2019</v>
      </c>
      <c r="O31" s="173">
        <f>År2</f>
        <v>2030</v>
      </c>
      <c r="P31" s="173">
        <f>År2</f>
        <v>2030</v>
      </c>
      <c r="Q31" s="173">
        <f>År2</f>
        <v>2030</v>
      </c>
      <c r="R31" s="173">
        <f>År3</f>
        <v>2050</v>
      </c>
      <c r="S31" s="173">
        <f>År3</f>
        <v>2050</v>
      </c>
      <c r="T31" s="173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 t="e">
        <f>VLOOKUP($B33,'[1]Afgrødefordeling - jordtype'!$O$4:$R$17,MATCH(C$5,'[1]Afgrødefordeling - jordtype'!$O$3:$R$3,0),FALSE)*(1-Landbrug!$C$5)*Arealanvendelse!J$36</f>
        <v>#VALUE!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 t="e">
        <f>IF(Landbrug!$D$47&gt;0,SUMIF(Landbrug!$B$32:$B$45,$B33,IF(F32=År2,Landbrug!$D$32:$D$45,Landbrug!$E$32:$E$45)),'[1]Afgrødefordeling - jordtype'!$P4)*(1-Landbrug!$D$5)*Arealanvendelse!M$36</f>
        <v>#VALUE!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 t="e">
        <f>IF(Landbrug!$E$47&gt;0,SUMIF(Landbrug!$B$32:$B$45,$B33,IF(I32=År2,Landbrug!$D$32:$D$45,Landbrug!$E$32:$E$45)),'[1]Afgrødefordeling - jordtype'!$P4)*(1-Landbrug!$E$5)*Arealanvendelse!P$36</f>
        <v>#VALUE!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 t="e">
        <f>VLOOKUP($B33,'[1]Afgrødefordeling - jordtype'!$O$4:$R$17,MATCH(C$5,'[1]Afgrødefordeling - jordtype'!$O$3:$R$3,0),FALSE)*(Landbrug!$C$5)*Arealanvendelse!J$36</f>
        <v>#VALUE!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 t="e">
        <f>IF(Landbrug!$D$47&gt;0,SUMIF(Landbrug!$B$32:$B$45,$B33,IF(O32=År2,Landbrug!$D$32:$D$45,Landbrug!$E$32:$E$45)),'[1]Afgrødefordeling - jordtype'!$P4)*(Landbrug!$D$5)*Arealanvendelse!M$36</f>
        <v>#VALUE!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 t="e">
        <f>IF(Landbrug!$E$47&gt;0,SUMIF(Landbrug!$B$32:$B$45,$B33,IF(R32=År2,Landbrug!$D$32:$D$45,Landbrug!$E$32:$E$45)),'[1]Afgrødefordeling - jordtype'!$P4)*(Landbrug!$E$5)*Arealanvendelse!P$36</f>
        <v>#VALUE!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25">
      <c r="A34" s="56"/>
      <c r="B34" s="41" t="str">
        <f>[1]Afgrødefordeling!C3</f>
        <v>Bælgsæd</v>
      </c>
      <c r="C34" s="35" t="e">
        <f>VLOOKUP($B34,'[1]Afgrødefordeling - jordtype'!$O$4:$R$17,MATCH(C$5,'[1]Afgrødefordeling - jordtype'!$O$3:$R$3,0),FALSE)*(1-Landbrug!$C$5)*Arealanvendelse!J$36</f>
        <v>#VALUE!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 t="e">
        <f>IF(Landbrug!$D$47&gt;0,SUMIF(Landbrug!$B$32:$B$45,$B34,IF(F33=År2,Landbrug!$D$32:$D$45,Landbrug!$E$32:$E$45)),'[1]Afgrødefordeling - jordtype'!$P5)*(1-Landbrug!$D$5)*Arealanvendelse!M$36</f>
        <v>#VALUE!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 t="e">
        <f>IF(Landbrug!$E$47&gt;0,SUMIF(Landbrug!$B$32:$B$45,$B34,IF(I33=År2,Landbrug!$D$32:$D$45,Landbrug!$E$32:$E$45)),'[1]Afgrødefordeling - jordtype'!$P5)*(1-Landbrug!$E$5)*Arealanvendelse!P$36</f>
        <v>#VALUE!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 t="e">
        <f>VLOOKUP($B34,'[1]Afgrødefordeling - jordtype'!$O$4:$R$17,MATCH(C$5,'[1]Afgrødefordeling - jordtype'!$O$3:$R$3,0),FALSE)*(Landbrug!$C$5)*Arealanvendelse!J$36</f>
        <v>#VALUE!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 t="e">
        <f>IF(Landbrug!$D$47&gt;0,SUMIF(Landbrug!$B$32:$B$45,$B34,IF(O33=År2,Landbrug!$D$32:$D$45,Landbrug!$E$32:$E$45)),'[1]Afgrødefordeling - jordtype'!$P5)*(Landbrug!$D$5)*Arealanvendelse!M$36</f>
        <v>#VALUE!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 t="e">
        <f>IF(Landbrug!$E$47&gt;0,SUMIF(Landbrug!$B$32:$B$45,$B34,IF(R33=År2,Landbrug!$D$32:$D$45,Landbrug!$E$32:$E$45)),'[1]Afgrødefordeling - jordtype'!$P5)*(Landbrug!$E$5)*Arealanvendelse!P$36</f>
        <v>#VALUE!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25">
      <c r="A35" s="56"/>
      <c r="B35" s="41" t="str">
        <f>[1]Afgrødefordeling!C4</f>
        <v>Raps</v>
      </c>
      <c r="C35" s="35" t="e">
        <f>VLOOKUP($B35,'[1]Afgrødefordeling - jordtype'!$O$4:$R$17,MATCH(C$5,'[1]Afgrødefordeling - jordtype'!$O$3:$R$3,0),FALSE)*(1-Landbrug!$C$5)*Arealanvendelse!J$36</f>
        <v>#VALUE!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 t="e">
        <f>IF(Landbrug!$D$47&gt;0,SUMIF(Landbrug!$B$32:$B$45,$B35,IF(F34=År2,Landbrug!$D$32:$D$45,Landbrug!$E$32:$E$45)),'[1]Afgrødefordeling - jordtype'!$P6)*(1-Landbrug!$D$5)*Arealanvendelse!M$36</f>
        <v>#VALUE!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 t="e">
        <f>IF(Landbrug!$E$47&gt;0,SUMIF(Landbrug!$B$32:$B$45,$B35,IF(I34=År2,Landbrug!$D$32:$D$45,Landbrug!$E$32:$E$45)),'[1]Afgrødefordeling - jordtype'!$P6)*(1-Landbrug!$E$5)*Arealanvendelse!P$36</f>
        <v>#VALUE!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 t="e">
        <f>VLOOKUP($B35,'[1]Afgrødefordeling - jordtype'!$O$4:$R$17,MATCH(C$5,'[1]Afgrødefordeling - jordtype'!$O$3:$R$3,0),FALSE)*(Landbrug!$C$5)*Arealanvendelse!J$36</f>
        <v>#VALUE!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 t="e">
        <f>IF(Landbrug!$D$47&gt;0,SUMIF(Landbrug!$B$32:$B$45,$B35,IF(O34=År2,Landbrug!$D$32:$D$45,Landbrug!$E$32:$E$45)),'[1]Afgrødefordeling - jordtype'!$P6)*(Landbrug!$D$5)*Arealanvendelse!M$36</f>
        <v>#VALUE!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 t="e">
        <f>IF(Landbrug!$E$47&gt;0,SUMIF(Landbrug!$B$32:$B$45,$B35,IF(R34=År2,Landbrug!$D$32:$D$45,Landbrug!$E$32:$E$45)),'[1]Afgrødefordeling - jordtype'!$P6)*(Landbrug!$E$5)*Arealanvendelse!P$36</f>
        <v>#VALUE!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25">
      <c r="A36" s="56"/>
      <c r="B36" s="41" t="str">
        <f>[1]Afgrødefordeling!C5</f>
        <v>Græs</v>
      </c>
      <c r="C36" s="35" t="e">
        <f>VLOOKUP($B36,'[1]Afgrødefordeling - jordtype'!$O$4:$R$17,MATCH(C$5,'[1]Afgrødefordeling - jordtype'!$O$3:$R$3,0),FALSE)*(1-Landbrug!$C$5)*Arealanvendelse!J$36</f>
        <v>#VALUE!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 t="e">
        <f>IF(Landbrug!$D$47&gt;0,SUMIF(Landbrug!$B$32:$B$45,$B36,IF(F35=År2,Landbrug!$D$32:$D$45,Landbrug!$E$32:$E$45)),'[1]Afgrødefordeling - jordtype'!$P7)*(1-Landbrug!$D$5)*Arealanvendelse!M$36</f>
        <v>#VALUE!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 t="e">
        <f>IF(Landbrug!$E$47&gt;0,SUMIF(Landbrug!$B$32:$B$45,$B36,IF(I35=År2,Landbrug!$D$32:$D$45,Landbrug!$E$32:$E$45)),'[1]Afgrødefordeling - jordtype'!$P7)*(1-Landbrug!$E$5)*Arealanvendelse!P$36</f>
        <v>#VALUE!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 t="e">
        <f>VLOOKUP($B36,'[1]Afgrødefordeling - jordtype'!$O$4:$R$17,MATCH(C$5,'[1]Afgrødefordeling - jordtype'!$O$3:$R$3,0),FALSE)*(Landbrug!$C$5)*Arealanvendelse!J$36</f>
        <v>#VALUE!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 t="e">
        <f>IF(Landbrug!$D$47&gt;0,SUMIF(Landbrug!$B$32:$B$45,$B36,IF(O35=År2,Landbrug!$D$32:$D$45,Landbrug!$E$32:$E$45)),'[1]Afgrødefordeling - jordtype'!$P7)*(Landbrug!$D$5)*Arealanvendelse!M$36</f>
        <v>#VALUE!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 t="e">
        <f>IF(Landbrug!$E$47&gt;0,SUMIF(Landbrug!$B$32:$B$45,$B36,IF(R35=År2,Landbrug!$D$32:$D$45,Landbrug!$E$32:$E$45)),'[1]Afgrødefordeling - jordtype'!$P7)*(Landbrug!$E$5)*Arealanvendelse!P$36</f>
        <v>#VALUE!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25">
      <c r="A37" s="56"/>
      <c r="B37" s="41" t="str">
        <f>[1]Afgrødefordeling!C6</f>
        <v>Grøntsager</v>
      </c>
      <c r="C37" s="35" t="e">
        <f>VLOOKUP($B37,'[1]Afgrødefordeling - jordtype'!$O$4:$R$17,MATCH(C$5,'[1]Afgrødefordeling - jordtype'!$O$3:$R$3,0),FALSE)*(1-Landbrug!$C$5)*Arealanvendelse!J$36</f>
        <v>#VALUE!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 t="e">
        <f>IF(Landbrug!$D$47&gt;0,SUMIF(Landbrug!$B$32:$B$45,$B37,IF(F36=År2,Landbrug!$D$32:$D$45,Landbrug!$E$32:$E$45)),'[1]Afgrødefordeling - jordtype'!$P8)*(1-Landbrug!$D$5)*Arealanvendelse!M$36</f>
        <v>#VALUE!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 t="e">
        <f>IF(Landbrug!$E$47&gt;0,SUMIF(Landbrug!$B$32:$B$45,$B37,IF(I36=År2,Landbrug!$D$32:$D$45,Landbrug!$E$32:$E$45)),'[1]Afgrødefordeling - jordtype'!$P8)*(1-Landbrug!$E$5)*Arealanvendelse!P$36</f>
        <v>#VALUE!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 t="e">
        <f>VLOOKUP($B37,'[1]Afgrødefordeling - jordtype'!$O$4:$R$17,MATCH(C$5,'[1]Afgrødefordeling - jordtype'!$O$3:$R$3,0),FALSE)*(Landbrug!$C$5)*Arealanvendelse!J$36</f>
        <v>#VALUE!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 t="e">
        <f>IF(Landbrug!$D$47&gt;0,SUMIF(Landbrug!$B$32:$B$45,$B37,IF(O36=År2,Landbrug!$D$32:$D$45,Landbrug!$E$32:$E$45)),'[1]Afgrødefordeling - jordtype'!$P8)*(Landbrug!$D$5)*Arealanvendelse!M$36</f>
        <v>#VALUE!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 t="e">
        <f>IF(Landbrug!$E$47&gt;0,SUMIF(Landbrug!$B$32:$B$45,$B37,IF(R36=År2,Landbrug!$D$32:$D$45,Landbrug!$E$32:$E$45)),'[1]Afgrødefordeling - jordtype'!$P8)*(Landbrug!$E$5)*Arealanvendelse!P$36</f>
        <v>#VALUE!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25">
      <c r="A38" s="56"/>
      <c r="B38" s="41" t="str">
        <f>[1]Afgrødefordeling!C7</f>
        <v>Kartofler</v>
      </c>
      <c r="C38" s="35" t="e">
        <f>VLOOKUP($B38,'[1]Afgrødefordeling - jordtype'!$O$4:$R$17,MATCH(C$5,'[1]Afgrødefordeling - jordtype'!$O$3:$R$3,0),FALSE)*(1-Landbrug!$C$5)*Arealanvendelse!J$36</f>
        <v>#VALUE!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 t="e">
        <f>IF(Landbrug!$D$47&gt;0,SUMIF(Landbrug!$B$32:$B$45,$B38,IF(F37=År2,Landbrug!$D$32:$D$45,Landbrug!$E$32:$E$45)),'[1]Afgrødefordeling - jordtype'!$P9)*(1-Landbrug!$D$5)*Arealanvendelse!M$36</f>
        <v>#VALUE!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 t="e">
        <f>IF(Landbrug!$E$47&gt;0,SUMIF(Landbrug!$B$32:$B$45,$B38,IF(I37=År2,Landbrug!$D$32:$D$45,Landbrug!$E$32:$E$45)),'[1]Afgrødefordeling - jordtype'!$P9)*(1-Landbrug!$E$5)*Arealanvendelse!P$36</f>
        <v>#VALUE!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 t="e">
        <f>VLOOKUP($B38,'[1]Afgrødefordeling - jordtype'!$O$4:$R$17,MATCH(C$5,'[1]Afgrødefordeling - jordtype'!$O$3:$R$3,0),FALSE)*(Landbrug!$C$5)*Arealanvendelse!J$36</f>
        <v>#VALUE!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 t="e">
        <f>IF(Landbrug!$D$47&gt;0,SUMIF(Landbrug!$B$32:$B$45,$B38,IF(O37=År2,Landbrug!$D$32:$D$45,Landbrug!$E$32:$E$45)),'[1]Afgrødefordeling - jordtype'!$P9)*(Landbrug!$D$5)*Arealanvendelse!M$36</f>
        <v>#VALUE!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 t="e">
        <f>IF(Landbrug!$E$47&gt;0,SUMIF(Landbrug!$B$32:$B$45,$B38,IF(R37=År2,Landbrug!$D$32:$D$45,Landbrug!$E$32:$E$45)),'[1]Afgrødefordeling - jordtype'!$P9)*(Landbrug!$E$5)*Arealanvendelse!P$36</f>
        <v>#VALUE!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25">
      <c r="A39" s="56"/>
      <c r="B39" s="41" t="str">
        <f>[1]Afgrødefordeling!C8</f>
        <v>Roer</v>
      </c>
      <c r="C39" s="35" t="e">
        <f>VLOOKUP($B39,'[1]Afgrødefordeling - jordtype'!$O$4:$R$17,MATCH(C$5,'[1]Afgrødefordeling - jordtype'!$O$3:$R$3,0),FALSE)*(1-Landbrug!$C$5)*Arealanvendelse!J$36</f>
        <v>#VALUE!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 t="e">
        <f>IF(Landbrug!$D$47&gt;0,SUMIF(Landbrug!$B$32:$B$45,$B39,IF(F38=År2,Landbrug!$D$32:$D$45,Landbrug!$E$32:$E$45)),'[1]Afgrødefordeling - jordtype'!$P10)*(1-Landbrug!$D$5)*Arealanvendelse!M$36</f>
        <v>#VALUE!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 t="e">
        <f>IF(Landbrug!$E$47&gt;0,SUMIF(Landbrug!$B$32:$B$45,$B39,IF(I38=År2,Landbrug!$D$32:$D$45,Landbrug!$E$32:$E$45)),'[1]Afgrødefordeling - jordtype'!$P10)*(1-Landbrug!$E$5)*Arealanvendelse!P$36</f>
        <v>#VALUE!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 t="e">
        <f>VLOOKUP($B39,'[1]Afgrødefordeling - jordtype'!$O$4:$R$17,MATCH(C$5,'[1]Afgrødefordeling - jordtype'!$O$3:$R$3,0),FALSE)*(Landbrug!$C$5)*Arealanvendelse!J$36</f>
        <v>#VALUE!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 t="e">
        <f>IF(Landbrug!$D$47&gt;0,SUMIF(Landbrug!$B$32:$B$45,$B39,IF(O38=År2,Landbrug!$D$32:$D$45,Landbrug!$E$32:$E$45)),'[1]Afgrødefordeling - jordtype'!$P10)*(Landbrug!$D$5)*Arealanvendelse!M$36</f>
        <v>#VALUE!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 t="e">
        <f>IF(Landbrug!$E$47&gt;0,SUMIF(Landbrug!$B$32:$B$45,$B39,IF(R38=År2,Landbrug!$D$32:$D$45,Landbrug!$E$32:$E$45)),'[1]Afgrødefordeling - jordtype'!$P10)*(Landbrug!$E$5)*Arealanvendelse!P$36</f>
        <v>#VALUE!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25">
      <c r="A40" s="56"/>
      <c r="B40" s="41" t="str">
        <f>[1]Afgrødefordeling!C9</f>
        <v>Majs</v>
      </c>
      <c r="C40" s="35" t="e">
        <f>VLOOKUP($B40,'[1]Afgrødefordeling - jordtype'!$O$4:$R$17,MATCH(C$5,'[1]Afgrødefordeling - jordtype'!$O$3:$R$3,0),FALSE)*(1-Landbrug!$C$5)*Arealanvendelse!J$36</f>
        <v>#VALUE!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 t="e">
        <f>IF(Landbrug!$D$47&gt;0,SUMIF(Landbrug!$B$32:$B$45,$B40,IF(F39=År2,Landbrug!$D$32:$D$45,Landbrug!$E$32:$E$45)),'[1]Afgrødefordeling - jordtype'!$P11)*(1-Landbrug!$D$5)*Arealanvendelse!M$36</f>
        <v>#VALUE!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 t="e">
        <f>IF(Landbrug!$E$47&gt;0,SUMIF(Landbrug!$B$32:$B$45,$B40,IF(I39=År2,Landbrug!$D$32:$D$45,Landbrug!$E$32:$E$45)),'[1]Afgrødefordeling - jordtype'!$P11)*(1-Landbrug!$E$5)*Arealanvendelse!P$36</f>
        <v>#VALUE!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 t="e">
        <f>VLOOKUP($B40,'[1]Afgrødefordeling - jordtype'!$O$4:$R$17,MATCH(C$5,'[1]Afgrødefordeling - jordtype'!$O$3:$R$3,0),FALSE)*(Landbrug!$C$5)*Arealanvendelse!J$36</f>
        <v>#VALUE!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 t="e">
        <f>IF(Landbrug!$D$47&gt;0,SUMIF(Landbrug!$B$32:$B$45,$B40,IF(O39=År2,Landbrug!$D$32:$D$45,Landbrug!$E$32:$E$45)),'[1]Afgrødefordeling - jordtype'!$P11)*(Landbrug!$D$5)*Arealanvendelse!M$36</f>
        <v>#VALUE!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 t="e">
        <f>IF(Landbrug!$E$47&gt;0,SUMIF(Landbrug!$B$32:$B$45,$B40,IF(R39=År2,Landbrug!$D$32:$D$45,Landbrug!$E$32:$E$45)),'[1]Afgrødefordeling - jordtype'!$P11)*(Landbrug!$E$5)*Arealanvendelse!P$36</f>
        <v>#VALUE!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25">
      <c r="A41" s="56"/>
      <c r="B41" s="41" t="str">
        <f>[1]Afgrødefordeling!C10</f>
        <v>Frugt</v>
      </c>
      <c r="C41" s="35" t="e">
        <f>VLOOKUP($B41,'[1]Afgrødefordeling - jordtype'!$O$4:$R$17,MATCH(C$5,'[1]Afgrødefordeling - jordtype'!$O$3:$R$3,0),FALSE)*(1-Landbrug!$C$5)*Arealanvendelse!J$36</f>
        <v>#VALUE!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 t="e">
        <f>IF(Landbrug!$D$47&gt;0,SUMIF(Landbrug!$B$32:$B$45,$B41,IF(F40=År2,Landbrug!$D$32:$D$45,Landbrug!$E$32:$E$45)),'[1]Afgrødefordeling - jordtype'!$P12)*(1-Landbrug!$D$5)*Arealanvendelse!M$36</f>
        <v>#VALUE!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 t="e">
        <f>IF(Landbrug!$E$47&gt;0,SUMIF(Landbrug!$B$32:$B$45,$B41,IF(I40=År2,Landbrug!$D$32:$D$45,Landbrug!$E$32:$E$45)),'[1]Afgrødefordeling - jordtype'!$P12)*(1-Landbrug!$E$5)*Arealanvendelse!P$36</f>
        <v>#VALUE!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 t="e">
        <f>VLOOKUP($B41,'[1]Afgrødefordeling - jordtype'!$O$4:$R$17,MATCH(C$5,'[1]Afgrødefordeling - jordtype'!$O$3:$R$3,0),FALSE)*(Landbrug!$C$5)*Arealanvendelse!J$36</f>
        <v>#VALUE!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 t="e">
        <f>IF(Landbrug!$D$47&gt;0,SUMIF(Landbrug!$B$32:$B$45,$B41,IF(O40=År2,Landbrug!$D$32:$D$45,Landbrug!$E$32:$E$45)),'[1]Afgrødefordeling - jordtype'!$P12)*(Landbrug!$D$5)*Arealanvendelse!M$36</f>
        <v>#VALUE!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 t="e">
        <f>IF(Landbrug!$E$47&gt;0,SUMIF(Landbrug!$B$32:$B$45,$B41,IF(R40=År2,Landbrug!$D$32:$D$45,Landbrug!$E$32:$E$45)),'[1]Afgrødefordeling - jordtype'!$P12)*(Landbrug!$E$5)*Arealanvendelse!P$36</f>
        <v>#VALUE!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25">
      <c r="A42" s="56"/>
      <c r="B42" s="41" t="str">
        <f>[1]Afgrødefordeling!C11</f>
        <v>Øvrige</v>
      </c>
      <c r="C42" s="35" t="e">
        <f>VLOOKUP($B42,'[1]Afgrødefordeling - jordtype'!$O$4:$R$17,MATCH(C$5,'[1]Afgrødefordeling - jordtype'!$O$3:$R$3,0),FALSE)*(1-Landbrug!$C$5)*Arealanvendelse!J$36</f>
        <v>#VALUE!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 t="e">
        <f>IF(Landbrug!$D$47&gt;0,SUMIF(Landbrug!$B$32:$B$45,$B42,IF(F41=År2,Landbrug!$D$32:$D$45,Landbrug!$E$32:$E$45)),'[1]Afgrødefordeling - jordtype'!$P13)*(1-Landbrug!$D$5)*Arealanvendelse!M$36</f>
        <v>#VALUE!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 t="e">
        <f>IF(Landbrug!$E$47&gt;0,SUMIF(Landbrug!$B$32:$B$45,$B42,IF(I41=År2,Landbrug!$D$32:$D$45,Landbrug!$E$32:$E$45)),'[1]Afgrødefordeling - jordtype'!$P13)*(1-Landbrug!$E$5)*Arealanvendelse!P$36</f>
        <v>#VALUE!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 t="e">
        <f>VLOOKUP($B42,'[1]Afgrødefordeling - jordtype'!$O$4:$R$17,MATCH(C$5,'[1]Afgrødefordeling - jordtype'!$O$3:$R$3,0),FALSE)*(Landbrug!$C$5)*Arealanvendelse!J$36</f>
        <v>#VALUE!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 t="e">
        <f>IF(Landbrug!$D$47&gt;0,SUMIF(Landbrug!$B$32:$B$45,$B42,IF(O41=År2,Landbrug!$D$32:$D$45,Landbrug!$E$32:$E$45)),'[1]Afgrødefordeling - jordtype'!$P13)*(Landbrug!$D$5)*Arealanvendelse!M$36</f>
        <v>#VALUE!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 t="e">
        <f>IF(Landbrug!$E$47&gt;0,SUMIF(Landbrug!$B$32:$B$45,$B42,IF(R41=År2,Landbrug!$D$32:$D$45,Landbrug!$E$32:$E$45)),'[1]Afgrødefordeling - jordtype'!$P13)*(Landbrug!$E$5)*Arealanvendelse!P$36</f>
        <v>#VALUE!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25">
      <c r="A43" s="56"/>
      <c r="B43" s="41" t="str">
        <f>[1]Afgrødefordeling!C12</f>
        <v>Frø</v>
      </c>
      <c r="C43" s="35" t="e">
        <f>VLOOKUP($B43,'[1]Afgrødefordeling - jordtype'!$O$4:$R$17,MATCH(C$5,'[1]Afgrødefordeling - jordtype'!$O$3:$R$3,0),FALSE)*(1-Landbrug!$C$5)*Arealanvendelse!J$36</f>
        <v>#VALUE!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 t="e">
        <f>IF(Landbrug!$D$47&gt;0,SUMIF(Landbrug!$B$32:$B$45,$B43,IF(F42=År2,Landbrug!$D$32:$D$45,Landbrug!$E$32:$E$45)),'[1]Afgrødefordeling - jordtype'!$P14)*(1-Landbrug!$D$5)*Arealanvendelse!M$36</f>
        <v>#VALUE!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 t="e">
        <f>IF(Landbrug!$E$47&gt;0,SUMIF(Landbrug!$B$32:$B$45,$B43,IF(I42=År2,Landbrug!$D$32:$D$45,Landbrug!$E$32:$E$45)),'[1]Afgrødefordeling - jordtype'!$P14)*(1-Landbrug!$E$5)*Arealanvendelse!P$36</f>
        <v>#VALUE!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 t="e">
        <f>VLOOKUP($B43,'[1]Afgrødefordeling - jordtype'!$O$4:$R$17,MATCH(C$5,'[1]Afgrødefordeling - jordtype'!$O$3:$R$3,0),FALSE)*(Landbrug!$C$5)*Arealanvendelse!J$36</f>
        <v>#VALUE!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 t="e">
        <f>IF(Landbrug!$D$47&gt;0,SUMIF(Landbrug!$B$32:$B$45,$B43,IF(O42=År2,Landbrug!$D$32:$D$45,Landbrug!$E$32:$E$45)),'[1]Afgrødefordeling - jordtype'!$P14)*(Landbrug!$D$5)*Arealanvendelse!M$36</f>
        <v>#VALUE!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 t="e">
        <f>IF(Landbrug!$E$47&gt;0,SUMIF(Landbrug!$B$32:$B$45,$B43,IF(R42=År2,Landbrug!$D$32:$D$45,Landbrug!$E$32:$E$45)),'[1]Afgrødefordeling - jordtype'!$P14)*(Landbrug!$E$5)*Arealanvendelse!P$36</f>
        <v>#VALUE!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25">
      <c r="A44" s="56"/>
      <c r="B44" s="42" t="str">
        <f>[1]Afgrødefordeling!C13</f>
        <v>Juletræer</v>
      </c>
      <c r="C44" s="35" t="e">
        <f>VLOOKUP($B44,'[1]Afgrødefordeling - jordtype'!$O$4:$R$17,MATCH(C$5,'[1]Afgrødefordeling - jordtype'!$O$3:$R$3,0),FALSE)*(1-Landbrug!$C$5)*Arealanvendelse!J$36</f>
        <v>#VALUE!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 t="e">
        <f>IF(Landbrug!$D$47&gt;0,SUMIF(Landbrug!$B$32:$B$45,$B44,IF(F43=År2,Landbrug!$D$32:$D$45,Landbrug!$E$32:$E$45)),'[1]Afgrødefordeling - jordtype'!$P15)*(1-Landbrug!$D$5)*Arealanvendelse!M$36</f>
        <v>#VALUE!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 t="e">
        <f>IF(Landbrug!$E$47&gt;0,SUMIF(Landbrug!$B$32:$B$45,$B44,IF(I43=År2,Landbrug!$D$32:$D$45,Landbrug!$E$32:$E$45)),'[1]Afgrødefordeling - jordtype'!$P15)*(1-Landbrug!$E$5)*Arealanvendelse!P$36</f>
        <v>#VALUE!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 t="e">
        <f>VLOOKUP($B44,'[1]Afgrødefordeling - jordtype'!$O$4:$R$17,MATCH(C$5,'[1]Afgrødefordeling - jordtype'!$O$3:$R$3,0),FALSE)*(Landbrug!$C$5)*Arealanvendelse!J$36</f>
        <v>#VALUE!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 t="e">
        <f>IF(Landbrug!$D$47&gt;0,SUMIF(Landbrug!$B$32:$B$45,$B44,IF(O43=År2,Landbrug!$D$32:$D$45,Landbrug!$E$32:$E$45)),'[1]Afgrødefordeling - jordtype'!$P15)*(Landbrug!$D$5)*Arealanvendelse!M$36</f>
        <v>#VALUE!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 t="e">
        <f>IF(Landbrug!$E$47&gt;0,SUMIF(Landbrug!$B$32:$B$45,$B44,IF(R43=År2,Landbrug!$D$32:$D$45,Landbrug!$E$32:$E$45)),'[1]Afgrødefordeling - jordtype'!$P15)*(Landbrug!$E$5)*Arealanvendelse!P$36</f>
        <v>#VALUE!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25">
      <c r="A45" s="56"/>
      <c r="B45" s="42" t="str">
        <f>[1]Afgrødefordeling!C14</f>
        <v>Pil &amp; poppel</v>
      </c>
      <c r="C45" s="35" t="e">
        <f>VLOOKUP($B45,'[1]Afgrødefordeling - jordtype'!$O$4:$R$17,MATCH(C$5,'[1]Afgrødefordeling - jordtype'!$O$3:$R$3,0),FALSE)*(1-Landbrug!$C$5)*Arealanvendelse!J$36</f>
        <v>#VALUE!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 t="e">
        <f>IF(Landbrug!$D$47&gt;0,SUMIF(Landbrug!$B$32:$B$45,$B45,IF(F44=År2,Landbrug!$D$32:$D$45,Landbrug!$E$32:$E$45)),'[1]Afgrødefordeling - jordtype'!$P16)*(1-Landbrug!$D$5)*Arealanvendelse!M$36</f>
        <v>#VALUE!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 t="e">
        <f>IF(Landbrug!$E$47&gt;0,SUMIF(Landbrug!$B$32:$B$45,$B45,IF(I44=År2,Landbrug!$D$32:$D$45,Landbrug!$E$32:$E$45)),'[1]Afgrødefordeling - jordtype'!$P16)*(1-Landbrug!$E$5)*Arealanvendelse!P$36</f>
        <v>#VALUE!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 t="e">
        <f>VLOOKUP($B45,'[1]Afgrødefordeling - jordtype'!$O$4:$R$17,MATCH(C$5,'[1]Afgrødefordeling - jordtype'!$O$3:$R$3,0),FALSE)*(Landbrug!$C$5)*Arealanvendelse!J$36</f>
        <v>#VALUE!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 t="e">
        <f>IF(Landbrug!$D$47&gt;0,SUMIF(Landbrug!$B$32:$B$45,$B45,IF(O44=År2,Landbrug!$D$32:$D$45,Landbrug!$E$32:$E$45)),'[1]Afgrødefordeling - jordtype'!$P16)*(Landbrug!$D$5)*Arealanvendelse!M$36</f>
        <v>#VALUE!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 t="e">
        <f>IF(Landbrug!$E$47&gt;0,SUMIF(Landbrug!$B$32:$B$45,$B45,IF(R44=År2,Landbrug!$D$32:$D$45,Landbrug!$E$32:$E$45)),'[1]Afgrødefordeling - jordtype'!$P16)*(Landbrug!$E$5)*Arealanvendelse!P$36</f>
        <v>#VALUE!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25">
      <c r="A46" s="56"/>
      <c r="B46" s="42" t="str">
        <f>[1]Afgrødefordeling!C15</f>
        <v>Permanent græs</v>
      </c>
      <c r="C46" s="35" t="e">
        <f>VLOOKUP($B46,'[1]Afgrødefordeling - jordtype'!$O$4:$R$17,MATCH(C$5,'[1]Afgrødefordeling - jordtype'!$O$3:$R$3,0),FALSE)*(1-Landbrug!$C$5)*Arealanvendelse!J$36</f>
        <v>#VALUE!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 t="e">
        <f>IF(Landbrug!$D$47&gt;0,SUMIF(Landbrug!$B$32:$B$45,$B46,IF(F45=År2,Landbrug!$D$32:$D$45,Landbrug!$E$32:$E$45)),'[1]Afgrødefordeling - jordtype'!$P17)*(1-Landbrug!$D$5)*Arealanvendelse!M$36</f>
        <v>#VALUE!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 t="e">
        <f>IF(Landbrug!$E$47&gt;0,SUMIF(Landbrug!$B$32:$B$45,$B46,IF(I45=År2,Landbrug!$D$32:$D$45,Landbrug!$E$32:$E$45)),'[1]Afgrødefordeling - jordtype'!$P17)*(1-Landbrug!$E$5)*Arealanvendelse!P$36</f>
        <v>#VALUE!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 t="e">
        <f>VLOOKUP($B46,'[1]Afgrødefordeling - jordtype'!$O$4:$R$17,MATCH(C$5,'[1]Afgrødefordeling - jordtype'!$O$3:$R$3,0),FALSE)*(Landbrug!$C$5)*Arealanvendelse!J$36</f>
        <v>#VALUE!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 t="e">
        <f>IF(Landbrug!$D$47&gt;0,SUMIF(Landbrug!$B$32:$B$45,$B46,IF(O45=År2,Landbrug!$D$32:$D$45,Landbrug!$E$32:$E$45)),'[1]Afgrødefordeling - jordtype'!$P17)*(Landbrug!$D$5)*Arealanvendelse!M$36</f>
        <v>#VALUE!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 t="e">
        <f>IF(Landbrug!$E$47&gt;0,SUMIF(Landbrug!$B$32:$B$45,$B46,IF(R45=År2,Landbrug!$D$32:$D$45,Landbrug!$E$32:$E$45)),'[1]Afgrødefordeling - jordtype'!$P17)*(Landbrug!$E$5)*Arealanvendelse!P$36</f>
        <v>#VALUE!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5.75" thickBot="1" x14ac:dyDescent="0.3">
      <c r="A47" s="56"/>
      <c r="B47" s="44" t="s">
        <v>30</v>
      </c>
      <c r="C47" s="36" t="e">
        <f t="shared" ref="C47:T47" si="3">SUM(C33:C46)</f>
        <v>#VALUE!</v>
      </c>
      <c r="D47" s="37">
        <f t="shared" si="3"/>
        <v>8669.6445113803693</v>
      </c>
      <c r="E47" s="37">
        <f t="shared" si="3"/>
        <v>6748.5585303208809</v>
      </c>
      <c r="F47" s="38" t="e">
        <f t="shared" si="3"/>
        <v>#VALUE!</v>
      </c>
      <c r="G47" s="38">
        <f t="shared" si="3"/>
        <v>7826.9175503849756</v>
      </c>
      <c r="H47" s="38">
        <f t="shared" si="3"/>
        <v>5952.7056641129202</v>
      </c>
      <c r="I47" s="38" t="e">
        <f t="shared" si="3"/>
        <v>#VALUE!</v>
      </c>
      <c r="J47" s="38">
        <f t="shared" si="3"/>
        <v>7464.9791665521425</v>
      </c>
      <c r="K47" s="39">
        <f t="shared" si="3"/>
        <v>5677.4360380267753</v>
      </c>
      <c r="L47" s="36" t="e">
        <f t="shared" si="3"/>
        <v>#VALUE!</v>
      </c>
      <c r="M47" s="37">
        <f t="shared" si="3"/>
        <v>1108.5138755272228</v>
      </c>
      <c r="N47" s="37">
        <f t="shared" si="3"/>
        <v>862.88091291960029</v>
      </c>
      <c r="O47" s="38" t="e">
        <f t="shared" si="3"/>
        <v>#VALUE!</v>
      </c>
      <c r="P47" s="38">
        <f t="shared" si="3"/>
        <v>1221.5420454358052</v>
      </c>
      <c r="Q47" s="38">
        <f t="shared" si="3"/>
        <v>929.03498804074502</v>
      </c>
      <c r="R47" s="38" t="e">
        <f t="shared" si="3"/>
        <v>#VALUE!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362" t="s">
        <v>7</v>
      </c>
      <c r="D49" s="363"/>
      <c r="E49" s="364"/>
      <c r="F49" s="365" t="s">
        <v>8</v>
      </c>
      <c r="G49" s="363"/>
      <c r="H49" s="364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J33"/>
  <sheetViews>
    <sheetView topLeftCell="A2" workbookViewId="0">
      <selection activeCell="B5" sqref="B5:AG23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1.28515625" bestFit="1" customWidth="1"/>
    <col min="37" max="37" width="12" bestFit="1" customWidth="1"/>
    <col min="38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6" x14ac:dyDescent="0.25">
      <c r="A3" s="77" t="s">
        <v>175</v>
      </c>
      <c r="B3" s="77" t="s">
        <v>62</v>
      </c>
    </row>
    <row r="4" spans="1:36" x14ac:dyDescent="0.25">
      <c r="A4" s="77" t="s">
        <v>60</v>
      </c>
      <c r="B4" s="171" t="s">
        <v>15</v>
      </c>
      <c r="C4" s="171" t="s">
        <v>49</v>
      </c>
      <c r="D4" s="171" t="s">
        <v>103</v>
      </c>
      <c r="E4" s="171" t="s">
        <v>102</v>
      </c>
      <c r="F4" s="171" t="s">
        <v>19</v>
      </c>
      <c r="G4" s="171" t="s">
        <v>138</v>
      </c>
      <c r="H4" s="171" t="s">
        <v>97</v>
      </c>
      <c r="I4" s="171" t="s">
        <v>54</v>
      </c>
      <c r="J4" s="171" t="s">
        <v>159</v>
      </c>
      <c r="K4" s="171" t="s">
        <v>51</v>
      </c>
      <c r="L4" s="171" t="s">
        <v>6</v>
      </c>
      <c r="M4" s="171" t="s">
        <v>68</v>
      </c>
      <c r="N4" s="171" t="s">
        <v>163</v>
      </c>
      <c r="O4" s="171" t="s">
        <v>160</v>
      </c>
      <c r="P4" s="171" t="s">
        <v>104</v>
      </c>
      <c r="Q4" s="171" t="s">
        <v>12</v>
      </c>
      <c r="R4" s="171" t="s">
        <v>48</v>
      </c>
      <c r="S4" s="171" t="s">
        <v>137</v>
      </c>
      <c r="T4" s="171" t="s">
        <v>109</v>
      </c>
      <c r="U4" s="171" t="s">
        <v>53</v>
      </c>
      <c r="V4" s="171" t="s">
        <v>117</v>
      </c>
      <c r="W4" s="171" t="s">
        <v>14</v>
      </c>
      <c r="X4" s="171" t="s">
        <v>50</v>
      </c>
      <c r="Y4" s="171" t="s">
        <v>52</v>
      </c>
      <c r="Z4" s="171" t="s">
        <v>108</v>
      </c>
      <c r="AA4" s="171" t="s">
        <v>141</v>
      </c>
      <c r="AB4" s="171" t="s">
        <v>136</v>
      </c>
      <c r="AC4" s="171" t="s">
        <v>13</v>
      </c>
      <c r="AD4" s="171" t="s">
        <v>96</v>
      </c>
      <c r="AE4" s="171" t="s">
        <v>120</v>
      </c>
      <c r="AF4" s="171" t="s">
        <v>240</v>
      </c>
      <c r="AG4" s="171" t="s">
        <v>233</v>
      </c>
      <c r="AH4" s="171" t="s">
        <v>111</v>
      </c>
      <c r="AI4" s="171" t="s">
        <v>116</v>
      </c>
      <c r="AJ4" s="171" t="s">
        <v>61</v>
      </c>
    </row>
    <row r="5" spans="1:36" x14ac:dyDescent="0.25">
      <c r="A5" s="78" t="s">
        <v>110</v>
      </c>
      <c r="B5" s="242"/>
      <c r="C5" s="242"/>
      <c r="D5" s="242">
        <v>1462906</v>
      </c>
      <c r="E5" s="242">
        <v>3223493.7051022411</v>
      </c>
      <c r="F5" s="242"/>
      <c r="G5" s="242">
        <v>11794.123272219724</v>
      </c>
      <c r="H5" s="242"/>
      <c r="I5" s="242"/>
      <c r="J5" s="242">
        <v>428226</v>
      </c>
      <c r="K5" s="242">
        <v>257031</v>
      </c>
      <c r="L5" s="242"/>
      <c r="M5" s="242">
        <v>227802</v>
      </c>
      <c r="N5" s="242">
        <v>234</v>
      </c>
      <c r="O5" s="242"/>
      <c r="P5" s="242">
        <v>2444654</v>
      </c>
      <c r="Q5" s="242"/>
      <c r="R5" s="242">
        <v>11358</v>
      </c>
      <c r="S5" s="242">
        <v>21101993.732983526</v>
      </c>
      <c r="T5" s="242"/>
      <c r="U5" s="242">
        <v>990078</v>
      </c>
      <c r="V5" s="242"/>
      <c r="W5" s="242"/>
      <c r="X5" s="242"/>
      <c r="Y5" s="242">
        <v>85935</v>
      </c>
      <c r="Z5" s="242"/>
      <c r="AA5" s="242">
        <v>8315241.6371112876</v>
      </c>
      <c r="AB5" s="242">
        <v>17238701.15594501</v>
      </c>
      <c r="AC5" s="242"/>
      <c r="AD5" s="242"/>
      <c r="AE5" s="242"/>
      <c r="AF5" s="242"/>
      <c r="AG5" s="242"/>
      <c r="AH5" s="242"/>
      <c r="AI5" s="242"/>
      <c r="AJ5" s="242">
        <v>55799448.354414292</v>
      </c>
    </row>
    <row r="6" spans="1:36" x14ac:dyDescent="0.25">
      <c r="A6" s="79">
        <v>2019</v>
      </c>
      <c r="B6" s="242"/>
      <c r="C6" s="242"/>
      <c r="D6" s="242">
        <v>729134</v>
      </c>
      <c r="E6" s="242">
        <v>757087.00000000012</v>
      </c>
      <c r="F6" s="242"/>
      <c r="G6" s="242">
        <v>4441.5</v>
      </c>
      <c r="H6" s="242"/>
      <c r="I6" s="242"/>
      <c r="J6" s="242">
        <v>142742</v>
      </c>
      <c r="K6" s="242">
        <v>85676.999999999985</v>
      </c>
      <c r="L6" s="242"/>
      <c r="M6" s="242">
        <v>75934</v>
      </c>
      <c r="N6" s="242">
        <v>78</v>
      </c>
      <c r="O6" s="242"/>
      <c r="P6" s="242">
        <v>995654</v>
      </c>
      <c r="Q6" s="242"/>
      <c r="R6" s="242">
        <v>3785.9999999999991</v>
      </c>
      <c r="S6" s="242">
        <v>4353509.666666667</v>
      </c>
      <c r="T6" s="242"/>
      <c r="U6" s="242">
        <v>330026</v>
      </c>
      <c r="V6" s="242"/>
      <c r="W6" s="242"/>
      <c r="X6" s="242"/>
      <c r="Y6" s="242">
        <v>28645.000000000004</v>
      </c>
      <c r="Z6" s="242"/>
      <c r="AA6" s="242">
        <v>2668834</v>
      </c>
      <c r="AB6" s="242">
        <v>2914869.3333333335</v>
      </c>
      <c r="AC6" s="242"/>
      <c r="AD6" s="242"/>
      <c r="AE6" s="242"/>
      <c r="AF6" s="242"/>
      <c r="AG6" s="242"/>
      <c r="AH6" s="242"/>
      <c r="AI6" s="242"/>
      <c r="AJ6" s="242">
        <v>13090417.500000002</v>
      </c>
    </row>
    <row r="7" spans="1:36" x14ac:dyDescent="0.25">
      <c r="A7" s="79">
        <v>2030</v>
      </c>
      <c r="B7" s="242"/>
      <c r="C7" s="242"/>
      <c r="D7" s="242">
        <v>363995</v>
      </c>
      <c r="E7" s="242">
        <v>1204392.371220411</v>
      </c>
      <c r="F7" s="242"/>
      <c r="G7" s="242">
        <v>3617.1712242793342</v>
      </c>
      <c r="H7" s="242"/>
      <c r="I7" s="242"/>
      <c r="J7" s="242">
        <v>142742</v>
      </c>
      <c r="K7" s="242">
        <v>85677.000000000029</v>
      </c>
      <c r="L7" s="242"/>
      <c r="M7" s="242">
        <v>75934.000000000015</v>
      </c>
      <c r="N7" s="242">
        <v>78</v>
      </c>
      <c r="O7" s="242"/>
      <c r="P7" s="242">
        <v>725968.00000000012</v>
      </c>
      <c r="Q7" s="242"/>
      <c r="R7" s="242">
        <v>3786.0000000000009</v>
      </c>
      <c r="S7" s="242">
        <v>8455021.8174732123</v>
      </c>
      <c r="T7" s="242"/>
      <c r="U7" s="242">
        <v>330026</v>
      </c>
      <c r="V7" s="242"/>
      <c r="W7" s="242"/>
      <c r="X7" s="242"/>
      <c r="Y7" s="242">
        <v>28644.999999999996</v>
      </c>
      <c r="Z7" s="242"/>
      <c r="AA7" s="242">
        <v>2765437.867297628</v>
      </c>
      <c r="AB7" s="242">
        <v>7317872.3979037404</v>
      </c>
      <c r="AC7" s="242"/>
      <c r="AD7" s="242"/>
      <c r="AE7" s="242"/>
      <c r="AF7" s="242"/>
      <c r="AG7" s="242"/>
      <c r="AH7" s="242"/>
      <c r="AI7" s="242"/>
      <c r="AJ7" s="242">
        <v>21503192.625119273</v>
      </c>
    </row>
    <row r="8" spans="1:36" x14ac:dyDescent="0.25">
      <c r="A8" s="79">
        <v>2050</v>
      </c>
      <c r="B8" s="242"/>
      <c r="C8" s="242"/>
      <c r="D8" s="242">
        <v>369777</v>
      </c>
      <c r="E8" s="242">
        <v>1262014.3338818299</v>
      </c>
      <c r="F8" s="242"/>
      <c r="G8" s="242">
        <v>3735.45204794039</v>
      </c>
      <c r="H8" s="242"/>
      <c r="I8" s="242"/>
      <c r="J8" s="242">
        <v>142742</v>
      </c>
      <c r="K8" s="242">
        <v>85677</v>
      </c>
      <c r="L8" s="242"/>
      <c r="M8" s="242">
        <v>75934.000000000015</v>
      </c>
      <c r="N8" s="242">
        <v>78</v>
      </c>
      <c r="O8" s="242"/>
      <c r="P8" s="242">
        <v>723032.00000000012</v>
      </c>
      <c r="Q8" s="242"/>
      <c r="R8" s="242">
        <v>3786</v>
      </c>
      <c r="S8" s="242">
        <v>8293462.2488436466</v>
      </c>
      <c r="T8" s="242"/>
      <c r="U8" s="242">
        <v>330026</v>
      </c>
      <c r="V8" s="242"/>
      <c r="W8" s="242"/>
      <c r="X8" s="242"/>
      <c r="Y8" s="242">
        <v>28644.999999999996</v>
      </c>
      <c r="Z8" s="242"/>
      <c r="AA8" s="242">
        <v>2880969.7698136596</v>
      </c>
      <c r="AB8" s="242">
        <v>7005959.4247079371</v>
      </c>
      <c r="AC8" s="242"/>
      <c r="AD8" s="242"/>
      <c r="AE8" s="242"/>
      <c r="AF8" s="242"/>
      <c r="AG8" s="242"/>
      <c r="AH8" s="242"/>
      <c r="AI8" s="242"/>
      <c r="AJ8" s="242">
        <v>21205838.229295015</v>
      </c>
    </row>
    <row r="9" spans="1:36" x14ac:dyDescent="0.25">
      <c r="A9" s="78" t="s">
        <v>113</v>
      </c>
      <c r="B9" s="242"/>
      <c r="C9" s="242">
        <v>188279.23979522343</v>
      </c>
      <c r="D9" s="242"/>
      <c r="E9" s="242"/>
      <c r="F9" s="242"/>
      <c r="G9" s="242"/>
      <c r="H9" s="242"/>
      <c r="I9" s="242"/>
      <c r="J9" s="242"/>
      <c r="K9" s="242">
        <v>35723370.761702038</v>
      </c>
      <c r="L9" s="242"/>
      <c r="M9" s="242">
        <v>2256735.8881010804</v>
      </c>
      <c r="N9" s="242"/>
      <c r="O9" s="242">
        <v>14094793.090225756</v>
      </c>
      <c r="P9" s="242"/>
      <c r="Q9" s="242">
        <v>0</v>
      </c>
      <c r="R9" s="242">
        <v>17162175.705222934</v>
      </c>
      <c r="S9" s="242"/>
      <c r="T9" s="242">
        <v>4424562.1351877507</v>
      </c>
      <c r="U9" s="242">
        <v>16513658.323706053</v>
      </c>
      <c r="V9" s="242"/>
      <c r="W9" s="242"/>
      <c r="X9" s="242"/>
      <c r="Y9" s="242">
        <v>2455475.0856627058</v>
      </c>
      <c r="Z9" s="242">
        <v>115059.53543041431</v>
      </c>
      <c r="AA9" s="242"/>
      <c r="AB9" s="242"/>
      <c r="AC9" s="242"/>
      <c r="AD9" s="242"/>
      <c r="AE9" s="242"/>
      <c r="AF9" s="242">
        <v>624982.47654247773</v>
      </c>
      <c r="AG9" s="242"/>
      <c r="AH9" s="242"/>
      <c r="AI9" s="242"/>
      <c r="AJ9" s="242">
        <v>93559092.241576418</v>
      </c>
    </row>
    <row r="10" spans="1:36" x14ac:dyDescent="0.25">
      <c r="A10" s="79">
        <v>2019</v>
      </c>
      <c r="B10" s="242"/>
      <c r="C10" s="242">
        <v>72415.092228932088</v>
      </c>
      <c r="D10" s="242"/>
      <c r="E10" s="242"/>
      <c r="F10" s="242"/>
      <c r="G10" s="242"/>
      <c r="H10" s="242"/>
      <c r="I10" s="242"/>
      <c r="J10" s="242"/>
      <c r="K10" s="242">
        <v>13739757.985270014</v>
      </c>
      <c r="L10" s="242"/>
      <c r="M10" s="242">
        <v>867975.34157733875</v>
      </c>
      <c r="N10" s="242"/>
      <c r="O10" s="242">
        <v>5421074.2654714445</v>
      </c>
      <c r="P10" s="242"/>
      <c r="Q10" s="242">
        <v>0</v>
      </c>
      <c r="R10" s="242">
        <v>6600836.8097011279</v>
      </c>
      <c r="S10" s="242"/>
      <c r="T10" s="242">
        <v>1701754.6673799041</v>
      </c>
      <c r="U10" s="242">
        <v>6351407.0475792512</v>
      </c>
      <c r="V10" s="242"/>
      <c r="W10" s="242"/>
      <c r="X10" s="242"/>
      <c r="Y10" s="242">
        <v>944413.49448565592</v>
      </c>
      <c r="Z10" s="242">
        <v>44253.667473236274</v>
      </c>
      <c r="AA10" s="242"/>
      <c r="AB10" s="242"/>
      <c r="AC10" s="242"/>
      <c r="AD10" s="242"/>
      <c r="AE10" s="242"/>
      <c r="AF10" s="242">
        <v>240377.87559326066</v>
      </c>
      <c r="AG10" s="242"/>
      <c r="AH10" s="242"/>
      <c r="AI10" s="242"/>
      <c r="AJ10" s="242">
        <v>35984266.24676016</v>
      </c>
    </row>
    <row r="11" spans="1:36" x14ac:dyDescent="0.25">
      <c r="A11" s="79">
        <v>2030</v>
      </c>
      <c r="B11" s="242"/>
      <c r="C11" s="242">
        <v>57932.073783145664</v>
      </c>
      <c r="D11" s="242"/>
      <c r="E11" s="242"/>
      <c r="F11" s="242"/>
      <c r="G11" s="242"/>
      <c r="H11" s="242"/>
      <c r="I11" s="242"/>
      <c r="J11" s="242"/>
      <c r="K11" s="242">
        <v>10991806.388216011</v>
      </c>
      <c r="L11" s="242"/>
      <c r="M11" s="242">
        <v>694380.27326187096</v>
      </c>
      <c r="N11" s="242"/>
      <c r="O11" s="242">
        <v>4336859.4123771554</v>
      </c>
      <c r="P11" s="242"/>
      <c r="Q11" s="242">
        <v>0</v>
      </c>
      <c r="R11" s="242">
        <v>5280669.4477609023</v>
      </c>
      <c r="S11" s="242"/>
      <c r="T11" s="242">
        <v>1361403.7339039231</v>
      </c>
      <c r="U11" s="242">
        <v>5081125.638063401</v>
      </c>
      <c r="V11" s="242"/>
      <c r="W11" s="242"/>
      <c r="X11" s="242"/>
      <c r="Y11" s="242">
        <v>755530.79558852478</v>
      </c>
      <c r="Z11" s="242">
        <v>35402.933978589019</v>
      </c>
      <c r="AA11" s="242"/>
      <c r="AB11" s="242"/>
      <c r="AC11" s="242"/>
      <c r="AD11" s="242"/>
      <c r="AE11" s="242"/>
      <c r="AF11" s="242">
        <v>192302.30047460849</v>
      </c>
      <c r="AG11" s="242"/>
      <c r="AH11" s="242"/>
      <c r="AI11" s="242"/>
      <c r="AJ11" s="242">
        <v>28787412.997408129</v>
      </c>
    </row>
    <row r="12" spans="1:36" x14ac:dyDescent="0.25">
      <c r="A12" s="79">
        <v>2050</v>
      </c>
      <c r="B12" s="242"/>
      <c r="C12" s="242">
        <v>57932.073783145672</v>
      </c>
      <c r="D12" s="242"/>
      <c r="E12" s="242"/>
      <c r="F12" s="242"/>
      <c r="G12" s="242"/>
      <c r="H12" s="242"/>
      <c r="I12" s="242"/>
      <c r="J12" s="242"/>
      <c r="K12" s="242">
        <v>10991806.388216011</v>
      </c>
      <c r="L12" s="242"/>
      <c r="M12" s="242">
        <v>694380.27326187096</v>
      </c>
      <c r="N12" s="242"/>
      <c r="O12" s="242">
        <v>4336859.4123771554</v>
      </c>
      <c r="P12" s="242"/>
      <c r="Q12" s="242">
        <v>0</v>
      </c>
      <c r="R12" s="242">
        <v>5280669.4477609023</v>
      </c>
      <c r="S12" s="242"/>
      <c r="T12" s="242">
        <v>1361403.7339039231</v>
      </c>
      <c r="U12" s="242">
        <v>5081125.638063401</v>
      </c>
      <c r="V12" s="242"/>
      <c r="W12" s="242"/>
      <c r="X12" s="242"/>
      <c r="Y12" s="242">
        <v>755530.79558852478</v>
      </c>
      <c r="Z12" s="242">
        <v>35402.933978589019</v>
      </c>
      <c r="AA12" s="242"/>
      <c r="AB12" s="242"/>
      <c r="AC12" s="242"/>
      <c r="AD12" s="242"/>
      <c r="AE12" s="242"/>
      <c r="AF12" s="242">
        <v>192302.30047460849</v>
      </c>
      <c r="AG12" s="242"/>
      <c r="AH12" s="242"/>
      <c r="AI12" s="242"/>
      <c r="AJ12" s="242">
        <v>28787412.997408129</v>
      </c>
    </row>
    <row r="13" spans="1:36" x14ac:dyDescent="0.25">
      <c r="A13" s="78" t="s">
        <v>128</v>
      </c>
      <c r="B13" s="242">
        <v>182574.19618217932</v>
      </c>
      <c r="C13" s="242">
        <v>0</v>
      </c>
      <c r="D13" s="242"/>
      <c r="E13" s="242"/>
      <c r="F13" s="242">
        <v>281468.55244752642</v>
      </c>
      <c r="G13" s="242"/>
      <c r="H13" s="242">
        <v>197788.71253069426</v>
      </c>
      <c r="I13" s="242">
        <v>1445379.0531089196</v>
      </c>
      <c r="J13" s="242"/>
      <c r="K13" s="242"/>
      <c r="L13" s="242">
        <v>1513844.376677237</v>
      </c>
      <c r="M13" s="242"/>
      <c r="N13" s="242"/>
      <c r="O13" s="242"/>
      <c r="P13" s="242"/>
      <c r="Q13" s="242">
        <v>692260.49385742994</v>
      </c>
      <c r="R13" s="242">
        <v>1658382.281988129</v>
      </c>
      <c r="S13" s="242"/>
      <c r="T13" s="242"/>
      <c r="U13" s="242"/>
      <c r="V13" s="242">
        <v>2647325.8446415998</v>
      </c>
      <c r="W13" s="242">
        <v>336392.95646566537</v>
      </c>
      <c r="X13" s="242"/>
      <c r="Y13" s="242"/>
      <c r="Z13" s="242"/>
      <c r="AA13" s="242"/>
      <c r="AB13" s="242"/>
      <c r="AC13" s="242">
        <v>682979.63888483576</v>
      </c>
      <c r="AD13" s="242"/>
      <c r="AE13" s="242"/>
      <c r="AF13" s="242"/>
      <c r="AG13" s="242"/>
      <c r="AH13" s="242"/>
      <c r="AI13" s="242"/>
      <c r="AJ13" s="242">
        <v>9638396.1067842171</v>
      </c>
    </row>
    <row r="14" spans="1:36" x14ac:dyDescent="0.25">
      <c r="A14" s="79">
        <v>2019</v>
      </c>
      <c r="B14" s="242">
        <v>58403.100598004137</v>
      </c>
      <c r="C14" s="242">
        <v>0</v>
      </c>
      <c r="D14" s="242"/>
      <c r="E14" s="242"/>
      <c r="F14" s="242">
        <v>90038.113421923044</v>
      </c>
      <c r="G14" s="242"/>
      <c r="H14" s="242">
        <v>63270.025647837821</v>
      </c>
      <c r="I14" s="242">
        <v>462357.87973419944</v>
      </c>
      <c r="J14" s="242"/>
      <c r="K14" s="242"/>
      <c r="L14" s="242">
        <v>484259.042458451</v>
      </c>
      <c r="M14" s="242"/>
      <c r="N14" s="242"/>
      <c r="O14" s="242"/>
      <c r="P14" s="242"/>
      <c r="Q14" s="242">
        <v>221445.08976743236</v>
      </c>
      <c r="R14" s="242">
        <v>530494.83043187088</v>
      </c>
      <c r="S14" s="242"/>
      <c r="T14" s="242"/>
      <c r="U14" s="242"/>
      <c r="V14" s="242">
        <v>846844.95867106004</v>
      </c>
      <c r="W14" s="242">
        <v>107607.71285182264</v>
      </c>
      <c r="X14" s="242"/>
      <c r="Y14" s="242"/>
      <c r="Z14" s="242"/>
      <c r="AA14" s="242"/>
      <c r="AB14" s="242"/>
      <c r="AC14" s="242">
        <v>218476.26548703379</v>
      </c>
      <c r="AD14" s="242"/>
      <c r="AE14" s="242"/>
      <c r="AF14" s="242"/>
      <c r="AG14" s="242"/>
      <c r="AH14" s="242"/>
      <c r="AI14" s="242"/>
      <c r="AJ14" s="242">
        <v>3083197.0190696353</v>
      </c>
    </row>
    <row r="15" spans="1:36" x14ac:dyDescent="0.25">
      <c r="A15" s="79">
        <v>2030</v>
      </c>
      <c r="B15" s="242">
        <v>60789.12467762841</v>
      </c>
      <c r="C15" s="242">
        <v>0</v>
      </c>
      <c r="D15" s="242"/>
      <c r="E15" s="242"/>
      <c r="F15" s="242">
        <v>93716.56721134379</v>
      </c>
      <c r="G15" s="242"/>
      <c r="H15" s="242">
        <v>65854.885067430776</v>
      </c>
      <c r="I15" s="242">
        <v>481247.23703122488</v>
      </c>
      <c r="J15" s="242"/>
      <c r="K15" s="242"/>
      <c r="L15" s="242">
        <v>504043.1587853356</v>
      </c>
      <c r="M15" s="242"/>
      <c r="N15" s="242"/>
      <c r="O15" s="242"/>
      <c r="P15" s="242"/>
      <c r="Q15" s="242">
        <v>230492.09773600774</v>
      </c>
      <c r="R15" s="242">
        <v>552167.88248845807</v>
      </c>
      <c r="S15" s="242"/>
      <c r="T15" s="242"/>
      <c r="U15" s="242"/>
      <c r="V15" s="242">
        <v>881442.3078256119</v>
      </c>
      <c r="W15" s="242">
        <v>112003.96221853035</v>
      </c>
      <c r="X15" s="242"/>
      <c r="Y15" s="242"/>
      <c r="Z15" s="242"/>
      <c r="AA15" s="242"/>
      <c r="AB15" s="242"/>
      <c r="AC15" s="242">
        <v>227401.98389822827</v>
      </c>
      <c r="AD15" s="242"/>
      <c r="AE15" s="242"/>
      <c r="AF15" s="242"/>
      <c r="AG15" s="242"/>
      <c r="AH15" s="242"/>
      <c r="AI15" s="242"/>
      <c r="AJ15" s="242">
        <v>3209159.2069397997</v>
      </c>
    </row>
    <row r="16" spans="1:36" x14ac:dyDescent="0.25">
      <c r="A16" s="79">
        <v>2050</v>
      </c>
      <c r="B16" s="242">
        <v>63381.970906546776</v>
      </c>
      <c r="C16" s="242">
        <v>0</v>
      </c>
      <c r="D16" s="242"/>
      <c r="E16" s="242"/>
      <c r="F16" s="242">
        <v>97713.871814259604</v>
      </c>
      <c r="G16" s="242"/>
      <c r="H16" s="242">
        <v>68663.801815425672</v>
      </c>
      <c r="I16" s="242">
        <v>501773.93634349527</v>
      </c>
      <c r="J16" s="242"/>
      <c r="K16" s="242"/>
      <c r="L16" s="242">
        <v>525542.17543345026</v>
      </c>
      <c r="M16" s="242"/>
      <c r="N16" s="242"/>
      <c r="O16" s="242"/>
      <c r="P16" s="242"/>
      <c r="Q16" s="242">
        <v>240323.30635398987</v>
      </c>
      <c r="R16" s="242">
        <v>575719.56906779984</v>
      </c>
      <c r="S16" s="242"/>
      <c r="T16" s="242"/>
      <c r="U16" s="242"/>
      <c r="V16" s="242">
        <v>919038.57814492821</v>
      </c>
      <c r="W16" s="242">
        <v>116781.28139531243</v>
      </c>
      <c r="X16" s="242"/>
      <c r="Y16" s="242"/>
      <c r="Z16" s="242"/>
      <c r="AA16" s="242"/>
      <c r="AB16" s="242"/>
      <c r="AC16" s="242">
        <v>237101.38949957371</v>
      </c>
      <c r="AD16" s="242"/>
      <c r="AE16" s="242"/>
      <c r="AF16" s="242"/>
      <c r="AG16" s="242"/>
      <c r="AH16" s="242"/>
      <c r="AI16" s="242"/>
      <c r="AJ16" s="242">
        <v>3346039.8807747816</v>
      </c>
    </row>
    <row r="17" spans="1:36" x14ac:dyDescent="0.25">
      <c r="A17" s="78" t="s">
        <v>121</v>
      </c>
      <c r="B17" s="242"/>
      <c r="C17" s="242"/>
      <c r="D17" s="242">
        <v>0</v>
      </c>
      <c r="E17" s="242"/>
      <c r="F17" s="242"/>
      <c r="G17" s="242"/>
      <c r="H17" s="242"/>
      <c r="I17" s="242"/>
      <c r="J17" s="242"/>
      <c r="K17" s="242"/>
      <c r="L17" s="242"/>
      <c r="M17" s="242">
        <v>6075820.2462235913</v>
      </c>
      <c r="N17" s="242">
        <v>2948193</v>
      </c>
      <c r="O17" s="242"/>
      <c r="P17" s="242"/>
      <c r="Q17" s="242"/>
      <c r="R17" s="242"/>
      <c r="S17" s="242"/>
      <c r="T17" s="242"/>
      <c r="U17" s="242"/>
      <c r="V17" s="242"/>
      <c r="W17" s="242"/>
      <c r="X17" s="242"/>
      <c r="Y17" s="242"/>
      <c r="Z17" s="242"/>
      <c r="AA17" s="242"/>
      <c r="AB17" s="242"/>
      <c r="AC17" s="242"/>
      <c r="AD17" s="242">
        <v>636963.68412800436</v>
      </c>
      <c r="AE17" s="242">
        <v>8445237.9421698824</v>
      </c>
      <c r="AF17" s="242"/>
      <c r="AG17" s="242">
        <v>561015.58304251544</v>
      </c>
      <c r="AH17" s="242"/>
      <c r="AI17" s="242"/>
      <c r="AJ17" s="242">
        <v>18667230.455563992</v>
      </c>
    </row>
    <row r="18" spans="1:36" x14ac:dyDescent="0.25">
      <c r="A18" s="79">
        <v>2019</v>
      </c>
      <c r="B18" s="242"/>
      <c r="C18" s="242"/>
      <c r="D18" s="242">
        <v>0</v>
      </c>
      <c r="E18" s="242"/>
      <c r="F18" s="242"/>
      <c r="G18" s="242"/>
      <c r="H18" s="242"/>
      <c r="I18" s="242"/>
      <c r="J18" s="242"/>
      <c r="K18" s="242"/>
      <c r="L18" s="242"/>
      <c r="M18" s="242">
        <v>1893765.2125355615</v>
      </c>
      <c r="N18" s="242">
        <v>982731</v>
      </c>
      <c r="O18" s="242"/>
      <c r="P18" s="242"/>
      <c r="Q18" s="242"/>
      <c r="R18" s="242"/>
      <c r="S18" s="242"/>
      <c r="T18" s="242"/>
      <c r="U18" s="242"/>
      <c r="V18" s="242"/>
      <c r="W18" s="242"/>
      <c r="X18" s="242"/>
      <c r="Y18" s="242"/>
      <c r="Z18" s="242"/>
      <c r="AA18" s="242"/>
      <c r="AB18" s="242"/>
      <c r="AC18" s="242"/>
      <c r="AD18" s="242">
        <v>209782.38739500003</v>
      </c>
      <c r="AE18" s="242">
        <v>3010238.4923246857</v>
      </c>
      <c r="AF18" s="242"/>
      <c r="AG18" s="242">
        <v>112887.06079513082</v>
      </c>
      <c r="AH18" s="242"/>
      <c r="AI18" s="242"/>
      <c r="AJ18" s="242">
        <v>6209404.1530503789</v>
      </c>
    </row>
    <row r="19" spans="1:36" x14ac:dyDescent="0.25">
      <c r="A19" s="79">
        <v>2030</v>
      </c>
      <c r="B19" s="242"/>
      <c r="C19" s="242"/>
      <c r="D19" s="242">
        <v>0</v>
      </c>
      <c r="E19" s="242"/>
      <c r="F19" s="242"/>
      <c r="G19" s="242"/>
      <c r="H19" s="242"/>
      <c r="I19" s="242"/>
      <c r="J19" s="242"/>
      <c r="K19" s="242"/>
      <c r="L19" s="242"/>
      <c r="M19" s="242">
        <v>2142228.3524030885</v>
      </c>
      <c r="N19" s="242">
        <v>982731</v>
      </c>
      <c r="O19" s="242"/>
      <c r="P19" s="242"/>
      <c r="Q19" s="242"/>
      <c r="R19" s="242"/>
      <c r="S19" s="242"/>
      <c r="T19" s="242"/>
      <c r="U19" s="242"/>
      <c r="V19" s="242"/>
      <c r="W19" s="242"/>
      <c r="X19" s="242"/>
      <c r="Y19" s="242"/>
      <c r="Z19" s="242"/>
      <c r="AA19" s="242"/>
      <c r="AB19" s="242"/>
      <c r="AC19" s="242"/>
      <c r="AD19" s="242">
        <v>216936.14364827855</v>
      </c>
      <c r="AE19" s="242">
        <v>2848752.9835421797</v>
      </c>
      <c r="AF19" s="242"/>
      <c r="AG19" s="242">
        <v>227903.51886082417</v>
      </c>
      <c r="AH19" s="242"/>
      <c r="AI19" s="242"/>
      <c r="AJ19" s="242">
        <v>6418551.9984543715</v>
      </c>
    </row>
    <row r="20" spans="1:36" x14ac:dyDescent="0.25">
      <c r="A20" s="79">
        <v>2050</v>
      </c>
      <c r="B20" s="242"/>
      <c r="C20" s="242"/>
      <c r="D20" s="242">
        <v>0</v>
      </c>
      <c r="E20" s="242"/>
      <c r="F20" s="242"/>
      <c r="G20" s="242"/>
      <c r="H20" s="242"/>
      <c r="I20" s="242"/>
      <c r="J20" s="242"/>
      <c r="K20" s="242"/>
      <c r="L20" s="242"/>
      <c r="M20" s="242">
        <v>2039826.6812849408</v>
      </c>
      <c r="N20" s="242">
        <v>982731</v>
      </c>
      <c r="O20" s="242"/>
      <c r="P20" s="242"/>
      <c r="Q20" s="242"/>
      <c r="R20" s="242"/>
      <c r="S20" s="242"/>
      <c r="T20" s="242"/>
      <c r="U20" s="242"/>
      <c r="V20" s="242"/>
      <c r="W20" s="242"/>
      <c r="X20" s="242"/>
      <c r="Y20" s="242"/>
      <c r="Z20" s="242"/>
      <c r="AA20" s="242"/>
      <c r="AB20" s="242"/>
      <c r="AC20" s="242"/>
      <c r="AD20" s="242">
        <v>210245.15308472581</v>
      </c>
      <c r="AE20" s="242">
        <v>2586246.4663030161</v>
      </c>
      <c r="AF20" s="242"/>
      <c r="AG20" s="242">
        <v>220225.00338656051</v>
      </c>
      <c r="AH20" s="242"/>
      <c r="AI20" s="242"/>
      <c r="AJ20" s="242">
        <v>6039274.3040592428</v>
      </c>
    </row>
    <row r="21" spans="1:36" x14ac:dyDescent="0.25">
      <c r="A21" s="78" t="s">
        <v>165</v>
      </c>
      <c r="B21" s="242"/>
      <c r="C21" s="242"/>
      <c r="D21" s="242">
        <v>0</v>
      </c>
      <c r="E21" s="242"/>
      <c r="F21" s="242"/>
      <c r="G21" s="242"/>
      <c r="H21" s="242"/>
      <c r="I21" s="242"/>
      <c r="J21" s="242"/>
      <c r="K21" s="242"/>
      <c r="L21" s="242"/>
      <c r="M21" s="242">
        <v>0</v>
      </c>
      <c r="N21" s="242">
        <v>0</v>
      </c>
      <c r="O21" s="242"/>
      <c r="P21" s="242"/>
      <c r="Q21" s="242"/>
      <c r="R21" s="242"/>
      <c r="S21" s="242"/>
      <c r="T21" s="242"/>
      <c r="U21" s="242"/>
      <c r="V21" s="242"/>
      <c r="W21" s="242"/>
      <c r="X21" s="242"/>
      <c r="Y21" s="242"/>
      <c r="Z21" s="242"/>
      <c r="AA21" s="242"/>
      <c r="AB21" s="242"/>
      <c r="AC21" s="242"/>
      <c r="AD21" s="242">
        <v>0</v>
      </c>
      <c r="AE21" s="242">
        <v>0</v>
      </c>
      <c r="AF21" s="242"/>
      <c r="AG21" s="242">
        <v>104203.4407339669</v>
      </c>
      <c r="AH21" s="242"/>
      <c r="AI21" s="242"/>
      <c r="AJ21" s="242">
        <v>104203.4407339669</v>
      </c>
    </row>
    <row r="22" spans="1:36" x14ac:dyDescent="0.25">
      <c r="A22" s="79">
        <v>2019</v>
      </c>
      <c r="B22" s="242"/>
      <c r="C22" s="242"/>
      <c r="D22" s="242">
        <v>0</v>
      </c>
      <c r="E22" s="242"/>
      <c r="F22" s="242"/>
      <c r="G22" s="242"/>
      <c r="H22" s="242"/>
      <c r="I22" s="242"/>
      <c r="J22" s="242"/>
      <c r="K22" s="242"/>
      <c r="L22" s="242"/>
      <c r="M22" s="242">
        <v>0</v>
      </c>
      <c r="N22" s="242">
        <v>0</v>
      </c>
      <c r="O22" s="242"/>
      <c r="P22" s="242"/>
      <c r="Q22" s="242"/>
      <c r="R22" s="242"/>
      <c r="S22" s="242"/>
      <c r="T22" s="242"/>
      <c r="U22" s="242"/>
      <c r="V22" s="242"/>
      <c r="W22" s="242"/>
      <c r="X22" s="242"/>
      <c r="Y22" s="242"/>
      <c r="Z22" s="242"/>
      <c r="AA22" s="242"/>
      <c r="AB22" s="242"/>
      <c r="AC22" s="242"/>
      <c r="AD22" s="242">
        <v>0</v>
      </c>
      <c r="AE22" s="242">
        <v>0</v>
      </c>
      <c r="AF22" s="242"/>
      <c r="AG22" s="242">
        <v>104203.4407339669</v>
      </c>
      <c r="AH22" s="242"/>
      <c r="AI22" s="242"/>
      <c r="AJ22" s="242">
        <v>104203.4407339669</v>
      </c>
    </row>
    <row r="23" spans="1:36" x14ac:dyDescent="0.25">
      <c r="A23" s="79">
        <v>2030</v>
      </c>
      <c r="B23" s="242"/>
      <c r="C23" s="242"/>
      <c r="D23" s="242">
        <v>0</v>
      </c>
      <c r="E23" s="242"/>
      <c r="F23" s="242"/>
      <c r="G23" s="242"/>
      <c r="H23" s="242"/>
      <c r="I23" s="242"/>
      <c r="J23" s="242"/>
      <c r="K23" s="242"/>
      <c r="L23" s="242"/>
      <c r="M23" s="242">
        <v>0</v>
      </c>
      <c r="N23" s="242">
        <v>0</v>
      </c>
      <c r="O23" s="242"/>
      <c r="P23" s="242"/>
      <c r="Q23" s="242"/>
      <c r="R23" s="242"/>
      <c r="S23" s="242"/>
      <c r="T23" s="242"/>
      <c r="U23" s="242"/>
      <c r="V23" s="242"/>
      <c r="W23" s="242"/>
      <c r="X23" s="242"/>
      <c r="Y23" s="242"/>
      <c r="Z23" s="242"/>
      <c r="AA23" s="242"/>
      <c r="AB23" s="242"/>
      <c r="AC23" s="242"/>
      <c r="AD23" s="242">
        <v>0</v>
      </c>
      <c r="AE23" s="242">
        <v>0</v>
      </c>
      <c r="AF23" s="242"/>
      <c r="AG23" s="242">
        <v>0</v>
      </c>
      <c r="AH23" s="242"/>
      <c r="AI23" s="242"/>
      <c r="AJ23" s="242">
        <v>0</v>
      </c>
    </row>
    <row r="24" spans="1:36" x14ac:dyDescent="0.25">
      <c r="A24" s="79">
        <v>2050</v>
      </c>
      <c r="B24" s="242"/>
      <c r="C24" s="242"/>
      <c r="D24" s="242">
        <v>0</v>
      </c>
      <c r="E24" s="242"/>
      <c r="F24" s="242"/>
      <c r="G24" s="242"/>
      <c r="H24" s="242"/>
      <c r="I24" s="242"/>
      <c r="J24" s="242"/>
      <c r="K24" s="242"/>
      <c r="L24" s="242"/>
      <c r="M24" s="242">
        <v>0</v>
      </c>
      <c r="N24" s="242">
        <v>0</v>
      </c>
      <c r="O24" s="242"/>
      <c r="P24" s="242"/>
      <c r="Q24" s="242"/>
      <c r="R24" s="242"/>
      <c r="S24" s="242"/>
      <c r="T24" s="242"/>
      <c r="U24" s="242"/>
      <c r="V24" s="242"/>
      <c r="W24" s="242"/>
      <c r="X24" s="242"/>
      <c r="Y24" s="242"/>
      <c r="Z24" s="242"/>
      <c r="AA24" s="242"/>
      <c r="AB24" s="242"/>
      <c r="AC24" s="242"/>
      <c r="AD24" s="242">
        <v>0</v>
      </c>
      <c r="AE24" s="242">
        <v>0</v>
      </c>
      <c r="AF24" s="242"/>
      <c r="AG24" s="242">
        <v>0</v>
      </c>
      <c r="AH24" s="242"/>
      <c r="AI24" s="242"/>
      <c r="AJ24" s="242">
        <v>0</v>
      </c>
    </row>
    <row r="25" spans="1:36" x14ac:dyDescent="0.25">
      <c r="A25" s="78" t="s">
        <v>115</v>
      </c>
      <c r="B25" s="242"/>
      <c r="C25" s="242"/>
      <c r="D25" s="242"/>
      <c r="E25" s="242">
        <v>1757476.1026458484</v>
      </c>
      <c r="F25" s="242"/>
      <c r="G25" s="242">
        <v>8929.8361918235059</v>
      </c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>
        <v>9927884.0123390965</v>
      </c>
      <c r="T25" s="242"/>
      <c r="U25" s="242"/>
      <c r="V25" s="242"/>
      <c r="W25" s="242"/>
      <c r="X25" s="242"/>
      <c r="Y25" s="242"/>
      <c r="Z25" s="242"/>
      <c r="AA25" s="242"/>
      <c r="AB25" s="242">
        <v>27444396.622567583</v>
      </c>
      <c r="AC25" s="242"/>
      <c r="AD25" s="242"/>
      <c r="AE25" s="242"/>
      <c r="AF25" s="242"/>
      <c r="AG25" s="242"/>
      <c r="AH25" s="242">
        <v>42029043.134376839</v>
      </c>
      <c r="AI25" s="242">
        <v>3570276.5450340863</v>
      </c>
      <c r="AJ25" s="242">
        <v>84738006.253155291</v>
      </c>
    </row>
    <row r="26" spans="1:36" x14ac:dyDescent="0.25">
      <c r="A26" s="79">
        <v>2019</v>
      </c>
      <c r="B26" s="242"/>
      <c r="C26" s="242"/>
      <c r="D26" s="242"/>
      <c r="E26" s="242">
        <v>823764.99285714305</v>
      </c>
      <c r="F26" s="242"/>
      <c r="G26" s="242">
        <v>3362.8500000000004</v>
      </c>
      <c r="H26" s="242"/>
      <c r="I26" s="242"/>
      <c r="J26" s="242"/>
      <c r="K26" s="242"/>
      <c r="L26" s="242"/>
      <c r="M26" s="242"/>
      <c r="N26" s="242"/>
      <c r="O26" s="242"/>
      <c r="P26" s="242"/>
      <c r="Q26" s="242"/>
      <c r="R26" s="242"/>
      <c r="S26" s="242">
        <v>6423924.8458333323</v>
      </c>
      <c r="T26" s="242"/>
      <c r="U26" s="242"/>
      <c r="V26" s="242"/>
      <c r="W26" s="242"/>
      <c r="X26" s="242"/>
      <c r="Y26" s="242"/>
      <c r="Z26" s="242"/>
      <c r="AA26" s="242"/>
      <c r="AB26" s="242">
        <v>14742130.666666664</v>
      </c>
      <c r="AC26" s="242"/>
      <c r="AD26" s="242"/>
      <c r="AE26" s="242"/>
      <c r="AF26" s="242"/>
      <c r="AG26" s="242"/>
      <c r="AH26" s="242">
        <v>8803491.7355084848</v>
      </c>
      <c r="AI26" s="242">
        <v>1108490.5539925825</v>
      </c>
      <c r="AJ26" s="242">
        <v>31905165.644858211</v>
      </c>
    </row>
    <row r="27" spans="1:36" x14ac:dyDescent="0.25">
      <c r="A27" s="79">
        <v>2030</v>
      </c>
      <c r="B27" s="242"/>
      <c r="C27" s="242"/>
      <c r="D27" s="242"/>
      <c r="E27" s="242">
        <v>455948.54053344129</v>
      </c>
      <c r="F27" s="242"/>
      <c r="G27" s="242">
        <v>2738.7153555257819</v>
      </c>
      <c r="H27" s="242"/>
      <c r="I27" s="242"/>
      <c r="J27" s="242"/>
      <c r="K27" s="242"/>
      <c r="L27" s="242"/>
      <c r="M27" s="242"/>
      <c r="N27" s="242"/>
      <c r="O27" s="242"/>
      <c r="P27" s="242"/>
      <c r="Q27" s="242"/>
      <c r="R27" s="242"/>
      <c r="S27" s="242">
        <v>1768879.5644450537</v>
      </c>
      <c r="T27" s="242"/>
      <c r="U27" s="242"/>
      <c r="V27" s="242"/>
      <c r="W27" s="242"/>
      <c r="X27" s="242"/>
      <c r="Y27" s="242"/>
      <c r="Z27" s="242"/>
      <c r="AA27" s="242"/>
      <c r="AB27" s="242">
        <v>6489434.013235392</v>
      </c>
      <c r="AC27" s="242"/>
      <c r="AD27" s="242"/>
      <c r="AE27" s="242"/>
      <c r="AF27" s="242"/>
      <c r="AG27" s="242"/>
      <c r="AH27" s="242">
        <v>16819605.005375024</v>
      </c>
      <c r="AI27" s="242">
        <v>1250598.08486075</v>
      </c>
      <c r="AJ27" s="242">
        <v>26787203.923805185</v>
      </c>
    </row>
    <row r="28" spans="1:36" x14ac:dyDescent="0.25">
      <c r="A28" s="79">
        <v>2050</v>
      </c>
      <c r="B28" s="242"/>
      <c r="C28" s="242"/>
      <c r="D28" s="242"/>
      <c r="E28" s="242">
        <v>477762.56925526413</v>
      </c>
      <c r="F28" s="242"/>
      <c r="G28" s="242">
        <v>2828.2708362977232</v>
      </c>
      <c r="H28" s="242"/>
      <c r="I28" s="242"/>
      <c r="J28" s="242"/>
      <c r="K28" s="242"/>
      <c r="L28" s="242"/>
      <c r="M28" s="242"/>
      <c r="N28" s="242"/>
      <c r="O28" s="242"/>
      <c r="P28" s="242"/>
      <c r="Q28" s="242"/>
      <c r="R28" s="242"/>
      <c r="S28" s="242">
        <v>1735079.6020607101</v>
      </c>
      <c r="T28" s="242"/>
      <c r="U28" s="242"/>
      <c r="V28" s="242"/>
      <c r="W28" s="242"/>
      <c r="X28" s="242"/>
      <c r="Y28" s="242"/>
      <c r="Z28" s="242"/>
      <c r="AA28" s="242"/>
      <c r="AB28" s="242">
        <v>6212831.9426655285</v>
      </c>
      <c r="AC28" s="242"/>
      <c r="AD28" s="242"/>
      <c r="AE28" s="242"/>
      <c r="AF28" s="242"/>
      <c r="AG28" s="242"/>
      <c r="AH28" s="242">
        <v>16405946.393493332</v>
      </c>
      <c r="AI28" s="242">
        <v>1211187.9061807538</v>
      </c>
      <c r="AJ28" s="242">
        <v>26045636.684491888</v>
      </c>
    </row>
    <row r="29" spans="1:36" x14ac:dyDescent="0.25">
      <c r="A29" s="78" t="s">
        <v>239</v>
      </c>
      <c r="B29" s="242"/>
      <c r="C29" s="242"/>
      <c r="D29" s="242"/>
      <c r="E29" s="242"/>
      <c r="F29" s="242"/>
      <c r="G29" s="242"/>
      <c r="H29" s="242"/>
      <c r="I29" s="242"/>
      <c r="J29" s="242"/>
      <c r="K29" s="242"/>
      <c r="L29" s="242"/>
      <c r="M29" s="242"/>
      <c r="N29" s="242"/>
      <c r="O29" s="242"/>
      <c r="P29" s="242"/>
      <c r="Q29" s="242"/>
      <c r="R29" s="242"/>
      <c r="S29" s="242"/>
      <c r="T29" s="242"/>
      <c r="U29" s="242"/>
      <c r="V29" s="242"/>
      <c r="W29" s="242"/>
      <c r="X29" s="242">
        <v>2078809.4493015073</v>
      </c>
      <c r="Y29" s="242"/>
      <c r="Z29" s="242"/>
      <c r="AA29" s="242"/>
      <c r="AB29" s="242"/>
      <c r="AC29" s="242"/>
      <c r="AD29" s="242"/>
      <c r="AE29" s="242"/>
      <c r="AF29" s="242"/>
      <c r="AG29" s="242"/>
      <c r="AH29" s="242"/>
      <c r="AI29" s="242"/>
      <c r="AJ29" s="242">
        <v>2078809.4493015073</v>
      </c>
    </row>
    <row r="30" spans="1:36" x14ac:dyDescent="0.25">
      <c r="A30" s="79">
        <v>2019</v>
      </c>
      <c r="B30" s="242"/>
      <c r="C30" s="242"/>
      <c r="D30" s="242"/>
      <c r="E30" s="242"/>
      <c r="F30" s="242"/>
      <c r="G30" s="242"/>
      <c r="H30" s="242"/>
      <c r="I30" s="242"/>
      <c r="J30" s="242"/>
      <c r="K30" s="242"/>
      <c r="L30" s="242"/>
      <c r="M30" s="242"/>
      <c r="N30" s="242"/>
      <c r="O30" s="242"/>
      <c r="P30" s="242"/>
      <c r="Q30" s="242"/>
      <c r="R30" s="242"/>
      <c r="S30" s="242"/>
      <c r="T30" s="242"/>
      <c r="U30" s="242"/>
      <c r="V30" s="242"/>
      <c r="W30" s="242"/>
      <c r="X30" s="242">
        <v>678407.81727843033</v>
      </c>
      <c r="Y30" s="242"/>
      <c r="Z30" s="242"/>
      <c r="AA30" s="242"/>
      <c r="AB30" s="242"/>
      <c r="AC30" s="242"/>
      <c r="AD30" s="242"/>
      <c r="AE30" s="242"/>
      <c r="AF30" s="242"/>
      <c r="AG30" s="242"/>
      <c r="AH30" s="242"/>
      <c r="AI30" s="242"/>
      <c r="AJ30" s="242">
        <v>678407.81727843033</v>
      </c>
    </row>
    <row r="31" spans="1:36" x14ac:dyDescent="0.25">
      <c r="A31" s="79">
        <v>2030</v>
      </c>
      <c r="B31" s="242"/>
      <c r="C31" s="242"/>
      <c r="D31" s="242"/>
      <c r="E31" s="242"/>
      <c r="F31" s="242"/>
      <c r="G31" s="242"/>
      <c r="H31" s="242"/>
      <c r="I31" s="242"/>
      <c r="J31" s="242"/>
      <c r="K31" s="242"/>
      <c r="L31" s="242"/>
      <c r="M31" s="242"/>
      <c r="N31" s="242"/>
      <c r="O31" s="242"/>
      <c r="P31" s="242"/>
      <c r="Q31" s="242"/>
      <c r="R31" s="242"/>
      <c r="S31" s="242"/>
      <c r="T31" s="242"/>
      <c r="U31" s="242"/>
      <c r="V31" s="242"/>
      <c r="W31" s="242"/>
      <c r="X31" s="242">
        <v>712198.49644007557</v>
      </c>
      <c r="Y31" s="242"/>
      <c r="Z31" s="242"/>
      <c r="AA31" s="242"/>
      <c r="AB31" s="242"/>
      <c r="AC31" s="242"/>
      <c r="AD31" s="242"/>
      <c r="AE31" s="242"/>
      <c r="AF31" s="242"/>
      <c r="AG31" s="242"/>
      <c r="AH31" s="242"/>
      <c r="AI31" s="242"/>
      <c r="AJ31" s="242">
        <v>712198.49644007557</v>
      </c>
    </row>
    <row r="32" spans="1:36" x14ac:dyDescent="0.25">
      <c r="A32" s="79">
        <v>2050</v>
      </c>
      <c r="B32" s="242"/>
      <c r="C32" s="242"/>
      <c r="D32" s="242"/>
      <c r="E32" s="242"/>
      <c r="F32" s="242"/>
      <c r="G32" s="242"/>
      <c r="H32" s="242"/>
      <c r="I32" s="242"/>
      <c r="J32" s="242"/>
      <c r="K32" s="242"/>
      <c r="L32" s="242"/>
      <c r="M32" s="242"/>
      <c r="N32" s="242"/>
      <c r="O32" s="242"/>
      <c r="P32" s="242"/>
      <c r="Q32" s="242"/>
      <c r="R32" s="242"/>
      <c r="S32" s="242"/>
      <c r="T32" s="242"/>
      <c r="U32" s="242"/>
      <c r="V32" s="242"/>
      <c r="W32" s="242"/>
      <c r="X32" s="242">
        <v>688203.13558300154</v>
      </c>
      <c r="Y32" s="242"/>
      <c r="Z32" s="242"/>
      <c r="AA32" s="242"/>
      <c r="AB32" s="242"/>
      <c r="AC32" s="242"/>
      <c r="AD32" s="242"/>
      <c r="AE32" s="242"/>
      <c r="AF32" s="242"/>
      <c r="AG32" s="242"/>
      <c r="AH32" s="242"/>
      <c r="AI32" s="242"/>
      <c r="AJ32" s="242">
        <v>688203.13558300154</v>
      </c>
    </row>
    <row r="33" spans="1:36" x14ac:dyDescent="0.25">
      <c r="A33" s="78" t="s">
        <v>61</v>
      </c>
      <c r="B33" s="242">
        <v>182574.19618217932</v>
      </c>
      <c r="C33" s="242">
        <v>188279.23979522343</v>
      </c>
      <c r="D33" s="242">
        <v>1462906</v>
      </c>
      <c r="E33" s="242">
        <v>4980969.8077480895</v>
      </c>
      <c r="F33" s="242">
        <v>281468.55244752642</v>
      </c>
      <c r="G33" s="242">
        <v>20723.95946404323</v>
      </c>
      <c r="H33" s="242">
        <v>197788.71253069426</v>
      </c>
      <c r="I33" s="242">
        <v>1445379.0531089196</v>
      </c>
      <c r="J33" s="242">
        <v>428226</v>
      </c>
      <c r="K33" s="242">
        <v>35980401.761702038</v>
      </c>
      <c r="L33" s="242">
        <v>1513844.376677237</v>
      </c>
      <c r="M33" s="242">
        <v>8560358.1343246717</v>
      </c>
      <c r="N33" s="242">
        <v>2948427</v>
      </c>
      <c r="O33" s="242">
        <v>14094793.090225756</v>
      </c>
      <c r="P33" s="242">
        <v>2444654</v>
      </c>
      <c r="Q33" s="242">
        <v>692260.49385742994</v>
      </c>
      <c r="R33" s="242">
        <v>18831915.987211064</v>
      </c>
      <c r="S33" s="242">
        <v>31029877.745322619</v>
      </c>
      <c r="T33" s="242">
        <v>4424562.1351877507</v>
      </c>
      <c r="U33" s="242">
        <v>17503736.323706053</v>
      </c>
      <c r="V33" s="242">
        <v>2647325.8446415998</v>
      </c>
      <c r="W33" s="242">
        <v>336392.95646566537</v>
      </c>
      <c r="X33" s="242">
        <v>2078809.4493015073</v>
      </c>
      <c r="Y33" s="242">
        <v>2541410.0856627058</v>
      </c>
      <c r="Z33" s="242">
        <v>115059.53543041431</v>
      </c>
      <c r="AA33" s="242">
        <v>8315241.6371112876</v>
      </c>
      <c r="AB33" s="242">
        <v>44683097.778512597</v>
      </c>
      <c r="AC33" s="242">
        <v>682979.63888483576</v>
      </c>
      <c r="AD33" s="242">
        <v>636963.68412800436</v>
      </c>
      <c r="AE33" s="242">
        <v>8445237.9421698824</v>
      </c>
      <c r="AF33" s="242">
        <v>624982.47654247773</v>
      </c>
      <c r="AG33" s="242">
        <v>665219.02377648233</v>
      </c>
      <c r="AH33" s="242">
        <v>42029043.134376839</v>
      </c>
      <c r="AI33" s="242">
        <v>3570276.5450340863</v>
      </c>
      <c r="AJ33" s="242">
        <v>264585186.30152971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0" width="11.28515625" bestFit="1" customWidth="1"/>
    <col min="11" max="11" width="9.28515625" bestFit="1" customWidth="1"/>
    <col min="12" max="13" width="11.5703125" bestFit="1" customWidth="1"/>
    <col min="14" max="14" width="5.28515625" bestFit="1" customWidth="1"/>
    <col min="15" max="15" width="13.28515625" bestFit="1" customWidth="1"/>
    <col min="16" max="16" width="13.85546875" bestFit="1" customWidth="1"/>
    <col min="17" max="17" width="5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288</v>
      </c>
      <c r="B2" s="78">
        <v>1</v>
      </c>
    </row>
    <row r="4" spans="1:10" x14ac:dyDescent="0.25">
      <c r="A4" s="77" t="s">
        <v>315</v>
      </c>
      <c r="B4" s="77" t="s">
        <v>62</v>
      </c>
    </row>
    <row r="5" spans="1:10" x14ac:dyDescent="0.25">
      <c r="A5" s="77" t="s">
        <v>60</v>
      </c>
      <c r="B5" s="171" t="s">
        <v>103</v>
      </c>
      <c r="C5" s="171" t="s">
        <v>6</v>
      </c>
      <c r="D5" s="171" t="s">
        <v>104</v>
      </c>
      <c r="E5" s="171" t="s">
        <v>116</v>
      </c>
      <c r="F5" s="171" t="s">
        <v>14</v>
      </c>
      <c r="G5" s="171" t="s">
        <v>159</v>
      </c>
      <c r="H5" s="171" t="s">
        <v>54</v>
      </c>
      <c r="I5" s="171" t="s">
        <v>160</v>
      </c>
      <c r="J5" s="171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1108490.5539925825</v>
      </c>
      <c r="F6" s="76">
        <v>0</v>
      </c>
      <c r="G6" s="76">
        <v>142742</v>
      </c>
      <c r="H6" s="76">
        <v>420629.98984142789</v>
      </c>
      <c r="I6" s="76">
        <v>5421074.2654714445</v>
      </c>
      <c r="J6" s="76">
        <v>7949378.1351335607</v>
      </c>
    </row>
    <row r="7" spans="1:10" x14ac:dyDescent="0.25">
      <c r="A7" s="78">
        <v>2030</v>
      </c>
      <c r="B7" s="76">
        <v>2.825725611182861E-2</v>
      </c>
      <c r="C7" s="76">
        <v>210965.35838487741</v>
      </c>
      <c r="D7" s="76">
        <v>74189.67769150075</v>
      </c>
      <c r="E7" s="76">
        <v>1250598.08486075</v>
      </c>
      <c r="F7" s="76">
        <v>21032.815128937291</v>
      </c>
      <c r="G7" s="76">
        <v>142742</v>
      </c>
      <c r="H7" s="76">
        <v>437443.77822737186</v>
      </c>
      <c r="I7" s="76">
        <v>4336859.4123771554</v>
      </c>
      <c r="J7" s="76">
        <v>6473831.1549278479</v>
      </c>
    </row>
    <row r="8" spans="1:10" x14ac:dyDescent="0.25">
      <c r="A8" s="78">
        <v>2050</v>
      </c>
      <c r="B8" s="76">
        <v>0.18489040050189942</v>
      </c>
      <c r="C8" s="76">
        <v>241953.74133540038</v>
      </c>
      <c r="D8" s="76">
        <v>73602.891942499205</v>
      </c>
      <c r="E8" s="76">
        <v>1211187.9061807538</v>
      </c>
      <c r="F8" s="76">
        <v>28706.337967901869</v>
      </c>
      <c r="G8" s="76">
        <v>142742</v>
      </c>
      <c r="H8" s="76">
        <v>459349.41813660081</v>
      </c>
      <c r="I8" s="76">
        <v>4336859.4123771554</v>
      </c>
      <c r="J8" s="76">
        <v>6494401.8928307109</v>
      </c>
    </row>
    <row r="9" spans="1:10" x14ac:dyDescent="0.25">
      <c r="A9" s="78" t="s">
        <v>61</v>
      </c>
      <c r="B9" s="76">
        <v>370459.88762915425</v>
      </c>
      <c r="C9" s="76">
        <v>656568.72072578385</v>
      </c>
      <c r="D9" s="76">
        <v>430124.59997510223</v>
      </c>
      <c r="E9" s="76">
        <v>3570276.5450340863</v>
      </c>
      <c r="F9" s="76">
        <v>49739.15309683916</v>
      </c>
      <c r="G9" s="76">
        <v>428226</v>
      </c>
      <c r="H9" s="76">
        <v>1317423.1862054006</v>
      </c>
      <c r="I9" s="76">
        <v>14094793.090225754</v>
      </c>
      <c r="J9" s="76">
        <v>20917611.182892121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71" bestFit="1" customWidth="1"/>
    <col min="2" max="2" width="16.28515625" style="171" bestFit="1" customWidth="1"/>
    <col min="3" max="3" width="9.140625" style="171" bestFit="1" customWidth="1"/>
    <col min="4" max="4" width="11" style="171" bestFit="1" customWidth="1"/>
    <col min="5" max="5" width="11.5703125" style="171" bestFit="1" customWidth="1"/>
    <col min="6" max="6" width="11.140625" style="171" bestFit="1" customWidth="1"/>
    <col min="7" max="7" width="9.85546875" style="171" bestFit="1" customWidth="1"/>
    <col min="8" max="8" width="11" style="171" bestFit="1" customWidth="1"/>
    <col min="9" max="10" width="9.85546875" style="171" bestFit="1" customWidth="1"/>
    <col min="11" max="11" width="13.85546875" style="171" bestFit="1" customWidth="1"/>
    <col min="12" max="12" width="9.85546875" style="171" bestFit="1" customWidth="1"/>
    <col min="13" max="13" width="16" style="171" bestFit="1" customWidth="1"/>
    <col min="14" max="14" width="10" style="171" bestFit="1" customWidth="1"/>
    <col min="15" max="15" width="8.7109375" style="171" bestFit="1" customWidth="1"/>
    <col min="16" max="16" width="11" style="171" bestFit="1" customWidth="1"/>
    <col min="17" max="17" width="9.85546875" style="171" bestFit="1" customWidth="1"/>
    <col min="18" max="18" width="21" style="171" bestFit="1" customWidth="1"/>
    <col min="19" max="19" width="20.7109375" style="171" bestFit="1" customWidth="1"/>
    <col min="20" max="20" width="9.85546875" style="171" bestFit="1" customWidth="1"/>
    <col min="21" max="21" width="7.140625" style="171" bestFit="1" customWidth="1"/>
    <col min="22" max="22" width="13.85546875" style="171" bestFit="1" customWidth="1"/>
    <col min="23" max="23" width="10.140625" style="171" bestFit="1" customWidth="1"/>
    <col min="24" max="24" width="12.140625" style="171" bestFit="1" customWidth="1"/>
    <col min="25" max="25" width="16" style="171" bestFit="1" customWidth="1"/>
    <col min="26" max="27" width="9.85546875" style="171" bestFit="1" customWidth="1"/>
    <col min="28" max="28" width="9.28515625" style="171" bestFit="1" customWidth="1"/>
    <col min="29" max="30" width="12" style="171" bestFit="1" customWidth="1"/>
    <col min="31" max="32" width="10.140625" style="171" bestFit="1" customWidth="1"/>
    <col min="33" max="33" width="12.140625" style="171" bestFit="1" customWidth="1"/>
    <col min="34" max="34" width="8.85546875" style="171" bestFit="1" customWidth="1"/>
    <col min="35" max="35" width="15.42578125" style="171" bestFit="1" customWidth="1"/>
    <col min="36" max="36" width="16" style="171" bestFit="1" customWidth="1"/>
    <col min="37" max="37" width="8.85546875" style="171" bestFit="1" customWidth="1"/>
    <col min="38" max="38" width="12.5703125" style="171" bestFit="1" customWidth="1"/>
    <col min="39" max="39" width="10.42578125" style="171" bestFit="1" customWidth="1"/>
    <col min="40" max="40" width="12.28515625" style="171" bestFit="1" customWidth="1"/>
    <col min="41" max="41" width="14.5703125" style="171" bestFit="1" customWidth="1"/>
    <col min="42" max="43" width="9.85546875" style="171" bestFit="1" customWidth="1"/>
    <col min="44" max="44" width="14" style="171" bestFit="1" customWidth="1"/>
    <col min="45" max="45" width="6.7109375" style="171" bestFit="1" customWidth="1"/>
    <col min="46" max="46" width="9.28515625" style="171" bestFit="1" customWidth="1"/>
    <col min="47" max="47" width="8.5703125" style="171" bestFit="1" customWidth="1"/>
    <col min="48" max="48" width="12" style="171" bestFit="1" customWidth="1"/>
    <col min="49" max="49" width="12.28515625" style="171" bestFit="1" customWidth="1"/>
    <col min="50" max="50" width="13.28515625" style="171" bestFit="1" customWidth="1"/>
    <col min="51" max="51" width="13.42578125" style="171" bestFit="1" customWidth="1"/>
    <col min="52" max="52" width="20.85546875" style="171" bestFit="1" customWidth="1"/>
    <col min="53" max="54" width="12.28515625" style="171" bestFit="1" customWidth="1"/>
    <col min="55" max="55" width="13.28515625" style="171" bestFit="1" customWidth="1"/>
    <col min="56" max="59" width="12.28515625" style="171" bestFit="1" customWidth="1"/>
    <col min="60" max="60" width="13.28515625" style="171" bestFit="1" customWidth="1"/>
    <col min="61" max="61" width="13.42578125" style="171" bestFit="1" customWidth="1"/>
    <col min="62" max="62" width="20.85546875" style="171" bestFit="1" customWidth="1"/>
    <col min="63" max="64" width="12.28515625" style="171" bestFit="1" customWidth="1"/>
    <col min="65" max="65" width="13.28515625" style="171" bestFit="1" customWidth="1"/>
    <col min="66" max="66" width="13.42578125" style="171" bestFit="1" customWidth="1"/>
    <col min="67" max="67" width="20.85546875" style="171" bestFit="1" customWidth="1"/>
    <col min="68" max="69" width="11.28515625" style="171" bestFit="1" customWidth="1"/>
    <col min="70" max="70" width="13.28515625" style="171" bestFit="1" customWidth="1"/>
    <col min="71" max="71" width="13.42578125" style="171" bestFit="1" customWidth="1"/>
    <col min="72" max="72" width="12.28515625" style="171" bestFit="1" customWidth="1"/>
    <col min="73" max="73" width="16.85546875" style="171" bestFit="1" customWidth="1"/>
    <col min="74" max="74" width="12.28515625" style="171" bestFit="1" customWidth="1"/>
    <col min="75" max="75" width="13.28515625" style="171" bestFit="1" customWidth="1"/>
    <col min="76" max="76" width="13.42578125" style="171" bestFit="1" customWidth="1"/>
    <col min="77" max="77" width="12.28515625" style="171" bestFit="1" customWidth="1"/>
    <col min="78" max="78" width="16.85546875" style="171" bestFit="1" customWidth="1"/>
    <col min="79" max="79" width="12.28515625" style="171" bestFit="1" customWidth="1"/>
    <col min="80" max="80" width="13.28515625" style="171" bestFit="1" customWidth="1"/>
    <col min="81" max="81" width="13.42578125" style="171" bestFit="1" customWidth="1"/>
    <col min="82" max="82" width="12.28515625" style="171" bestFit="1" customWidth="1"/>
    <col min="83" max="83" width="15.85546875" style="171" bestFit="1" customWidth="1"/>
    <col min="84" max="84" width="12.28515625" style="171" bestFit="1" customWidth="1"/>
    <col min="85" max="85" width="13.28515625" style="171" bestFit="1" customWidth="1"/>
    <col min="86" max="89" width="11.7109375" style="171" bestFit="1" customWidth="1"/>
    <col min="90" max="90" width="14.28515625" style="171" bestFit="1" customWidth="1"/>
    <col min="91" max="91" width="13.42578125" style="171" bestFit="1" customWidth="1"/>
    <col min="92" max="92" width="20.85546875" style="171" bestFit="1" customWidth="1"/>
    <col min="93" max="94" width="11.7109375" style="171" bestFit="1" customWidth="1"/>
    <col min="95" max="95" width="14.28515625" style="171" bestFit="1" customWidth="1"/>
    <col min="96" max="96" width="13.42578125" style="171" bestFit="1" customWidth="1"/>
    <col min="97" max="97" width="20.85546875" style="171" bestFit="1" customWidth="1"/>
    <col min="98" max="99" width="12.28515625" style="171" bestFit="1" customWidth="1"/>
    <col min="100" max="100" width="14.28515625" style="171" bestFit="1" customWidth="1"/>
    <col min="101" max="101" width="12.28515625" style="171" bestFit="1" customWidth="1"/>
    <col min="102" max="103" width="13.28515625" style="171" bestFit="1" customWidth="1"/>
    <col min="104" max="104" width="13.42578125" style="171" bestFit="1" customWidth="1"/>
    <col min="105" max="105" width="20.85546875" style="171" bestFit="1" customWidth="1"/>
    <col min="106" max="107" width="12.28515625" style="171" bestFit="1" customWidth="1"/>
    <col min="108" max="109" width="13.28515625" style="171" bestFit="1" customWidth="1"/>
    <col min="110" max="113" width="11.7109375" style="171" bestFit="1" customWidth="1"/>
    <col min="114" max="115" width="13.28515625" style="171" bestFit="1" customWidth="1"/>
    <col min="116" max="116" width="13.42578125" style="171" bestFit="1" customWidth="1"/>
    <col min="117" max="117" width="20.85546875" style="171" bestFit="1" customWidth="1"/>
    <col min="118" max="120" width="11.7109375" style="171" bestFit="1" customWidth="1"/>
    <col min="121" max="121" width="13.28515625" style="171" bestFit="1" customWidth="1"/>
    <col min="122" max="122" width="13.42578125" style="171" bestFit="1" customWidth="1"/>
    <col min="123" max="123" width="12.28515625" style="171" bestFit="1" customWidth="1"/>
    <col min="124" max="124" width="15.85546875" style="171" bestFit="1" customWidth="1"/>
    <col min="125" max="125" width="12.28515625" style="171" bestFit="1" customWidth="1"/>
    <col min="126" max="127" width="13.28515625" style="171" bestFit="1" customWidth="1"/>
    <col min="128" max="128" width="13.42578125" style="171" bestFit="1" customWidth="1"/>
    <col min="129" max="129" width="20.85546875" style="171" bestFit="1" customWidth="1"/>
    <col min="130" max="131" width="11.28515625" style="171" bestFit="1" customWidth="1"/>
    <col min="132" max="133" width="13.28515625" style="171" bestFit="1" customWidth="1"/>
    <col min="134" max="134" width="13.42578125" style="171" bestFit="1" customWidth="1"/>
    <col min="135" max="135" width="20.85546875" style="171" bestFit="1" customWidth="1"/>
    <col min="136" max="137" width="12.28515625" style="171" bestFit="1" customWidth="1"/>
    <col min="138" max="139" width="13.28515625" style="171" bestFit="1" customWidth="1"/>
    <col min="140" max="143" width="12.28515625" style="171" bestFit="1" customWidth="1"/>
    <col min="144" max="145" width="13.28515625" style="171" bestFit="1" customWidth="1"/>
    <col min="146" max="146" width="13.42578125" style="171" bestFit="1" customWidth="1"/>
    <col min="147" max="147" width="12.28515625" style="171" bestFit="1" customWidth="1"/>
    <col min="148" max="148" width="16.85546875" style="171" bestFit="1" customWidth="1"/>
    <col min="149" max="149" width="12.28515625" style="171" bestFit="1" customWidth="1"/>
    <col min="150" max="151" width="13.28515625" style="171" bestFit="1" customWidth="1"/>
    <col min="152" max="152" width="13.42578125" style="171" bestFit="1" customWidth="1"/>
    <col min="153" max="153" width="12.28515625" style="171" bestFit="1" customWidth="1"/>
    <col min="154" max="154" width="16.85546875" style="171" bestFit="1" customWidth="1"/>
    <col min="155" max="155" width="12.28515625" style="171" bestFit="1" customWidth="1"/>
    <col min="156" max="157" width="13.28515625" style="171" bestFit="1" customWidth="1"/>
    <col min="158" max="158" width="13.42578125" style="171" bestFit="1" customWidth="1"/>
    <col min="159" max="159" width="20.85546875" style="171" bestFit="1" customWidth="1"/>
    <col min="160" max="161" width="12.28515625" style="171" bestFit="1" customWidth="1"/>
    <col min="162" max="163" width="14.28515625" style="171" bestFit="1" customWidth="1"/>
    <col min="164" max="164" width="13.42578125" style="171" bestFit="1" customWidth="1"/>
    <col min="165" max="165" width="20.85546875" style="171" bestFit="1" customWidth="1"/>
    <col min="166" max="167" width="11.7109375" style="171" bestFit="1" customWidth="1"/>
    <col min="168" max="169" width="14.28515625" style="171" bestFit="1" customWidth="1"/>
    <col min="170" max="173" width="11.7109375" style="171" bestFit="1" customWidth="1"/>
    <col min="174" max="175" width="14.28515625" style="171" bestFit="1" customWidth="1"/>
    <col min="176" max="176" width="12.28515625" style="171" bestFit="1" customWidth="1"/>
    <col min="177" max="16384" width="9.140625" style="171"/>
  </cols>
  <sheetData>
    <row r="2" spans="1:48" x14ac:dyDescent="0.25">
      <c r="A2" s="77" t="s">
        <v>310</v>
      </c>
      <c r="B2" s="78">
        <v>1</v>
      </c>
    </row>
    <row r="4" spans="1:48" x14ac:dyDescent="0.25">
      <c r="A4" s="77" t="s">
        <v>258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71" t="s">
        <v>15</v>
      </c>
      <c r="C5" s="171" t="s">
        <v>49</v>
      </c>
      <c r="D5" s="171" t="s">
        <v>111</v>
      </c>
      <c r="E5" s="171" t="s">
        <v>102</v>
      </c>
      <c r="F5" s="171" t="s">
        <v>97</v>
      </c>
      <c r="G5" s="171" t="s">
        <v>114</v>
      </c>
      <c r="H5" s="171" t="s">
        <v>51</v>
      </c>
      <c r="I5" s="171" t="s">
        <v>12</v>
      </c>
      <c r="J5" s="171" t="s">
        <v>48</v>
      </c>
      <c r="K5" s="171" t="s">
        <v>109</v>
      </c>
      <c r="L5" s="171" t="s">
        <v>53</v>
      </c>
      <c r="M5" s="171" t="s">
        <v>117</v>
      </c>
      <c r="N5" s="171" t="s">
        <v>107</v>
      </c>
      <c r="O5" s="171" t="s">
        <v>14</v>
      </c>
      <c r="P5" s="171" t="s">
        <v>118</v>
      </c>
      <c r="Q5" s="171" t="s">
        <v>52</v>
      </c>
      <c r="R5" s="171" t="s">
        <v>122</v>
      </c>
      <c r="S5" s="171" t="s">
        <v>108</v>
      </c>
      <c r="T5" s="171" t="s">
        <v>13</v>
      </c>
      <c r="U5" s="171" t="s">
        <v>100</v>
      </c>
      <c r="V5" s="171" t="s">
        <v>119</v>
      </c>
      <c r="W5" s="171" t="s">
        <v>137</v>
      </c>
      <c r="X5" s="171" t="s">
        <v>138</v>
      </c>
      <c r="Y5" s="171" t="s">
        <v>141</v>
      </c>
      <c r="Z5" s="171" t="s">
        <v>56</v>
      </c>
      <c r="AA5" s="171" t="s">
        <v>55</v>
      </c>
      <c r="AB5" s="171" t="s">
        <v>240</v>
      </c>
      <c r="AC5" s="171" t="s">
        <v>61</v>
      </c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>
        <v>2040873.7508661344</v>
      </c>
      <c r="J6" s="98">
        <v>1974670.329311419</v>
      </c>
      <c r="K6" s="98">
        <v>51892.132620096323</v>
      </c>
      <c r="L6" s="98">
        <v>1266262.2462674922</v>
      </c>
      <c r="M6" s="98">
        <v>2536783.2413289398</v>
      </c>
      <c r="N6" s="98">
        <v>880.09999999999991</v>
      </c>
      <c r="O6" s="98">
        <v>8064.2063400965635</v>
      </c>
      <c r="P6" s="98">
        <v>5269000</v>
      </c>
      <c r="Q6" s="98">
        <v>1656364.6415009145</v>
      </c>
      <c r="R6" s="98">
        <v>217010.36743552322</v>
      </c>
      <c r="S6" s="98">
        <v>105946.31157195524</v>
      </c>
      <c r="T6" s="98">
        <v>1382651.4311789067</v>
      </c>
      <c r="U6" s="98">
        <v>76.5</v>
      </c>
      <c r="V6" s="98">
        <v>827693.20492220437</v>
      </c>
      <c r="W6" s="98">
        <v>3272565.4875000007</v>
      </c>
      <c r="X6" s="98">
        <v>1078.6499999999999</v>
      </c>
      <c r="Y6" s="98">
        <v>4368323.901678659</v>
      </c>
      <c r="Z6" s="98">
        <v>911574.64248506655</v>
      </c>
      <c r="AA6" s="98">
        <v>2005102.1714007764</v>
      </c>
      <c r="AB6" s="98">
        <v>98826.033045954537</v>
      </c>
      <c r="AC6" s="98">
        <v>38726531.363933533</v>
      </c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124599.21875499978</v>
      </c>
      <c r="C7" s="98">
        <v>240738.79472010836</v>
      </c>
      <c r="D7" s="98">
        <v>2948279.9748971234</v>
      </c>
      <c r="E7" s="98">
        <v>748443.83068696968</v>
      </c>
      <c r="F7" s="98">
        <v>91643.463111055491</v>
      </c>
      <c r="G7" s="98">
        <v>1570157.2016349281</v>
      </c>
      <c r="H7" s="98">
        <v>7576872.8456154009</v>
      </c>
      <c r="I7" s="98">
        <v>2134206.5118205468</v>
      </c>
      <c r="J7" s="98">
        <v>3743700.5343613457</v>
      </c>
      <c r="K7" s="98">
        <v>27559.785504281797</v>
      </c>
      <c r="L7" s="98">
        <v>2961150.4845719668</v>
      </c>
      <c r="M7" s="98">
        <v>1798536.4273682984</v>
      </c>
      <c r="N7" s="98">
        <v>148232.6739623498</v>
      </c>
      <c r="O7" s="98"/>
      <c r="P7" s="98">
        <v>4173274.1072842204</v>
      </c>
      <c r="Q7" s="98">
        <v>1992661.9607506471</v>
      </c>
      <c r="R7" s="98">
        <v>170927.12035893119</v>
      </c>
      <c r="S7" s="98">
        <v>82984.069195880496</v>
      </c>
      <c r="T7" s="98">
        <v>1034744.5263498498</v>
      </c>
      <c r="U7" s="98">
        <v>14400</v>
      </c>
      <c r="V7" s="98">
        <v>783291.25515859458</v>
      </c>
      <c r="W7" s="98">
        <v>901127.32528332912</v>
      </c>
      <c r="X7" s="98">
        <v>878.45586875355229</v>
      </c>
      <c r="Y7" s="98">
        <v>4526444.2578007793</v>
      </c>
      <c r="Z7" s="98">
        <v>954977.96501922607</v>
      </c>
      <c r="AA7" s="98">
        <v>2101303.8465657956</v>
      </c>
      <c r="AB7" s="98">
        <v>163796.94774542924</v>
      </c>
      <c r="AC7" s="98">
        <v>41014933.584390819</v>
      </c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117177.49996050939</v>
      </c>
      <c r="C8" s="98">
        <v>230377.75918826333</v>
      </c>
      <c r="D8" s="98">
        <v>3088580.6906975764</v>
      </c>
      <c r="E8" s="98">
        <v>784251.76462656562</v>
      </c>
      <c r="F8" s="98">
        <v>81923.291098767033</v>
      </c>
      <c r="G8" s="98">
        <v>1522723.6559768345</v>
      </c>
      <c r="H8" s="98">
        <v>7186166.448623132</v>
      </c>
      <c r="I8" s="98">
        <v>2041999.0273120813</v>
      </c>
      <c r="J8" s="98">
        <v>3445654.0507503473</v>
      </c>
      <c r="K8" s="98">
        <v>1759.4160492342635</v>
      </c>
      <c r="L8" s="98">
        <v>2759146.6428546174</v>
      </c>
      <c r="M8" s="98">
        <v>1711158.8341175241</v>
      </c>
      <c r="N8" s="98">
        <v>243411.82603765032</v>
      </c>
      <c r="O8" s="98"/>
      <c r="P8" s="98">
        <v>4095754.4227852407</v>
      </c>
      <c r="Q8" s="98">
        <v>1919162.7967223886</v>
      </c>
      <c r="R8" s="98">
        <v>165969.71296028496</v>
      </c>
      <c r="S8" s="98">
        <v>79705.883661789994</v>
      </c>
      <c r="T8" s="98">
        <v>990366.50688011281</v>
      </c>
      <c r="U8" s="98">
        <v>18000</v>
      </c>
      <c r="V8" s="98">
        <v>712825.86568798381</v>
      </c>
      <c r="W8" s="98">
        <v>883908.47652149468</v>
      </c>
      <c r="X8" s="98">
        <v>907.18121164266609</v>
      </c>
      <c r="Y8" s="98">
        <v>4715545.854665624</v>
      </c>
      <c r="Z8" s="98">
        <v>922616.4144434646</v>
      </c>
      <c r="AA8" s="98">
        <v>2030965.6070747143</v>
      </c>
      <c r="AB8" s="98">
        <v>151799.26731689228</v>
      </c>
      <c r="AC8" s="98">
        <v>39901858.897224739</v>
      </c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418373.61811750499</v>
      </c>
      <c r="C9" s="98">
        <v>683827.56366411853</v>
      </c>
      <c r="D9" s="98">
        <v>9267389.7378362119</v>
      </c>
      <c r="E9" s="98">
        <v>2884913.6024563927</v>
      </c>
      <c r="F9" s="98">
        <v>311842.03423872165</v>
      </c>
      <c r="G9" s="98">
        <v>4595438.8932199776</v>
      </c>
      <c r="H9" s="98">
        <v>18881043.0045387</v>
      </c>
      <c r="I9" s="98">
        <v>6217079.2899987623</v>
      </c>
      <c r="J9" s="98">
        <v>9164024.9144231118</v>
      </c>
      <c r="K9" s="98">
        <v>81211.334173612384</v>
      </c>
      <c r="L9" s="98">
        <v>6986559.3736940771</v>
      </c>
      <c r="M9" s="98">
        <v>6046478.5028147623</v>
      </c>
      <c r="N9" s="98">
        <v>392524.60000000009</v>
      </c>
      <c r="O9" s="98">
        <v>8064.2063400965635</v>
      </c>
      <c r="P9" s="98">
        <v>13538028.530069461</v>
      </c>
      <c r="Q9" s="98">
        <v>5568189.3989739502</v>
      </c>
      <c r="R9" s="98">
        <v>553907.20075473934</v>
      </c>
      <c r="S9" s="98">
        <v>268636.26442962571</v>
      </c>
      <c r="T9" s="98">
        <v>3407762.4644088694</v>
      </c>
      <c r="U9" s="98">
        <v>32476.5</v>
      </c>
      <c r="V9" s="98">
        <v>2323810.3257687828</v>
      </c>
      <c r="W9" s="98">
        <v>5057601.2893048245</v>
      </c>
      <c r="X9" s="98">
        <v>2864.2870803962182</v>
      </c>
      <c r="Y9" s="98">
        <v>13610314.014145063</v>
      </c>
      <c r="Z9" s="98">
        <v>2789169.0219477573</v>
      </c>
      <c r="AA9" s="98">
        <v>6137371.6250412865</v>
      </c>
      <c r="AB9" s="98">
        <v>414422.24810827605</v>
      </c>
      <c r="AC9" s="98">
        <v>119643323.84554909</v>
      </c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8.5703125" bestFit="1" customWidth="1"/>
    <col min="9" max="9" width="10.140625" bestFit="1" customWidth="1"/>
    <col min="10" max="10" width="17.710937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71" t="s">
        <v>232</v>
      </c>
      <c r="C4" s="171" t="s">
        <v>159</v>
      </c>
      <c r="D4" s="171" t="s">
        <v>226</v>
      </c>
      <c r="E4" s="171" t="s">
        <v>229</v>
      </c>
      <c r="F4" s="171" t="s">
        <v>228</v>
      </c>
      <c r="G4" s="171" t="s">
        <v>224</v>
      </c>
      <c r="H4" s="171" t="s">
        <v>233</v>
      </c>
      <c r="I4" s="171" t="s">
        <v>227</v>
      </c>
      <c r="J4" s="171" t="s">
        <v>322</v>
      </c>
      <c r="K4" s="171" t="s">
        <v>61</v>
      </c>
    </row>
    <row r="5" spans="1:11" x14ac:dyDescent="0.25">
      <c r="A5" s="78" t="s">
        <v>295</v>
      </c>
      <c r="B5" s="240"/>
      <c r="C5" s="240"/>
      <c r="D5" s="240"/>
      <c r="E5" s="240"/>
      <c r="F5" s="240"/>
      <c r="G5" s="240"/>
      <c r="H5" s="240"/>
      <c r="I5" s="240"/>
      <c r="J5" s="240"/>
      <c r="K5" s="240"/>
    </row>
    <row r="6" spans="1:11" x14ac:dyDescent="0.25">
      <c r="A6" s="79">
        <v>2019</v>
      </c>
      <c r="B6" s="240">
        <v>17.543930524502301</v>
      </c>
      <c r="C6" s="240">
        <v>0</v>
      </c>
      <c r="D6" s="240">
        <v>0</v>
      </c>
      <c r="E6" s="240">
        <v>19.573590488557194</v>
      </c>
      <c r="F6" s="240">
        <v>0</v>
      </c>
      <c r="G6" s="240">
        <v>0</v>
      </c>
      <c r="H6" s="240">
        <v>3.951047127829578</v>
      </c>
      <c r="I6" s="240">
        <v>47.489094924341849</v>
      </c>
      <c r="J6" s="240">
        <v>0</v>
      </c>
      <c r="K6" s="240">
        <v>88.557663065230912</v>
      </c>
    </row>
    <row r="7" spans="1:11" x14ac:dyDescent="0.25">
      <c r="A7" s="79">
        <v>2030</v>
      </c>
      <c r="B7" s="240">
        <v>19.802671473587463</v>
      </c>
      <c r="C7" s="240">
        <v>0</v>
      </c>
      <c r="D7" s="240">
        <v>29.979193434395683</v>
      </c>
      <c r="E7" s="240">
        <v>34.963307596754014</v>
      </c>
      <c r="F7" s="240">
        <v>0.14596282488120896</v>
      </c>
      <c r="G7" s="240">
        <v>2.0687027810954168</v>
      </c>
      <c r="H7" s="240">
        <v>7.9766231601288453</v>
      </c>
      <c r="I7" s="240">
        <v>45.280222691386172</v>
      </c>
      <c r="J7" s="240">
        <v>0</v>
      </c>
      <c r="K7" s="240">
        <v>140.21668396222879</v>
      </c>
    </row>
    <row r="8" spans="1:11" x14ac:dyDescent="0.25">
      <c r="A8" s="79">
        <v>2050</v>
      </c>
      <c r="B8" s="240">
        <v>19.897035061438991</v>
      </c>
      <c r="C8" s="240">
        <v>0</v>
      </c>
      <c r="D8" s="240">
        <v>28.335669039324991</v>
      </c>
      <c r="E8" s="240">
        <v>32.884136275413141</v>
      </c>
      <c r="F8" s="240">
        <v>0.23461711386879117</v>
      </c>
      <c r="G8" s="240">
        <v>2.1371305709880617</v>
      </c>
      <c r="H8" s="240">
        <v>7.7078751185296177</v>
      </c>
      <c r="I8" s="240">
        <v>41.352452170508407</v>
      </c>
      <c r="J8" s="240">
        <v>0</v>
      </c>
      <c r="K8" s="240">
        <v>132.54891535007201</v>
      </c>
    </row>
    <row r="9" spans="1:11" x14ac:dyDescent="0.25">
      <c r="A9" s="78" t="s">
        <v>247</v>
      </c>
      <c r="B9" s="240"/>
      <c r="C9" s="240"/>
      <c r="D9" s="240"/>
      <c r="E9" s="240"/>
      <c r="F9" s="240"/>
      <c r="G9" s="240"/>
      <c r="H9" s="240"/>
      <c r="I9" s="240"/>
      <c r="J9" s="240"/>
      <c r="K9" s="240"/>
    </row>
    <row r="10" spans="1:11" x14ac:dyDescent="0.25">
      <c r="A10" s="79">
        <v>2019</v>
      </c>
      <c r="B10" s="240">
        <v>7.483154704207001</v>
      </c>
      <c r="C10" s="240">
        <v>2.1694819870080004</v>
      </c>
      <c r="D10" s="240">
        <v>1.4201719861750002</v>
      </c>
      <c r="E10" s="240">
        <v>0.45076703431999998</v>
      </c>
      <c r="F10" s="240">
        <v>0</v>
      </c>
      <c r="G10" s="240">
        <v>5.0922829580050024</v>
      </c>
      <c r="H10" s="240">
        <v>0</v>
      </c>
      <c r="I10" s="240">
        <v>0</v>
      </c>
      <c r="J10" s="240">
        <v>0</v>
      </c>
      <c r="K10" s="240">
        <v>16.615858669715003</v>
      </c>
    </row>
    <row r="11" spans="1:11" x14ac:dyDescent="0.25">
      <c r="A11" s="79">
        <v>2030</v>
      </c>
      <c r="B11" s="240">
        <v>5.2940684669341902</v>
      </c>
      <c r="C11" s="240">
        <v>2.1694819870080004</v>
      </c>
      <c r="D11" s="240">
        <v>1.4201719861750004</v>
      </c>
      <c r="E11" s="240">
        <v>0.45076703432000004</v>
      </c>
      <c r="F11" s="240">
        <v>0</v>
      </c>
      <c r="G11" s="240">
        <v>10.028349209867528</v>
      </c>
      <c r="H11" s="240">
        <v>0</v>
      </c>
      <c r="I11" s="240">
        <v>0</v>
      </c>
      <c r="J11" s="240">
        <v>0</v>
      </c>
      <c r="K11" s="240">
        <v>19.36283868430472</v>
      </c>
    </row>
    <row r="12" spans="1:11" x14ac:dyDescent="0.25">
      <c r="A12" s="79">
        <v>2050</v>
      </c>
      <c r="B12" s="240">
        <v>5.3606050360007158</v>
      </c>
      <c r="C12" s="240">
        <v>2.1694819870080004</v>
      </c>
      <c r="D12" s="240">
        <v>1.4201719861750002</v>
      </c>
      <c r="E12" s="240">
        <v>0.45076703432000009</v>
      </c>
      <c r="F12" s="240">
        <v>0</v>
      </c>
      <c r="G12" s="240">
        <v>9.9363705968314342</v>
      </c>
      <c r="H12" s="240">
        <v>0</v>
      </c>
      <c r="I12" s="240">
        <v>0</v>
      </c>
      <c r="J12" s="240">
        <v>0</v>
      </c>
      <c r="K12" s="240">
        <v>19.33739664033515</v>
      </c>
    </row>
    <row r="13" spans="1:11" x14ac:dyDescent="0.25">
      <c r="A13" s="78" t="s">
        <v>296</v>
      </c>
      <c r="B13" s="240">
        <v>57.243637059528758</v>
      </c>
      <c r="C13" s="240">
        <v>0</v>
      </c>
      <c r="D13" s="240">
        <v>58.314862473720673</v>
      </c>
      <c r="E13" s="240">
        <v>87.421034360724349</v>
      </c>
      <c r="F13" s="240">
        <v>0.38057993875000012</v>
      </c>
      <c r="G13" s="240">
        <v>4.205833352083479</v>
      </c>
      <c r="H13" s="240">
        <v>19.635545406488042</v>
      </c>
      <c r="I13" s="240">
        <v>134.12176978623643</v>
      </c>
      <c r="J13" s="240">
        <v>0</v>
      </c>
      <c r="K13" s="240">
        <v>361.32326237753171</v>
      </c>
    </row>
    <row r="14" spans="1:11" x14ac:dyDescent="0.25">
      <c r="A14" s="78" t="s">
        <v>248</v>
      </c>
      <c r="B14" s="240">
        <v>18.137828207141908</v>
      </c>
      <c r="C14" s="240">
        <v>6.5084459610240017</v>
      </c>
      <c r="D14" s="240">
        <v>4.2605159585250005</v>
      </c>
      <c r="E14" s="240">
        <v>1.3523011029600001</v>
      </c>
      <c r="F14" s="240">
        <v>0</v>
      </c>
      <c r="G14" s="240">
        <v>25.057002764703967</v>
      </c>
      <c r="H14" s="240">
        <v>0</v>
      </c>
      <c r="I14" s="240">
        <v>0</v>
      </c>
      <c r="J14" s="240">
        <v>0</v>
      </c>
      <c r="K14" s="240">
        <v>55.316093994354873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241</v>
      </c>
      <c r="B1" s="77" t="s">
        <v>62</v>
      </c>
    </row>
    <row r="2" spans="1:9" x14ac:dyDescent="0.25">
      <c r="A2" s="77" t="s">
        <v>60</v>
      </c>
      <c r="B2" s="171" t="s">
        <v>232</v>
      </c>
      <c r="C2" s="171" t="s">
        <v>159</v>
      </c>
      <c r="D2" s="171" t="s">
        <v>226</v>
      </c>
      <c r="E2" s="171" t="s">
        <v>229</v>
      </c>
      <c r="F2" s="171" t="s">
        <v>228</v>
      </c>
      <c r="G2" s="171" t="s">
        <v>224</v>
      </c>
      <c r="H2" s="171" t="s">
        <v>227</v>
      </c>
      <c r="I2" s="171" t="s">
        <v>61</v>
      </c>
    </row>
    <row r="3" spans="1:9" x14ac:dyDescent="0.25">
      <c r="A3" s="78">
        <v>2019</v>
      </c>
      <c r="B3" s="241">
        <v>1077304.94</v>
      </c>
      <c r="C3" s="241">
        <v>128467.8</v>
      </c>
      <c r="D3" s="241">
        <v>128726.35999999999</v>
      </c>
      <c r="E3" s="241">
        <v>1675417.9906552273</v>
      </c>
      <c r="F3" s="241">
        <v>0</v>
      </c>
      <c r="G3" s="241">
        <v>704016.11583333346</v>
      </c>
      <c r="H3" s="241">
        <v>1575873.4784311759</v>
      </c>
      <c r="I3" s="241">
        <v>5289806.6849197373</v>
      </c>
    </row>
    <row r="4" spans="1:9" x14ac:dyDescent="0.25">
      <c r="A4" s="78">
        <v>2030</v>
      </c>
      <c r="B4" s="241">
        <v>1139180.7875059044</v>
      </c>
      <c r="C4" s="241">
        <v>128467.8</v>
      </c>
      <c r="D4" s="241">
        <v>3537128.2942940318</v>
      </c>
      <c r="E4" s="241">
        <v>3047158.8251946424</v>
      </c>
      <c r="F4" s="241">
        <v>24394.90109435247</v>
      </c>
      <c r="G4" s="241">
        <v>1663095.0398237593</v>
      </c>
      <c r="H4" s="241">
        <v>1498974.2460576054</v>
      </c>
      <c r="I4" s="241">
        <v>11038399.893970296</v>
      </c>
    </row>
    <row r="5" spans="1:9" x14ac:dyDescent="0.25">
      <c r="A5" s="78">
        <v>2050</v>
      </c>
      <c r="B5" s="241">
        <v>1157844.6374687571</v>
      </c>
      <c r="C5" s="241">
        <v>128467.8</v>
      </c>
      <c r="D5" s="241">
        <v>3352429.5178153403</v>
      </c>
      <c r="E5" s="241">
        <v>2867722.9948248072</v>
      </c>
      <c r="F5" s="241">
        <v>39211.773905647548</v>
      </c>
      <c r="G5" s="241">
        <v>1661950.46181102</v>
      </c>
      <c r="H5" s="241">
        <v>1366366.1366558613</v>
      </c>
      <c r="I5" s="241">
        <v>10573993.322481433</v>
      </c>
    </row>
    <row r="6" spans="1:9" x14ac:dyDescent="0.25">
      <c r="A6" s="78" t="s">
        <v>61</v>
      </c>
      <c r="B6" s="241">
        <v>3374330.3649746617</v>
      </c>
      <c r="C6" s="241">
        <v>385403.4</v>
      </c>
      <c r="D6" s="241">
        <v>7018284.172109372</v>
      </c>
      <c r="E6" s="241">
        <v>7590299.8106746767</v>
      </c>
      <c r="F6" s="241">
        <v>63606.675000000017</v>
      </c>
      <c r="G6" s="241">
        <v>4029061.6174681131</v>
      </c>
      <c r="H6" s="241">
        <v>4441213.8611446423</v>
      </c>
      <c r="I6" s="241">
        <v>26902199.901371464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I6"/>
  <sheetViews>
    <sheetView workbookViewId="0">
      <selection activeCell="F4" sqref="F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1.28515625" bestFit="1" customWidth="1"/>
    <col min="10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9" x14ac:dyDescent="0.25">
      <c r="A1" s="77" t="s">
        <v>200</v>
      </c>
      <c r="B1" s="77" t="s">
        <v>62</v>
      </c>
    </row>
    <row r="2" spans="1:9" x14ac:dyDescent="0.25">
      <c r="A2" s="77" t="s">
        <v>60</v>
      </c>
      <c r="B2" s="171" t="s">
        <v>112</v>
      </c>
      <c r="C2" s="171" t="s">
        <v>202</v>
      </c>
      <c r="D2" s="171" t="s">
        <v>195</v>
      </c>
      <c r="E2" s="171" t="s">
        <v>196</v>
      </c>
      <c r="F2" s="171" t="s">
        <v>10</v>
      </c>
      <c r="G2" s="171" t="s">
        <v>267</v>
      </c>
      <c r="H2" s="171" t="s">
        <v>320</v>
      </c>
      <c r="I2" s="171" t="s">
        <v>61</v>
      </c>
    </row>
    <row r="3" spans="1:9" x14ac:dyDescent="0.25">
      <c r="A3" s="78">
        <v>2019</v>
      </c>
      <c r="B3" s="98">
        <v>14517462.442375844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29034924.884751678</v>
      </c>
    </row>
    <row r="4" spans="1:9" x14ac:dyDescent="0.25">
      <c r="A4" s="78">
        <v>2030</v>
      </c>
      <c r="B4" s="98">
        <v>12662850.806285977</v>
      </c>
      <c r="C4" s="98">
        <v>-24610.813181900667</v>
      </c>
      <c r="D4" s="98">
        <v>4405853.505497627</v>
      </c>
      <c r="E4" s="98">
        <v>9296833.4976137169</v>
      </c>
      <c r="F4" s="98">
        <v>-673285.95920501021</v>
      </c>
      <c r="G4" s="98">
        <v>-341939.42443845799</v>
      </c>
      <c r="H4" s="98">
        <v>0</v>
      </c>
      <c r="I4" s="98">
        <v>25325701.612571955</v>
      </c>
    </row>
    <row r="5" spans="1:9" x14ac:dyDescent="0.25">
      <c r="A5" s="78">
        <v>2050</v>
      </c>
      <c r="B5" s="98">
        <v>11673273.753400896</v>
      </c>
      <c r="C5" s="98">
        <v>-40179.115818099352</v>
      </c>
      <c r="D5" s="98">
        <v>4388184.7278760895</v>
      </c>
      <c r="E5" s="98">
        <v>9211339.4377100542</v>
      </c>
      <c r="F5" s="98">
        <v>-1552855.8846793412</v>
      </c>
      <c r="G5" s="98">
        <v>-333215.41168781015</v>
      </c>
      <c r="H5" s="98">
        <v>0</v>
      </c>
      <c r="I5" s="98">
        <v>23346547.506801788</v>
      </c>
    </row>
    <row r="6" spans="1:9" x14ac:dyDescent="0.25">
      <c r="A6" s="78" t="s">
        <v>61</v>
      </c>
      <c r="B6" s="98">
        <v>38853587.002062723</v>
      </c>
      <c r="C6" s="98">
        <v>-64948.366200000019</v>
      </c>
      <c r="D6" s="98">
        <v>14313300.134110432</v>
      </c>
      <c r="E6" s="98">
        <v>28233639.125057951</v>
      </c>
      <c r="F6" s="98">
        <v>-2788041.8438843517</v>
      </c>
      <c r="G6" s="98">
        <v>-840362.04702132777</v>
      </c>
      <c r="H6" s="98">
        <v>0</v>
      </c>
      <c r="I6" s="98">
        <v>77707174.004125416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55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201</v>
      </c>
      <c r="E1" t="s">
        <v>203</v>
      </c>
    </row>
    <row r="2" spans="1:9" x14ac:dyDescent="0.25">
      <c r="A2" t="s">
        <v>23</v>
      </c>
      <c r="B2">
        <f t="shared" ref="B2:B10" si="0">År1</f>
        <v>2019</v>
      </c>
      <c r="C2" s="98" t="e">
        <f>SUMIF('Resultater - Vestdanmark'!$F$3:$F$487,'CO2-udledning'!$D$2,'Resultater - Vestdanmark'!H$3:H$487)</f>
        <v>#REF!</v>
      </c>
      <c r="D2" s="98" t="s">
        <v>112</v>
      </c>
      <c r="E2" s="98" t="s">
        <v>112</v>
      </c>
    </row>
    <row r="3" spans="1:9" x14ac:dyDescent="0.25">
      <c r="A3" t="s">
        <v>23</v>
      </c>
      <c r="B3" s="171">
        <f t="shared" si="0"/>
        <v>2019</v>
      </c>
      <c r="C3" s="98" t="e">
        <f>SUMIFS('Resultater - Vestdanmark'!H$3:H$474,'Resultater - Vestdanmark'!$F$3:$F$474,'CO2-udledning'!$D$2,'Resultater - Vestdanmark'!$A$3:$A$474,'CO2-udledning'!$G3)+SUMIFS('Resultater - Vestdanmark'!H$3:H$474,'Resultater - Vestdanmark'!$F$3:$F$474,'CO2-udledning'!$D$2,'Resultater - Vestdanmark'!$A$3:$A$474,'CO2-udledning'!$H3)+SUMIFS('Resultater - Vestdanmark'!H$3:H$474,'Resultater - Vestdanmark'!$F$3:$F$474,'CO2-udledning'!$D$2,'Resultater - Vestdanmark'!$A$3:$A$474,'CO2-udledning'!$I3)</f>
        <v>#REF!</v>
      </c>
      <c r="D3" t="s">
        <v>70</v>
      </c>
      <c r="E3" t="s">
        <v>195</v>
      </c>
      <c r="G3" s="98" t="s">
        <v>168</v>
      </c>
      <c r="H3" s="98" t="s">
        <v>169</v>
      </c>
      <c r="I3" s="98" t="s">
        <v>170</v>
      </c>
    </row>
    <row r="4" spans="1:9" x14ac:dyDescent="0.25">
      <c r="A4" t="s">
        <v>23</v>
      </c>
      <c r="B4" s="171">
        <f t="shared" si="0"/>
        <v>2019</v>
      </c>
      <c r="C4" s="98" t="e">
        <f>SUMIFS('Resultater - Vestdanmark'!H$3:H$474,'Resultater - Vestdanmark'!$F$3:$F$474,'CO2-udledning'!$D$2,'Resultater - Vestdanmark'!$C$3:$C$474,'CO2-udledning'!$F4)+SUMIFS('Resultater - Vestdanmark'!H$3:H$474,'Resultater - Vestdanmark'!$F$3:$F$474,$D$2,'Resultater - Vestdanmark'!$A$3:$A$474,"Grøntsager I drivhus")</f>
        <v>#REF!</v>
      </c>
      <c r="D4" t="s">
        <v>70</v>
      </c>
      <c r="E4" t="s">
        <v>196</v>
      </c>
      <c r="F4" t="str">
        <f>Jordbund1</f>
        <v>JB1-10</v>
      </c>
    </row>
    <row r="5" spans="1:9" x14ac:dyDescent="0.25">
      <c r="A5" t="s">
        <v>23</v>
      </c>
      <c r="B5" s="171">
        <f t="shared" si="0"/>
        <v>2019</v>
      </c>
      <c r="C5" s="98" t="e">
        <f>SUMIFS('Resultater - Vestdanmark'!H$3:H$474,'Resultater - Vestdanmark'!$F$3:$F$474,'CO2-udledning'!$D$2,'Resultater - Vestdanmark'!$C$3:$C$474,'CO2-udledning'!$F5)</f>
        <v>#REF!</v>
      </c>
      <c r="D5" t="s">
        <v>70</v>
      </c>
      <c r="E5" t="s">
        <v>196</v>
      </c>
      <c r="F5" t="str">
        <f>Organ6</f>
        <v>OC6</v>
      </c>
    </row>
    <row r="6" spans="1:9" x14ac:dyDescent="0.25">
      <c r="A6" t="s">
        <v>23</v>
      </c>
      <c r="B6" s="171">
        <f t="shared" si="0"/>
        <v>2019</v>
      </c>
      <c r="C6" s="98" t="e">
        <f>SUMIFS('Resultater - Vestdanmark'!H$3:H$474,'Resultater - Vestdanmark'!$F$3:$F$474,'CO2-udledning'!$D$2,'Resultater - Vestdanmark'!$C$3:$C$474,'CO2-udledning'!$F6)</f>
        <v>#REF!</v>
      </c>
      <c r="D6" t="s">
        <v>70</v>
      </c>
      <c r="E6" t="s">
        <v>196</v>
      </c>
      <c r="F6" t="str">
        <f>Organ12</f>
        <v>OC12</v>
      </c>
    </row>
    <row r="7" spans="1:9" x14ac:dyDescent="0.25">
      <c r="A7" t="s">
        <v>23</v>
      </c>
      <c r="B7" s="171">
        <f t="shared" si="0"/>
        <v>2019</v>
      </c>
      <c r="C7" s="98" t="e">
        <f>SUMIFS('Resultater - Vestdanmark'!H$3:H$474,'Resultater - Vestdanmark'!$F$3:$F$474,'CO2-udledning'!$D$2,'Resultater - Vestdanmark'!$A$3:$A$474,'CO2-udledning'!$G7)+SUMIFS('Resultater - Vestdanmark'!H$3:H$474,'Resultater - Vestdanmark'!$F$3:$F$474,'CO2-udledning'!$D$2,'Resultater - Vestdanmark'!$A$3:$A$474,'CO2-udledning'!$H7)</f>
        <v>#REF!</v>
      </c>
      <c r="D7" t="s">
        <v>202</v>
      </c>
      <c r="E7" t="s">
        <v>202</v>
      </c>
      <c r="G7" t="s">
        <v>197</v>
      </c>
      <c r="H7" t="s">
        <v>198</v>
      </c>
    </row>
    <row r="8" spans="1:9" x14ac:dyDescent="0.25">
      <c r="A8" t="s">
        <v>23</v>
      </c>
      <c r="B8" s="171">
        <f t="shared" si="0"/>
        <v>2019</v>
      </c>
      <c r="C8" s="98" t="e">
        <f>SUMIFS('Resultater - Vestdanmark'!H$3:H$474,'Resultater - Vestdanmark'!$F$3:$F$474,'CO2-udledning'!$D$2,'Resultater - Vestdanmark'!$A$3:$A$474,'CO2-udledning'!$G8)</f>
        <v>#REF!</v>
      </c>
      <c r="D8" t="s">
        <v>10</v>
      </c>
      <c r="E8" t="s">
        <v>10</v>
      </c>
      <c r="G8" t="s">
        <v>199</v>
      </c>
    </row>
    <row r="9" spans="1:9" s="171" customFormat="1" x14ac:dyDescent="0.25">
      <c r="A9" s="171" t="s">
        <v>23</v>
      </c>
      <c r="B9" s="171">
        <f t="shared" si="0"/>
        <v>2019</v>
      </c>
      <c r="C9" s="98" t="e">
        <f>SUMIFS('Resultater - Vestdanmark'!H$3:H$474,'Resultater - Vestdanmark'!$F$3:$F$474,'CO2-udledning'!$D$2,'Resultater - Vestdanmark'!$A$3:$A$474,'CO2-udledning'!$G9)</f>
        <v>#REF!</v>
      </c>
      <c r="D9" s="171" t="s">
        <v>267</v>
      </c>
      <c r="E9" s="171" t="s">
        <v>267</v>
      </c>
      <c r="G9" s="171" t="s">
        <v>267</v>
      </c>
    </row>
    <row r="10" spans="1:9" s="171" customFormat="1" x14ac:dyDescent="0.25">
      <c r="A10" s="171" t="s">
        <v>23</v>
      </c>
      <c r="B10" s="171">
        <f t="shared" si="0"/>
        <v>2019</v>
      </c>
      <c r="C10" s="98" t="e">
        <f>SUMIFS('Resultater - Vestdanmark'!H$3:H$474,'Resultater - Vestdanmark'!$F$3:$F$474,'CO2-udledning'!$D$2,'Resultater - Vestdanmark'!$A$3:$A$474,'CO2-udledning'!$G10)</f>
        <v>#REF!</v>
      </c>
      <c r="D10" s="171" t="s">
        <v>320</v>
      </c>
      <c r="E10" s="171" t="s">
        <v>320</v>
      </c>
      <c r="G10" s="171" t="s">
        <v>320</v>
      </c>
    </row>
    <row r="11" spans="1:9" x14ac:dyDescent="0.25">
      <c r="A11" t="s">
        <v>23</v>
      </c>
      <c r="B11">
        <f t="shared" ref="B11:B19" si="1">År2</f>
        <v>2030</v>
      </c>
      <c r="C11" s="98" t="e">
        <f>SUMIF('Resultater - Vestdanmark'!$F$3:$F$487,'CO2-udledning'!$D$2,'Resultater - Vestdanmark'!I$3:I$487)</f>
        <v>#REF!</v>
      </c>
      <c r="D11" s="98" t="str">
        <f>IF(D2&lt;&gt;"",D2,"")</f>
        <v>CO2 - atmosfære</v>
      </c>
      <c r="E11" s="98" t="str">
        <f t="shared" ref="E11:I11" si="2">IF(E2&lt;&gt;"",E2,"")</f>
        <v>CO2 - atmosfære</v>
      </c>
      <c r="F11" s="98" t="str">
        <f t="shared" si="2"/>
        <v/>
      </c>
      <c r="G11" s="98" t="str">
        <f t="shared" si="2"/>
        <v/>
      </c>
      <c r="H11" s="98" t="str">
        <f t="shared" si="2"/>
        <v/>
      </c>
      <c r="I11" s="98" t="str">
        <f t="shared" si="2"/>
        <v/>
      </c>
    </row>
    <row r="12" spans="1:9" x14ac:dyDescent="0.25">
      <c r="A12" t="s">
        <v>23</v>
      </c>
      <c r="B12" s="171">
        <f t="shared" si="1"/>
        <v>2030</v>
      </c>
      <c r="C12" s="98" t="e">
        <f>SUMIFS('Resultater - Vestdanmark'!I$3:I$474,'Resultater - Vestdanmark'!$F$3:$F$474,'CO2-udledning'!$D$2,'Resultater - Vestdanmark'!$A$3:$A$474,'CO2-udledning'!$G3)+SUMIFS('Resultater - Vestdanmark'!I$3:I$474,'Resultater - Vestdanmark'!$F$3:$F$474,'CO2-udledning'!$D$2,'Resultater - Vestdanmark'!$A$3:$A$474,'CO2-udledning'!$H3)+SUMIFS('Resultater - Vestdanmark'!I$3:I$474,'Resultater - Vestdanmark'!$F$3:$F$474,'CO2-udledning'!$D$2,'Resultater - Vestdanmark'!$A$3:$A$474,'CO2-udledning'!$I3)</f>
        <v>#REF!</v>
      </c>
      <c r="D12" s="98" t="str">
        <f t="shared" ref="D12:I12" si="3">IF(D3&lt;&gt;"",D3,"")</f>
        <v>Landbrug</v>
      </c>
      <c r="E12" s="98" t="str">
        <f t="shared" si="3"/>
        <v>Husdyr</v>
      </c>
      <c r="F12" s="98" t="str">
        <f t="shared" si="3"/>
        <v/>
      </c>
      <c r="G12" s="98" t="str">
        <f t="shared" si="3"/>
        <v>Grisestald</v>
      </c>
      <c r="H12" s="98" t="str">
        <f t="shared" si="3"/>
        <v>Kostald</v>
      </c>
      <c r="I12" s="98" t="str">
        <f t="shared" si="3"/>
        <v>Fjerkræbrug</v>
      </c>
    </row>
    <row r="13" spans="1:9" x14ac:dyDescent="0.25">
      <c r="A13" t="s">
        <v>23</v>
      </c>
      <c r="B13" s="171">
        <f t="shared" si="1"/>
        <v>2030</v>
      </c>
      <c r="C13" s="98" t="e">
        <f>SUMIFS('Resultater - Vestdanmark'!I$3:I$474,'Resultater - Vestdanmark'!$F$3:$F$474,'CO2-udledning'!$D$2,'Resultater - Vestdanmark'!$C$3:$C$474,'CO2-udledning'!$F4)+SUMIFS('Resultater - Vestdanmark'!I$3:I$474,'Resultater - Vestdanmark'!$F$3:$F$474,$D$2,'Resultater - Vestdanmark'!$A$3:$A$474,"Grøntsager I drivhus")</f>
        <v>#REF!</v>
      </c>
      <c r="D13" s="98" t="str">
        <f t="shared" ref="D13:I13" si="4">IF(D4&lt;&gt;"",D4,"")</f>
        <v>Landbrug</v>
      </c>
      <c r="E13" s="98" t="str">
        <f t="shared" si="4"/>
        <v>Marker</v>
      </c>
      <c r="F13" s="98" t="str">
        <f t="shared" si="4"/>
        <v>JB1-10</v>
      </c>
      <c r="G13" s="98" t="str">
        <f t="shared" si="4"/>
        <v/>
      </c>
      <c r="H13" s="98" t="str">
        <f t="shared" si="4"/>
        <v/>
      </c>
      <c r="I13" s="98" t="str">
        <f t="shared" si="4"/>
        <v/>
      </c>
    </row>
    <row r="14" spans="1:9" x14ac:dyDescent="0.25">
      <c r="A14" t="s">
        <v>23</v>
      </c>
      <c r="B14" s="171">
        <f t="shared" si="1"/>
        <v>2030</v>
      </c>
      <c r="C14" s="98" t="e">
        <f>SUMIFS('Resultater - Vestdanmark'!I$3:I$474,'Resultater - Vestdanmark'!$F$3:$F$474,'CO2-udledning'!$D$2,'Resultater - Vestdanmark'!$C$3:$C$474,'CO2-udledning'!$F5)</f>
        <v>#REF!</v>
      </c>
      <c r="D14" s="98" t="str">
        <f t="shared" ref="D14:I14" si="5">IF(D5&lt;&gt;"",D5,"")</f>
        <v>Landbrug</v>
      </c>
      <c r="E14" s="98" t="str">
        <f t="shared" si="5"/>
        <v>Marker</v>
      </c>
      <c r="F14" s="98" t="str">
        <f t="shared" si="5"/>
        <v>OC6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71">
        <f t="shared" si="1"/>
        <v>2030</v>
      </c>
      <c r="C15" s="98" t="e">
        <f>SUMIFS('Resultater - Vestdanmark'!I$3:I$474,'Resultater - Vestdanmark'!$F$3:$F$474,'CO2-udledning'!$D$2,'Resultater - Vestdanmark'!$C$3:$C$474,'CO2-udledning'!$F6)</f>
        <v>#REF!</v>
      </c>
      <c r="D15" s="98" t="str">
        <f t="shared" ref="D15:I15" si="6">IF(D6&lt;&gt;"",D6,"")</f>
        <v>Landbrug</v>
      </c>
      <c r="E15" s="98" t="str">
        <f t="shared" si="6"/>
        <v>Marker</v>
      </c>
      <c r="F15" s="98" t="str">
        <f t="shared" si="6"/>
        <v>OC12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71">
        <f t="shared" si="1"/>
        <v>2030</v>
      </c>
      <c r="C16" s="98" t="e">
        <f>SUMIFS('Resultater - Vestdanmark'!I$3:I$474,'Resultater - Vestdanmark'!$F$3:$F$474,'CO2-udledning'!$D$2,'Resultater - Vestdanmark'!$A$3:$A$474,'CO2-udledning'!$G7)+SUMIFS('Resultater - Vestdanmark'!I$3:I$474,'Resultater - Vestdanmark'!$F$3:$F$474,'CO2-udledning'!$D$2,'Resultater - Vestdanmark'!$A$3:$A$474,'CO2-udledning'!$H7)</f>
        <v>#REF!</v>
      </c>
      <c r="D16" s="98" t="str">
        <f t="shared" ref="D16:I16" si="7">IF(D7&lt;&gt;"",D7,"")</f>
        <v>Hav</v>
      </c>
      <c r="E16" s="98" t="str">
        <f t="shared" si="7"/>
        <v>Hav</v>
      </c>
      <c r="F16" s="98" t="str">
        <f t="shared" si="7"/>
        <v/>
      </c>
      <c r="G16" s="98" t="str">
        <f t="shared" si="7"/>
        <v>Muslingefarm</v>
      </c>
      <c r="H16" s="98" t="str">
        <f t="shared" si="7"/>
        <v>Tangfarm</v>
      </c>
      <c r="I16" s="98" t="str">
        <f t="shared" si="7"/>
        <v/>
      </c>
    </row>
    <row r="17" spans="1:9" x14ac:dyDescent="0.25">
      <c r="A17" t="s">
        <v>23</v>
      </c>
      <c r="B17" s="171">
        <f t="shared" si="1"/>
        <v>2030</v>
      </c>
      <c r="C17" s="98" t="e">
        <f>SUMIFS('Resultater - Vestdanmark'!I$3:I$474,'Resultater - Vestdanmark'!$F$3:$F$474,'CO2-udledning'!$D$2,'Resultater - Vestdanmark'!$A$3:$A$474,'CO2-udledning'!$G8)</f>
        <v>#REF!</v>
      </c>
      <c r="D17" s="98" t="str">
        <f t="shared" ref="D17:I17" si="8">IF(D8&lt;&gt;"",D8,"")</f>
        <v>Skov</v>
      </c>
      <c r="E17" s="98" t="str">
        <f t="shared" si="8"/>
        <v>Skov</v>
      </c>
      <c r="F17" s="98" t="str">
        <f t="shared" si="8"/>
        <v/>
      </c>
      <c r="G17" s="98" t="str">
        <f t="shared" si="8"/>
        <v>Skovproduktion</v>
      </c>
      <c r="H17" s="98" t="str">
        <f t="shared" si="8"/>
        <v/>
      </c>
      <c r="I17" s="98" t="str">
        <f t="shared" si="8"/>
        <v/>
      </c>
    </row>
    <row r="18" spans="1:9" s="171" customFormat="1" x14ac:dyDescent="0.25">
      <c r="A18" s="171" t="s">
        <v>23</v>
      </c>
      <c r="B18" s="171">
        <f t="shared" si="1"/>
        <v>2030</v>
      </c>
      <c r="C18" s="98" t="e">
        <f>SUMIFS('Resultater - Vestdanmark'!I$3:I$474,'Resultater - Vestdanmark'!$F$3:$F$474,'CO2-udledning'!$D$2,'Resultater - Vestdanmark'!$A$3:$A$474,'CO2-udledning'!$G9)</f>
        <v>#REF!</v>
      </c>
      <c r="D18" s="98" t="str">
        <f t="shared" ref="D18:I18" si="9">IF(D9&lt;&gt;"",D9,"")</f>
        <v>Biogasanlæg</v>
      </c>
      <c r="E18" s="98" t="str">
        <f t="shared" si="9"/>
        <v>Biogasanlæg</v>
      </c>
      <c r="F18" s="98" t="str">
        <f t="shared" si="9"/>
        <v/>
      </c>
      <c r="G18" s="98" t="str">
        <f t="shared" si="9"/>
        <v>Biogasanlæg</v>
      </c>
      <c r="H18" s="98" t="str">
        <f t="shared" si="9"/>
        <v/>
      </c>
      <c r="I18" s="98" t="str">
        <f t="shared" si="9"/>
        <v/>
      </c>
    </row>
    <row r="19" spans="1:9" s="171" customFormat="1" x14ac:dyDescent="0.25">
      <c r="A19" s="171" t="s">
        <v>23</v>
      </c>
      <c r="B19" s="171">
        <f t="shared" si="1"/>
        <v>2030</v>
      </c>
      <c r="C19" s="98" t="e">
        <f>SUMIFS('Resultater - Vestdanmark'!I$3:I$474,'Resultater - Vestdanmark'!$F$3:$F$474,'CO2-udledning'!$D$2,'Resultater - Vestdanmark'!$A$3:$A$474,'CO2-udledning'!$G10)</f>
        <v>#REF!</v>
      </c>
      <c r="D19" s="98" t="str">
        <f t="shared" ref="D19:I19" si="10">IF(D10&lt;&gt;"",D10,"")</f>
        <v>Pyrolyseproces</v>
      </c>
      <c r="E19" s="98" t="str">
        <f t="shared" si="10"/>
        <v>Pyrolyseproces</v>
      </c>
      <c r="F19" s="98" t="str">
        <f t="shared" si="10"/>
        <v/>
      </c>
      <c r="G19" s="98" t="str">
        <f t="shared" si="10"/>
        <v>Pyrolyseproces</v>
      </c>
      <c r="H19" s="98" t="str">
        <f t="shared" si="10"/>
        <v/>
      </c>
      <c r="I19" s="98" t="str">
        <f t="shared" si="10"/>
        <v/>
      </c>
    </row>
    <row r="20" spans="1:9" x14ac:dyDescent="0.25">
      <c r="A20" t="s">
        <v>23</v>
      </c>
      <c r="B20">
        <f t="shared" ref="B20:B28" si="11">År3</f>
        <v>2050</v>
      </c>
      <c r="C20" s="98" t="e">
        <f>SUMIF('Resultater - Vestdanmark'!$F$3:$F$487,'CO2-udledning'!$D$2,'Resultater - Vestdanmark'!J$3:J$487)</f>
        <v>#REF!</v>
      </c>
      <c r="D20" s="98" t="str">
        <f t="shared" ref="D20:I20" si="12">IF(D11&lt;&gt;"",D11,"")</f>
        <v>CO2 - atmosfære</v>
      </c>
      <c r="E20" s="98" t="str">
        <f t="shared" si="12"/>
        <v>CO2 - atmosfære</v>
      </c>
      <c r="F20" s="98" t="str">
        <f t="shared" si="12"/>
        <v/>
      </c>
      <c r="G20" s="98" t="str">
        <f t="shared" si="12"/>
        <v/>
      </c>
      <c r="H20" s="98" t="str">
        <f t="shared" si="12"/>
        <v/>
      </c>
      <c r="I20" s="98" t="str">
        <f t="shared" si="12"/>
        <v/>
      </c>
    </row>
    <row r="21" spans="1:9" x14ac:dyDescent="0.25">
      <c r="A21" t="s">
        <v>23</v>
      </c>
      <c r="B21">
        <f t="shared" si="11"/>
        <v>2050</v>
      </c>
      <c r="C21" s="98" t="e">
        <f>SUMIFS('Resultater - Vestdanmark'!J$3:J$474,'Resultater - Vestdanmark'!$F$3:$F$474,'CO2-udledning'!$D$2,'Resultater - Vestdanmark'!$A$3:$A$474,'CO2-udledning'!$G3)+SUMIFS('Resultater - Vestdanmark'!J$3:J$474,'Resultater - Vestdanmark'!$F$3:$F$474,'CO2-udledning'!$D$2,'Resultater - Vestdanmark'!$A$3:$A$474,'CO2-udledning'!$H3)+SUMIFS('Resultater - Vestdanmark'!J$3:J$474,'Resultater - Vestdanmark'!$F$3:$F$474,'CO2-udledning'!$D$2,'Resultater - Vestdanmark'!$A$3:$A$474,'CO2-udledning'!$I3)</f>
        <v>#REF!</v>
      </c>
      <c r="D21" s="98" t="str">
        <f t="shared" ref="D21:I21" si="13">IF(D12&lt;&gt;"",D12,"")</f>
        <v>Landbrug</v>
      </c>
      <c r="E21" s="98" t="str">
        <f t="shared" si="13"/>
        <v>Husdyr</v>
      </c>
      <c r="F21" s="98" t="str">
        <f t="shared" si="13"/>
        <v/>
      </c>
      <c r="G21" s="98" t="str">
        <f t="shared" si="13"/>
        <v>Grisestald</v>
      </c>
      <c r="H21" s="98" t="str">
        <f t="shared" si="13"/>
        <v>Kostald</v>
      </c>
      <c r="I21" s="98" t="str">
        <f t="shared" si="13"/>
        <v>Fjerkræbrug</v>
      </c>
    </row>
    <row r="22" spans="1:9" x14ac:dyDescent="0.25">
      <c r="A22" t="s">
        <v>23</v>
      </c>
      <c r="B22">
        <f t="shared" si="11"/>
        <v>2050</v>
      </c>
      <c r="C22" s="98" t="e">
        <f>SUMIFS('Resultater - Vestdanmark'!J$3:J$474,'Resultater - Vestdanmark'!$F$3:$F$474,'CO2-udledning'!$D$2,'Resultater - Vestdanmark'!$C$3:$C$474,'CO2-udledning'!$F4)+SUMIFS('Resultater - Vestdanmark'!J$3:J$474,'Resultater - Vestdanmark'!$F$3:$F$474,$D$2,'Resultater - Vestdanmark'!$A$3:$A$474,"Grøntsager I drivhus")</f>
        <v>#REF!</v>
      </c>
      <c r="D22" s="98" t="str">
        <f t="shared" ref="D22:I22" si="14">IF(D13&lt;&gt;"",D13,"")</f>
        <v>Landbrug</v>
      </c>
      <c r="E22" s="98" t="str">
        <f t="shared" si="14"/>
        <v>Marker</v>
      </c>
      <c r="F22" s="98" t="str">
        <f t="shared" si="14"/>
        <v>JB1-10</v>
      </c>
      <c r="G22" s="98" t="str">
        <f t="shared" si="14"/>
        <v/>
      </c>
      <c r="H22" s="98" t="str">
        <f t="shared" si="14"/>
        <v/>
      </c>
      <c r="I22" s="98" t="str">
        <f t="shared" si="14"/>
        <v/>
      </c>
    </row>
    <row r="23" spans="1:9" x14ac:dyDescent="0.25">
      <c r="A23" t="s">
        <v>23</v>
      </c>
      <c r="B23">
        <f t="shared" si="11"/>
        <v>2050</v>
      </c>
      <c r="C23" s="98" t="e">
        <f>SUMIFS('Resultater - Vestdanmark'!J$3:J$474,'Resultater - Vestdanmark'!$F$3:$F$474,'CO2-udledning'!$D$2,'Resultater - Vestdanmark'!$C$3:$C$474,'CO2-udledning'!$F5)</f>
        <v>#REF!</v>
      </c>
      <c r="D23" s="98" t="str">
        <f t="shared" ref="D23:I23" si="15">IF(D14&lt;&gt;"",D14,"")</f>
        <v>Landbrug</v>
      </c>
      <c r="E23" s="98" t="str">
        <f t="shared" si="15"/>
        <v>Marker</v>
      </c>
      <c r="F23" s="98" t="str">
        <f t="shared" si="15"/>
        <v>OC6</v>
      </c>
      <c r="G23" s="98" t="str">
        <f t="shared" si="15"/>
        <v/>
      </c>
      <c r="H23" s="98" t="str">
        <f t="shared" si="15"/>
        <v/>
      </c>
      <c r="I23" s="98" t="str">
        <f t="shared" si="15"/>
        <v/>
      </c>
    </row>
    <row r="24" spans="1:9" x14ac:dyDescent="0.25">
      <c r="A24" t="s">
        <v>23</v>
      </c>
      <c r="B24">
        <f t="shared" si="11"/>
        <v>2050</v>
      </c>
      <c r="C24" s="98" t="e">
        <f>SUMIFS('Resultater - Vestdanmark'!J$3:J$474,'Resultater - Vestdanmark'!$F$3:$F$474,'CO2-udledning'!$D$2,'Resultater - Vestdanmark'!$C$3:$C$474,'CO2-udledning'!$F6)</f>
        <v>#REF!</v>
      </c>
      <c r="D24" s="98" t="str">
        <f t="shared" ref="D24:I24" si="16">IF(D15&lt;&gt;"",D15,"")</f>
        <v>Landbrug</v>
      </c>
      <c r="E24" s="98" t="str">
        <f t="shared" si="16"/>
        <v>Marker</v>
      </c>
      <c r="F24" s="98" t="str">
        <f t="shared" si="16"/>
        <v>OC12</v>
      </c>
      <c r="G24" s="98" t="str">
        <f t="shared" si="16"/>
        <v/>
      </c>
      <c r="H24" s="98" t="str">
        <f t="shared" si="16"/>
        <v/>
      </c>
      <c r="I24" s="98" t="str">
        <f t="shared" si="16"/>
        <v/>
      </c>
    </row>
    <row r="25" spans="1:9" x14ac:dyDescent="0.25">
      <c r="A25" t="s">
        <v>23</v>
      </c>
      <c r="B25">
        <f t="shared" si="11"/>
        <v>2050</v>
      </c>
      <c r="C25" s="98" t="e">
        <f>SUMIFS('Resultater - Vestdanmark'!J$3:J$474,'Resultater - Vestdanmark'!$F$3:$F$474,'CO2-udledning'!$D$2,'Resultater - Vestdanmark'!$A$3:$A$474,'CO2-udledning'!$G7)+SUMIFS('Resultater - Vestdanmark'!J$3:J$474,'Resultater - Vestdanmark'!$F$3:$F$474,'CO2-udledning'!$D$2,'Resultater - Vestdanmark'!$A$3:$A$474,'CO2-udledning'!$H7)</f>
        <v>#REF!</v>
      </c>
      <c r="D25" s="98" t="str">
        <f t="shared" ref="D25:I25" si="17">IF(D16&lt;&gt;"",D16,"")</f>
        <v>Hav</v>
      </c>
      <c r="E25" s="98" t="str">
        <f t="shared" si="17"/>
        <v>Hav</v>
      </c>
      <c r="F25" s="98" t="str">
        <f t="shared" si="17"/>
        <v/>
      </c>
      <c r="G25" s="98" t="str">
        <f t="shared" si="17"/>
        <v>Muslingefarm</v>
      </c>
      <c r="H25" s="98" t="str">
        <f t="shared" si="17"/>
        <v>Tangfarm</v>
      </c>
      <c r="I25" s="98" t="str">
        <f t="shared" si="17"/>
        <v/>
      </c>
    </row>
    <row r="26" spans="1:9" x14ac:dyDescent="0.25">
      <c r="A26" t="s">
        <v>23</v>
      </c>
      <c r="B26">
        <f t="shared" si="11"/>
        <v>2050</v>
      </c>
      <c r="C26" s="98" t="e">
        <f>SUMIFS('Resultater - Vestdanmark'!J$3:J$474,'Resultater - Vestdanmark'!$F$3:$F$474,'CO2-udledning'!$D$2,'Resultater - Vestdanmark'!$A$3:$A$474,'CO2-udledning'!$G8)</f>
        <v>#REF!</v>
      </c>
      <c r="D26" s="98" t="str">
        <f t="shared" ref="D26:I26" si="18">IF(D17&lt;&gt;"",D17,"")</f>
        <v>Skov</v>
      </c>
      <c r="E26" s="98" t="str">
        <f t="shared" si="18"/>
        <v>Skov</v>
      </c>
      <c r="F26" s="98" t="str">
        <f t="shared" si="18"/>
        <v/>
      </c>
      <c r="G26" s="98" t="str">
        <f t="shared" si="18"/>
        <v>Skovproduktion</v>
      </c>
      <c r="H26" s="98" t="str">
        <f t="shared" si="18"/>
        <v/>
      </c>
      <c r="I26" s="98" t="str">
        <f t="shared" si="18"/>
        <v/>
      </c>
    </row>
    <row r="27" spans="1:9" s="171" customFormat="1" x14ac:dyDescent="0.25">
      <c r="A27" s="171" t="s">
        <v>23</v>
      </c>
      <c r="B27" s="171">
        <f t="shared" si="11"/>
        <v>2050</v>
      </c>
      <c r="C27" s="98" t="e">
        <f>SUMIFS('Resultater - Vestdanmark'!J$3:J$474,'Resultater - Vestdanmark'!$F$3:$F$474,'CO2-udledning'!$D$2,'Resultater - Vestdanmark'!$A$3:$A$474,'CO2-udledning'!$G9)</f>
        <v>#REF!</v>
      </c>
      <c r="D27" s="98" t="str">
        <f t="shared" ref="D27:I27" si="19">IF(D18&lt;&gt;"",D18,"")</f>
        <v>Biogasanlæg</v>
      </c>
      <c r="E27" s="98" t="str">
        <f t="shared" si="19"/>
        <v>Biogasanlæg</v>
      </c>
      <c r="F27" s="98" t="str">
        <f t="shared" si="19"/>
        <v/>
      </c>
      <c r="G27" s="98" t="str">
        <f t="shared" si="19"/>
        <v>Biogasanlæg</v>
      </c>
      <c r="H27" s="98" t="str">
        <f t="shared" si="19"/>
        <v/>
      </c>
      <c r="I27" s="98" t="str">
        <f t="shared" si="19"/>
        <v/>
      </c>
    </row>
    <row r="28" spans="1:9" s="171" customFormat="1" x14ac:dyDescent="0.25">
      <c r="A28" s="171" t="s">
        <v>23</v>
      </c>
      <c r="B28" s="171">
        <f t="shared" si="11"/>
        <v>2050</v>
      </c>
      <c r="C28" s="98" t="e">
        <f>SUMIFS('Resultater - Vestdanmark'!J$3:J$474,'Resultater - Vestdanmark'!$F$3:$F$474,'CO2-udledning'!$D$2,'Resultater - Vestdanmark'!$A$3:$A$474,'CO2-udledning'!$G10)</f>
        <v>#REF!</v>
      </c>
      <c r="D28" s="98" t="str">
        <f t="shared" ref="D28:I28" si="20">IF(D19&lt;&gt;"",D19,"")</f>
        <v>Pyrolyseproces</v>
      </c>
      <c r="E28" s="98" t="str">
        <f t="shared" si="20"/>
        <v>Pyrolyseproces</v>
      </c>
      <c r="F28" s="98" t="str">
        <f t="shared" si="20"/>
        <v/>
      </c>
      <c r="G28" s="98" t="str">
        <f t="shared" si="20"/>
        <v>Pyrolyseproces</v>
      </c>
      <c r="H28" s="98" t="str">
        <f t="shared" si="20"/>
        <v/>
      </c>
      <c r="I28" s="98" t="str">
        <f t="shared" si="20"/>
        <v/>
      </c>
    </row>
    <row r="29" spans="1:9" x14ac:dyDescent="0.25">
      <c r="A29" t="s">
        <v>24</v>
      </c>
      <c r="B29" s="171">
        <f t="shared" ref="B29:B37" si="21">År1</f>
        <v>2019</v>
      </c>
      <c r="C29" s="98" t="e">
        <f>SUMIF('Resultater - Østdanmark'!$F$3:$F$487,'CO2-udledning'!$D$2,'Resultater - Østdanmark'!H$3:H$487)</f>
        <v>#REF!</v>
      </c>
      <c r="D29" s="98" t="str">
        <f t="shared" ref="D29:I29" si="22">IF(D20&lt;&gt;"",D20,"")</f>
        <v>CO2 - atmosfære</v>
      </c>
      <c r="E29" s="98" t="str">
        <f t="shared" si="22"/>
        <v>CO2 - atmosfære</v>
      </c>
      <c r="F29" s="98" t="str">
        <f t="shared" si="22"/>
        <v/>
      </c>
      <c r="G29" s="98" t="str">
        <f t="shared" si="22"/>
        <v/>
      </c>
      <c r="H29" s="98" t="str">
        <f t="shared" si="22"/>
        <v/>
      </c>
      <c r="I29" s="98" t="str">
        <f t="shared" si="22"/>
        <v/>
      </c>
    </row>
    <row r="30" spans="1:9" x14ac:dyDescent="0.25">
      <c r="A30" t="s">
        <v>24</v>
      </c>
      <c r="B30" s="171">
        <f t="shared" si="21"/>
        <v>2019</v>
      </c>
      <c r="C30" s="98" t="e">
        <f>SUMIFS('Resultater - Østdanmark'!H$3:H$474,'Resultater - Østdanmark'!$F$3:$F$474,'CO2-udledning'!$D$2,'Resultater - Østdanmark'!$A$3:$A$474,'CO2-udledning'!$G30)+SUMIFS('Resultater - Østdanmark'!H$3:H$474,'Resultater - Østdanmark'!$F$3:$F$474,'CO2-udledning'!$D$2,'Resultater - Østdanmark'!$A$3:$A$474,'CO2-udledning'!$H30)+SUMIFS('Resultater - Østdanmark'!H$3:H$474,'Resultater - Østdanmark'!$F$3:$F$474,'CO2-udledning'!$D$2,'Resultater - Østdanmark'!$A$3:$A$474,'CO2-udledning'!$I30)</f>
        <v>#REF!</v>
      </c>
      <c r="D30" s="98" t="str">
        <f t="shared" ref="D30:I30" si="23">IF(D21&lt;&gt;"",D21,"")</f>
        <v>Landbrug</v>
      </c>
      <c r="E30" s="98" t="str">
        <f t="shared" si="23"/>
        <v>Husdyr</v>
      </c>
      <c r="F30" s="98" t="str">
        <f t="shared" si="23"/>
        <v/>
      </c>
      <c r="G30" s="98" t="str">
        <f t="shared" si="23"/>
        <v>Grisestald</v>
      </c>
      <c r="H30" s="98" t="str">
        <f t="shared" si="23"/>
        <v>Kostald</v>
      </c>
      <c r="I30" s="98" t="str">
        <f t="shared" si="23"/>
        <v>Fjerkræbrug</v>
      </c>
    </row>
    <row r="31" spans="1:9" x14ac:dyDescent="0.25">
      <c r="A31" t="s">
        <v>24</v>
      </c>
      <c r="B31" s="171">
        <f t="shared" si="21"/>
        <v>2019</v>
      </c>
      <c r="C31" s="76" t="e">
        <f>SUMIFS('Resultater - Østdanmark'!H$3:H$474,'Resultater - Østdanmark'!$F$3:$F$474,'CO2-udledning'!$D$2,'Resultater - Østdanmark'!$C$3:$C$474,'CO2-udledning'!$F4)+SUMIFS('Resultater - Østdanmark'!H$3:H$474,'Resultater - Østdanmark'!$F$3:$F$474,$D$2,'Resultater - Østdanmark'!$A$3:$A$474,"Grøntsager I drivhus")</f>
        <v>#REF!</v>
      </c>
      <c r="D31" s="98" t="str">
        <f t="shared" ref="D31:I31" si="24">IF(D22&lt;&gt;"",D22,"")</f>
        <v>Landbrug</v>
      </c>
      <c r="E31" s="98" t="str">
        <f t="shared" si="24"/>
        <v>Marker</v>
      </c>
      <c r="F31" s="98" t="str">
        <f t="shared" si="24"/>
        <v>JB1-10</v>
      </c>
      <c r="G31" s="98" t="str">
        <f t="shared" si="24"/>
        <v/>
      </c>
      <c r="H31" s="98" t="str">
        <f t="shared" si="24"/>
        <v/>
      </c>
      <c r="I31" s="98" t="str">
        <f t="shared" si="24"/>
        <v/>
      </c>
    </row>
    <row r="32" spans="1:9" x14ac:dyDescent="0.25">
      <c r="A32" t="s">
        <v>24</v>
      </c>
      <c r="B32" s="171">
        <f t="shared" si="21"/>
        <v>2019</v>
      </c>
      <c r="C32" s="76" t="e">
        <f>SUMIFS('Resultater - Østdanmark'!H$3:H$474,'Resultater - Østdanmark'!$F$3:$F$474,'CO2-udledning'!$D$2,'Resultater - Østdanmark'!$C$3:$C$474,'CO2-udledning'!$F5)</f>
        <v>#REF!</v>
      </c>
      <c r="D32" s="98" t="str">
        <f t="shared" ref="D32:I32" si="25">IF(D23&lt;&gt;"",D23,"")</f>
        <v>Landbrug</v>
      </c>
      <c r="E32" s="98" t="str">
        <f t="shared" si="25"/>
        <v>Marker</v>
      </c>
      <c r="F32" s="98" t="str">
        <f t="shared" si="25"/>
        <v>OC6</v>
      </c>
      <c r="G32" s="98" t="str">
        <f t="shared" si="25"/>
        <v/>
      </c>
      <c r="H32" s="98" t="str">
        <f t="shared" si="25"/>
        <v/>
      </c>
      <c r="I32" s="98" t="str">
        <f t="shared" si="25"/>
        <v/>
      </c>
    </row>
    <row r="33" spans="1:9" x14ac:dyDescent="0.25">
      <c r="A33" t="s">
        <v>24</v>
      </c>
      <c r="B33" s="171">
        <f t="shared" si="21"/>
        <v>2019</v>
      </c>
      <c r="C33" s="76" t="e">
        <f>SUMIFS('Resultater - Østdanmark'!H$3:H$474,'Resultater - Østdanmark'!$F$3:$F$474,'CO2-udledning'!$D$2,'Resultater - Østdanmark'!$C$3:$C$474,'CO2-udledning'!$F6)</f>
        <v>#REF!</v>
      </c>
      <c r="D33" s="98" t="str">
        <f t="shared" ref="D33:I33" si="26">IF(D24&lt;&gt;"",D24,"")</f>
        <v>Landbrug</v>
      </c>
      <c r="E33" s="98" t="str">
        <f t="shared" si="26"/>
        <v>Marker</v>
      </c>
      <c r="F33" s="98" t="str">
        <f t="shared" si="26"/>
        <v>OC12</v>
      </c>
      <c r="G33" s="98" t="str">
        <f t="shared" si="26"/>
        <v/>
      </c>
      <c r="H33" s="98" t="str">
        <f t="shared" si="26"/>
        <v/>
      </c>
      <c r="I33" s="98" t="str">
        <f t="shared" si="26"/>
        <v/>
      </c>
    </row>
    <row r="34" spans="1:9" x14ac:dyDescent="0.25">
      <c r="A34" t="s">
        <v>24</v>
      </c>
      <c r="B34" s="171">
        <f t="shared" si="21"/>
        <v>2019</v>
      </c>
      <c r="C34" s="98" t="e">
        <f>SUMIFS('Resultater - Østdanmark'!H$3:H$474,'Resultater - Østdanmark'!$F$3:$F$474,'CO2-udledning'!$D$2,'Resultater - Østdanmark'!$A$3:$A$474,'CO2-udledning'!$G34)+SUMIFS('Resultater - Østdanmark'!H$3:H$474,'Resultater - Østdanmark'!$F$3:$F$474,'CO2-udledning'!$D$2,'Resultater - Østdanmark'!$A$3:$A$474,'CO2-udledning'!$H34)</f>
        <v>#REF!</v>
      </c>
      <c r="D34" s="98" t="str">
        <f t="shared" ref="D34:I34" si="27">IF(D25&lt;&gt;"",D25,"")</f>
        <v>Hav</v>
      </c>
      <c r="E34" s="98" t="str">
        <f t="shared" si="27"/>
        <v>Hav</v>
      </c>
      <c r="F34" s="98" t="str">
        <f t="shared" si="27"/>
        <v/>
      </c>
      <c r="G34" s="98" t="str">
        <f t="shared" si="27"/>
        <v>Muslingefarm</v>
      </c>
      <c r="H34" s="98" t="str">
        <f t="shared" si="27"/>
        <v>Tangfarm</v>
      </c>
      <c r="I34" s="98" t="str">
        <f t="shared" si="27"/>
        <v/>
      </c>
    </row>
    <row r="35" spans="1:9" x14ac:dyDescent="0.25">
      <c r="A35" t="s">
        <v>24</v>
      </c>
      <c r="B35" s="171">
        <f t="shared" si="21"/>
        <v>2019</v>
      </c>
      <c r="C35" s="98" t="e">
        <f>SUMIFS('Resultater - Østdanmark'!H$3:H$474,'Resultater - Østdanmark'!$F$3:$F$474,'CO2-udledning'!$D$2,'Resultater - Østdanmark'!$A$3:$A$474,'CO2-udledning'!$G35)</f>
        <v>#REF!</v>
      </c>
      <c r="D35" s="98" t="str">
        <f t="shared" ref="D35:I35" si="28">IF(D26&lt;&gt;"",D26,"")</f>
        <v>Skov</v>
      </c>
      <c r="E35" s="98" t="str">
        <f t="shared" si="28"/>
        <v>Skov</v>
      </c>
      <c r="F35" s="98" t="str">
        <f t="shared" si="28"/>
        <v/>
      </c>
      <c r="G35" s="98" t="str">
        <f t="shared" si="28"/>
        <v>Skovproduktion</v>
      </c>
      <c r="H35" s="98" t="str">
        <f t="shared" si="28"/>
        <v/>
      </c>
      <c r="I35" s="98" t="str">
        <f t="shared" si="28"/>
        <v/>
      </c>
    </row>
    <row r="36" spans="1:9" s="171" customFormat="1" x14ac:dyDescent="0.25">
      <c r="A36" s="171" t="s">
        <v>24</v>
      </c>
      <c r="B36" s="171">
        <f t="shared" si="21"/>
        <v>2019</v>
      </c>
      <c r="C36" s="98" t="e">
        <f>SUMIFS('Resultater - Østdanmark'!H$3:H$474,'Resultater - Østdanmark'!$F$3:$F$474,'CO2-udledning'!$D$2,'Resultater - Østdanmark'!$A$3:$A$474,'CO2-udledning'!$G36)</f>
        <v>#REF!</v>
      </c>
      <c r="D36" s="98" t="str">
        <f t="shared" ref="D36:I36" si="29">IF(D27&lt;&gt;"",D27,"")</f>
        <v>Biogasanlæg</v>
      </c>
      <c r="E36" s="98" t="str">
        <f t="shared" si="29"/>
        <v>Biogasanlæg</v>
      </c>
      <c r="F36" s="98" t="str">
        <f t="shared" si="29"/>
        <v/>
      </c>
      <c r="G36" s="98" t="str">
        <f t="shared" si="29"/>
        <v>Biogasanlæg</v>
      </c>
      <c r="H36" s="98" t="str">
        <f t="shared" si="29"/>
        <v/>
      </c>
      <c r="I36" s="98" t="str">
        <f t="shared" si="29"/>
        <v/>
      </c>
    </row>
    <row r="37" spans="1:9" s="171" customFormat="1" x14ac:dyDescent="0.25">
      <c r="A37" s="171" t="s">
        <v>24</v>
      </c>
      <c r="B37" s="171">
        <f t="shared" si="21"/>
        <v>2019</v>
      </c>
      <c r="C37" s="98" t="e">
        <f>SUMIFS('Resultater - Østdanmark'!H$3:H$474,'Resultater - Østdanmark'!$F$3:$F$474,'CO2-udledning'!$D$2,'Resultater - Østdanmark'!$A$3:$A$474,'CO2-udledning'!$G37)</f>
        <v>#REF!</v>
      </c>
      <c r="D37" s="98" t="str">
        <f t="shared" ref="D37:I37" si="30">IF(D28&lt;&gt;"",D28,"")</f>
        <v>Pyrolyseproces</v>
      </c>
      <c r="E37" s="98" t="str">
        <f t="shared" si="30"/>
        <v>Pyrolyseproces</v>
      </c>
      <c r="F37" s="98" t="str">
        <f t="shared" si="30"/>
        <v/>
      </c>
      <c r="G37" s="98" t="str">
        <f t="shared" si="30"/>
        <v>Pyrolyseproces</v>
      </c>
      <c r="H37" s="98" t="str">
        <f t="shared" si="30"/>
        <v/>
      </c>
      <c r="I37" s="98" t="str">
        <f t="shared" si="30"/>
        <v/>
      </c>
    </row>
    <row r="38" spans="1:9" x14ac:dyDescent="0.25">
      <c r="A38" s="171" t="s">
        <v>24</v>
      </c>
      <c r="B38" s="171">
        <f t="shared" ref="B38:B46" si="31">År2</f>
        <v>2030</v>
      </c>
      <c r="C38" s="98" t="e">
        <f>SUMIF('Resultater - Østdanmark'!$F$3:$F$487,'CO2-udledning'!$D$2,'Resultater - Østdanmark'!I$3:I$487)</f>
        <v>#REF!</v>
      </c>
      <c r="D38" s="98" t="str">
        <f t="shared" ref="D38:I38" si="32">IF(D29&lt;&gt;"",D29,"")</f>
        <v>CO2 - atmosfære</v>
      </c>
      <c r="E38" s="98" t="str">
        <f t="shared" si="32"/>
        <v>CO2 - atmosfære</v>
      </c>
      <c r="F38" s="98" t="str">
        <f t="shared" si="32"/>
        <v/>
      </c>
      <c r="G38" s="98" t="str">
        <f t="shared" si="32"/>
        <v/>
      </c>
      <c r="H38" s="98" t="str">
        <f t="shared" si="32"/>
        <v/>
      </c>
      <c r="I38" s="98" t="str">
        <f t="shared" si="32"/>
        <v/>
      </c>
    </row>
    <row r="39" spans="1:9" x14ac:dyDescent="0.25">
      <c r="A39" s="171" t="s">
        <v>24</v>
      </c>
      <c r="B39" s="171">
        <f t="shared" si="31"/>
        <v>2030</v>
      </c>
      <c r="C39" s="98" t="e">
        <f>SUMIFS('Resultater - Østdanmark'!I$3:I$474,'Resultater - Østdanmark'!$F$3:$F$474,'CO2-udledning'!$D$2,'Resultater - Østdanmark'!$A$3:$A$474,'CO2-udledning'!$G30)+SUMIFS('Resultater - Østdanmark'!I$3:I$474,'Resultater - Østdanmark'!$F$3:$F$474,'CO2-udledning'!$D$2,'Resultater - Østdanmark'!$A$3:$A$474,'CO2-udledning'!$H30)+SUMIFS('Resultater - Østdanmark'!I$3:I$474,'Resultater - Østdanmark'!$F$3:$F$474,'CO2-udledning'!$D$2,'Resultater - Østdanmark'!$A$3:$A$474,'CO2-udledning'!$I30)</f>
        <v>#REF!</v>
      </c>
      <c r="D39" s="98" t="str">
        <f t="shared" ref="D39:I39" si="33">IF(D30&lt;&gt;"",D30,"")</f>
        <v>Landbrug</v>
      </c>
      <c r="E39" s="98" t="str">
        <f t="shared" si="33"/>
        <v>Husdyr</v>
      </c>
      <c r="F39" s="98" t="str">
        <f t="shared" si="33"/>
        <v/>
      </c>
      <c r="G39" s="98" t="str">
        <f t="shared" si="33"/>
        <v>Grisestald</v>
      </c>
      <c r="H39" s="98" t="str">
        <f t="shared" si="33"/>
        <v>Kostald</v>
      </c>
      <c r="I39" s="98" t="str">
        <f t="shared" si="33"/>
        <v>Fjerkræbrug</v>
      </c>
    </row>
    <row r="40" spans="1:9" x14ac:dyDescent="0.25">
      <c r="A40" s="171" t="s">
        <v>24</v>
      </c>
      <c r="B40" s="171">
        <f t="shared" si="31"/>
        <v>2030</v>
      </c>
      <c r="C40" s="76" t="e">
        <f>SUMIFS('Resultater - Østdanmark'!I$3:I$474,'Resultater - Østdanmark'!$F$3:$F$474,'CO2-udledning'!$D$2,'Resultater - Østdanmark'!$C$3:$C$474,'CO2-udledning'!$F4)+SUMIFS('Resultater - Østdanmark'!I$3:I$474,'Resultater - Østdanmark'!$F$3:$F$474,$D$2,'Resultater - Østdanmark'!$A$3:$A$474,"Grøntsager I drivhus")</f>
        <v>#REF!</v>
      </c>
      <c r="D40" s="98" t="str">
        <f t="shared" ref="D40:I40" si="34">IF(D31&lt;&gt;"",D31,"")</f>
        <v>Landbrug</v>
      </c>
      <c r="E40" s="98" t="str">
        <f t="shared" si="34"/>
        <v>Marker</v>
      </c>
      <c r="F40" s="98" t="str">
        <f t="shared" si="34"/>
        <v>JB1-10</v>
      </c>
      <c r="G40" s="98" t="str">
        <f t="shared" si="34"/>
        <v/>
      </c>
      <c r="H40" s="98" t="str">
        <f t="shared" si="34"/>
        <v/>
      </c>
      <c r="I40" s="98" t="str">
        <f t="shared" si="34"/>
        <v/>
      </c>
    </row>
    <row r="41" spans="1:9" x14ac:dyDescent="0.25">
      <c r="A41" s="171" t="s">
        <v>24</v>
      </c>
      <c r="B41" s="171">
        <f t="shared" si="31"/>
        <v>2030</v>
      </c>
      <c r="C41" s="76" t="e">
        <f>SUMIFS('Resultater - Østdanmark'!I$3:I$474,'Resultater - Østdanmark'!$F$3:$F$474,'CO2-udledning'!$D$2,'Resultater - Østdanmark'!$C$3:$C$474,'CO2-udledning'!$F5)</f>
        <v>#REF!</v>
      </c>
      <c r="D41" s="98" t="str">
        <f t="shared" ref="D41:I41" si="35">IF(D32&lt;&gt;"",D32,"")</f>
        <v>Landbrug</v>
      </c>
      <c r="E41" s="98" t="str">
        <f t="shared" si="35"/>
        <v>Marker</v>
      </c>
      <c r="F41" s="98" t="str">
        <f t="shared" si="35"/>
        <v>OC6</v>
      </c>
      <c r="G41" s="98" t="str">
        <f t="shared" si="35"/>
        <v/>
      </c>
      <c r="H41" s="98" t="str">
        <f t="shared" si="35"/>
        <v/>
      </c>
      <c r="I41" s="98" t="str">
        <f t="shared" si="35"/>
        <v/>
      </c>
    </row>
    <row r="42" spans="1:9" x14ac:dyDescent="0.25">
      <c r="A42" s="171" t="s">
        <v>24</v>
      </c>
      <c r="B42" s="171">
        <f t="shared" si="31"/>
        <v>2030</v>
      </c>
      <c r="C42" s="76" t="e">
        <f>SUMIFS('Resultater - Østdanmark'!I$3:I$474,'Resultater - Østdanmark'!$F$3:$F$474,'CO2-udledning'!$D$2,'Resultater - Østdanmark'!$C$3:$C$474,'CO2-udledning'!$F6)</f>
        <v>#REF!</v>
      </c>
      <c r="D42" s="98" t="str">
        <f t="shared" ref="D42:I42" si="36">IF(D33&lt;&gt;"",D33,"")</f>
        <v>Landbrug</v>
      </c>
      <c r="E42" s="98" t="str">
        <f t="shared" si="36"/>
        <v>Marker</v>
      </c>
      <c r="F42" s="98" t="str">
        <f t="shared" si="36"/>
        <v>OC12</v>
      </c>
      <c r="G42" s="98" t="str">
        <f t="shared" si="36"/>
        <v/>
      </c>
      <c r="H42" s="98" t="str">
        <f t="shared" si="36"/>
        <v/>
      </c>
      <c r="I42" s="98" t="str">
        <f t="shared" si="36"/>
        <v/>
      </c>
    </row>
    <row r="43" spans="1:9" x14ac:dyDescent="0.25">
      <c r="A43" s="171" t="s">
        <v>24</v>
      </c>
      <c r="B43" s="171">
        <f t="shared" si="31"/>
        <v>2030</v>
      </c>
      <c r="C43" s="98" t="e">
        <f>SUMIFS('Resultater - Østdanmark'!I$3:I$474,'Resultater - Østdanmark'!$F$3:$F$474,'CO2-udledning'!$D$2,'Resultater - Østdanmark'!$A$3:$A$474,'CO2-udledning'!$G34)+SUMIFS('Resultater - Østdanmark'!I$3:I$474,'Resultater - Østdanmark'!$F$3:$F$474,'CO2-udledning'!$D$2,'Resultater - Østdanmark'!$A$3:$A$474,'CO2-udledning'!$H34)</f>
        <v>#REF!</v>
      </c>
      <c r="D43" s="98" t="str">
        <f t="shared" ref="D43:I43" si="37">IF(D34&lt;&gt;"",D34,"")</f>
        <v>Hav</v>
      </c>
      <c r="E43" s="98" t="str">
        <f t="shared" si="37"/>
        <v>Hav</v>
      </c>
      <c r="F43" s="98" t="str">
        <f t="shared" si="37"/>
        <v/>
      </c>
      <c r="G43" s="98" t="str">
        <f t="shared" si="37"/>
        <v>Muslingefarm</v>
      </c>
      <c r="H43" s="98" t="str">
        <f t="shared" si="37"/>
        <v>Tangfarm</v>
      </c>
      <c r="I43" s="98" t="str">
        <f t="shared" si="37"/>
        <v/>
      </c>
    </row>
    <row r="44" spans="1:9" x14ac:dyDescent="0.25">
      <c r="A44" s="171" t="s">
        <v>24</v>
      </c>
      <c r="B44" s="171">
        <f t="shared" si="31"/>
        <v>2030</v>
      </c>
      <c r="C44" s="98" t="e">
        <f>SUMIFS('Resultater - Østdanmark'!I$3:I$474,'Resultater - Østdanmark'!$F$3:$F$474,'CO2-udledning'!$D$2,'Resultater - Østdanmark'!$A$3:$A$474,'CO2-udledning'!$G35)</f>
        <v>#REF!</v>
      </c>
      <c r="D44" s="98" t="str">
        <f t="shared" ref="D44:I44" si="38">IF(D35&lt;&gt;"",D35,"")</f>
        <v>Skov</v>
      </c>
      <c r="E44" s="98" t="str">
        <f t="shared" si="38"/>
        <v>Skov</v>
      </c>
      <c r="F44" s="98" t="str">
        <f t="shared" si="38"/>
        <v/>
      </c>
      <c r="G44" s="98" t="str">
        <f t="shared" si="38"/>
        <v>Skovproduktion</v>
      </c>
      <c r="H44" s="98" t="str">
        <f t="shared" si="38"/>
        <v/>
      </c>
      <c r="I44" s="98" t="str">
        <f t="shared" si="38"/>
        <v/>
      </c>
    </row>
    <row r="45" spans="1:9" s="171" customFormat="1" x14ac:dyDescent="0.25">
      <c r="A45" s="171" t="s">
        <v>24</v>
      </c>
      <c r="B45" s="171">
        <f t="shared" si="31"/>
        <v>2030</v>
      </c>
      <c r="C45" s="98" t="e">
        <f>SUMIFS('Resultater - Østdanmark'!I$3:I$474,'Resultater - Østdanmark'!$F$3:$F$474,'CO2-udledning'!$D$2,'Resultater - Østdanmark'!$A$3:$A$474,'CO2-udledning'!$G36)</f>
        <v>#REF!</v>
      </c>
      <c r="D45" s="98" t="str">
        <f t="shared" ref="D45:I45" si="39">IF(D36&lt;&gt;"",D36,"")</f>
        <v>Biogasanlæg</v>
      </c>
      <c r="E45" s="98" t="str">
        <f t="shared" si="39"/>
        <v>Biogasanlæg</v>
      </c>
      <c r="F45" s="98" t="str">
        <f t="shared" si="39"/>
        <v/>
      </c>
      <c r="G45" s="98" t="str">
        <f t="shared" si="39"/>
        <v>Biogasanlæg</v>
      </c>
      <c r="H45" s="98" t="str">
        <f t="shared" si="39"/>
        <v/>
      </c>
      <c r="I45" s="98" t="str">
        <f t="shared" si="39"/>
        <v/>
      </c>
    </row>
    <row r="46" spans="1:9" s="171" customFormat="1" x14ac:dyDescent="0.25">
      <c r="A46" s="171" t="s">
        <v>24</v>
      </c>
      <c r="B46" s="171">
        <f t="shared" si="31"/>
        <v>2030</v>
      </c>
      <c r="C46" s="98" t="e">
        <f>SUMIFS('Resultater - Østdanmark'!I$3:I$474,'Resultater - Østdanmark'!$F$3:$F$474,'CO2-udledning'!$D$2,'Resultater - Østdanmark'!$A$3:$A$474,'CO2-udledning'!$G37)</f>
        <v>#REF!</v>
      </c>
      <c r="D46" s="98" t="str">
        <f t="shared" ref="D46:I46" si="40">IF(D37&lt;&gt;"",D37,"")</f>
        <v>Pyrolyseproces</v>
      </c>
      <c r="E46" s="98" t="str">
        <f t="shared" si="40"/>
        <v>Pyrolyseproces</v>
      </c>
      <c r="F46" s="98" t="str">
        <f t="shared" si="40"/>
        <v/>
      </c>
      <c r="G46" s="98" t="str">
        <f t="shared" si="40"/>
        <v>Pyrolyseproces</v>
      </c>
      <c r="H46" s="98" t="str">
        <f t="shared" si="40"/>
        <v/>
      </c>
      <c r="I46" s="98" t="str">
        <f t="shared" si="40"/>
        <v/>
      </c>
    </row>
    <row r="47" spans="1:9" x14ac:dyDescent="0.25">
      <c r="A47" s="171" t="s">
        <v>24</v>
      </c>
      <c r="B47" s="171">
        <f t="shared" ref="B47:B55" si="41">År3</f>
        <v>2050</v>
      </c>
      <c r="C47" s="98" t="e">
        <f>SUMIF('Resultater - Østdanmark'!$F$3:$F$487,'CO2-udledning'!$D$2,'Resultater - Østdanmark'!J$3:J$487)</f>
        <v>#REF!</v>
      </c>
      <c r="D47" s="98" t="str">
        <f t="shared" ref="D47:I47" si="42">IF(D38&lt;&gt;"",D38,"")</f>
        <v>CO2 - atmosfære</v>
      </c>
      <c r="E47" s="98" t="str">
        <f t="shared" si="42"/>
        <v>CO2 - atmosfære</v>
      </c>
      <c r="F47" s="98" t="str">
        <f t="shared" si="42"/>
        <v/>
      </c>
      <c r="G47" s="98" t="str">
        <f t="shared" si="42"/>
        <v/>
      </c>
      <c r="H47" s="98" t="str">
        <f t="shared" si="42"/>
        <v/>
      </c>
      <c r="I47" s="98" t="str">
        <f t="shared" si="42"/>
        <v/>
      </c>
    </row>
    <row r="48" spans="1:9" x14ac:dyDescent="0.25">
      <c r="A48" s="171" t="s">
        <v>24</v>
      </c>
      <c r="B48" s="171">
        <f t="shared" si="41"/>
        <v>2050</v>
      </c>
      <c r="C48" s="98" t="e">
        <f>SUMIFS('Resultater - Østdanmark'!J$3:J$474,'Resultater - Østdanmark'!$F$3:$F$474,'CO2-udledning'!$D$2,'Resultater - Østdanmark'!$A$3:$A$474,'CO2-udledning'!$G30)+SUMIFS('Resultater - Østdanmark'!J$3:J$474,'Resultater - Østdanmark'!$F$3:$F$474,'CO2-udledning'!$D$2,'Resultater - Østdanmark'!$A$3:$A$474,'CO2-udledning'!$H30)+SUMIFS('Resultater - Østdanmark'!J$3:J$474,'Resultater - Østdanmark'!$F$3:$F$474,'CO2-udledning'!$D$2,'Resultater - Østdanmark'!$A$3:$A$474,'CO2-udledning'!$I30)</f>
        <v>#REF!</v>
      </c>
      <c r="D48" s="98" t="str">
        <f t="shared" ref="D48:I48" si="43">IF(D39&lt;&gt;"",D39,"")</f>
        <v>Landbrug</v>
      </c>
      <c r="E48" s="98" t="str">
        <f t="shared" si="43"/>
        <v>Husdyr</v>
      </c>
      <c r="F48" s="98" t="str">
        <f t="shared" si="43"/>
        <v/>
      </c>
      <c r="G48" s="98" t="str">
        <f t="shared" si="43"/>
        <v>Grisestald</v>
      </c>
      <c r="H48" s="98" t="str">
        <f t="shared" si="43"/>
        <v>Kostald</v>
      </c>
      <c r="I48" s="98" t="str">
        <f t="shared" si="43"/>
        <v>Fjerkræbrug</v>
      </c>
    </row>
    <row r="49" spans="1:9" x14ac:dyDescent="0.25">
      <c r="A49" s="171" t="s">
        <v>24</v>
      </c>
      <c r="B49" s="171">
        <f t="shared" si="41"/>
        <v>2050</v>
      </c>
      <c r="C49" s="76" t="e">
        <f>SUMIFS('Resultater - Østdanmark'!J$3:J$474,'Resultater - Østdanmark'!$F$3:$F$474,'CO2-udledning'!$D$2,'Resultater - Østdanmark'!$C$3:$C$474,'CO2-udledning'!$F4)+SUMIFS('Resultater - Østdanmark'!J$3:J$474,'Resultater - Østdanmark'!$F$3:$F$474,$D$2,'Resultater - Østdanmark'!$A$3:$A$474,"Grøntsager I drivhus")</f>
        <v>#REF!</v>
      </c>
      <c r="D49" s="98" t="str">
        <f t="shared" ref="D49:I49" si="44">IF(D40&lt;&gt;"",D40,"")</f>
        <v>Landbrug</v>
      </c>
      <c r="E49" s="98" t="str">
        <f t="shared" si="44"/>
        <v>Marker</v>
      </c>
      <c r="F49" s="98" t="str">
        <f t="shared" si="44"/>
        <v>JB1-10</v>
      </c>
      <c r="G49" s="98" t="str">
        <f t="shared" si="44"/>
        <v/>
      </c>
      <c r="H49" s="98" t="str">
        <f t="shared" si="44"/>
        <v/>
      </c>
      <c r="I49" s="98" t="str">
        <f t="shared" si="44"/>
        <v/>
      </c>
    </row>
    <row r="50" spans="1:9" x14ac:dyDescent="0.25">
      <c r="A50" s="171" t="s">
        <v>24</v>
      </c>
      <c r="B50" s="171">
        <f t="shared" si="41"/>
        <v>2050</v>
      </c>
      <c r="C50" s="76" t="e">
        <f>SUMIFS('Resultater - Østdanmark'!J$3:J$474,'Resultater - Østdanmark'!$F$3:$F$474,'CO2-udledning'!$D$2,'Resultater - Østdanmark'!$C$3:$C$474,'CO2-udledning'!$F5)</f>
        <v>#REF!</v>
      </c>
      <c r="D50" s="98" t="str">
        <f t="shared" ref="D50:I50" si="45">IF(D41&lt;&gt;"",D41,"")</f>
        <v>Landbrug</v>
      </c>
      <c r="E50" s="98" t="str">
        <f t="shared" si="45"/>
        <v>Marker</v>
      </c>
      <c r="F50" s="98" t="str">
        <f t="shared" si="45"/>
        <v>OC6</v>
      </c>
      <c r="G50" s="98" t="str">
        <f t="shared" si="45"/>
        <v/>
      </c>
      <c r="H50" s="98" t="str">
        <f t="shared" si="45"/>
        <v/>
      </c>
      <c r="I50" s="98" t="str">
        <f t="shared" si="45"/>
        <v/>
      </c>
    </row>
    <row r="51" spans="1:9" x14ac:dyDescent="0.25">
      <c r="A51" s="171" t="s">
        <v>24</v>
      </c>
      <c r="B51" s="171">
        <f t="shared" si="41"/>
        <v>2050</v>
      </c>
      <c r="C51" s="76" t="e">
        <f>SUMIFS('Resultater - Østdanmark'!J$3:J$474,'Resultater - Østdanmark'!$F$3:$F$474,'CO2-udledning'!$D$2,'Resultater - Østdanmark'!$C$3:$C$474,'CO2-udledning'!$F6)</f>
        <v>#REF!</v>
      </c>
      <c r="D51" s="98" t="str">
        <f t="shared" ref="D51:I51" si="46">IF(D42&lt;&gt;"",D42,"")</f>
        <v>Landbrug</v>
      </c>
      <c r="E51" s="98" t="str">
        <f t="shared" si="46"/>
        <v>Marker</v>
      </c>
      <c r="F51" s="98" t="str">
        <f t="shared" si="46"/>
        <v>OC12</v>
      </c>
      <c r="G51" s="98" t="str">
        <f t="shared" si="46"/>
        <v/>
      </c>
      <c r="H51" s="98" t="str">
        <f t="shared" si="46"/>
        <v/>
      </c>
      <c r="I51" s="98" t="str">
        <f t="shared" si="46"/>
        <v/>
      </c>
    </row>
    <row r="52" spans="1:9" x14ac:dyDescent="0.25">
      <c r="A52" s="171" t="s">
        <v>24</v>
      </c>
      <c r="B52" s="171">
        <f t="shared" si="41"/>
        <v>2050</v>
      </c>
      <c r="C52" s="98" t="e">
        <f>SUMIFS('Resultater - Østdanmark'!J$3:J$474,'Resultater - Østdanmark'!$F$3:$F$474,'CO2-udledning'!$D$2,'Resultater - Østdanmark'!$A$3:$A$474,'CO2-udledning'!$G34)+SUMIFS('Resultater - Østdanmark'!J$3:J$474,'Resultater - Østdanmark'!$F$3:$F$474,'CO2-udledning'!$D$2,'Resultater - Østdanmark'!$A$3:$A$474,'CO2-udledning'!$H34)</f>
        <v>#REF!</v>
      </c>
      <c r="D52" s="98" t="str">
        <f t="shared" ref="D52:I52" si="47">IF(D43&lt;&gt;"",D43,"")</f>
        <v>Hav</v>
      </c>
      <c r="E52" s="98" t="str">
        <f t="shared" si="47"/>
        <v>Hav</v>
      </c>
      <c r="F52" s="98" t="str">
        <f t="shared" si="47"/>
        <v/>
      </c>
      <c r="G52" s="98" t="str">
        <f t="shared" si="47"/>
        <v>Muslingefarm</v>
      </c>
      <c r="H52" s="98" t="str">
        <f t="shared" si="47"/>
        <v>Tangfarm</v>
      </c>
      <c r="I52" s="98" t="str">
        <f t="shared" si="47"/>
        <v/>
      </c>
    </row>
    <row r="53" spans="1:9" x14ac:dyDescent="0.25">
      <c r="A53" s="171" t="s">
        <v>24</v>
      </c>
      <c r="B53" s="171">
        <f t="shared" si="41"/>
        <v>2050</v>
      </c>
      <c r="C53" s="98" t="e">
        <f>SUMIFS('Resultater - Østdanmark'!J$3:J$474,'Resultater - Østdanmark'!$F$3:$F$474,'CO2-udledning'!$D$2,'Resultater - Østdanmark'!$A$3:$A$474,'CO2-udledning'!$G35)</f>
        <v>#REF!</v>
      </c>
      <c r="D53" s="98" t="str">
        <f t="shared" ref="D53:I53" si="48">IF(D44&lt;&gt;"",D44,"")</f>
        <v>Skov</v>
      </c>
      <c r="E53" s="98" t="str">
        <f t="shared" si="48"/>
        <v>Skov</v>
      </c>
      <c r="F53" s="98" t="str">
        <f t="shared" si="48"/>
        <v/>
      </c>
      <c r="G53" s="98" t="str">
        <f t="shared" si="48"/>
        <v>Skovproduktion</v>
      </c>
      <c r="H53" s="98" t="str">
        <f t="shared" si="48"/>
        <v/>
      </c>
      <c r="I53" s="98" t="str">
        <f t="shared" si="48"/>
        <v/>
      </c>
    </row>
    <row r="54" spans="1:9" s="171" customFormat="1" x14ac:dyDescent="0.25">
      <c r="A54" s="171" t="s">
        <v>24</v>
      </c>
      <c r="B54" s="171">
        <f t="shared" si="41"/>
        <v>2050</v>
      </c>
      <c r="C54" s="98" t="e">
        <f>SUMIFS('Resultater - Østdanmark'!J$3:J$474,'Resultater - Østdanmark'!$F$3:$F$474,'CO2-udledning'!$D$2,'Resultater - Østdanmark'!$A$3:$A$474,'CO2-udledning'!$G36)</f>
        <v>#REF!</v>
      </c>
      <c r="D54" s="98" t="str">
        <f t="shared" ref="D54:I54" si="49">IF(D45&lt;&gt;"",D45,"")</f>
        <v>Biogasanlæg</v>
      </c>
      <c r="E54" s="98" t="str">
        <f t="shared" si="49"/>
        <v>Biogasanlæg</v>
      </c>
      <c r="F54" s="98" t="str">
        <f t="shared" si="49"/>
        <v/>
      </c>
      <c r="G54" s="98" t="str">
        <f t="shared" si="49"/>
        <v>Biogasanlæg</v>
      </c>
      <c r="H54" s="98" t="str">
        <f t="shared" si="49"/>
        <v/>
      </c>
      <c r="I54" s="98" t="str">
        <f t="shared" si="49"/>
        <v/>
      </c>
    </row>
    <row r="55" spans="1:9" x14ac:dyDescent="0.25">
      <c r="A55" s="171" t="s">
        <v>24</v>
      </c>
      <c r="B55" s="171">
        <f t="shared" si="41"/>
        <v>2050</v>
      </c>
      <c r="C55" s="98" t="e">
        <f>SUMIFS('Resultater - Østdanmark'!J$3:J$474,'Resultater - Østdanmark'!$F$3:$F$474,'CO2-udledning'!$D$2,'Resultater - Østdanmark'!$A$3:$A$474,'CO2-udledning'!$G37)</f>
        <v>#REF!</v>
      </c>
      <c r="D55" s="98" t="str">
        <f t="shared" ref="D55:I55" si="50">IF(D46&lt;&gt;"",D46,"")</f>
        <v>Pyrolyseproces</v>
      </c>
      <c r="E55" s="98" t="str">
        <f t="shared" si="50"/>
        <v>Pyrolyseproces</v>
      </c>
      <c r="F55" s="98" t="str">
        <f t="shared" si="50"/>
        <v/>
      </c>
      <c r="G55" s="98" t="str">
        <f t="shared" si="50"/>
        <v>Pyrolyseproces</v>
      </c>
      <c r="H55" s="98" t="str">
        <f t="shared" si="50"/>
        <v/>
      </c>
      <c r="I55" s="98" t="str">
        <f t="shared" si="50"/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71" t="s">
        <v>81</v>
      </c>
    </row>
    <row r="3" spans="1:15" x14ac:dyDescent="0.25">
      <c r="A3" s="77" t="s">
        <v>127</v>
      </c>
      <c r="B3" s="77" t="s">
        <v>62</v>
      </c>
    </row>
    <row r="4" spans="1:15" x14ac:dyDescent="0.25">
      <c r="A4" s="77" t="s">
        <v>60</v>
      </c>
      <c r="B4" s="171" t="s">
        <v>49</v>
      </c>
      <c r="C4" s="171" t="s">
        <v>114</v>
      </c>
      <c r="D4" s="171" t="s">
        <v>54</v>
      </c>
      <c r="E4" s="171" t="s">
        <v>51</v>
      </c>
      <c r="F4" s="171" t="s">
        <v>6</v>
      </c>
      <c r="G4" s="171" t="s">
        <v>56</v>
      </c>
      <c r="H4" s="171" t="s">
        <v>12</v>
      </c>
      <c r="I4" s="171" t="s">
        <v>48</v>
      </c>
      <c r="J4" s="171" t="s">
        <v>53</v>
      </c>
      <c r="K4" s="171" t="s">
        <v>55</v>
      </c>
      <c r="L4" s="171" t="s">
        <v>96</v>
      </c>
      <c r="M4" s="171" t="s">
        <v>50</v>
      </c>
      <c r="N4" s="171" t="s">
        <v>52</v>
      </c>
      <c r="O4" s="171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25">
      <c r="A7" s="78">
        <v>2050</v>
      </c>
      <c r="B7" s="98">
        <v>288309.83297140902</v>
      </c>
      <c r="C7" s="98">
        <v>1522723.6559768345</v>
      </c>
      <c r="D7" s="98">
        <v>42424.518206894441</v>
      </c>
      <c r="E7" s="98">
        <v>18263649.836839143</v>
      </c>
      <c r="F7" s="98">
        <v>283588.43409804988</v>
      </c>
      <c r="G7" s="98">
        <v>922616.4144434646</v>
      </c>
      <c r="H7" s="98">
        <v>2282322.3336660713</v>
      </c>
      <c r="I7" s="98">
        <v>9305829.0675790496</v>
      </c>
      <c r="J7" s="98">
        <v>8170298.280918018</v>
      </c>
      <c r="K7" s="98">
        <v>2030965.6070747143</v>
      </c>
      <c r="L7" s="98">
        <v>210245.15308472581</v>
      </c>
      <c r="M7" s="98">
        <v>688203.13558300154</v>
      </c>
      <c r="N7" s="98">
        <v>2703338.5923109134</v>
      </c>
      <c r="O7" s="98">
        <v>46714514.862752289</v>
      </c>
    </row>
    <row r="8" spans="1:15" x14ac:dyDescent="0.25">
      <c r="A8" s="78" t="s">
        <v>61</v>
      </c>
      <c r="B8" s="98">
        <v>872106.80345934187</v>
      </c>
      <c r="C8" s="98">
        <v>4595438.8932199776</v>
      </c>
      <c r="D8" s="98">
        <v>127955.86690351898</v>
      </c>
      <c r="E8" s="98">
        <v>54861444.766240731</v>
      </c>
      <c r="F8" s="98">
        <v>857275.65595145291</v>
      </c>
      <c r="G8" s="98">
        <v>2789169.0219477573</v>
      </c>
      <c r="H8" s="98">
        <v>6909339.7838561926</v>
      </c>
      <c r="I8" s="98">
        <v>27995940.901634172</v>
      </c>
      <c r="J8" s="98">
        <v>24490295.697400127</v>
      </c>
      <c r="K8" s="98">
        <v>6137371.6250412865</v>
      </c>
      <c r="L8" s="98">
        <v>636963.68412800436</v>
      </c>
      <c r="M8" s="98">
        <v>2078809.4493015073</v>
      </c>
      <c r="N8" s="98">
        <v>8109599.4846366551</v>
      </c>
      <c r="O8" s="98">
        <v>140461711.63372073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126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9" t="e">
        <f>IF(B2="Vestdanmark",SUMIFS(IF(C2=År1,'Resultater - Vestdanmark'!$H$3:$H$480,IF(C2=År2,'Resultater - Vestdanmark'!$I$3:$I$480,'Resultater - Vestdanmark'!$J$3:$J$480)),'Resultater - Vestdanmark'!$F$3:$F$480,A2),SUMIFS(IF(C2=År1,'Resultater - Østdanmark'!$H$3:$H$480,IF(C2=År2,'Resultater - Østdanmark'!$I$3:$I$480,'Resultater - Østdanmark'!$J$3:$J$480)),'Resultater - Østdanmark'!$F$3:$F$480,A2))</f>
        <v>#REF!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9" t="e">
        <f>IF(B3="Vestdanmark",SUMIFS(IF(C3=År1,'Resultater - Vestdanmark'!$H$3:$H$480,IF(C3=År2,'Resultater - Vestdanmark'!$I$3:$I$480,'Resultater - Vestdanmark'!$J$3:$J$480)),'Resultater - Vestdanmark'!$F$3:$F$480,A3),SUMIFS(IF(C3=År1,'Resultater - Østdanmark'!$H$3:$H$480,IF(C3=År2,'Resultater - Østdanmark'!$I$3:$I$480,'Resultater - Østdanmark'!$J$3:$J$480)),'Resultater - Østdanmark'!$F$3:$F$480,A3))</f>
        <v>#REF!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9" t="e">
        <f>IF(B4="Vestdanmark",SUMIFS(IF(C4=År1,'Resultater - Vestdanmark'!$H$3:$H$480,IF(C4=År2,'Resultater - Vestdanmark'!$I$3:$I$480,'Resultater - Vestdanmark'!$J$3:$J$480)),'Resultater - Vestdanmark'!$F$3:$F$480,A4),SUMIFS(IF(C4=År1,'Resultater - Østdanmark'!$H$3:$H$480,IF(C4=År2,'Resultater - Østdanmark'!$I$3:$I$480,'Resultater - Østdanmark'!$J$3:$J$480)),'Resultater - Østdanmark'!$F$3:$F$480,A4))</f>
        <v>#REF!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9" t="e">
        <f>IF(B5="Vestdanmark",SUMIFS(IF(C5=År1,'Resultater - Vestdanmark'!$H$3:$H$480,IF(C5=År2,'Resultater - Vestdanmark'!$I$3:$I$480,'Resultater - Vestdanmark'!$J$3:$J$480)),'Resultater - Vestdanmark'!$F$3:$F$480,A5),SUMIFS(IF(C5=År1,'Resultater - Østdanmark'!$H$3:$H$480,IF(C5=År2,'Resultater - Østdanmark'!$I$3:$I$480,'Resultater - Østdanmark'!$J$3:$J$480)),'Resultater - Østdanmark'!$F$3:$F$480,A5))</f>
        <v>#REF!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9" t="e">
        <f>IF(B6="Vestdanmark",SUMIFS(IF(C6=År1,'Resultater - Vestdanmark'!$H$3:$H$480,IF(C6=År2,'Resultater - Vestdanmark'!$I$3:$I$480,'Resultater - Vestdanmark'!$J$3:$J$480)),'Resultater - Vestdanmark'!$F$3:$F$480,A6),SUMIFS(IF(C6=År1,'Resultater - Østdanmark'!$H$3:$H$480,IF(C6=År2,'Resultater - Østdanmark'!$I$3:$I$480,'Resultater - Østdanmark'!$J$3:$J$480)),'Resultater - Østdanmark'!$F$3:$F$480,A6))</f>
        <v>#REF!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9" t="e">
        <f>IF(B7="Vestdanmark",SUMIFS(IF(C7=År1,'Resultater - Vestdanmark'!$H$3:$H$480,IF(C7=År2,'Resultater - Vestdanmark'!$I$3:$I$480,'Resultater - Vestdanmark'!$J$3:$J$480)),'Resultater - Vestdanmark'!$F$3:$F$480,A7),SUMIFS(IF(C7=År1,'Resultater - Østdanmark'!$H$3:$H$480,IF(C7=År2,'Resultater - Østdanmark'!$I$3:$I$480,'Resultater - Østdanmark'!$J$3:$J$480)),'Resultater - Østdanmark'!$F$3:$F$480,A7))</f>
        <v>#REF!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9" t="e">
        <f>IF(B8="Vestdanmark",SUMIFS(IF(C8=År1,'Resultater - Vestdanmark'!$H$3:$H$480,IF(C8=År2,'Resultater - Vestdanmark'!$I$3:$I$480,'Resultater - Vestdanmark'!$J$3:$J$480)),'Resultater - Vestdanmark'!$F$3:$F$480,A8),SUMIFS(IF(C8=År1,'Resultater - Østdanmark'!$H$3:$H$480,IF(C8=År2,'Resultater - Østdanmark'!$I$3:$I$480,'Resultater - Østdanmark'!$J$3:$J$480)),'Resultater - Østdanmark'!$F$3:$F$480,A8))</f>
        <v>#REF!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9" t="e">
        <f>IF(B9="Vestdanmark",SUMIFS(IF(C9=År1,'Resultater - Vestdanmark'!$H$3:$H$480,IF(C9=År2,'Resultater - Vestdanmark'!$I$3:$I$480,'Resultater - Vestdanmark'!$J$3:$J$480)),'Resultater - Vestdanmark'!$F$3:$F$480,A9),SUMIFS(IF(C9=År1,'Resultater - Østdanmark'!$H$3:$H$480,IF(C9=År2,'Resultater - Østdanmark'!$I$3:$I$480,'Resultater - Østdanmark'!$J$3:$J$480)),'Resultater - Østdanmark'!$F$3:$F$480,A9))</f>
        <v>#REF!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9" t="e">
        <f>IF(B10="Vestdanmark",SUMIFS(IF(C10=År1,'Resultater - Vestdanmark'!$H$3:$H$480,IF(C10=År2,'Resultater - Vestdanmark'!$I$3:$I$480,'Resultater - Vestdanmark'!$J$3:$J$480)),'Resultater - Vestdanmark'!$F$3:$F$480,A10),SUMIFS(IF(C10=År1,'Resultater - Østdanmark'!$H$3:$H$480,IF(C10=År2,'Resultater - Østdanmark'!$I$3:$I$480,'Resultater - Østdanmark'!$J$3:$J$480)),'Resultater - Østdanmark'!$F$3:$F$480,A10))</f>
        <v>#REF!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9" t="e">
        <f>IF(B11="Vestdanmark",SUMIFS(IF(C11=År1,'Resultater - Vestdanmark'!$H$3:$H$480,IF(C11=År2,'Resultater - Vestdanmark'!$I$3:$I$480,'Resultater - Vestdanmark'!$J$3:$J$480)),'Resultater - Vestdanmark'!$F$3:$F$480,A11),SUMIFS(IF(C11=År1,'Resultater - Østdanmark'!$H$3:$H$480,IF(C11=År2,'Resultater - Østdanmark'!$I$3:$I$480,'Resultater - Østdanmark'!$J$3:$J$480)),'Resultater - Østdanmark'!$F$3:$F$480,A11))</f>
        <v>#REF!</v>
      </c>
    </row>
    <row r="12" spans="1:4" x14ac:dyDescent="0.25">
      <c r="A12" t="s">
        <v>114</v>
      </c>
      <c r="B12" t="s">
        <v>23</v>
      </c>
      <c r="C12">
        <f t="shared" si="0"/>
        <v>2019</v>
      </c>
      <c r="D12" s="239" t="e">
        <f>IF(B12="Vestdanmark",SUMIFS(IF(C12=År1,'Resultater - Vestdanmark'!$H$3:$H$480,IF(C12=År2,'Resultater - Vestdanmark'!$I$3:$I$480,'Resultater - Vestdanmark'!$J$3:$J$480)),'Resultater - Vestdanmark'!$F$3:$F$480,A12),SUMIFS(IF(C12=År1,'Resultater - Østdanmark'!$H$3:$H$480,IF(C12=År2,'Resultater - Østdanmark'!$I$3:$I$480,'Resultater - Østdanmark'!$J$3:$J$480)),'Resultater - Østdanmark'!$F$3:$F$480,A12))</f>
        <v>#REF!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9" t="e">
        <f>IF(B13="Vestdanmark",SUMIFS(IF(C13=År1,'Resultater - Vestdanmark'!$H$3:$H$480,IF(C13=År2,'Resultater - Vestdanmark'!$I$3:$I$480,'Resultater - Vestdanmark'!$J$3:$J$480)),'Resultater - Vestdanmark'!$F$3:$F$480,A13),SUMIFS(IF(C13=År1,'Resultater - Østdanmark'!$H$3:$H$480,IF(C13=År2,'Resultater - Østdanmark'!$I$3:$I$480,'Resultater - Østdanmark'!$J$3:$J$480)),'Resultater - Østdanmark'!$F$3:$F$480,A13))</f>
        <v>#REF!</v>
      </c>
    </row>
    <row r="14" spans="1:4" x14ac:dyDescent="0.25">
      <c r="A14" t="s">
        <v>96</v>
      </c>
      <c r="B14" t="s">
        <v>23</v>
      </c>
      <c r="C14">
        <f t="shared" si="0"/>
        <v>2019</v>
      </c>
      <c r="D14" s="239" t="e">
        <f>IF(B14="Vestdanmark",SUMIFS(IF(C14=År1,'Resultater - Vestdanmark'!$H$3:$H$480,IF(C14=År2,'Resultater - Vestdanmark'!$I$3:$I$480,'Resultater - Vestdanmark'!$J$3:$J$480)),'Resultater - Vestdanmark'!$F$3:$F$480,A14),SUMIFS(IF(C14=År1,'Resultater - Østdanmark'!$H$3:$H$480,IF(C14=År2,'Resultater - Østdanmark'!$I$3:$I$480,'Resultater - Østdanmark'!$J$3:$J$480)),'Resultater - Østdanmark'!$F$3:$F$480,A14))</f>
        <v>#REF!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9" t="e">
        <f>IF(B15="Vestdanmark",SUMIFS(IF(C15=År1,'Resultater - Vestdanmark'!$H$3:$H$480,IF(C15=År2,'Resultater - Vestdanmark'!$I$3:$I$480,'Resultater - Vestdanmark'!$J$3:$J$480)),'Resultater - Vestdanmark'!$F$3:$F$480,A15),SUMIFS(IF(C15=År1,'Resultater - Østdanmark'!$H$3:$H$480,IF(C15=År2,'Resultater - Østdanmark'!$I$3:$I$480,'Resultater - Østdanmark'!$J$3:$J$480)),'Resultater - Østdanmark'!$F$3:$F$480,A15))</f>
        <v>#REF!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9" t="e">
        <f>IF(B16="Vestdanmark",SUMIFS(IF(C16=År1,'Resultater - Vestdanmark'!$H$3:$H$480,IF(C16=År2,'Resultater - Vestdanmark'!$I$3:$I$480,'Resultater - Vestdanmark'!$J$3:$J$480)),'Resultater - Vestdanmark'!$F$3:$F$480,A16),SUMIFS(IF(C16=År1,'Resultater - Østdanmark'!$H$3:$H$480,IF(C16=År2,'Resultater - Østdanmark'!$I$3:$I$480,'Resultater - Østdanmark'!$J$3:$J$480)),'Resultater - Østdanmark'!$F$3:$F$480,A16))</f>
        <v>#REF!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9" t="e">
        <f>IF(B17="Vestdanmark",SUMIFS(IF(C17=År1,'Resultater - Vestdanmark'!$H$3:$H$480,IF(C17=År2,'Resultater - Vestdanmark'!$I$3:$I$480,'Resultater - Vestdanmark'!$J$3:$J$480)),'Resultater - Vestdanmark'!$F$3:$F$480,A17),SUMIFS(IF(C17=År1,'Resultater - Østdanmark'!$H$3:$H$480,IF(C17=År2,'Resultater - Østdanmark'!$I$3:$I$480,'Resultater - Østdanmark'!$J$3:$J$480)),'Resultater - Østdanmark'!$F$3:$F$480,A17))</f>
        <v>#REF!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9" t="e">
        <f>IF(B18="Vestdanmark",SUMIFS(IF(C18=År1,'Resultater - Vestdanmark'!$H$3:$H$480,IF(C18=År2,'Resultater - Vestdanmark'!$I$3:$I$480,'Resultater - Vestdanmark'!$J$3:$J$480)),'Resultater - Vestdanmark'!$F$3:$F$480,A18),SUMIFS(IF(C18=År1,'Resultater - Østdanmark'!$H$3:$H$480,IF(C18=År2,'Resultater - Østdanmark'!$I$3:$I$480,'Resultater - Østdanmark'!$J$3:$J$480)),'Resultater - Østdanmark'!$F$3:$F$480,A18))</f>
        <v>#REF!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9" t="e">
        <f>IF(B19="Vestdanmark",SUMIFS(IF(C19=År1,'Resultater - Vestdanmark'!$H$3:$H$480,IF(C19=År2,'Resultater - Vestdanmark'!$I$3:$I$480,'Resultater - Vestdanmark'!$J$3:$J$480)),'Resultater - Vestdanmark'!$F$3:$F$480,A19),SUMIFS(IF(C19=År1,'Resultater - Østdanmark'!$H$3:$H$480,IF(C19=År2,'Resultater - Østdanmark'!$I$3:$I$480,'Resultater - Østdanmark'!$J$3:$J$480)),'Resultater - Østdanmark'!$F$3:$F$480,A19))</f>
        <v>#REF!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9" t="e">
        <f>IF(B20="Vestdanmark",SUMIFS(IF(C20=År1,'Resultater - Vestdanmark'!$H$3:$H$480,IF(C20=År2,'Resultater - Vestdanmark'!$I$3:$I$480,'Resultater - Vestdanmark'!$J$3:$J$480)),'Resultater - Vestdanmark'!$F$3:$F$480,A20),SUMIFS(IF(C20=År1,'Resultater - Østdanmark'!$H$3:$H$480,IF(C20=År2,'Resultater - Østdanmark'!$I$3:$I$480,'Resultater - Østdanmark'!$J$3:$J$480)),'Resultater - Østdanmark'!$F$3:$F$480,A20))</f>
        <v>#REF!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9" t="e">
        <f>IF(B21="Vestdanmark",SUMIFS(IF(C21=År1,'Resultater - Vestdanmark'!$H$3:$H$480,IF(C21=År2,'Resultater - Vestdanmark'!$I$3:$I$480,'Resultater - Vestdanmark'!$J$3:$J$480)),'Resultater - Vestdanmark'!$F$3:$F$480,A21),SUMIFS(IF(C21=År1,'Resultater - Østdanmark'!$H$3:$H$480,IF(C21=År2,'Resultater - Østdanmark'!$I$3:$I$480,'Resultater - Østdanmark'!$J$3:$J$480)),'Resultater - Østdanmark'!$F$3:$F$480,A21))</f>
        <v>#REF!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9" t="e">
        <f>IF(B22="Vestdanmark",SUMIFS(IF(C22=År1,'Resultater - Vestdanmark'!$H$3:$H$480,IF(C22=År2,'Resultater - Vestdanmark'!$I$3:$I$480,'Resultater - Vestdanmark'!$J$3:$J$480)),'Resultater - Vestdanmark'!$F$3:$F$480,A22),SUMIFS(IF(C22=År1,'Resultater - Østdanmark'!$H$3:$H$480,IF(C22=År2,'Resultater - Østdanmark'!$I$3:$I$480,'Resultater - Østdanmark'!$J$3:$J$480)),'Resultater - Østdanmark'!$F$3:$F$480,A22))</f>
        <v>#REF!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9" t="e">
        <f>IF(B23="Vestdanmark",SUMIFS(IF(C23=År1,'Resultater - Vestdanmark'!$H$3:$H$480,IF(C23=År2,'Resultater - Vestdanmark'!$I$3:$I$480,'Resultater - Vestdanmark'!$J$3:$J$480)),'Resultater - Vestdanmark'!$F$3:$F$480,A23),SUMIFS(IF(C23=År1,'Resultater - Østdanmark'!$H$3:$H$480,IF(C23=År2,'Resultater - Østdanmark'!$I$3:$I$480,'Resultater - Østdanmark'!$J$3:$J$480)),'Resultater - Østdanmark'!$F$3:$F$480,A23))</f>
        <v>#REF!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9" t="e">
        <f>IF(B24="Vestdanmark",SUMIFS(IF(C24=År1,'Resultater - Vestdanmark'!$H$3:$H$480,IF(C24=År2,'Resultater - Vestdanmark'!$I$3:$I$480,'Resultater - Vestdanmark'!$J$3:$J$480)),'Resultater - Vestdanmark'!$F$3:$F$480,A24),SUMIFS(IF(C24=År1,'Resultater - Østdanmark'!$H$3:$H$480,IF(C24=År2,'Resultater - Østdanmark'!$I$3:$I$480,'Resultater - Østdanmark'!$J$3:$J$480)),'Resultater - Østdanmark'!$F$3:$F$480,A24))</f>
        <v>#REF!</v>
      </c>
    </row>
    <row r="25" spans="1:4" x14ac:dyDescent="0.25">
      <c r="A25" t="s">
        <v>114</v>
      </c>
      <c r="B25" t="s">
        <v>23</v>
      </c>
      <c r="C25">
        <f t="shared" si="1"/>
        <v>2030</v>
      </c>
      <c r="D25" s="239" t="e">
        <f>IF(B25="Vestdanmark",SUMIFS(IF(C25=År1,'Resultater - Vestdanmark'!$H$3:$H$480,IF(C25=År2,'Resultater - Vestdanmark'!$I$3:$I$480,'Resultater - Vestdanmark'!$J$3:$J$480)),'Resultater - Vestdanmark'!$F$3:$F$480,A25),SUMIFS(IF(C25=År1,'Resultater - Østdanmark'!$H$3:$H$480,IF(C25=År2,'Resultater - Østdanmark'!$I$3:$I$480,'Resultater - Østdanmark'!$J$3:$J$480)),'Resultater - Østdanmark'!$F$3:$F$480,A25))</f>
        <v>#REF!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9" t="e">
        <f>IF(B26="Vestdanmark",SUMIFS(IF(C26=År1,'Resultater - Vestdanmark'!$H$3:$H$480,IF(C26=År2,'Resultater - Vestdanmark'!$I$3:$I$480,'Resultater - Vestdanmark'!$J$3:$J$480)),'Resultater - Vestdanmark'!$F$3:$F$480,A26),SUMIFS(IF(C26=År1,'Resultater - Østdanmark'!$H$3:$H$480,IF(C26=År2,'Resultater - Østdanmark'!$I$3:$I$480,'Resultater - Østdanmark'!$J$3:$J$480)),'Resultater - Østdanmark'!$F$3:$F$480,A26))</f>
        <v>#REF!</v>
      </c>
    </row>
    <row r="27" spans="1:4" x14ac:dyDescent="0.25">
      <c r="A27" t="s">
        <v>96</v>
      </c>
      <c r="B27" t="s">
        <v>23</v>
      </c>
      <c r="C27">
        <f t="shared" si="1"/>
        <v>2030</v>
      </c>
      <c r="D27" s="239" t="e">
        <f>IF(B27="Vestdanmark",SUMIFS(IF(C27=År1,'Resultater - Vestdanmark'!$H$3:$H$480,IF(C27=År2,'Resultater - Vestdanmark'!$I$3:$I$480,'Resultater - Vestdanmark'!$J$3:$J$480)),'Resultater - Vestdanmark'!$F$3:$F$480,A27),SUMIFS(IF(C27=År1,'Resultater - Østdanmark'!$H$3:$H$480,IF(C27=År2,'Resultater - Østdanmark'!$I$3:$I$480,'Resultater - Østdanmark'!$J$3:$J$480)),'Resultater - Østdanmark'!$F$3:$F$480,A27))</f>
        <v>#REF!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9" t="e">
        <f>IF(B28="Vestdanmark",SUMIFS(IF(C28=År1,'Resultater - Vestdanmark'!$H$3:$H$480,IF(C28=År2,'Resultater - Vestdanmark'!$I$3:$I$480,'Resultater - Vestdanmark'!$J$3:$J$480)),'Resultater - Vestdanmark'!$F$3:$F$480,A28),SUMIFS(IF(C28=År1,'Resultater - Østdanmark'!$H$3:$H$480,IF(C28=År2,'Resultater - Østdanmark'!$I$3:$I$480,'Resultater - Østdanmark'!$J$3:$J$480)),'Resultater - Østdanmark'!$F$3:$F$480,A28))</f>
        <v>#REF!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9" t="e">
        <f>IF(B29="Vestdanmark",SUMIFS(IF(C29=År1,'Resultater - Vestdanmark'!$H$3:$H$480,IF(C29=År2,'Resultater - Vestdanmark'!$I$3:$I$480,'Resultater - Vestdanmark'!$J$3:$J$480)),'Resultater - Vestdanmark'!$F$3:$F$480,A29),SUMIFS(IF(C29=År1,'Resultater - Østdanmark'!$H$3:$H$480,IF(C29=År2,'Resultater - Østdanmark'!$I$3:$I$480,'Resultater - Østdanmark'!$J$3:$J$480)),'Resultater - Østdanmark'!$F$3:$F$480,A29))</f>
        <v>#REF!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9" t="e">
        <f>IF(B30="Vestdanmark",SUMIFS(IF(C30=År1,'Resultater - Vestdanmark'!$H$3:$H$480,IF(C30=År2,'Resultater - Vestdanmark'!$I$3:$I$480,'Resultater - Vestdanmark'!$J$3:$J$480)),'Resultater - Vestdanmark'!$F$3:$F$480,A30),SUMIFS(IF(C30=År1,'Resultater - Østdanmark'!$H$3:$H$480,IF(C30=År2,'Resultater - Østdanmark'!$I$3:$I$480,'Resultater - Østdanmark'!$J$3:$J$480)),'Resultater - Østdanmark'!$F$3:$F$480,A30))</f>
        <v>#REF!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9" t="e">
        <f>IF(B31="Vestdanmark",SUMIFS(IF(C31=År1,'Resultater - Vestdanmark'!$H$3:$H$480,IF(C31=År2,'Resultater - Vestdanmark'!$I$3:$I$480,'Resultater - Vestdanmark'!$J$3:$J$480)),'Resultater - Vestdanmark'!$F$3:$F$480,A31),SUMIFS(IF(C31=År1,'Resultater - Østdanmark'!$H$3:$H$480,IF(C31=År2,'Resultater - Østdanmark'!$I$3:$I$480,'Resultater - Østdanmark'!$J$3:$J$480)),'Resultater - Østdanmark'!$F$3:$F$480,A31))</f>
        <v>#REF!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9" t="e">
        <f>IF(B32="Vestdanmark",SUMIFS(IF(C32=År1,'Resultater - Vestdanmark'!$H$3:$H$480,IF(C32=År2,'Resultater - Vestdanmark'!$I$3:$I$480,'Resultater - Vestdanmark'!$J$3:$J$480)),'Resultater - Vestdanmark'!$F$3:$F$480,A32),SUMIFS(IF(C32=År1,'Resultater - Østdanmark'!$H$3:$H$480,IF(C32=År2,'Resultater - Østdanmark'!$I$3:$I$480,'Resultater - Østdanmark'!$J$3:$J$480)),'Resultater - Østdanmark'!$F$3:$F$480,A32))</f>
        <v>#REF!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9" t="e">
        <f>IF(B33="Vestdanmark",SUMIFS(IF(C33=År1,'Resultater - Vestdanmark'!$H$3:$H$480,IF(C33=År2,'Resultater - Vestdanmark'!$I$3:$I$480,'Resultater - Vestdanmark'!$J$3:$J$480)),'Resultater - Vestdanmark'!$F$3:$F$480,A33),SUMIFS(IF(C33=År1,'Resultater - Østdanmark'!$H$3:$H$480,IF(C33=År2,'Resultater - Østdanmark'!$I$3:$I$480,'Resultater - Østdanmark'!$J$3:$J$480)),'Resultater - Østdanmark'!$F$3:$F$480,A33))</f>
        <v>#REF!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9" t="e">
        <f>IF(B34="Vestdanmark",SUMIFS(IF(C34=År1,'Resultater - Vestdanmark'!$H$3:$H$480,IF(C34=År2,'Resultater - Vestdanmark'!$I$3:$I$480,'Resultater - Vestdanmark'!$J$3:$J$480)),'Resultater - Vestdanmark'!$F$3:$F$480,A34),SUMIFS(IF(C34=År1,'Resultater - Østdanmark'!$H$3:$H$480,IF(C34=År2,'Resultater - Østdanmark'!$I$3:$I$480,'Resultater - Østdanmark'!$J$3:$J$480)),'Resultater - Østdanmark'!$F$3:$F$480,A34))</f>
        <v>#REF!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9" t="e">
        <f>IF(B35="Vestdanmark",SUMIFS(IF(C35=År1,'Resultater - Vestdanmark'!$H$3:$H$480,IF(C35=År2,'Resultater - Vestdanmark'!$I$3:$I$480,'Resultater - Vestdanmark'!$J$3:$J$480)),'Resultater - Vestdanmark'!$F$3:$F$480,A35),SUMIFS(IF(C35=År1,'Resultater - Østdanmark'!$H$3:$H$480,IF(C35=År2,'Resultater - Østdanmark'!$I$3:$I$480,'Resultater - Østdanmark'!$J$3:$J$480)),'Resultater - Østdanmark'!$F$3:$F$480,A35))</f>
        <v>#REF!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9" t="e">
        <f>IF(B36="Vestdanmark",SUMIFS(IF(C36=År1,'Resultater - Vestdanmark'!$H$3:$H$480,IF(C36=År2,'Resultater - Vestdanmark'!$I$3:$I$480,'Resultater - Vestdanmark'!$J$3:$J$480)),'Resultater - Vestdanmark'!$F$3:$F$480,A36),SUMIFS(IF(C36=År1,'Resultater - Østdanmark'!$H$3:$H$480,IF(C36=År2,'Resultater - Østdanmark'!$I$3:$I$480,'Resultater - Østdanmark'!$J$3:$J$480)),'Resultater - Østdanmark'!$F$3:$F$480,A36))</f>
        <v>#REF!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9" t="e">
        <f>IF(B37="Vestdanmark",SUMIFS(IF(C37=År1,'Resultater - Vestdanmark'!$H$3:$H$480,IF(C37=År2,'Resultater - Vestdanmark'!$I$3:$I$480,'Resultater - Vestdanmark'!$J$3:$J$480)),'Resultater - Vestdanmark'!$F$3:$F$480,A37),SUMIFS(IF(C37=År1,'Resultater - Østdanmark'!$H$3:$H$480,IF(C37=År2,'Resultater - Østdanmark'!$I$3:$I$480,'Resultater - Østdanmark'!$J$3:$J$480)),'Resultater - Østdanmark'!$F$3:$F$480,A37))</f>
        <v>#REF!</v>
      </c>
    </row>
    <row r="38" spans="1:4" x14ac:dyDescent="0.25">
      <c r="A38" t="s">
        <v>114</v>
      </c>
      <c r="B38" t="s">
        <v>23</v>
      </c>
      <c r="C38">
        <f t="shared" si="2"/>
        <v>2050</v>
      </c>
      <c r="D38" s="239" t="e">
        <f>IF(B38="Vestdanmark",SUMIFS(IF(C38=År1,'Resultater - Vestdanmark'!$H$3:$H$480,IF(C38=År2,'Resultater - Vestdanmark'!$I$3:$I$480,'Resultater - Vestdanmark'!$J$3:$J$480)),'Resultater - Vestdanmark'!$F$3:$F$480,A38),SUMIFS(IF(C38=År1,'Resultater - Østdanmark'!$H$3:$H$480,IF(C38=År2,'Resultater - Østdanmark'!$I$3:$I$480,'Resultater - Østdanmark'!$J$3:$J$480)),'Resultater - Østdanmark'!$F$3:$F$480,A38))</f>
        <v>#REF!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9" t="e">
        <f>IF(B39="Vestdanmark",SUMIFS(IF(C39=År1,'Resultater - Vestdanmark'!$H$3:$H$480,IF(C39=År2,'Resultater - Vestdanmark'!$I$3:$I$480,'Resultater - Vestdanmark'!$J$3:$J$480)),'Resultater - Vestdanmark'!$F$3:$F$480,A39),SUMIFS(IF(C39=År1,'Resultater - Østdanmark'!$H$3:$H$480,IF(C39=År2,'Resultater - Østdanmark'!$I$3:$I$480,'Resultater - Østdanmark'!$J$3:$J$480)),'Resultater - Østdanmark'!$F$3:$F$480,A39))</f>
        <v>#REF!</v>
      </c>
    </row>
    <row r="40" spans="1:4" x14ac:dyDescent="0.25">
      <c r="A40" t="s">
        <v>96</v>
      </c>
      <c r="B40" t="s">
        <v>23</v>
      </c>
      <c r="C40">
        <f t="shared" si="2"/>
        <v>2050</v>
      </c>
      <c r="D40" s="239" t="e">
        <f>IF(B40="Vestdanmark",SUMIFS(IF(C40=År1,'Resultater - Vestdanmark'!$H$3:$H$480,IF(C40=År2,'Resultater - Vestdanmark'!$I$3:$I$480,'Resultater - Vestdanmark'!$J$3:$J$480)),'Resultater - Vestdanmark'!$F$3:$F$480,A40),SUMIFS(IF(C40=År1,'Resultater - Østdanmark'!$H$3:$H$480,IF(C40=År2,'Resultater - Østdanmark'!$I$3:$I$480,'Resultater - Østdanmark'!$J$3:$J$480)),'Resultater - Østdanmark'!$F$3:$F$480,A40))</f>
        <v>#REF!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9" t="e">
        <f>IF(B41="Vestdanmark",SUMIFS(IF(C41=År1,'Resultater - Vestdanmark'!$H$3:$H$480,IF(C41=År2,'Resultater - Vestdanmark'!$I$3:$I$480,'Resultater - Vestdanmark'!$J$3:$J$480)),'Resultater - Vestdanmark'!$F$3:$F$480,A41),SUMIFS(IF(C41=År1,'Resultater - Østdanmark'!$H$3:$H$480,IF(C41=År2,'Resultater - Østdanmark'!$I$3:$I$480,'Resultater - Østdanmark'!$J$3:$J$480)),'Resultater - Østdanmark'!$F$3:$F$480,A41))</f>
        <v>#REF!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9" t="e">
        <f>IF(B42="Vestdanmark",SUMIFS(IF(C42=År1,'Resultater - Vestdanmark'!$H$3:$H$480,IF(C42=År2,'Resultater - Vestdanmark'!$I$3:$I$480,'Resultater - Vestdanmark'!$J$3:$J$480)),'Resultater - Vestdanmark'!$F$3:$F$480,A42),SUMIFS(IF(C42=År1,'Resultater - Østdanmark'!$H$3:$H$480,IF(C42=År2,'Resultater - Østdanmark'!$I$3:$I$480,'Resultater - Østdanmark'!$J$3:$J$480)),'Resultater - Østdanmark'!$F$3:$F$480,A42))</f>
        <v>#REF!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9" t="e">
        <f>IF(B43="Vestdanmark",SUMIFS(IF(C43=År1,'Resultater - Vestdanmark'!$H$3:$H$480,IF(C43=År2,'Resultater - Vestdanmark'!$I$3:$I$480,'Resultater - Vestdanmark'!$J$3:$J$480)),'Resultater - Vestdanmark'!$F$3:$F$480,A43),SUMIFS(IF(C43=År1,'Resultater - Østdanmark'!$H$3:$H$480,IF(C43=År2,'Resultater - Østdanmark'!$I$3:$I$480,'Resultater - Østdanmark'!$J$3:$J$480)),'Resultater - Østdanmark'!$F$3:$F$480,A43))</f>
        <v>#REF!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9" t="e">
        <f>IF(B44="Vestdanmark",SUMIFS(IF(C44=År1,'Resultater - Vestdanmark'!$H$3:$H$480,IF(C44=År2,'Resultater - Vestdanmark'!$I$3:$I$480,'Resultater - Vestdanmark'!$J$3:$J$480)),'Resultater - Vestdanmark'!$F$3:$F$480,A44),SUMIFS(IF(C44=År1,'Resultater - Østdanmark'!$H$3:$H$480,IF(C44=År2,'Resultater - Østdanmark'!$I$3:$I$480,'Resultater - Østdanmark'!$J$3:$J$480)),'Resultater - Østdanmark'!$F$3:$F$480,A44))</f>
        <v>#REF!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9" t="e">
        <f>IF(B45="Vestdanmark",SUMIFS(IF(C45=År1,'Resultater - Vestdanmark'!$H$3:$H$480,IF(C45=År2,'Resultater - Vestdanmark'!$I$3:$I$480,'Resultater - Vestdanmark'!$J$3:$J$480)),'Resultater - Vestdanmark'!$F$3:$F$480,A45),SUMIFS(IF(C45=År1,'Resultater - Østdanmark'!$H$3:$H$480,IF(C45=År2,'Resultater - Østdanmark'!$I$3:$I$480,'Resultater - Østdanmark'!$J$3:$J$480)),'Resultater - Østdanmark'!$F$3:$F$480,A45))</f>
        <v>#REF!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9" t="e">
        <f>IF(B46="Vestdanmark",SUMIFS(IF(C46=År1,'Resultater - Vestdanmark'!$H$3:$H$480,IF(C46=År2,'Resultater - Vestdanmark'!$I$3:$I$480,'Resultater - Vestdanmark'!$J$3:$J$480)),'Resultater - Vestdanmark'!$F$3:$F$480,A46),SUMIFS(IF(C46=År1,'Resultater - Østdanmark'!$H$3:$H$480,IF(C46=År2,'Resultater - Østdanmark'!$I$3:$I$480,'Resultater - Østdanmark'!$J$3:$J$480)),'Resultater - Østdanmark'!$F$3:$F$480,A46))</f>
        <v>#REF!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9" t="e">
        <f>IF(B47="Vestdanmark",SUMIFS(IF(C47=År1,'Resultater - Vestdanmark'!$H$3:$H$480,IF(C47=År2,'Resultater - Vestdanmark'!$I$3:$I$480,'Resultater - Vestdanmark'!$J$3:$J$480)),'Resultater - Vestdanmark'!$F$3:$F$480,A47),SUMIFS(IF(C47=År1,'Resultater - Østdanmark'!$H$3:$H$480,IF(C47=År2,'Resultater - Østdanmark'!$I$3:$I$480,'Resultater - Østdanmark'!$J$3:$J$480)),'Resultater - Østdanmark'!$F$3:$F$480,A47))</f>
        <v>#REF!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9" t="e">
        <f>IF(B48="Vestdanmark",SUMIFS(IF(C48=År1,'Resultater - Vestdanmark'!$H$3:$H$480,IF(C48=År2,'Resultater - Vestdanmark'!$I$3:$I$480,'Resultater - Vestdanmark'!$J$3:$J$480)),'Resultater - Vestdanmark'!$F$3:$F$480,A48),SUMIFS(IF(C48=År1,'Resultater - Østdanmark'!$H$3:$H$480,IF(C48=År2,'Resultater - Østdanmark'!$I$3:$I$480,'Resultater - Østdanmark'!$J$3:$J$480)),'Resultater - Østdanmark'!$F$3:$F$480,A48))</f>
        <v>#REF!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9" t="e">
        <f>IF(B49="Vestdanmark",SUMIFS(IF(C49=År1,'Resultater - Vestdanmark'!$H$3:$H$480,IF(C49=År2,'Resultater - Vestdanmark'!$I$3:$I$480,'Resultater - Vestdanmark'!$J$3:$J$480)),'Resultater - Vestdanmark'!$F$3:$F$480,A49),SUMIFS(IF(C49=År1,'Resultater - Østdanmark'!$H$3:$H$480,IF(C49=År2,'Resultater - Østdanmark'!$I$3:$I$480,'Resultater - Østdanmark'!$J$3:$J$480)),'Resultater - Østdanmark'!$F$3:$F$480,A49))</f>
        <v>#REF!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9" t="e">
        <f>IF(B50="Vestdanmark",SUMIFS(IF(C50=År1,'Resultater - Vestdanmark'!$H$3:$H$480,IF(C50=År2,'Resultater - Vestdanmark'!$I$3:$I$480,'Resultater - Vestdanmark'!$J$3:$J$480)),'Resultater - Vestdanmark'!$F$3:$F$480,A50),SUMIFS(IF(C50=År1,'Resultater - Østdanmark'!$H$3:$H$480,IF(C50=År2,'Resultater - Østdanmark'!$I$3:$I$480,'Resultater - Østdanmark'!$J$3:$J$480)),'Resultater - Østdanmark'!$F$3:$F$480,A50))</f>
        <v>#REF!</v>
      </c>
    </row>
    <row r="51" spans="1:4" x14ac:dyDescent="0.25">
      <c r="A51" t="s">
        <v>114</v>
      </c>
      <c r="B51" t="s">
        <v>24</v>
      </c>
      <c r="C51">
        <f t="shared" si="3"/>
        <v>2019</v>
      </c>
      <c r="D51" s="239" t="e">
        <f>IF(B51="Vestdanmark",SUMIFS(IF(C51=År1,'Resultater - Vestdanmark'!$H$3:$H$480,IF(C51=År2,'Resultater - Vestdanmark'!$I$3:$I$480,'Resultater - Vestdanmark'!$J$3:$J$480)),'Resultater - Vestdanmark'!$F$3:$F$480,A51),SUMIFS(IF(C51=År1,'Resultater - Østdanmark'!$H$3:$H$480,IF(C51=År2,'Resultater - Østdanmark'!$I$3:$I$480,'Resultater - Østdanmark'!$J$3:$J$480)),'Resultater - Østdanmark'!$F$3:$F$480,A51))</f>
        <v>#REF!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9" t="e">
        <f>IF(B52="Vestdanmark",SUMIFS(IF(C52=År1,'Resultater - Vestdanmark'!$H$3:$H$480,IF(C52=År2,'Resultater - Vestdanmark'!$I$3:$I$480,'Resultater - Vestdanmark'!$J$3:$J$480)),'Resultater - Vestdanmark'!$F$3:$F$480,A52),SUMIFS(IF(C52=År1,'Resultater - Østdanmark'!$H$3:$H$480,IF(C52=År2,'Resultater - Østdanmark'!$I$3:$I$480,'Resultater - Østdanmark'!$J$3:$J$480)),'Resultater - Østdanmark'!$F$3:$F$480,A52))</f>
        <v>#REF!</v>
      </c>
    </row>
    <row r="53" spans="1:4" x14ac:dyDescent="0.25">
      <c r="A53" t="s">
        <v>96</v>
      </c>
      <c r="B53" t="s">
        <v>24</v>
      </c>
      <c r="C53">
        <f t="shared" si="3"/>
        <v>2019</v>
      </c>
      <c r="D53" s="239" t="e">
        <f>IF(B53="Vestdanmark",SUMIFS(IF(C53=År1,'Resultater - Vestdanmark'!$H$3:$H$480,IF(C53=År2,'Resultater - Vestdanmark'!$I$3:$I$480,'Resultater - Vestdanmark'!$J$3:$J$480)),'Resultater - Vestdanmark'!$F$3:$F$480,A53),SUMIFS(IF(C53=År1,'Resultater - Østdanmark'!$H$3:$H$480,IF(C53=År2,'Resultater - Østdanmark'!$I$3:$I$480,'Resultater - Østdanmark'!$J$3:$J$480)),'Resultater - Østdanmark'!$F$3:$F$480,A53))</f>
        <v>#REF!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9" t="e">
        <f>IF(B54="Vestdanmark",SUMIFS(IF(C54=År1,'Resultater - Vestdanmark'!$H$3:$H$480,IF(C54=År2,'Resultater - Vestdanmark'!$I$3:$I$480,'Resultater - Vestdanmark'!$J$3:$J$480)),'Resultater - Vestdanmark'!$F$3:$F$480,A54),SUMIFS(IF(C54=År1,'Resultater - Østdanmark'!$H$3:$H$480,IF(C54=År2,'Resultater - Østdanmark'!$I$3:$I$480,'Resultater - Østdanmark'!$J$3:$J$480)),'Resultater - Østdanmark'!$F$3:$F$480,A54))</f>
        <v>#REF!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9" t="e">
        <f>IF(B55="Vestdanmark",SUMIFS(IF(C55=År1,'Resultater - Vestdanmark'!$H$3:$H$480,IF(C55=År2,'Resultater - Vestdanmark'!$I$3:$I$480,'Resultater - Vestdanmark'!$J$3:$J$480)),'Resultater - Vestdanmark'!$F$3:$F$480,A55),SUMIFS(IF(C55=År1,'Resultater - Østdanmark'!$H$3:$H$480,IF(C55=År2,'Resultater - Østdanmark'!$I$3:$I$480,'Resultater - Østdanmark'!$J$3:$J$480)),'Resultater - Østdanmark'!$F$3:$F$480,A55))</f>
        <v>#REF!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9" t="e">
        <f>IF(B56="Vestdanmark",SUMIFS(IF(C56=År1,'Resultater - Vestdanmark'!$H$3:$H$480,IF(C56=År2,'Resultater - Vestdanmark'!$I$3:$I$480,'Resultater - Vestdanmark'!$J$3:$J$480)),'Resultater - Vestdanmark'!$F$3:$F$480,A56),SUMIFS(IF(C56=År1,'Resultater - Østdanmark'!$H$3:$H$480,IF(C56=År2,'Resultater - Østdanmark'!$I$3:$I$480,'Resultater - Østdanmark'!$J$3:$J$480)),'Resultater - Østdanmark'!$F$3:$F$480,A56))</f>
        <v>#REF!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9" t="e">
        <f>IF(B57="Vestdanmark",SUMIFS(IF(C57=År1,'Resultater - Vestdanmark'!$H$3:$H$480,IF(C57=År2,'Resultater - Vestdanmark'!$I$3:$I$480,'Resultater - Vestdanmark'!$J$3:$J$480)),'Resultater - Vestdanmark'!$F$3:$F$480,A57),SUMIFS(IF(C57=År1,'Resultater - Østdanmark'!$H$3:$H$480,IF(C57=År2,'Resultater - Østdanmark'!$I$3:$I$480,'Resultater - Østdanmark'!$J$3:$J$480)),'Resultater - Østdanmark'!$F$3:$F$480,A57))</f>
        <v>#REF!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9" t="e">
        <f>IF(B58="Vestdanmark",SUMIFS(IF(C58=År1,'Resultater - Vestdanmark'!$H$3:$H$480,IF(C58=År2,'Resultater - Vestdanmark'!$I$3:$I$480,'Resultater - Vestdanmark'!$J$3:$J$480)),'Resultater - Vestdanmark'!$F$3:$F$480,A58),SUMIFS(IF(C58=År1,'Resultater - Østdanmark'!$H$3:$H$480,IF(C58=År2,'Resultater - Østdanmark'!$I$3:$I$480,'Resultater - Østdanmark'!$J$3:$J$480)),'Resultater - Østdanmark'!$F$3:$F$480,A58))</f>
        <v>#REF!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9" t="e">
        <f>IF(B59="Vestdanmark",SUMIFS(IF(C59=År1,'Resultater - Vestdanmark'!$H$3:$H$480,IF(C59=År2,'Resultater - Vestdanmark'!$I$3:$I$480,'Resultater - Vestdanmark'!$J$3:$J$480)),'Resultater - Vestdanmark'!$F$3:$F$480,A59),SUMIFS(IF(C59=År1,'Resultater - Østdanmark'!$H$3:$H$480,IF(C59=År2,'Resultater - Østdanmark'!$I$3:$I$480,'Resultater - Østdanmark'!$J$3:$J$480)),'Resultater - Østdanmark'!$F$3:$F$480,A59))</f>
        <v>#REF!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9" t="e">
        <f>IF(B60="Vestdanmark",SUMIFS(IF(C60=År1,'Resultater - Vestdanmark'!$H$3:$H$480,IF(C60=År2,'Resultater - Vestdanmark'!$I$3:$I$480,'Resultater - Vestdanmark'!$J$3:$J$480)),'Resultater - Vestdanmark'!$F$3:$F$480,A60),SUMIFS(IF(C60=År1,'Resultater - Østdanmark'!$H$3:$H$480,IF(C60=År2,'Resultater - Østdanmark'!$I$3:$I$480,'Resultater - Østdanmark'!$J$3:$J$480)),'Resultater - Østdanmark'!$F$3:$F$480,A60))</f>
        <v>#REF!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9" t="e">
        <f>IF(B61="Vestdanmark",SUMIFS(IF(C61=År1,'Resultater - Vestdanmark'!$H$3:$H$480,IF(C61=År2,'Resultater - Vestdanmark'!$I$3:$I$480,'Resultater - Vestdanmark'!$J$3:$J$480)),'Resultater - Vestdanmark'!$F$3:$F$480,A61),SUMIFS(IF(C61=År1,'Resultater - Østdanmark'!$H$3:$H$480,IF(C61=År2,'Resultater - Østdanmark'!$I$3:$I$480,'Resultater - Østdanmark'!$J$3:$J$480)),'Resultater - Østdanmark'!$F$3:$F$480,A61))</f>
        <v>#REF!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9" t="e">
        <f>IF(B62="Vestdanmark",SUMIFS(IF(C62=År1,'Resultater - Vestdanmark'!$H$3:$H$480,IF(C62=År2,'Resultater - Vestdanmark'!$I$3:$I$480,'Resultater - Vestdanmark'!$J$3:$J$480)),'Resultater - Vestdanmark'!$F$3:$F$480,A62),SUMIFS(IF(C62=År1,'Resultater - Østdanmark'!$H$3:$H$480,IF(C62=År2,'Resultater - Østdanmark'!$I$3:$I$480,'Resultater - Østdanmark'!$J$3:$J$480)),'Resultater - Østdanmark'!$F$3:$F$480,A62))</f>
        <v>#REF!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9" t="e">
        <f>IF(B63="Vestdanmark",SUMIFS(IF(C63=År1,'Resultater - Vestdanmark'!$H$3:$H$480,IF(C63=År2,'Resultater - Vestdanmark'!$I$3:$I$480,'Resultater - Vestdanmark'!$J$3:$J$480)),'Resultater - Vestdanmark'!$F$3:$F$480,A63),SUMIFS(IF(C63=År1,'Resultater - Østdanmark'!$H$3:$H$480,IF(C63=År2,'Resultater - Østdanmark'!$I$3:$I$480,'Resultater - Østdanmark'!$J$3:$J$480)),'Resultater - Østdanmark'!$F$3:$F$480,A63))</f>
        <v>#REF!</v>
      </c>
    </row>
    <row r="64" spans="1:4" x14ac:dyDescent="0.25">
      <c r="A64" t="s">
        <v>114</v>
      </c>
      <c r="B64" t="s">
        <v>24</v>
      </c>
      <c r="C64">
        <f t="shared" si="4"/>
        <v>2030</v>
      </c>
      <c r="D64" s="239" t="e">
        <f>IF(B64="Vestdanmark",SUMIFS(IF(C64=År1,'Resultater - Vestdanmark'!$H$3:$H$480,IF(C64=År2,'Resultater - Vestdanmark'!$I$3:$I$480,'Resultater - Vestdanmark'!$J$3:$J$480)),'Resultater - Vestdanmark'!$F$3:$F$480,A64),SUMIFS(IF(C64=År1,'Resultater - Østdanmark'!$H$3:$H$480,IF(C64=År2,'Resultater - Østdanmark'!$I$3:$I$480,'Resultater - Østdanmark'!$J$3:$J$480)),'Resultater - Østdanmark'!$F$3:$F$480,A64))</f>
        <v>#REF!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9" t="e">
        <f>IF(B65="Vestdanmark",SUMIFS(IF(C65=År1,'Resultater - Vestdanmark'!$H$3:$H$480,IF(C65=År2,'Resultater - Vestdanmark'!$I$3:$I$480,'Resultater - Vestdanmark'!$J$3:$J$480)),'Resultater - Vestdanmark'!$F$3:$F$480,A65),SUMIFS(IF(C65=År1,'Resultater - Østdanmark'!$H$3:$H$480,IF(C65=År2,'Resultater - Østdanmark'!$I$3:$I$480,'Resultater - Østdanmark'!$J$3:$J$480)),'Resultater - Østdanmark'!$F$3:$F$480,A65))</f>
        <v>#REF!</v>
      </c>
    </row>
    <row r="66" spans="1:4" x14ac:dyDescent="0.25">
      <c r="A66" t="s">
        <v>96</v>
      </c>
      <c r="B66" t="s">
        <v>24</v>
      </c>
      <c r="C66">
        <f t="shared" si="4"/>
        <v>2030</v>
      </c>
      <c r="D66" s="239" t="e">
        <f>IF(B66="Vestdanmark",SUMIFS(IF(C66=År1,'Resultater - Vestdanmark'!$H$3:$H$480,IF(C66=År2,'Resultater - Vestdanmark'!$I$3:$I$480,'Resultater - Vestdanmark'!$J$3:$J$480)),'Resultater - Vestdanmark'!$F$3:$F$480,A66),SUMIFS(IF(C66=År1,'Resultater - Østdanmark'!$H$3:$H$480,IF(C66=År2,'Resultater - Østdanmark'!$I$3:$I$480,'Resultater - Østdanmark'!$J$3:$J$480)),'Resultater - Østdanmark'!$F$3:$F$480,A66))</f>
        <v>#REF!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9" t="e">
        <f>IF(B67="Vestdanmark",SUMIFS(IF(C67=År1,'Resultater - Vestdanmark'!$H$3:$H$480,IF(C67=År2,'Resultater - Vestdanmark'!$I$3:$I$480,'Resultater - Vestdanmark'!$J$3:$J$480)),'Resultater - Vestdanmark'!$F$3:$F$480,A67),SUMIFS(IF(C67=År1,'Resultater - Østdanmark'!$H$3:$H$480,IF(C67=År2,'Resultater - Østdanmark'!$I$3:$I$480,'Resultater - Østdanmark'!$J$3:$J$480)),'Resultater - Østdanmark'!$F$3:$F$480,A67))</f>
        <v>#REF!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9" t="e">
        <f>IF(B68="Vestdanmark",SUMIFS(IF(C68=År1,'Resultater - Vestdanmark'!$H$3:$H$480,IF(C68=År2,'Resultater - Vestdanmark'!$I$3:$I$480,'Resultater - Vestdanmark'!$J$3:$J$480)),'Resultater - Vestdanmark'!$F$3:$F$480,A68),SUMIFS(IF(C68=År1,'Resultater - Østdanmark'!$H$3:$H$480,IF(C68=År2,'Resultater - Østdanmark'!$I$3:$I$480,'Resultater - Østdanmark'!$J$3:$J$480)),'Resultater - Østdanmark'!$F$3:$F$480,A68))</f>
        <v>#REF!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9" t="e">
        <f>IF(B69="Vestdanmark",SUMIFS(IF(C69=År1,'Resultater - Vestdanmark'!$H$3:$H$480,IF(C69=År2,'Resultater - Vestdanmark'!$I$3:$I$480,'Resultater - Vestdanmark'!$J$3:$J$480)),'Resultater - Vestdanmark'!$F$3:$F$480,A69),SUMIFS(IF(C69=År1,'Resultater - Østdanmark'!$H$3:$H$480,IF(C69=År2,'Resultater - Østdanmark'!$I$3:$I$480,'Resultater - Østdanmark'!$J$3:$J$480)),'Resultater - Østdanmark'!$F$3:$F$480,A69))</f>
        <v>#REF!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9" t="e">
        <f>IF(B70="Vestdanmark",SUMIFS(IF(C70=År1,'Resultater - Vestdanmark'!$H$3:$H$480,IF(C70=År2,'Resultater - Vestdanmark'!$I$3:$I$480,'Resultater - Vestdanmark'!$J$3:$J$480)),'Resultater - Vestdanmark'!$F$3:$F$480,A70),SUMIFS(IF(C70=År1,'Resultater - Østdanmark'!$H$3:$H$480,IF(C70=År2,'Resultater - Østdanmark'!$I$3:$I$480,'Resultater - Østdanmark'!$J$3:$J$480)),'Resultater - Østdanmark'!$F$3:$F$480,A70))</f>
        <v>#REF!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9" t="e">
        <f>IF(B71="Vestdanmark",SUMIFS(IF(C71=År1,'Resultater - Vestdanmark'!$H$3:$H$480,IF(C71=År2,'Resultater - Vestdanmark'!$I$3:$I$480,'Resultater - Vestdanmark'!$J$3:$J$480)),'Resultater - Vestdanmark'!$F$3:$F$480,A71),SUMIFS(IF(C71=År1,'Resultater - Østdanmark'!$H$3:$H$480,IF(C71=År2,'Resultater - Østdanmark'!$I$3:$I$480,'Resultater - Østdanmark'!$J$3:$J$480)),'Resultater - Østdanmark'!$F$3:$F$480,A71))</f>
        <v>#REF!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9" t="e">
        <f>IF(B72="Vestdanmark",SUMIFS(IF(C72=År1,'Resultater - Vestdanmark'!$H$3:$H$480,IF(C72=År2,'Resultater - Vestdanmark'!$I$3:$I$480,'Resultater - Vestdanmark'!$J$3:$J$480)),'Resultater - Vestdanmark'!$F$3:$F$480,A72),SUMIFS(IF(C72=År1,'Resultater - Østdanmark'!$H$3:$H$480,IF(C72=År2,'Resultater - Østdanmark'!$I$3:$I$480,'Resultater - Østdanmark'!$J$3:$J$480)),'Resultater - Østdanmark'!$F$3:$F$480,A72))</f>
        <v>#REF!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9" t="e">
        <f>IF(B73="Vestdanmark",SUMIFS(IF(C73=År1,'Resultater - Vestdanmark'!$H$3:$H$480,IF(C73=År2,'Resultater - Vestdanmark'!$I$3:$I$480,'Resultater - Vestdanmark'!$J$3:$J$480)),'Resultater - Vestdanmark'!$F$3:$F$480,A73),SUMIFS(IF(C73=År1,'Resultater - Østdanmark'!$H$3:$H$480,IF(C73=År2,'Resultater - Østdanmark'!$I$3:$I$480,'Resultater - Østdanmark'!$J$3:$J$480)),'Resultater - Østdanmark'!$F$3:$F$480,A73))</f>
        <v>#REF!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9" t="e">
        <f>IF(B74="Vestdanmark",SUMIFS(IF(C74=År1,'Resultater - Vestdanmark'!$H$3:$H$480,IF(C74=År2,'Resultater - Vestdanmark'!$I$3:$I$480,'Resultater - Vestdanmark'!$J$3:$J$480)),'Resultater - Vestdanmark'!$F$3:$F$480,A74),SUMIFS(IF(C74=År1,'Resultater - Østdanmark'!$H$3:$H$480,IF(C74=År2,'Resultater - Østdanmark'!$I$3:$I$480,'Resultater - Østdanmark'!$J$3:$J$480)),'Resultater - Østdanmark'!$F$3:$F$480,A74))</f>
        <v>#REF!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9" t="e">
        <f>IF(B75="Vestdanmark",SUMIFS(IF(C75=År1,'Resultater - Vestdanmark'!$H$3:$H$480,IF(C75=År2,'Resultater - Vestdanmark'!$I$3:$I$480,'Resultater - Vestdanmark'!$J$3:$J$480)),'Resultater - Vestdanmark'!$F$3:$F$480,A75),SUMIFS(IF(C75=År1,'Resultater - Østdanmark'!$H$3:$H$480,IF(C75=År2,'Resultater - Østdanmark'!$I$3:$I$480,'Resultater - Østdanmark'!$J$3:$J$480)),'Resultater - Østdanmark'!$F$3:$F$480,A75))</f>
        <v>#REF!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9" t="e">
        <f>IF(B76="Vestdanmark",SUMIFS(IF(C76=År1,'Resultater - Vestdanmark'!$H$3:$H$480,IF(C76=År2,'Resultater - Vestdanmark'!$I$3:$I$480,'Resultater - Vestdanmark'!$J$3:$J$480)),'Resultater - Vestdanmark'!$F$3:$F$480,A76),SUMIFS(IF(C76=År1,'Resultater - Østdanmark'!$H$3:$H$480,IF(C76=År2,'Resultater - Østdanmark'!$I$3:$I$480,'Resultater - Østdanmark'!$J$3:$J$480)),'Resultater - Østdanmark'!$F$3:$F$480,A76))</f>
        <v>#REF!</v>
      </c>
    </row>
    <row r="77" spans="1:4" x14ac:dyDescent="0.25">
      <c r="A77" t="s">
        <v>114</v>
      </c>
      <c r="B77" t="s">
        <v>24</v>
      </c>
      <c r="C77">
        <f t="shared" si="5"/>
        <v>2050</v>
      </c>
      <c r="D77" s="239" t="e">
        <f>IF(B77="Vestdanmark",SUMIFS(IF(C77=År1,'Resultater - Vestdanmark'!$H$3:$H$480,IF(C77=År2,'Resultater - Vestdanmark'!$I$3:$I$480,'Resultater - Vestdanmark'!$J$3:$J$480)),'Resultater - Vestdanmark'!$F$3:$F$480,A77),SUMIFS(IF(C77=År1,'Resultater - Østdanmark'!$H$3:$H$480,IF(C77=År2,'Resultater - Østdanmark'!$I$3:$I$480,'Resultater - Østdanmark'!$J$3:$J$480)),'Resultater - Østdanmark'!$F$3:$F$480,A77))</f>
        <v>#REF!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9" t="e">
        <f>IF(B78="Vestdanmark",SUMIFS(IF(C78=År1,'Resultater - Vestdanmark'!$H$3:$H$480,IF(C78=År2,'Resultater - Vestdanmark'!$I$3:$I$480,'Resultater - Vestdanmark'!$J$3:$J$480)),'Resultater - Vestdanmark'!$F$3:$F$480,A78),SUMIFS(IF(C78=År1,'Resultater - Østdanmark'!$H$3:$H$480,IF(C78=År2,'Resultater - Østdanmark'!$I$3:$I$480,'Resultater - Østdanmark'!$J$3:$J$480)),'Resultater - Østdanmark'!$F$3:$F$480,A78))</f>
        <v>#REF!</v>
      </c>
    </row>
    <row r="79" spans="1:4" x14ac:dyDescent="0.25">
      <c r="A79" t="s">
        <v>96</v>
      </c>
      <c r="B79" t="s">
        <v>24</v>
      </c>
      <c r="C79">
        <f t="shared" si="5"/>
        <v>2050</v>
      </c>
      <c r="D79" s="239" t="e">
        <f>IF(B79="Vestdanmark",SUMIFS(IF(C79=År1,'Resultater - Vestdanmark'!$H$3:$H$480,IF(C79=År2,'Resultater - Vestdanmark'!$I$3:$I$480,'Resultater - Vestdanmark'!$J$3:$J$480)),'Resultater - Vestdanmark'!$F$3:$F$480,A79),SUMIFS(IF(C79=År1,'Resultater - Østdanmark'!$H$3:$H$480,IF(C79=År2,'Resultater - Østdanmark'!$I$3:$I$480,'Resultater - Østdanmark'!$J$3:$J$480)),'Resultater - Østdanmark'!$F$3:$F$480,A79))</f>
        <v>#REF!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194</v>
      </c>
      <c r="B4" s="77" t="s">
        <v>62</v>
      </c>
    </row>
    <row r="5" spans="1:4" x14ac:dyDescent="0.25">
      <c r="A5" s="77" t="s">
        <v>60</v>
      </c>
      <c r="B5" s="171" t="s">
        <v>120</v>
      </c>
      <c r="C5" s="171" t="s">
        <v>119</v>
      </c>
      <c r="D5" s="171" t="s">
        <v>61</v>
      </c>
    </row>
    <row r="6" spans="1:4" x14ac:dyDescent="0.25">
      <c r="A6" s="78">
        <v>2019</v>
      </c>
      <c r="B6" s="241">
        <v>3010238.4923246857</v>
      </c>
      <c r="C6" s="241">
        <v>827693.20492220437</v>
      </c>
      <c r="D6" s="241">
        <v>3837931.69724689</v>
      </c>
    </row>
    <row r="7" spans="1:4" x14ac:dyDescent="0.25">
      <c r="A7" s="78">
        <v>2030</v>
      </c>
      <c r="B7" s="241">
        <v>2848752.9835421797</v>
      </c>
      <c r="C7" s="241">
        <v>783291.25515859458</v>
      </c>
      <c r="D7" s="241">
        <v>3632044.2387007745</v>
      </c>
    </row>
    <row r="8" spans="1:4" x14ac:dyDescent="0.25">
      <c r="A8" s="78">
        <v>2050</v>
      </c>
      <c r="B8" s="241">
        <v>2586246.4663030161</v>
      </c>
      <c r="C8" s="241">
        <v>712825.86568798381</v>
      </c>
      <c r="D8" s="241">
        <v>3299072.3319910001</v>
      </c>
    </row>
    <row r="9" spans="1:4" x14ac:dyDescent="0.25">
      <c r="A9" s="78" t="s">
        <v>61</v>
      </c>
      <c r="B9" s="241">
        <v>8445237.9421698824</v>
      </c>
      <c r="C9" s="241">
        <v>2323810.3257687828</v>
      </c>
      <c r="D9" s="241">
        <v>10769048.267938664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194</v>
      </c>
      <c r="B4" s="77" t="s">
        <v>62</v>
      </c>
    </row>
    <row r="5" spans="1:4" x14ac:dyDescent="0.25">
      <c r="A5" s="77" t="s">
        <v>60</v>
      </c>
      <c r="B5" s="171" t="s">
        <v>107</v>
      </c>
      <c r="C5" s="171" t="s">
        <v>100</v>
      </c>
      <c r="D5" s="171" t="s">
        <v>61</v>
      </c>
    </row>
    <row r="6" spans="1:4" x14ac:dyDescent="0.25">
      <c r="A6" s="78">
        <v>2019</v>
      </c>
      <c r="B6" s="241">
        <v>880.09999999999991</v>
      </c>
      <c r="C6" s="241">
        <v>76.5</v>
      </c>
      <c r="D6" s="241">
        <v>956.59999999999991</v>
      </c>
    </row>
    <row r="7" spans="1:4" x14ac:dyDescent="0.25">
      <c r="A7" s="78">
        <v>2030</v>
      </c>
      <c r="B7" s="241">
        <v>148232.6739623498</v>
      </c>
      <c r="C7" s="241">
        <v>14400</v>
      </c>
      <c r="D7" s="241">
        <v>162632.6739623498</v>
      </c>
    </row>
    <row r="8" spans="1:4" x14ac:dyDescent="0.25">
      <c r="A8" s="78">
        <v>2050</v>
      </c>
      <c r="B8" s="241">
        <v>243411.82603765032</v>
      </c>
      <c r="C8" s="241">
        <v>18000</v>
      </c>
      <c r="D8" s="241">
        <v>261411.82603765032</v>
      </c>
    </row>
    <row r="9" spans="1:4" x14ac:dyDescent="0.25">
      <c r="A9" s="78" t="s">
        <v>61</v>
      </c>
      <c r="B9" s="241">
        <v>392524.60000000009</v>
      </c>
      <c r="C9" s="241">
        <v>32476.5</v>
      </c>
      <c r="D9" s="241">
        <v>425001.10000000009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71" t="s">
        <v>81</v>
      </c>
    </row>
    <row r="3" spans="1:7" x14ac:dyDescent="0.25">
      <c r="A3" s="77" t="s">
        <v>80</v>
      </c>
      <c r="B3" s="77" t="s">
        <v>62</v>
      </c>
    </row>
    <row r="4" spans="1:7" x14ac:dyDescent="0.25">
      <c r="A4" s="77" t="s">
        <v>60</v>
      </c>
      <c r="B4" s="171" t="s">
        <v>11</v>
      </c>
      <c r="C4" s="171" t="s">
        <v>32</v>
      </c>
      <c r="D4" s="171" t="s">
        <v>9</v>
      </c>
      <c r="E4" s="171" t="s">
        <v>33</v>
      </c>
      <c r="F4" s="171" t="s">
        <v>10</v>
      </c>
      <c r="G4" s="171" t="s">
        <v>61</v>
      </c>
    </row>
    <row r="5" spans="1:7" x14ac:dyDescent="0.25">
      <c r="A5" s="78">
        <v>2019</v>
      </c>
      <c r="B5" s="241">
        <v>65860</v>
      </c>
      <c r="C5" s="241">
        <v>591230</v>
      </c>
      <c r="D5" s="241">
        <v>2578370</v>
      </c>
      <c r="E5" s="241">
        <v>472920</v>
      </c>
      <c r="F5" s="241">
        <v>561900</v>
      </c>
      <c r="G5" s="241">
        <v>4270280</v>
      </c>
    </row>
    <row r="6" spans="1:7" x14ac:dyDescent="0.25">
      <c r="A6" s="78">
        <v>2030</v>
      </c>
      <c r="B6" s="241">
        <v>65860</v>
      </c>
      <c r="C6" s="241">
        <v>591230</v>
      </c>
      <c r="D6" s="241">
        <v>2542469.9999999995</v>
      </c>
      <c r="E6" s="241">
        <v>487920</v>
      </c>
      <c r="F6" s="241">
        <v>582800</v>
      </c>
      <c r="G6" s="241">
        <v>4270280</v>
      </c>
    </row>
    <row r="7" spans="1:7" x14ac:dyDescent="0.25">
      <c r="A7" s="78">
        <v>2050</v>
      </c>
      <c r="B7" s="241">
        <v>65860</v>
      </c>
      <c r="C7" s="241">
        <v>591230</v>
      </c>
      <c r="D7" s="241">
        <v>2504470</v>
      </c>
      <c r="E7" s="241">
        <v>487920</v>
      </c>
      <c r="F7" s="241">
        <v>620800</v>
      </c>
      <c r="G7" s="241">
        <v>4270280</v>
      </c>
    </row>
    <row r="8" spans="1:7" x14ac:dyDescent="0.25">
      <c r="A8" s="78" t="s">
        <v>61</v>
      </c>
      <c r="B8" s="241">
        <v>197580</v>
      </c>
      <c r="C8" s="241">
        <v>1773690</v>
      </c>
      <c r="D8" s="241">
        <v>7625310</v>
      </c>
      <c r="E8" s="241">
        <v>1448760</v>
      </c>
      <c r="F8" s="241">
        <v>1765500</v>
      </c>
      <c r="G8" s="241">
        <v>12810840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71" t="s">
        <v>81</v>
      </c>
    </row>
    <row r="2" spans="1:16" x14ac:dyDescent="0.25">
      <c r="A2" s="77" t="s">
        <v>64</v>
      </c>
      <c r="B2" s="171" t="s">
        <v>81</v>
      </c>
    </row>
    <row r="4" spans="1:16" x14ac:dyDescent="0.25">
      <c r="A4" s="77" t="s">
        <v>88</v>
      </c>
      <c r="B4" s="77" t="s">
        <v>62</v>
      </c>
    </row>
    <row r="5" spans="1:16" x14ac:dyDescent="0.25">
      <c r="A5" s="77" t="s">
        <v>60</v>
      </c>
      <c r="B5" s="171" t="s">
        <v>49</v>
      </c>
      <c r="C5" s="171" t="s">
        <v>54</v>
      </c>
      <c r="D5" s="171" t="s">
        <v>51</v>
      </c>
      <c r="E5" s="171" t="s">
        <v>6</v>
      </c>
      <c r="F5" s="171" t="s">
        <v>56</v>
      </c>
      <c r="G5" s="171" t="s">
        <v>12</v>
      </c>
      <c r="H5" s="171" t="s">
        <v>48</v>
      </c>
      <c r="I5" s="171" t="s">
        <v>53</v>
      </c>
      <c r="J5" s="171" t="s">
        <v>55</v>
      </c>
      <c r="K5" s="171" t="s">
        <v>50</v>
      </c>
      <c r="L5" s="171" t="s">
        <v>52</v>
      </c>
      <c r="M5" s="171" t="s">
        <v>38</v>
      </c>
      <c r="N5" s="171" t="s">
        <v>96</v>
      </c>
      <c r="O5" s="171" t="s">
        <v>114</v>
      </c>
      <c r="P5" s="171" t="s">
        <v>61</v>
      </c>
    </row>
    <row r="6" spans="1:16" x14ac:dyDescent="0.25">
      <c r="A6" s="78">
        <v>2019</v>
      </c>
      <c r="B6" s="241">
        <v>76853.212866422313</v>
      </c>
      <c r="C6" s="241">
        <v>5114.7808931059071</v>
      </c>
      <c r="D6" s="241">
        <v>288931.41565564787</v>
      </c>
      <c r="E6" s="241">
        <v>12752.078568827996</v>
      </c>
      <c r="F6" s="241">
        <v>18942.69646674622</v>
      </c>
      <c r="G6" s="241">
        <v>55075.520801981496</v>
      </c>
      <c r="H6" s="241">
        <v>1337821.3326830014</v>
      </c>
      <c r="I6" s="241">
        <v>180140.67588310441</v>
      </c>
      <c r="J6" s="241">
        <v>69938.636069140397</v>
      </c>
      <c r="K6" s="241">
        <v>161431.62233269325</v>
      </c>
      <c r="L6" s="241">
        <v>33966.356863719026</v>
      </c>
      <c r="M6" s="241">
        <v>221005.01507630604</v>
      </c>
      <c r="N6" s="241">
        <v>8579.6273865744097</v>
      </c>
      <c r="O6" s="241">
        <v>107817.02845272887</v>
      </c>
      <c r="P6" s="241">
        <v>2578370</v>
      </c>
    </row>
    <row r="7" spans="1:16" x14ac:dyDescent="0.25">
      <c r="A7" s="78">
        <v>2030</v>
      </c>
      <c r="B7" s="241">
        <v>75894.211512917434</v>
      </c>
      <c r="C7" s="241">
        <v>5061.7462007604217</v>
      </c>
      <c r="D7" s="241">
        <v>282589.13188024791</v>
      </c>
      <c r="E7" s="241">
        <v>12639.370816764706</v>
      </c>
      <c r="F7" s="241">
        <v>18710.553661240276</v>
      </c>
      <c r="G7" s="241">
        <v>54298.35247077707</v>
      </c>
      <c r="H7" s="241">
        <v>1323109.1146040615</v>
      </c>
      <c r="I7" s="241">
        <v>177819.27950831145</v>
      </c>
      <c r="J7" s="241">
        <v>69104.195969111795</v>
      </c>
      <c r="K7" s="241">
        <v>159802.81644068591</v>
      </c>
      <c r="L7" s="241">
        <v>33795.467038967829</v>
      </c>
      <c r="M7" s="241">
        <v>214938.45789911941</v>
      </c>
      <c r="N7" s="241">
        <v>8385.8091715253049</v>
      </c>
      <c r="O7" s="241">
        <v>106321.49282550839</v>
      </c>
      <c r="P7" s="241">
        <v>2542469.9999999991</v>
      </c>
    </row>
    <row r="8" spans="1:16" x14ac:dyDescent="0.25">
      <c r="A8" s="78">
        <v>2050</v>
      </c>
      <c r="B8" s="241">
        <v>74611.772091610444</v>
      </c>
      <c r="C8" s="241">
        <v>4992.9413474389539</v>
      </c>
      <c r="D8" s="241">
        <v>278445.99362396839</v>
      </c>
      <c r="E8" s="241">
        <v>12457.143108539938</v>
      </c>
      <c r="F8" s="241">
        <v>18409.47067327406</v>
      </c>
      <c r="G8" s="241">
        <v>53367.370861566276</v>
      </c>
      <c r="H8" s="241">
        <v>1303035.234021947</v>
      </c>
      <c r="I8" s="241">
        <v>174714.53228951979</v>
      </c>
      <c r="J8" s="241">
        <v>68021.901921824086</v>
      </c>
      <c r="K8" s="241">
        <v>157421.73721827005</v>
      </c>
      <c r="L8" s="241">
        <v>33512.483920016224</v>
      </c>
      <c r="M8" s="241">
        <v>212209.58099609043</v>
      </c>
      <c r="N8" s="241">
        <v>8272.9113069354553</v>
      </c>
      <c r="O8" s="241">
        <v>104996.92661899899</v>
      </c>
      <c r="P8" s="241">
        <v>2504470</v>
      </c>
    </row>
    <row r="9" spans="1:16" x14ac:dyDescent="0.25">
      <c r="A9" s="78" t="s">
        <v>61</v>
      </c>
      <c r="B9" s="241">
        <v>227359.19647095018</v>
      </c>
      <c r="C9" s="241">
        <v>15169.468441305282</v>
      </c>
      <c r="D9" s="241">
        <v>849966.54115986428</v>
      </c>
      <c r="E9" s="241">
        <v>37848.592494132638</v>
      </c>
      <c r="F9" s="241">
        <v>56062.720801260555</v>
      </c>
      <c r="G9" s="241">
        <v>162741.24413432484</v>
      </c>
      <c r="H9" s="241">
        <v>3963965.6813090099</v>
      </c>
      <c r="I9" s="241">
        <v>532674.48768093565</v>
      </c>
      <c r="J9" s="241">
        <v>207064.73396007629</v>
      </c>
      <c r="K9" s="241">
        <v>478656.17599164927</v>
      </c>
      <c r="L9" s="241">
        <v>101274.30782270308</v>
      </c>
      <c r="M9" s="241">
        <v>648153.05397151585</v>
      </c>
      <c r="N9" s="241">
        <v>25238.347865035168</v>
      </c>
      <c r="O9" s="241">
        <v>319135.44789723627</v>
      </c>
      <c r="P9" s="241">
        <v>7625309.9999999991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79</v>
      </c>
      <c r="C1" t="s">
        <v>58</v>
      </c>
      <c r="D1" t="s">
        <v>63</v>
      </c>
      <c r="E1" t="s">
        <v>78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 t="e">
        <f>Arealanvendelse!J25</f>
        <v>#VALUE!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 t="e">
        <f>Arealanvendelse!J26</f>
        <v>#VALUE!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 t="e">
        <f>Arealanvendelse!J27</f>
        <v>#VALUE!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 t="e">
        <f>Arealanvendelse!J28</f>
        <v>#VALUE!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 t="e">
        <f>Arealanvendelse!J29</f>
        <v>#VALUE!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 t="e">
        <f>Arealanvendelse!M25</f>
        <v>#VALUE!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 t="e">
        <f>Arealanvendelse!M26</f>
        <v>#VALUE!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 t="e">
        <f>Arealanvendelse!M27</f>
        <v>#VALUE!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 t="e">
        <f>Arealanvendelse!M28</f>
        <v>#VALUE!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 t="e">
        <f>Arealanvendelse!M29</f>
        <v>#VALUE!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 t="e">
        <f>Arealanvendelse!P25</f>
        <v>#VALUE!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 t="e">
        <f>Arealanvendelse!P26</f>
        <v>#VALUE!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 t="e">
        <f>Arealanvendelse!P27</f>
        <v>#VALUE!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 t="e">
        <f>Arealanvendelse!P28</f>
        <v>#VALUE!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 t="e">
        <f>Arealanvendelse!P29</f>
        <v>#VALUE!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 t="e">
        <f>Arealanvendelse!J35</f>
        <v>#VALUE!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 t="e">
        <f>Arealanvendelse!J36</f>
        <v>#VALUE!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 t="e">
        <f>Arealanvendelse!J37</f>
        <v>#VALUE!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 t="e">
        <f>Arealanvendelse!J38</f>
        <v>#VALUE!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 t="e">
        <f>Arealanvendelse!J39</f>
        <v>#VALUE!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 t="e">
        <f>Arealanvendelse!M35</f>
        <v>#VALUE!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 t="e">
        <f>Arealanvendelse!M36</f>
        <v>#VALUE!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 t="e">
        <f>Arealanvendelse!M37</f>
        <v>#VALUE!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 t="e">
        <f>Arealanvendelse!M38</f>
        <v>#VALUE!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 t="e">
        <f>Arealanvendelse!M39</f>
        <v>#VALUE!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 t="e">
        <f>Arealanvendelse!P35</f>
        <v>#VALUE!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 t="e">
        <f>Arealanvendelse!P36</f>
        <v>#VALUE!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 t="e">
        <f>Arealanvendelse!P37</f>
        <v>#VALUE!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 t="e">
        <f>Arealanvendelse!P38</f>
        <v>#VALUE!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 t="e">
        <f>Arealanvendelse!P39</f>
        <v>#VALUE!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90</v>
      </c>
      <c r="G1" t="s">
        <v>86</v>
      </c>
      <c r="H1" t="s">
        <v>87</v>
      </c>
      <c r="I1" t="s">
        <v>73</v>
      </c>
      <c r="J1" t="s">
        <v>89</v>
      </c>
      <c r="L1" t="s">
        <v>64</v>
      </c>
      <c r="M1" t="s">
        <v>83</v>
      </c>
      <c r="N1" t="s">
        <v>58</v>
      </c>
      <c r="O1" t="s">
        <v>82</v>
      </c>
      <c r="P1" t="s">
        <v>78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71" t="str">
        <f t="shared" ref="E2:E33" si="0">Jordbund1</f>
        <v>JB1-10</v>
      </c>
      <c r="F2" t="e">
        <f>IF(I2&lt;&gt;0,"Halm",IF(B2&lt;&gt;"Permanent græs",B2,"Græs"))</f>
        <v>#VALUE!</v>
      </c>
      <c r="G2" s="76" t="e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#VALUE!</v>
      </c>
      <c r="H2" t="e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#VALUE!</v>
      </c>
      <c r="I2" t="e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#VALUE!</v>
      </c>
      <c r="J2" s="76" t="e">
        <f>IF(I2&lt;&gt;0,I2,H2)</f>
        <v>#VALUE!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71" t="str">
        <f t="shared" si="0"/>
        <v>JB1-10</v>
      </c>
      <c r="F3" t="e">
        <f t="shared" ref="F3:F71" si="1">IF(I3&lt;&gt;0,"Halm",IF(B3&lt;&gt;"Permanent græs",B3,"Græs"))</f>
        <v>#VALUE!</v>
      </c>
      <c r="G3" s="76" t="e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#VALUE!</v>
      </c>
      <c r="H3" s="171" t="e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#VALUE!</v>
      </c>
      <c r="I3" s="171" t="e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#VALUE!</v>
      </c>
      <c r="J3" s="76" t="e">
        <f t="shared" ref="J3:J71" si="2">IF(I3&lt;&gt;0,I3,H3)</f>
        <v>#VALUE!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71" t="str">
        <f t="shared" si="0"/>
        <v>JB1-10</v>
      </c>
      <c r="F4" t="e">
        <f t="shared" si="1"/>
        <v>#VALUE!</v>
      </c>
      <c r="G4" s="76" t="e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#VALUE!</v>
      </c>
      <c r="H4" s="171" t="e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#VALUE!</v>
      </c>
      <c r="I4" s="171" t="e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#VALUE!</v>
      </c>
      <c r="J4" s="76" t="e">
        <f t="shared" si="2"/>
        <v>#VALUE!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71" t="str">
        <f t="shared" si="0"/>
        <v>JB1-10</v>
      </c>
      <c r="F5" t="e">
        <f t="shared" si="1"/>
        <v>#VALUE!</v>
      </c>
      <c r="G5" s="76" t="e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#VALUE!</v>
      </c>
      <c r="H5" s="171" t="e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#VALUE!</v>
      </c>
      <c r="I5" s="171" t="e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#VALUE!</v>
      </c>
      <c r="J5" s="76" t="e">
        <f t="shared" si="2"/>
        <v>#VALUE!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8065001.0864567999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71" t="str">
        <f t="shared" si="0"/>
        <v>JB1-10</v>
      </c>
      <c r="F6" t="e">
        <f t="shared" si="1"/>
        <v>#VALUE!</v>
      </c>
      <c r="G6" s="76" t="e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#VALUE!</v>
      </c>
      <c r="H6" s="171" t="e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#VALUE!</v>
      </c>
      <c r="I6" s="171" t="e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#VALUE!</v>
      </c>
      <c r="J6" s="76" t="e">
        <f t="shared" si="2"/>
        <v>#VALUE!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922303.28256640851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71" t="str">
        <f t="shared" si="0"/>
        <v>JB1-10</v>
      </c>
      <c r="F7" t="e">
        <f t="shared" si="1"/>
        <v>#VALUE!</v>
      </c>
      <c r="G7" s="76" t="e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#VALUE!</v>
      </c>
      <c r="H7" s="171" t="e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#VALUE!</v>
      </c>
      <c r="I7" s="171" t="e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#VALUE!</v>
      </c>
      <c r="J7" s="76" t="e">
        <f t="shared" si="2"/>
        <v>#VALUE!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14232454.554315863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71" t="str">
        <f t="shared" si="0"/>
        <v>JB1-10</v>
      </c>
      <c r="F8" t="e">
        <f t="shared" si="1"/>
        <v>#VALUE!</v>
      </c>
      <c r="G8" s="76" t="e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#VALUE!</v>
      </c>
      <c r="H8" s="171" t="e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#VALUE!</v>
      </c>
      <c r="I8" s="171" t="e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#VALUE!</v>
      </c>
      <c r="J8" s="76" t="e">
        <f t="shared" si="2"/>
        <v>#VALUE!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7721242.9104568008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71" t="str">
        <f t="shared" si="0"/>
        <v>JB1-10</v>
      </c>
      <c r="F9" t="e">
        <f t="shared" si="1"/>
        <v>#VALUE!</v>
      </c>
      <c r="G9" s="76" t="e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#VALUE!</v>
      </c>
      <c r="H9" s="171" t="e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#VALUE!</v>
      </c>
      <c r="I9" s="171" t="e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#VALUE!</v>
      </c>
      <c r="J9" s="76" t="e">
        <f t="shared" si="2"/>
        <v>#VALUE!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877744.4345664084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71" t="str">
        <f t="shared" si="0"/>
        <v>JB1-10</v>
      </c>
      <c r="F10" t="e">
        <f t="shared" si="1"/>
        <v>#VALUE!</v>
      </c>
      <c r="G10" s="76" t="e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#VALUE!</v>
      </c>
      <c r="H10" s="171" t="e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#VALUE!</v>
      </c>
      <c r="I10" s="171" t="e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#VALUE!</v>
      </c>
      <c r="J10" s="76" t="e">
        <f t="shared" si="2"/>
        <v>#VALUE!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13551675.866315866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71" t="str">
        <f t="shared" si="0"/>
        <v>JB1-10</v>
      </c>
      <c r="F11" t="e">
        <f t="shared" si="1"/>
        <v>#VALUE!</v>
      </c>
      <c r="G11" s="76" t="e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#VALUE!</v>
      </c>
      <c r="H11" s="171" t="e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#VALUE!</v>
      </c>
      <c r="I11" s="171" t="e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#VALUE!</v>
      </c>
      <c r="J11" s="76" t="e">
        <f t="shared" si="2"/>
        <v>#VALUE!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71" t="str">
        <f t="shared" si="0"/>
        <v>JB1-10</v>
      </c>
      <c r="F12" t="e">
        <f t="shared" si="1"/>
        <v>#VALUE!</v>
      </c>
      <c r="G12" s="76" t="e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#VALUE!</v>
      </c>
      <c r="H12" s="171" t="e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#VALUE!</v>
      </c>
      <c r="I12" s="171" t="e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#VALUE!</v>
      </c>
      <c r="J12" s="76" t="e">
        <f t="shared" si="2"/>
        <v>#VALUE!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71" t="str">
        <f t="shared" si="0"/>
        <v>JB1-10</v>
      </c>
      <c r="F13" t="e">
        <f t="shared" si="1"/>
        <v>#VALUE!</v>
      </c>
      <c r="G13" s="76" t="e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#VALUE!</v>
      </c>
      <c r="H13" s="171" t="e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#VALUE!</v>
      </c>
      <c r="I13" s="171" t="e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#VALUE!</v>
      </c>
      <c r="J13" s="76" t="e">
        <f t="shared" si="2"/>
        <v>#VALUE!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71" t="str">
        <f t="shared" si="0"/>
        <v>JB1-10</v>
      </c>
      <c r="F14" t="e">
        <f>IF(I14&lt;&gt;0,"Halm",IF(B14&lt;&gt;"Permanent græs",B14,"Græs"))</f>
        <v>#VALUE!</v>
      </c>
      <c r="G14" s="76" t="e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#VALUE!</v>
      </c>
      <c r="H14" s="171" t="e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#VALUE!</v>
      </c>
      <c r="I14" s="171" t="e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#VALUE!</v>
      </c>
      <c r="J14" s="76" t="e">
        <f t="shared" ref="J14" si="3">IF(I14&lt;&gt;0,I14,H14)</f>
        <v>#VALUE!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528953.31354319979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71" t="str">
        <f t="shared" si="0"/>
        <v>JB1-10</v>
      </c>
      <c r="F15" t="e">
        <f t="shared" si="1"/>
        <v>#VALUE!</v>
      </c>
      <c r="G15" s="76" t="e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#VALUE!</v>
      </c>
      <c r="H15" s="171" t="e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#VALUE!</v>
      </c>
      <c r="I15" s="171" t="e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#VALUE!</v>
      </c>
      <c r="J15" s="76" t="e">
        <f t="shared" si="2"/>
        <v>#VALUE!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191667.91743359147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71" t="str">
        <f t="shared" si="0"/>
        <v>JB1-10</v>
      </c>
      <c r="F16" t="e">
        <f t="shared" si="1"/>
        <v>#VALUE!</v>
      </c>
      <c r="G16" s="76" t="e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#VALUE!</v>
      </c>
      <c r="H16" s="171" t="e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#VALUE!</v>
      </c>
      <c r="I16" s="171" t="e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#VALUE!</v>
      </c>
      <c r="J16" s="76" t="e">
        <f t="shared" si="2"/>
        <v>#VALUE!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2787012.6456841351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71" t="str">
        <f t="shared" si="0"/>
        <v>JB1-10</v>
      </c>
      <c r="F17" t="e">
        <f t="shared" si="1"/>
        <v>#VALUE!</v>
      </c>
      <c r="G17" s="76" t="e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#VALUE!</v>
      </c>
      <c r="H17" s="171" t="e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#VALUE!</v>
      </c>
      <c r="I17" s="171" t="e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#VALUE!</v>
      </c>
      <c r="J17" s="76" t="e">
        <f t="shared" si="2"/>
        <v>#VALUE!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872711.48954319966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71" t="str">
        <f t="shared" si="0"/>
        <v>JB1-10</v>
      </c>
      <c r="F18" t="e">
        <f t="shared" si="1"/>
        <v>#VALUE!</v>
      </c>
      <c r="G18" s="76" t="e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#VALUE!</v>
      </c>
      <c r="H18" s="171" t="e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#VALUE!</v>
      </c>
      <c r="I18" s="171" t="e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#VALUE!</v>
      </c>
      <c r="J18" s="76" t="e">
        <f t="shared" si="2"/>
        <v>#VALUE!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236226.76543359147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71" t="str">
        <f t="shared" si="0"/>
        <v>JB1-10</v>
      </c>
      <c r="F19" t="e">
        <f t="shared" si="1"/>
        <v>#VALUE!</v>
      </c>
      <c r="G19" s="76" t="e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#VALUE!</v>
      </c>
      <c r="H19" s="171" t="e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#VALUE!</v>
      </c>
      <c r="I19" s="171" t="e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#VALUE!</v>
      </c>
      <c r="J19" s="76" t="e">
        <f t="shared" si="2"/>
        <v>#VALUE!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3467791.3336841348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71" t="str">
        <f t="shared" si="0"/>
        <v>JB1-10</v>
      </c>
      <c r="F20" t="e">
        <f t="shared" si="1"/>
        <v>#VALUE!</v>
      </c>
      <c r="G20" s="76" t="e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#VALUE!</v>
      </c>
      <c r="H20" s="171" t="e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#VALUE!</v>
      </c>
      <c r="I20" s="171" t="e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#VALUE!</v>
      </c>
      <c r="J20" s="76" t="e">
        <f t="shared" si="2"/>
        <v>#VALUE!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71" t="str">
        <f t="shared" si="0"/>
        <v>JB1-10</v>
      </c>
      <c r="F21" t="e">
        <f t="shared" si="1"/>
        <v>#VALUE!</v>
      </c>
      <c r="G21" s="76" t="e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#VALUE!</v>
      </c>
      <c r="H21" s="171" t="e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#VALUE!</v>
      </c>
      <c r="I21" s="171" t="e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#VALUE!</v>
      </c>
      <c r="J21" s="76" t="e">
        <f t="shared" si="2"/>
        <v>#VALUE!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71" t="str">
        <f t="shared" si="0"/>
        <v>JB1-10</v>
      </c>
      <c r="F22" t="e">
        <f t="shared" si="1"/>
        <v>#VALUE!</v>
      </c>
      <c r="G22" s="76" t="e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#VALUE!</v>
      </c>
      <c r="H22" s="171" t="e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#VALUE!</v>
      </c>
      <c r="I22" s="171" t="e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#VALUE!</v>
      </c>
      <c r="J22" s="76" t="e">
        <f t="shared" si="2"/>
        <v>#VALUE!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71" t="str">
        <f t="shared" si="0"/>
        <v>JB1-10</v>
      </c>
      <c r="F23" t="e">
        <f t="shared" si="1"/>
        <v>#VALUE!</v>
      </c>
      <c r="G23" s="76" t="e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#VALUE!</v>
      </c>
      <c r="H23" s="171" t="e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#VALUE!</v>
      </c>
      <c r="I23" s="171" t="e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#VALUE!</v>
      </c>
      <c r="J23" s="76" t="e">
        <f t="shared" si="2"/>
        <v>#VALUE!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71" t="str">
        <f t="shared" si="0"/>
        <v>JB1-10</v>
      </c>
      <c r="F24" t="e">
        <f t="shared" si="1"/>
        <v>#VALUE!</v>
      </c>
      <c r="G24" s="76" t="e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#VALUE!</v>
      </c>
      <c r="H24" s="171" t="e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#VALUE!</v>
      </c>
      <c r="I24" s="171" t="e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#VALUE!</v>
      </c>
      <c r="J24" s="76" t="e">
        <f t="shared" si="2"/>
        <v>#VALUE!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71" t="str">
        <f t="shared" si="0"/>
        <v>JB1-10</v>
      </c>
      <c r="F25" t="e">
        <f t="shared" si="1"/>
        <v>#VALUE!</v>
      </c>
      <c r="G25" s="76" t="e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#VALUE!</v>
      </c>
      <c r="H25" s="171" t="e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#VALUE!</v>
      </c>
      <c r="I25" s="171" t="e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#VALUE!</v>
      </c>
      <c r="J25" s="76" t="e">
        <f t="shared" si="2"/>
        <v>#VALUE!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71" t="str">
        <f t="shared" si="0"/>
        <v>JB1-10</v>
      </c>
      <c r="F26" t="e">
        <f t="shared" si="1"/>
        <v>#VALUE!</v>
      </c>
      <c r="G26" s="76" t="e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#VALUE!</v>
      </c>
      <c r="H26" s="171" t="e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#VALUE!</v>
      </c>
      <c r="I26" s="171" t="e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#VALUE!</v>
      </c>
      <c r="J26" s="76" t="e">
        <f t="shared" si="2"/>
        <v>#VALUE!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71" t="str">
        <f t="shared" si="0"/>
        <v>JB1-10</v>
      </c>
      <c r="F27" t="e">
        <f t="shared" si="1"/>
        <v>#VALUE!</v>
      </c>
      <c r="G27" s="76" t="e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#VALUE!</v>
      </c>
      <c r="H27" s="171" t="e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#VALUE!</v>
      </c>
      <c r="I27" s="171" t="e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#VALUE!</v>
      </c>
      <c r="J27" s="76" t="e">
        <f t="shared" si="2"/>
        <v>#VALUE!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71" t="str">
        <f t="shared" si="0"/>
        <v>JB1-10</v>
      </c>
      <c r="F28" t="e">
        <f t="shared" ref="F28" si="4">IF(I28&lt;&gt;0,"Halm",IF(B28&lt;&gt;"Permanent græs",B28,"Græs"))</f>
        <v>#VALUE!</v>
      </c>
      <c r="G28" s="76" t="e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#VALUE!</v>
      </c>
      <c r="H28" s="171" t="e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#VALUE!</v>
      </c>
      <c r="I28" s="171" t="e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#VALUE!</v>
      </c>
      <c r="J28" s="76" t="e">
        <f t="shared" ref="J28" si="5">IF(I28&lt;&gt;0,I28,H28)</f>
        <v>#VALUE!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71" t="str">
        <f t="shared" si="0"/>
        <v>JB1-10</v>
      </c>
      <c r="F29" t="e">
        <f t="shared" si="1"/>
        <v>#VALUE!</v>
      </c>
      <c r="G29" s="76" t="e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#VALUE!</v>
      </c>
      <c r="H29" s="171" t="e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#VALUE!</v>
      </c>
      <c r="I29" s="171" t="e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#VALUE!</v>
      </c>
      <c r="J29" s="76" t="e">
        <f t="shared" si="2"/>
        <v>#VALUE!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71" t="str">
        <f t="shared" si="0"/>
        <v>JB1-10</v>
      </c>
      <c r="F30" t="e">
        <f t="shared" si="1"/>
        <v>#VALUE!</v>
      </c>
      <c r="G30" s="76" t="e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#VALUE!</v>
      </c>
      <c r="H30" s="171" t="e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#VALUE!</v>
      </c>
      <c r="I30" s="171" t="e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#VALUE!</v>
      </c>
      <c r="J30" s="76" t="e">
        <f t="shared" si="2"/>
        <v>#VALUE!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71" t="str">
        <f t="shared" si="0"/>
        <v>JB1-10</v>
      </c>
      <c r="F31" t="e">
        <f t="shared" si="1"/>
        <v>#VALUE!</v>
      </c>
      <c r="G31" s="76" t="e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#VALUE!</v>
      </c>
      <c r="H31" s="171" t="e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#VALUE!</v>
      </c>
      <c r="I31" s="171" t="e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#VALUE!</v>
      </c>
      <c r="J31" s="76" t="e">
        <f t="shared" si="2"/>
        <v>#VALUE!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71" t="str">
        <f t="shared" si="0"/>
        <v>JB1-10</v>
      </c>
      <c r="F32" t="e">
        <f t="shared" si="1"/>
        <v>#VALUE!</v>
      </c>
      <c r="G32" s="76" t="e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#VALUE!</v>
      </c>
      <c r="H32" s="171" t="e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#VALUE!</v>
      </c>
      <c r="I32" s="171" t="e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#VALUE!</v>
      </c>
      <c r="J32" s="76" t="e">
        <f t="shared" si="2"/>
        <v>#VALUE!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71" t="str">
        <f t="shared" si="0"/>
        <v>JB1-10</v>
      </c>
      <c r="F33" t="e">
        <f t="shared" si="1"/>
        <v>#VALUE!</v>
      </c>
      <c r="G33" s="76" t="e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#VALUE!</v>
      </c>
      <c r="H33" s="171" t="e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#VALUE!</v>
      </c>
      <c r="I33" s="171" t="e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#VALUE!</v>
      </c>
      <c r="J33" s="76" t="e">
        <f t="shared" si="2"/>
        <v>#VALUE!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71" t="str">
        <f t="shared" ref="E34:E65" si="6">Jordbund1</f>
        <v>JB1-10</v>
      </c>
      <c r="F34" t="e">
        <f t="shared" si="1"/>
        <v>#VALUE!</v>
      </c>
      <c r="G34" s="76" t="e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#VALUE!</v>
      </c>
      <c r="H34" s="171" t="e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#VALUE!</v>
      </c>
      <c r="I34" s="171" t="e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#VALUE!</v>
      </c>
      <c r="J34" s="76" t="e">
        <f t="shared" si="2"/>
        <v>#VALUE!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71" t="str">
        <f t="shared" si="6"/>
        <v>JB1-10</v>
      </c>
      <c r="F35" t="e">
        <f t="shared" si="1"/>
        <v>#VALUE!</v>
      </c>
      <c r="G35" s="76" t="e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#VALUE!</v>
      </c>
      <c r="H35" s="171" t="e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#VALUE!</v>
      </c>
      <c r="I35" s="171" t="e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#VALUE!</v>
      </c>
      <c r="J35" s="76" t="e">
        <f t="shared" si="2"/>
        <v>#VALUE!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71" t="str">
        <f t="shared" si="6"/>
        <v>JB1-10</v>
      </c>
      <c r="F36" t="e">
        <f t="shared" si="1"/>
        <v>#VALUE!</v>
      </c>
      <c r="G36" s="76" t="e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#VALUE!</v>
      </c>
      <c r="H36" s="171" t="e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#VALUE!</v>
      </c>
      <c r="I36" s="171" t="e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#VALUE!</v>
      </c>
      <c r="J36" s="76" t="e">
        <f t="shared" si="2"/>
        <v>#VALUE!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71" t="str">
        <f t="shared" si="6"/>
        <v>JB1-10</v>
      </c>
      <c r="F37" t="e">
        <f t="shared" si="1"/>
        <v>#VALUE!</v>
      </c>
      <c r="G37" s="76" t="e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#VALUE!</v>
      </c>
      <c r="H37" s="171" t="e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#VALUE!</v>
      </c>
      <c r="I37" s="171" t="e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#VALUE!</v>
      </c>
      <c r="J37" s="76" t="e">
        <f t="shared" si="2"/>
        <v>#VALUE!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71" t="str">
        <f t="shared" si="6"/>
        <v>JB1-10</v>
      </c>
      <c r="F38" t="e">
        <f t="shared" si="1"/>
        <v>#VALUE!</v>
      </c>
      <c r="G38" s="76" t="e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#VALUE!</v>
      </c>
      <c r="H38" s="171" t="e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#VALUE!</v>
      </c>
      <c r="I38" s="171" t="e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#VALUE!</v>
      </c>
      <c r="J38" s="76" t="e">
        <f t="shared" si="2"/>
        <v>#VALUE!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71" t="str">
        <f t="shared" si="6"/>
        <v>JB1-10</v>
      </c>
      <c r="F39" t="e">
        <f t="shared" si="1"/>
        <v>#VALUE!</v>
      </c>
      <c r="G39" s="76" t="e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#VALUE!</v>
      </c>
      <c r="H39" s="171" t="e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#VALUE!</v>
      </c>
      <c r="I39" s="171" t="e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#VALUE!</v>
      </c>
      <c r="J39" s="76" t="e">
        <f t="shared" si="2"/>
        <v>#VALUE!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71" t="str">
        <f t="shared" si="6"/>
        <v>JB1-10</v>
      </c>
      <c r="F40" t="e">
        <f t="shared" si="1"/>
        <v>#VALUE!</v>
      </c>
      <c r="G40" s="76" t="e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#VALUE!</v>
      </c>
      <c r="H40" s="171" t="e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#VALUE!</v>
      </c>
      <c r="I40" s="171" t="e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#VALUE!</v>
      </c>
      <c r="J40" s="76" t="e">
        <f t="shared" si="2"/>
        <v>#VALUE!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71" t="str">
        <f t="shared" si="6"/>
        <v>JB1-10</v>
      </c>
      <c r="F41" t="e">
        <f t="shared" si="1"/>
        <v>#VALUE!</v>
      </c>
      <c r="G41" s="76" t="e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#VALUE!</v>
      </c>
      <c r="H41" s="171" t="e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#VALUE!</v>
      </c>
      <c r="I41" s="171" t="e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#VALUE!</v>
      </c>
      <c r="J41" s="76" t="e">
        <f t="shared" si="2"/>
        <v>#VALUE!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71" t="str">
        <f t="shared" si="6"/>
        <v>JB1-10</v>
      </c>
      <c r="F42" t="e">
        <f t="shared" ref="F42" si="7">IF(I42&lt;&gt;0,"Halm",IF(B42&lt;&gt;"Permanent græs",B42,"Græs"))</f>
        <v>#VALUE!</v>
      </c>
      <c r="G42" s="76" t="e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#VALUE!</v>
      </c>
      <c r="H42" s="171" t="e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#VALUE!</v>
      </c>
      <c r="I42" s="171" t="e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#VALUE!</v>
      </c>
      <c r="J42" s="76" t="e">
        <f t="shared" ref="J42" si="8">IF(I42&lt;&gt;0,I42,H42)</f>
        <v>#VALUE!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71" t="str">
        <f t="shared" si="6"/>
        <v>JB1-10</v>
      </c>
      <c r="F43" t="e">
        <f t="shared" si="1"/>
        <v>#VALUE!</v>
      </c>
      <c r="G43" s="76" t="e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#VALUE!</v>
      </c>
      <c r="H43" s="171" t="e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#VALUE!</v>
      </c>
      <c r="I43" s="171" t="e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#VALUE!</v>
      </c>
      <c r="J43" s="76" t="e">
        <f t="shared" si="2"/>
        <v>#VALUE!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71" t="str">
        <f t="shared" si="6"/>
        <v>JB1-10</v>
      </c>
      <c r="F44" t="e">
        <f t="shared" si="1"/>
        <v>#VALUE!</v>
      </c>
      <c r="G44" s="76" t="e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#VALUE!</v>
      </c>
      <c r="H44" s="171" t="e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#VALUE!</v>
      </c>
      <c r="I44" s="171" t="e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#VALUE!</v>
      </c>
      <c r="J44" s="76" t="e">
        <f t="shared" si="2"/>
        <v>#VALUE!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71" t="str">
        <f t="shared" si="6"/>
        <v>JB1-10</v>
      </c>
      <c r="F45" t="e">
        <f t="shared" si="1"/>
        <v>#VALUE!</v>
      </c>
      <c r="G45" s="76" t="e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#VALUE!</v>
      </c>
      <c r="H45" s="171" t="e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#VALUE!</v>
      </c>
      <c r="I45" s="171" t="e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#VALUE!</v>
      </c>
      <c r="J45" s="76" t="e">
        <f t="shared" si="2"/>
        <v>#VALUE!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71" t="str">
        <f t="shared" si="6"/>
        <v>JB1-10</v>
      </c>
      <c r="F46" t="e">
        <f t="shared" si="1"/>
        <v>#VALUE!</v>
      </c>
      <c r="G46" s="76" t="e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#VALUE!</v>
      </c>
      <c r="H46" s="171" t="e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#VALUE!</v>
      </c>
      <c r="I46" s="171" t="e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#VALUE!</v>
      </c>
      <c r="J46" s="76" t="e">
        <f t="shared" si="2"/>
        <v>#VALUE!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71" t="str">
        <f t="shared" si="6"/>
        <v>JB1-10</v>
      </c>
      <c r="F47" t="e">
        <f t="shared" si="1"/>
        <v>#VALUE!</v>
      </c>
      <c r="G47" s="76" t="e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#VALUE!</v>
      </c>
      <c r="H47" s="171" t="e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#VALUE!</v>
      </c>
      <c r="I47" s="171" t="e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#VALUE!</v>
      </c>
      <c r="J47" s="76" t="e">
        <f t="shared" si="2"/>
        <v>#VALUE!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71" t="str">
        <f t="shared" si="6"/>
        <v>JB1-10</v>
      </c>
      <c r="F48" t="e">
        <f t="shared" si="1"/>
        <v>#VALUE!</v>
      </c>
      <c r="G48" s="76" t="e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#VALUE!</v>
      </c>
      <c r="H48" s="171" t="e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#VALUE!</v>
      </c>
      <c r="I48" s="171" t="e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#VALUE!</v>
      </c>
      <c r="J48" s="76" t="e">
        <f t="shared" si="2"/>
        <v>#VALUE!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71" t="str">
        <f t="shared" si="6"/>
        <v>JB1-10</v>
      </c>
      <c r="F49" t="e">
        <f t="shared" si="1"/>
        <v>#VALUE!</v>
      </c>
      <c r="G49" s="76" t="e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#VALUE!</v>
      </c>
      <c r="H49" s="171" t="e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#VALUE!</v>
      </c>
      <c r="I49" s="171" t="e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#VALUE!</v>
      </c>
      <c r="J49" s="76" t="e">
        <f t="shared" si="2"/>
        <v>#VALUE!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71" t="str">
        <f t="shared" si="6"/>
        <v>JB1-10</v>
      </c>
      <c r="F50" t="e">
        <f t="shared" si="1"/>
        <v>#VALUE!</v>
      </c>
      <c r="G50" s="76" t="e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#VALUE!</v>
      </c>
      <c r="H50" s="171" t="e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#VALUE!</v>
      </c>
      <c r="I50" s="171" t="e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#VALUE!</v>
      </c>
      <c r="J50" s="76" t="e">
        <f t="shared" si="2"/>
        <v>#VALUE!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71" t="str">
        <f t="shared" si="6"/>
        <v>JB1-10</v>
      </c>
      <c r="F51" t="e">
        <f t="shared" si="1"/>
        <v>#VALUE!</v>
      </c>
      <c r="G51" s="76" t="e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#VALUE!</v>
      </c>
      <c r="H51" s="171" t="e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#VALUE!</v>
      </c>
      <c r="I51" s="171" t="e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#VALUE!</v>
      </c>
      <c r="J51" s="76" t="e">
        <f t="shared" si="2"/>
        <v>#VALUE!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71" t="str">
        <f t="shared" si="6"/>
        <v>JB1-10</v>
      </c>
      <c r="F52" t="e">
        <f t="shared" si="1"/>
        <v>#VALUE!</v>
      </c>
      <c r="G52" s="76" t="e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#VALUE!</v>
      </c>
      <c r="H52" s="171" t="e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#VALUE!</v>
      </c>
      <c r="I52" s="171" t="e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#VALUE!</v>
      </c>
      <c r="J52" s="76" t="e">
        <f t="shared" si="2"/>
        <v>#VALUE!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71" t="str">
        <f t="shared" si="6"/>
        <v>JB1-10</v>
      </c>
      <c r="F53" t="e">
        <f t="shared" si="1"/>
        <v>#VALUE!</v>
      </c>
      <c r="G53" s="76" t="e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#VALUE!</v>
      </c>
      <c r="H53" s="171" t="e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#VALUE!</v>
      </c>
      <c r="I53" s="171" t="e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#VALUE!</v>
      </c>
      <c r="J53" s="76" t="e">
        <f t="shared" si="2"/>
        <v>#VALUE!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71" t="str">
        <f t="shared" si="6"/>
        <v>JB1-10</v>
      </c>
      <c r="F54" t="e">
        <f t="shared" si="1"/>
        <v>#VALUE!</v>
      </c>
      <c r="G54" s="76" t="e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#VALUE!</v>
      </c>
      <c r="H54" s="171" t="e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#VALUE!</v>
      </c>
      <c r="I54" s="171" t="e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#VALUE!</v>
      </c>
      <c r="J54" s="76" t="e">
        <f t="shared" si="2"/>
        <v>#VALUE!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71" t="str">
        <f t="shared" si="6"/>
        <v>JB1-10</v>
      </c>
      <c r="F55" t="e">
        <f t="shared" si="1"/>
        <v>#VALUE!</v>
      </c>
      <c r="G55" s="76" t="e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#VALUE!</v>
      </c>
      <c r="H55" s="171" t="e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#VALUE!</v>
      </c>
      <c r="I55" s="171" t="e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#VALUE!</v>
      </c>
      <c r="J55" s="76" t="e">
        <f t="shared" si="2"/>
        <v>#VALUE!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71" t="str">
        <f t="shared" si="6"/>
        <v>JB1-10</v>
      </c>
      <c r="F56" t="e">
        <f t="shared" ref="F56" si="9">IF(I56&lt;&gt;0,"Halm",IF(B56&lt;&gt;"Permanent græs",B56,"Græs"))</f>
        <v>#VALUE!</v>
      </c>
      <c r="G56" s="76" t="e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#VALUE!</v>
      </c>
      <c r="H56" s="171" t="e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#VALUE!</v>
      </c>
      <c r="I56" s="171" t="e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#VALUE!</v>
      </c>
      <c r="J56" s="76" t="e">
        <f t="shared" ref="J56" si="10">IF(I56&lt;&gt;0,I56,H56)</f>
        <v>#VALUE!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71" t="str">
        <f t="shared" si="6"/>
        <v>JB1-10</v>
      </c>
      <c r="F57" t="e">
        <f t="shared" si="1"/>
        <v>#VALUE!</v>
      </c>
      <c r="G57" s="76" t="e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#VALUE!</v>
      </c>
      <c r="H57" s="171" t="e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#VALUE!</v>
      </c>
      <c r="I57" s="171" t="e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#VALUE!</v>
      </c>
      <c r="J57" s="76" t="e">
        <f t="shared" si="2"/>
        <v>#VALUE!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71" t="str">
        <f t="shared" si="6"/>
        <v>JB1-10</v>
      </c>
      <c r="F58" t="e">
        <f t="shared" si="1"/>
        <v>#VALUE!</v>
      </c>
      <c r="G58" s="76" t="e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#VALUE!</v>
      </c>
      <c r="H58" s="171" t="e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#VALUE!</v>
      </c>
      <c r="I58" s="171" t="e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#VALUE!</v>
      </c>
      <c r="J58" s="76" t="e">
        <f t="shared" si="2"/>
        <v>#VALUE!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71" t="str">
        <f t="shared" si="6"/>
        <v>JB1-10</v>
      </c>
      <c r="F59" t="e">
        <f t="shared" si="1"/>
        <v>#VALUE!</v>
      </c>
      <c r="G59" s="76" t="e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#VALUE!</v>
      </c>
      <c r="H59" s="171" t="e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#VALUE!</v>
      </c>
      <c r="I59" s="171" t="e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#VALUE!</v>
      </c>
      <c r="J59" s="76" t="e">
        <f t="shared" si="2"/>
        <v>#VALUE!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71" t="str">
        <f t="shared" si="6"/>
        <v>JB1-10</v>
      </c>
      <c r="F60" t="e">
        <f t="shared" si="1"/>
        <v>#VALUE!</v>
      </c>
      <c r="G60" s="76" t="e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#VALUE!</v>
      </c>
      <c r="H60" s="171" t="e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#VALUE!</v>
      </c>
      <c r="I60" s="171" t="e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#VALUE!</v>
      </c>
      <c r="J60" s="76" t="e">
        <f t="shared" si="2"/>
        <v>#VALUE!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71" t="str">
        <f t="shared" si="6"/>
        <v>JB1-10</v>
      </c>
      <c r="F61" t="e">
        <f t="shared" si="1"/>
        <v>#VALUE!</v>
      </c>
      <c r="G61" s="76" t="e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#VALUE!</v>
      </c>
      <c r="H61" s="171" t="e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#VALUE!</v>
      </c>
      <c r="I61" s="171" t="e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#VALUE!</v>
      </c>
      <c r="J61" s="76" t="e">
        <f t="shared" si="2"/>
        <v>#VALUE!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71" t="str">
        <f t="shared" si="6"/>
        <v>JB1-10</v>
      </c>
      <c r="F62" t="e">
        <f t="shared" si="1"/>
        <v>#VALUE!</v>
      </c>
      <c r="G62" s="76" t="e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#VALUE!</v>
      </c>
      <c r="H62" s="171" t="e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#VALUE!</v>
      </c>
      <c r="I62" s="171" t="e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#VALUE!</v>
      </c>
      <c r="J62" s="76" t="e">
        <f t="shared" si="2"/>
        <v>#VALUE!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71" t="str">
        <f t="shared" si="6"/>
        <v>JB1-10</v>
      </c>
      <c r="F63" t="e">
        <f t="shared" si="1"/>
        <v>#VALUE!</v>
      </c>
      <c r="G63" s="76" t="e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#VALUE!</v>
      </c>
      <c r="H63" s="171" t="e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#VALUE!</v>
      </c>
      <c r="I63" s="171" t="e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#VALUE!</v>
      </c>
      <c r="J63" s="76" t="e">
        <f t="shared" si="2"/>
        <v>#VALUE!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71" t="str">
        <f t="shared" si="6"/>
        <v>JB1-10</v>
      </c>
      <c r="F64" t="e">
        <f t="shared" si="1"/>
        <v>#VALUE!</v>
      </c>
      <c r="G64" s="76" t="e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#VALUE!</v>
      </c>
      <c r="H64" s="171" t="e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#VALUE!</v>
      </c>
      <c r="I64" s="171" t="e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#VALUE!</v>
      </c>
      <c r="J64" s="76" t="e">
        <f t="shared" si="2"/>
        <v>#VALUE!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71" t="str">
        <f t="shared" si="6"/>
        <v>JB1-10</v>
      </c>
      <c r="F65" t="e">
        <f t="shared" si="1"/>
        <v>#VALUE!</v>
      </c>
      <c r="G65" s="76" t="e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#VALUE!</v>
      </c>
      <c r="H65" s="171" t="e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#VALUE!</v>
      </c>
      <c r="I65" s="171" t="e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#VALUE!</v>
      </c>
      <c r="J65" s="76" t="e">
        <f t="shared" si="2"/>
        <v>#VALUE!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71" t="str">
        <f t="shared" ref="E66:E85" si="11">Jordbund1</f>
        <v>JB1-10</v>
      </c>
      <c r="F66" t="e">
        <f t="shared" si="1"/>
        <v>#VALUE!</v>
      </c>
      <c r="G66" s="76" t="e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#VALUE!</v>
      </c>
      <c r="H66" s="171" t="e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#VALUE!</v>
      </c>
      <c r="I66" s="171" t="e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#VALUE!</v>
      </c>
      <c r="J66" s="76" t="e">
        <f t="shared" si="2"/>
        <v>#VALUE!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71" t="str">
        <f t="shared" si="11"/>
        <v>JB1-10</v>
      </c>
      <c r="F67" t="e">
        <f t="shared" si="1"/>
        <v>#VALUE!</v>
      </c>
      <c r="G67" s="76" t="e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#VALUE!</v>
      </c>
      <c r="H67" s="171" t="e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#VALUE!</v>
      </c>
      <c r="I67" s="171" t="e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#VALUE!</v>
      </c>
      <c r="J67" s="76" t="e">
        <f t="shared" si="2"/>
        <v>#VALUE!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71" t="str">
        <f t="shared" si="11"/>
        <v>JB1-10</v>
      </c>
      <c r="F68" t="e">
        <f t="shared" si="1"/>
        <v>#VALUE!</v>
      </c>
      <c r="G68" s="76" t="e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#VALUE!</v>
      </c>
      <c r="H68" s="171" t="e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#VALUE!</v>
      </c>
      <c r="I68" s="171" t="e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#VALUE!</v>
      </c>
      <c r="J68" s="76" t="e">
        <f t="shared" si="2"/>
        <v>#VALUE!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71" t="str">
        <f t="shared" si="11"/>
        <v>JB1-10</v>
      </c>
      <c r="F69" t="e">
        <f t="shared" si="1"/>
        <v>#VALUE!</v>
      </c>
      <c r="G69" s="76" t="e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#VALUE!</v>
      </c>
      <c r="H69" s="171" t="e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#VALUE!</v>
      </c>
      <c r="I69" s="171" t="e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#VALUE!</v>
      </c>
      <c r="J69" s="76" t="e">
        <f t="shared" si="2"/>
        <v>#VALUE!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71" t="str">
        <f t="shared" si="11"/>
        <v>JB1-10</v>
      </c>
      <c r="F70" t="e">
        <f t="shared" ref="F70" si="12">IF(I70&lt;&gt;0,"Halm",IF(B70&lt;&gt;"Permanent græs",B70,"Græs"))</f>
        <v>#VALUE!</v>
      </c>
      <c r="G70" s="76" t="e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#VALUE!</v>
      </c>
      <c r="H70" s="171" t="e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#VALUE!</v>
      </c>
      <c r="I70" s="171" t="e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#VALUE!</v>
      </c>
      <c r="J70" s="76" t="e">
        <f t="shared" ref="J70" si="13">IF(I70&lt;&gt;0,I70,H70)</f>
        <v>#VALUE!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71" t="str">
        <f t="shared" si="11"/>
        <v>JB1-10</v>
      </c>
      <c r="F71" t="e">
        <f t="shared" si="1"/>
        <v>#VALUE!</v>
      </c>
      <c r="G71" s="76" t="e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#VALUE!</v>
      </c>
      <c r="H71" s="171" t="e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#VALUE!</v>
      </c>
      <c r="I71" s="171" t="e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#VALUE!</v>
      </c>
      <c r="J71" s="76" t="e">
        <f t="shared" si="2"/>
        <v>#VALUE!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71" t="str">
        <f t="shared" si="11"/>
        <v>JB1-10</v>
      </c>
      <c r="F72" t="e">
        <f t="shared" ref="F72:F139" si="14">IF(I72&lt;&gt;0,"Halm",IF(B72&lt;&gt;"Permanent græs",B72,"Græs"))</f>
        <v>#VALUE!</v>
      </c>
      <c r="G72" s="76" t="e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#VALUE!</v>
      </c>
      <c r="H72" s="171" t="e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#VALUE!</v>
      </c>
      <c r="I72" s="171" t="e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#VALUE!</v>
      </c>
      <c r="J72" s="76" t="e">
        <f t="shared" ref="J72:J139" si="15">IF(I72&lt;&gt;0,I72,H72)</f>
        <v>#VALUE!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71" t="str">
        <f t="shared" si="11"/>
        <v>JB1-10</v>
      </c>
      <c r="F73" t="e">
        <f t="shared" si="14"/>
        <v>#VALUE!</v>
      </c>
      <c r="G73" s="76" t="e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#VALUE!</v>
      </c>
      <c r="H73" s="171" t="e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#VALUE!</v>
      </c>
      <c r="I73" s="171" t="e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#VALUE!</v>
      </c>
      <c r="J73" s="76" t="e">
        <f t="shared" si="15"/>
        <v>#VALUE!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71" t="str">
        <f t="shared" si="11"/>
        <v>JB1-10</v>
      </c>
      <c r="F74" t="e">
        <f t="shared" si="14"/>
        <v>#VALUE!</v>
      </c>
      <c r="G74" s="76" t="e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#VALUE!</v>
      </c>
      <c r="H74" s="171" t="e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#VALUE!</v>
      </c>
      <c r="I74" s="171" t="e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#VALUE!</v>
      </c>
      <c r="J74" s="76" t="e">
        <f t="shared" si="15"/>
        <v>#VALUE!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71" t="str">
        <f t="shared" si="11"/>
        <v>JB1-10</v>
      </c>
      <c r="F75" t="e">
        <f t="shared" si="14"/>
        <v>#VALUE!</v>
      </c>
      <c r="G75" s="76" t="e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#VALUE!</v>
      </c>
      <c r="H75" s="171" t="e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#VALUE!</v>
      </c>
      <c r="I75" s="171" t="e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#VALUE!</v>
      </c>
      <c r="J75" s="76" t="e">
        <f t="shared" si="15"/>
        <v>#VALUE!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71" t="str">
        <f t="shared" si="11"/>
        <v>JB1-10</v>
      </c>
      <c r="F76" t="e">
        <f t="shared" si="14"/>
        <v>#VALUE!</v>
      </c>
      <c r="G76" s="76" t="e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#VALUE!</v>
      </c>
      <c r="H76" s="171" t="e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#VALUE!</v>
      </c>
      <c r="I76" s="171" t="e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#VALUE!</v>
      </c>
      <c r="J76" s="76" t="e">
        <f t="shared" si="15"/>
        <v>#VALUE!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71" t="str">
        <f t="shared" si="11"/>
        <v>JB1-10</v>
      </c>
      <c r="F77" t="e">
        <f t="shared" si="14"/>
        <v>#VALUE!</v>
      </c>
      <c r="G77" s="76" t="e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#VALUE!</v>
      </c>
      <c r="H77" s="171" t="e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#VALUE!</v>
      </c>
      <c r="I77" s="171" t="e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#VALUE!</v>
      </c>
      <c r="J77" s="76" t="e">
        <f t="shared" si="15"/>
        <v>#VALUE!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71" t="str">
        <f t="shared" si="11"/>
        <v>JB1-10</v>
      </c>
      <c r="F78" t="e">
        <f t="shared" si="14"/>
        <v>#VALUE!</v>
      </c>
      <c r="G78" s="76" t="e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#VALUE!</v>
      </c>
      <c r="H78" s="171" t="e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#VALUE!</v>
      </c>
      <c r="I78" s="171" t="e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#VALUE!</v>
      </c>
      <c r="J78" s="76" t="e">
        <f t="shared" si="15"/>
        <v>#VALUE!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71" t="str">
        <f t="shared" si="11"/>
        <v>JB1-10</v>
      </c>
      <c r="F79" t="e">
        <f t="shared" si="14"/>
        <v>#VALUE!</v>
      </c>
      <c r="G79" s="76" t="e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#VALUE!</v>
      </c>
      <c r="H79" s="171" t="e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#VALUE!</v>
      </c>
      <c r="I79" s="171" t="e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#VALUE!</v>
      </c>
      <c r="J79" s="76" t="e">
        <f t="shared" si="15"/>
        <v>#VALUE!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71" t="str">
        <f t="shared" si="11"/>
        <v>JB1-10</v>
      </c>
      <c r="F80" t="e">
        <f t="shared" si="14"/>
        <v>#VALUE!</v>
      </c>
      <c r="G80" s="76" t="e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#VALUE!</v>
      </c>
      <c r="H80" s="171" t="e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#VALUE!</v>
      </c>
      <c r="I80" s="171" t="e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#VALUE!</v>
      </c>
      <c r="J80" s="76" t="e">
        <f t="shared" si="15"/>
        <v>#VALUE!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71" t="str">
        <f t="shared" si="11"/>
        <v>JB1-10</v>
      </c>
      <c r="F81" t="e">
        <f t="shared" si="14"/>
        <v>#VALUE!</v>
      </c>
      <c r="G81" s="76" t="e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#VALUE!</v>
      </c>
      <c r="H81" s="171" t="e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#VALUE!</v>
      </c>
      <c r="I81" s="171" t="e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#VALUE!</v>
      </c>
      <c r="J81" s="76" t="e">
        <f t="shared" si="15"/>
        <v>#VALUE!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71" t="str">
        <f t="shared" si="11"/>
        <v>JB1-10</v>
      </c>
      <c r="F82" t="e">
        <f t="shared" si="14"/>
        <v>#VALUE!</v>
      </c>
      <c r="G82" s="76" t="e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#VALUE!</v>
      </c>
      <c r="H82" s="171" t="e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#VALUE!</v>
      </c>
      <c r="I82" s="171" t="e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#VALUE!</v>
      </c>
      <c r="J82" s="76" t="e">
        <f t="shared" si="15"/>
        <v>#VALUE!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71" t="str">
        <f t="shared" si="11"/>
        <v>JB1-10</v>
      </c>
      <c r="F83" t="e">
        <f t="shared" si="14"/>
        <v>#VALUE!</v>
      </c>
      <c r="G83" s="76" t="e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#VALUE!</v>
      </c>
      <c r="H83" s="171" t="e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#VALUE!</v>
      </c>
      <c r="I83" s="171" t="e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#VALUE!</v>
      </c>
      <c r="J83" s="76" t="e">
        <f t="shared" si="15"/>
        <v>#VALUE!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71" t="str">
        <f t="shared" si="11"/>
        <v>JB1-10</v>
      </c>
      <c r="F84" t="e">
        <f t="shared" ref="F84" si="16">IF(I84&lt;&gt;0,"Halm",IF(B84&lt;&gt;"Permanent græs",B84,"Græs"))</f>
        <v>#VALUE!</v>
      </c>
      <c r="G84" s="76" t="e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#VALUE!</v>
      </c>
      <c r="H84" s="171" t="e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#VALUE!</v>
      </c>
      <c r="I84" s="171" t="e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#VALUE!</v>
      </c>
      <c r="J84" s="76" t="e">
        <f t="shared" ref="J84" si="17">IF(I84&lt;&gt;0,I84,H84)</f>
        <v>#VALUE!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71" t="str">
        <f t="shared" si="11"/>
        <v>JB1-10</v>
      </c>
      <c r="F85" t="e">
        <f t="shared" si="14"/>
        <v>#VALUE!</v>
      </c>
      <c r="G85" s="76" t="e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#VALUE!</v>
      </c>
      <c r="H85" s="171" t="e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#VALUE!</v>
      </c>
      <c r="I85" s="171" t="e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#VALUE!</v>
      </c>
      <c r="J85" s="76" t="e">
        <f t="shared" si="15"/>
        <v>#VALUE!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71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71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71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71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71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71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71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71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71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71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71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71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71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71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71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71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7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7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71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71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71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71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71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71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71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71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71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71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71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71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71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71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71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71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71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71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71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71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71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71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71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71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71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71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71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58003.531632365382</v>
      </c>
      <c r="J100" s="76">
        <f t="shared" si="15"/>
        <v>58003.531632365382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71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7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7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2490.3446739830588</v>
      </c>
      <c r="J101" s="76">
        <f t="shared" si="15"/>
        <v>2490.3446739830588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71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71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71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5468.5707924944063</v>
      </c>
      <c r="J102" s="76">
        <f t="shared" si="15"/>
        <v>5468.5707924944063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71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71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71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71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71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71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71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71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71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71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71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71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71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71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71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71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71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71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71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71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71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71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71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71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9479.7062723948238</v>
      </c>
      <c r="J110" s="76">
        <f t="shared" si="15"/>
        <v>9479.7062723948238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71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7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7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71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71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71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71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71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71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71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71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71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55321.287395030566</v>
      </c>
      <c r="J114" s="76">
        <f t="shared" si="15"/>
        <v>55321.287395030566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71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71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71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2375.184226631241</v>
      </c>
      <c r="J115" s="76">
        <f t="shared" si="15"/>
        <v>2375.184226631241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71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71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71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5215.6889061362835</v>
      </c>
      <c r="J116" s="76">
        <f t="shared" si="15"/>
        <v>5215.6889061362835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71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71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71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71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71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71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71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71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71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71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71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71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71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7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7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71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71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71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71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71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71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71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71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71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9041.3383522840795</v>
      </c>
      <c r="J124" s="76">
        <f t="shared" si="15"/>
        <v>9041.3383522840795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71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71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71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71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71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71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71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71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71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71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71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71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71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71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71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71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71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71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71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7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7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71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71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71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71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71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71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71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71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71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71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71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71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71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71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71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71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71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71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71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71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71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71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71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71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71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71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71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71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7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7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71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71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71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6065.2247816733534</v>
      </c>
      <c r="J142" s="76">
        <f t="shared" si="29"/>
        <v>6065.2247816733534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71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71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71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221.5399105930594</v>
      </c>
      <c r="J143" s="76">
        <f t="shared" si="29"/>
        <v>221.5399105930594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71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71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71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469.41200155226556</v>
      </c>
      <c r="J144" s="76">
        <f t="shared" si="29"/>
        <v>469.41200155226556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71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71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71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71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71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71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71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71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71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71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71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71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71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71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71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71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71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71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71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7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7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71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71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71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843.31028631304218</v>
      </c>
      <c r="J152" s="76">
        <f t="shared" si="29"/>
        <v>843.31028631304218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71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71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71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71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71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71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71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71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71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71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71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71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7862.3284206876779</v>
      </c>
      <c r="J156" s="76">
        <f t="shared" si="29"/>
        <v>7862.3284206876779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71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71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71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287.18136558359549</v>
      </c>
      <c r="J157" s="76">
        <f t="shared" si="29"/>
        <v>287.18136558359549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71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71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71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608.49703904923308</v>
      </c>
      <c r="J158" s="76">
        <f t="shared" si="29"/>
        <v>608.49703904923308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71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71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71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71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71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71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71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7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7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71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71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71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71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71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71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71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71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71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71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71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71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71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71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71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1093.1800007761658</v>
      </c>
      <c r="J166" s="76">
        <f t="shared" si="29"/>
        <v>1093.1800007761658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71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71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71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71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71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71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71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71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71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71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71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71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71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71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71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71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71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71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71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71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71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71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71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71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71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71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71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71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71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71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71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71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71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71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71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71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71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71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71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71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71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7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7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71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71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71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71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71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71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71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71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71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33422.024340591037</v>
      </c>
      <c r="J184" s="76">
        <f t="shared" si="29"/>
        <v>33422.024340591037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71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71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71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963.82927265854437</v>
      </c>
      <c r="J185" s="76">
        <f t="shared" si="29"/>
        <v>963.82927265854437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71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71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71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2559.5735081593152</v>
      </c>
      <c r="J186" s="76">
        <f t="shared" si="29"/>
        <v>2559.5735081593152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71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71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71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71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71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71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71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71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71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71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71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71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71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7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7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71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71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71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71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71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71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71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71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71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7955.3466992998583</v>
      </c>
      <c r="J194" s="76">
        <f t="shared" si="29"/>
        <v>7955.3466992998583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71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71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71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71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71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71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71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71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71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71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71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71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31876.497203453881</v>
      </c>
      <c r="J198" s="76">
        <f t="shared" si="29"/>
        <v>31876.497203453881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71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71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71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919.25913288242691</v>
      </c>
      <c r="J199" s="76">
        <f t="shared" si="29"/>
        <v>919.25913288242691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71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71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71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2441.2117274351849</v>
      </c>
      <c r="J200" s="76">
        <f t="shared" si="29"/>
        <v>2441.2117274351849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71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7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7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71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71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71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71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71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71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71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71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71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71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71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71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71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71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71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71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71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71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71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71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71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7587.4693952859907</v>
      </c>
      <c r="J208" s="76">
        <f t="shared" si="29"/>
        <v>7587.4693952859907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71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71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71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71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71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71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71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7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7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71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71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71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71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71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71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71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71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71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71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71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71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71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71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71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71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71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71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71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71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71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71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71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71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71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71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71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71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7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7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71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71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71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71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71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71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71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71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71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71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71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71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71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71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71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3494.8232388513989</v>
      </c>
      <c r="J226" s="76">
        <f t="shared" si="42"/>
        <v>3494.8232388513989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71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71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71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85.741806394306337</v>
      </c>
      <c r="J227" s="76">
        <f t="shared" si="42"/>
        <v>85.741806394306337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71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71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71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219.70905546916671</v>
      </c>
      <c r="J228" s="76">
        <f t="shared" si="42"/>
        <v>219.70905546916671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71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71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71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71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71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71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71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7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7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71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71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71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71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71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71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71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71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71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71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71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71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71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71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71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707.70396359667529</v>
      </c>
      <c r="J236" s="76">
        <f t="shared" si="42"/>
        <v>707.70396359667529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71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71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71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71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71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71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71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71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71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71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71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71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4530.3264207332932</v>
      </c>
      <c r="J240" s="76">
        <f t="shared" si="42"/>
        <v>4530.3264207332932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71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7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7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111.14678606669341</v>
      </c>
      <c r="J241" s="76">
        <f t="shared" si="42"/>
        <v>111.14678606669341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71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71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71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284.80803486743827</v>
      </c>
      <c r="J242" s="76">
        <f t="shared" si="42"/>
        <v>284.80803486743827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71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71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71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71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71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71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71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71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71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71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71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71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71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71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71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71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71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71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71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71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71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71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71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71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917.39402688457892</v>
      </c>
      <c r="J250" s="76">
        <f t="shared" si="42"/>
        <v>917.39402688457892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71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7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7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71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71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71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71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71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71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71" t="str">
        <f t="shared" ref="E254:E285" si="52">Jordbund1</f>
        <v>JB1-10</v>
      </c>
      <c r="F254" t="e">
        <f>IF(I254&lt;&gt;0,"Halm",IF(B254&lt;&gt;"Permanent græs",B254,"Græs"))</f>
        <v>#VALUE!</v>
      </c>
      <c r="G254" s="76" t="e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#VALUE!</v>
      </c>
      <c r="H254" s="171" t="e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#VALUE!</v>
      </c>
      <c r="I254" s="171" t="e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#VALUE!</v>
      </c>
      <c r="J254" s="76" t="e">
        <f t="shared" si="42"/>
        <v>#VALUE!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71" t="str">
        <f t="shared" si="52"/>
        <v>JB1-10</v>
      </c>
      <c r="F255" t="e">
        <f t="shared" ref="F255:F265" si="53">IF(I255&lt;&gt;0,"Halm",IF(B255&lt;&gt;"Permanent græs",B255,"Græs"))</f>
        <v>#VALUE!</v>
      </c>
      <c r="G255" s="76" t="e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#VALUE!</v>
      </c>
      <c r="H255" s="171" t="e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#VALUE!</v>
      </c>
      <c r="I255" s="171" t="e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#VALUE!</v>
      </c>
      <c r="J255" s="76" t="e">
        <f t="shared" si="42"/>
        <v>#VALUE!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71" t="str">
        <f t="shared" si="52"/>
        <v>JB1-10</v>
      </c>
      <c r="F256" t="e">
        <f t="shared" si="53"/>
        <v>#VALUE!</v>
      </c>
      <c r="G256" s="76" t="e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#VALUE!</v>
      </c>
      <c r="H256" s="171" t="e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#VALUE!</v>
      </c>
      <c r="I256" s="171" t="e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#VALUE!</v>
      </c>
      <c r="J256" s="76" t="e">
        <f t="shared" si="42"/>
        <v>#VALUE!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71" t="str">
        <f t="shared" si="52"/>
        <v>JB1-10</v>
      </c>
      <c r="F257" t="e">
        <f t="shared" si="53"/>
        <v>#VALUE!</v>
      </c>
      <c r="G257" s="76" t="e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#VALUE!</v>
      </c>
      <c r="H257" s="171" t="e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#VALUE!</v>
      </c>
      <c r="I257" s="171" t="e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#VALUE!</v>
      </c>
      <c r="J257" s="76" t="e">
        <f t="shared" si="42"/>
        <v>#VALUE!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71" t="str">
        <f t="shared" si="52"/>
        <v>JB1-10</v>
      </c>
      <c r="F258" t="e">
        <f t="shared" si="53"/>
        <v>#VALUE!</v>
      </c>
      <c r="G258" s="76" t="e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#VALUE!</v>
      </c>
      <c r="H258" s="171" t="e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#VALUE!</v>
      </c>
      <c r="I258" s="171" t="e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#VALUE!</v>
      </c>
      <c r="J258" s="76" t="e">
        <f t="shared" si="42"/>
        <v>#VALUE!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71" t="str">
        <f t="shared" si="52"/>
        <v>JB1-10</v>
      </c>
      <c r="F259" t="e">
        <f t="shared" si="53"/>
        <v>#VALUE!</v>
      </c>
      <c r="G259" s="76" t="e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#VALUE!</v>
      </c>
      <c r="H259" s="171" t="e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#VALUE!</v>
      </c>
      <c r="I259" s="171" t="e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#VALUE!</v>
      </c>
      <c r="J259" s="76" t="e">
        <f t="shared" si="42"/>
        <v>#VALUE!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71" t="str">
        <f t="shared" si="52"/>
        <v>JB1-10</v>
      </c>
      <c r="F260" t="e">
        <f t="shared" si="53"/>
        <v>#VALUE!</v>
      </c>
      <c r="G260" s="76" t="e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#VALUE!</v>
      </c>
      <c r="H260" s="171" t="e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#VALUE!</v>
      </c>
      <c r="I260" s="171" t="e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#VALUE!</v>
      </c>
      <c r="J260" s="76" t="e">
        <f t="shared" si="42"/>
        <v>#VALUE!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71" t="str">
        <f t="shared" si="52"/>
        <v>JB1-10</v>
      </c>
      <c r="F261" t="e">
        <f t="shared" si="53"/>
        <v>#VALUE!</v>
      </c>
      <c r="G261" s="76" t="e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#VALUE!</v>
      </c>
      <c r="H261" s="171" t="e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#VALUE!</v>
      </c>
      <c r="I261" s="171" t="e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#VALUE!</v>
      </c>
      <c r="J261" s="76" t="e">
        <f t="shared" si="42"/>
        <v>#VALUE!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71" t="str">
        <f t="shared" si="52"/>
        <v>JB1-10</v>
      </c>
      <c r="F262" t="e">
        <f t="shared" si="53"/>
        <v>#VALUE!</v>
      </c>
      <c r="G262" s="76" t="e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#VALUE!</v>
      </c>
      <c r="H262" s="171" t="e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#VALUE!</v>
      </c>
      <c r="I262" s="171" t="e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#VALUE!</v>
      </c>
      <c r="J262" s="76" t="e">
        <f t="shared" si="42"/>
        <v>#VALUE!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71" t="str">
        <f t="shared" si="52"/>
        <v>JB1-10</v>
      </c>
      <c r="F263" t="e">
        <f t="shared" si="53"/>
        <v>#VALUE!</v>
      </c>
      <c r="G263" s="76" t="e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#VALUE!</v>
      </c>
      <c r="H263" s="171" t="e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#VALUE!</v>
      </c>
      <c r="I263" s="171" t="e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#VALUE!</v>
      </c>
      <c r="J263" s="76" t="e">
        <f t="shared" si="42"/>
        <v>#VALUE!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71" t="str">
        <f t="shared" si="52"/>
        <v>JB1-10</v>
      </c>
      <c r="F264" t="e">
        <f t="shared" si="53"/>
        <v>#VALUE!</v>
      </c>
      <c r="G264" s="76" t="e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#VALUE!</v>
      </c>
      <c r="H264" s="171" t="e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#VALUE!</v>
      </c>
      <c r="I264" s="171" t="e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#VALUE!</v>
      </c>
      <c r="J264" s="76" t="e">
        <f t="shared" si="42"/>
        <v>#VALUE!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71" t="str">
        <f t="shared" si="52"/>
        <v>JB1-10</v>
      </c>
      <c r="F265" t="e">
        <f t="shared" si="53"/>
        <v>#VALUE!</v>
      </c>
      <c r="G265" s="76" t="e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#VALUE!</v>
      </c>
      <c r="H265" s="171" t="e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#VALUE!</v>
      </c>
      <c r="I265" s="171" t="e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#VALUE!</v>
      </c>
      <c r="J265" s="76" t="e">
        <f t="shared" si="42"/>
        <v>#VALUE!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71" t="str">
        <f t="shared" si="52"/>
        <v>JB1-10</v>
      </c>
      <c r="F266" t="e">
        <f>IF(I266&lt;&gt;0,"Halm",IF(B266&lt;&gt;"Permanent græs",B266,"Græs"))</f>
        <v>#VALUE!</v>
      </c>
      <c r="G266" s="76" t="e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#VALUE!</v>
      </c>
      <c r="H266" s="171" t="e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#VALUE!</v>
      </c>
      <c r="I266" s="171" t="e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#VALUE!</v>
      </c>
      <c r="J266" s="76" t="e">
        <f t="shared" si="42"/>
        <v>#VALUE!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71" t="str">
        <f t="shared" si="52"/>
        <v>JB1-10</v>
      </c>
      <c r="F267" t="e">
        <f t="shared" ref="F267:F335" si="54">IF(I267&lt;&gt;0,"Halm",IF(B267&lt;&gt;"Permanent græs",B267,"Græs"))</f>
        <v>#VALUE!</v>
      </c>
      <c r="G267" s="76" t="e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#VALUE!</v>
      </c>
      <c r="H267" s="171" t="e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#VALUE!</v>
      </c>
      <c r="I267" s="171" t="e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#VALUE!</v>
      </c>
      <c r="J267" s="76" t="e">
        <f t="shared" si="42"/>
        <v>#VALUE!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71" t="str">
        <f t="shared" si="52"/>
        <v>JB1-10</v>
      </c>
      <c r="F268" t="e">
        <f t="shared" si="54"/>
        <v>#VALUE!</v>
      </c>
      <c r="G268" s="76" t="e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#VALUE!</v>
      </c>
      <c r="H268" s="171" t="e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#VALUE!</v>
      </c>
      <c r="I268" s="171" t="e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#VALUE!</v>
      </c>
      <c r="J268" s="76" t="e">
        <f t="shared" si="42"/>
        <v>#VALUE!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71" t="str">
        <f t="shared" si="52"/>
        <v>JB1-10</v>
      </c>
      <c r="F269" t="e">
        <f t="shared" si="54"/>
        <v>#VALUE!</v>
      </c>
      <c r="G269" s="76" t="e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#VALUE!</v>
      </c>
      <c r="H269" s="171" t="e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#VALUE!</v>
      </c>
      <c r="I269" s="171" t="e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#VALUE!</v>
      </c>
      <c r="J269" s="76" t="e">
        <f t="shared" si="42"/>
        <v>#VALUE!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71" t="str">
        <f t="shared" si="52"/>
        <v>JB1-10</v>
      </c>
      <c r="F270" t="e">
        <f t="shared" si="54"/>
        <v>#VALUE!</v>
      </c>
      <c r="G270" s="76" t="e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#VALUE!</v>
      </c>
      <c r="H270" s="171" t="e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#VALUE!</v>
      </c>
      <c r="I270" s="171" t="e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#VALUE!</v>
      </c>
      <c r="J270" s="76" t="e">
        <f t="shared" si="42"/>
        <v>#VALUE!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71" t="str">
        <f t="shared" si="52"/>
        <v>JB1-10</v>
      </c>
      <c r="F271" t="e">
        <f t="shared" si="54"/>
        <v>#VALUE!</v>
      </c>
      <c r="G271" s="76" t="e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#VALUE!</v>
      </c>
      <c r="H271" s="171" t="e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#VALUE!</v>
      </c>
      <c r="I271" s="171" t="e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#VALUE!</v>
      </c>
      <c r="J271" s="76" t="e">
        <f t="shared" si="42"/>
        <v>#VALUE!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71" t="str">
        <f t="shared" si="52"/>
        <v>JB1-10</v>
      </c>
      <c r="F272" t="e">
        <f t="shared" si="54"/>
        <v>#VALUE!</v>
      </c>
      <c r="G272" s="76" t="e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#VALUE!</v>
      </c>
      <c r="H272" s="171" t="e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#VALUE!</v>
      </c>
      <c r="I272" s="171" t="e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#VALUE!</v>
      </c>
      <c r="J272" s="76" t="e">
        <f t="shared" si="42"/>
        <v>#VALUE!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71" t="str">
        <f t="shared" si="52"/>
        <v>JB1-10</v>
      </c>
      <c r="F273" t="e">
        <f t="shared" si="54"/>
        <v>#VALUE!</v>
      </c>
      <c r="G273" s="76" t="e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#VALUE!</v>
      </c>
      <c r="H273" s="171" t="e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#VALUE!</v>
      </c>
      <c r="I273" s="171" t="e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#VALUE!</v>
      </c>
      <c r="J273" s="76" t="e">
        <f t="shared" si="42"/>
        <v>#VALUE!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71" t="str">
        <f t="shared" si="52"/>
        <v>JB1-10</v>
      </c>
      <c r="F274" t="e">
        <f t="shared" si="54"/>
        <v>#VALUE!</v>
      </c>
      <c r="G274" s="76" t="e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#VALUE!</v>
      </c>
      <c r="H274" s="171" t="e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#VALUE!</v>
      </c>
      <c r="I274" s="171" t="e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#VALUE!</v>
      </c>
      <c r="J274" s="76" t="e">
        <f t="shared" si="42"/>
        <v>#VALUE!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71" t="str">
        <f t="shared" si="52"/>
        <v>JB1-10</v>
      </c>
      <c r="F275" t="e">
        <f t="shared" si="54"/>
        <v>#VALUE!</v>
      </c>
      <c r="G275" s="76" t="e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#VALUE!</v>
      </c>
      <c r="H275" s="171" t="e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#VALUE!</v>
      </c>
      <c r="I275" s="171" t="e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#VALUE!</v>
      </c>
      <c r="J275" s="76" t="e">
        <f t="shared" si="42"/>
        <v>#VALUE!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71" t="str">
        <f t="shared" si="52"/>
        <v>JB1-10</v>
      </c>
      <c r="F276" t="e">
        <f t="shared" si="54"/>
        <v>#VALUE!</v>
      </c>
      <c r="G276" s="76" t="e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#VALUE!</v>
      </c>
      <c r="H276" s="171" t="e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#VALUE!</v>
      </c>
      <c r="I276" s="171" t="e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#VALUE!</v>
      </c>
      <c r="J276" s="76" t="e">
        <f t="shared" si="42"/>
        <v>#VALUE!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71" t="str">
        <f t="shared" si="52"/>
        <v>JB1-10</v>
      </c>
      <c r="F277" t="e">
        <f t="shared" si="54"/>
        <v>#VALUE!</v>
      </c>
      <c r="G277" s="76" t="e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#VALUE!</v>
      </c>
      <c r="H277" s="171" t="e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#VALUE!</v>
      </c>
      <c r="I277" s="171" t="e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#VALUE!</v>
      </c>
      <c r="J277" s="76" t="e">
        <f t="shared" ref="J277:J340" si="55">IF(I277&lt;&gt;0,I277,H277)</f>
        <v>#VALUE!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71" t="str">
        <f t="shared" si="52"/>
        <v>JB1-10</v>
      </c>
      <c r="F278" t="e">
        <f t="shared" si="54"/>
        <v>#VALUE!</v>
      </c>
      <c r="G278" s="76" t="e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#VALUE!</v>
      </c>
      <c r="H278" s="171" t="e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#VALUE!</v>
      </c>
      <c r="I278" s="171" t="e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#VALUE!</v>
      </c>
      <c r="J278" s="76" t="e">
        <f t="shared" si="55"/>
        <v>#VALUE!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71" t="str">
        <f t="shared" si="52"/>
        <v>JB1-10</v>
      </c>
      <c r="F279" t="e">
        <f t="shared" si="54"/>
        <v>#VALUE!</v>
      </c>
      <c r="G279" s="76" t="e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#VALUE!</v>
      </c>
      <c r="H279" s="171" t="e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#VALUE!</v>
      </c>
      <c r="I279" s="171" t="e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#VALUE!</v>
      </c>
      <c r="J279" s="76" t="e">
        <f t="shared" si="55"/>
        <v>#VALUE!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71" t="str">
        <f t="shared" si="52"/>
        <v>JB1-10</v>
      </c>
      <c r="F280" t="e">
        <f t="shared" si="54"/>
        <v>#VALUE!</v>
      </c>
      <c r="G280" s="76" t="e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#VALUE!</v>
      </c>
      <c r="H280" s="171" t="e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#VALUE!</v>
      </c>
      <c r="I280" s="171" t="e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#VALUE!</v>
      </c>
      <c r="J280" s="76" t="e">
        <f t="shared" si="55"/>
        <v>#VALUE!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71" t="str">
        <f t="shared" si="52"/>
        <v>JB1-10</v>
      </c>
      <c r="F281" t="e">
        <f t="shared" si="54"/>
        <v>#VALUE!</v>
      </c>
      <c r="G281" s="76" t="e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#VALUE!</v>
      </c>
      <c r="H281" s="171" t="e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#VALUE!</v>
      </c>
      <c r="I281" s="171" t="e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#VALUE!</v>
      </c>
      <c r="J281" s="76" t="e">
        <f t="shared" si="55"/>
        <v>#VALUE!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71" t="str">
        <f t="shared" si="52"/>
        <v>JB1-10</v>
      </c>
      <c r="F282" t="e">
        <f t="shared" si="54"/>
        <v>#VALUE!</v>
      </c>
      <c r="G282" s="76" t="e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#VALUE!</v>
      </c>
      <c r="H282" s="171" t="e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#VALUE!</v>
      </c>
      <c r="I282" s="171" t="e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#VALUE!</v>
      </c>
      <c r="J282" s="76" t="e">
        <f t="shared" si="55"/>
        <v>#VALUE!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71" t="str">
        <f t="shared" si="52"/>
        <v>JB1-10</v>
      </c>
      <c r="F283" t="e">
        <f t="shared" si="54"/>
        <v>#VALUE!</v>
      </c>
      <c r="G283" s="76" t="e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#VALUE!</v>
      </c>
      <c r="H283" s="171" t="e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#VALUE!</v>
      </c>
      <c r="I283" s="171" t="e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#VALUE!</v>
      </c>
      <c r="J283" s="76" t="e">
        <f t="shared" si="55"/>
        <v>#VALUE!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71" t="str">
        <f t="shared" si="52"/>
        <v>JB1-10</v>
      </c>
      <c r="F284" t="e">
        <f t="shared" si="54"/>
        <v>#VALUE!</v>
      </c>
      <c r="G284" s="76" t="e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#VALUE!</v>
      </c>
      <c r="H284" s="171" t="e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#VALUE!</v>
      </c>
      <c r="I284" s="171" t="e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#VALUE!</v>
      </c>
      <c r="J284" s="76" t="e">
        <f t="shared" si="55"/>
        <v>#VALUE!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71" t="str">
        <f t="shared" si="52"/>
        <v>JB1-10</v>
      </c>
      <c r="F285" t="e">
        <f t="shared" si="54"/>
        <v>#VALUE!</v>
      </c>
      <c r="G285" s="76" t="e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#VALUE!</v>
      </c>
      <c r="H285" s="171" t="e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#VALUE!</v>
      </c>
      <c r="I285" s="171" t="e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#VALUE!</v>
      </c>
      <c r="J285" s="76" t="e">
        <f t="shared" si="55"/>
        <v>#VALUE!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71" t="str">
        <f t="shared" ref="E286:E317" si="56">Jordbund1</f>
        <v>JB1-10</v>
      </c>
      <c r="F286" t="e">
        <f t="shared" si="54"/>
        <v>#VALUE!</v>
      </c>
      <c r="G286" s="76" t="e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#VALUE!</v>
      </c>
      <c r="H286" s="171" t="e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#VALUE!</v>
      </c>
      <c r="I286" s="171" t="e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#VALUE!</v>
      </c>
      <c r="J286" s="76" t="e">
        <f t="shared" si="55"/>
        <v>#VALUE!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71" t="str">
        <f t="shared" si="56"/>
        <v>JB1-10</v>
      </c>
      <c r="F287" t="e">
        <f t="shared" si="54"/>
        <v>#VALUE!</v>
      </c>
      <c r="G287" s="76" t="e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#VALUE!</v>
      </c>
      <c r="H287" s="171" t="e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#VALUE!</v>
      </c>
      <c r="I287" s="171" t="e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#VALUE!</v>
      </c>
      <c r="J287" s="76" t="e">
        <f t="shared" si="55"/>
        <v>#VALUE!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71" t="str">
        <f t="shared" si="56"/>
        <v>JB1-10</v>
      </c>
      <c r="F288" t="e">
        <f t="shared" si="54"/>
        <v>#VALUE!</v>
      </c>
      <c r="G288" s="76" t="e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#VALUE!</v>
      </c>
      <c r="H288" s="171" t="e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#VALUE!</v>
      </c>
      <c r="I288" s="171" t="e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#VALUE!</v>
      </c>
      <c r="J288" s="76" t="e">
        <f t="shared" si="55"/>
        <v>#VALUE!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71" t="str">
        <f t="shared" si="56"/>
        <v>JB1-10</v>
      </c>
      <c r="F289" t="e">
        <f t="shared" si="54"/>
        <v>#VALUE!</v>
      </c>
      <c r="G289" s="76" t="e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#VALUE!</v>
      </c>
      <c r="H289" s="171" t="e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#VALUE!</v>
      </c>
      <c r="I289" s="171" t="e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#VALUE!</v>
      </c>
      <c r="J289" s="76" t="e">
        <f t="shared" si="55"/>
        <v>#VALUE!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71" t="str">
        <f t="shared" si="56"/>
        <v>JB1-10</v>
      </c>
      <c r="F290" t="e">
        <f t="shared" si="54"/>
        <v>#VALUE!</v>
      </c>
      <c r="G290" s="76" t="e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#VALUE!</v>
      </c>
      <c r="H290" s="171" t="e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#VALUE!</v>
      </c>
      <c r="I290" s="171" t="e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#VALUE!</v>
      </c>
      <c r="J290" s="76" t="e">
        <f t="shared" si="55"/>
        <v>#VALUE!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71" t="str">
        <f t="shared" si="56"/>
        <v>JB1-10</v>
      </c>
      <c r="F291" t="e">
        <f t="shared" si="54"/>
        <v>#VALUE!</v>
      </c>
      <c r="G291" s="76" t="e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#VALUE!</v>
      </c>
      <c r="H291" s="171" t="e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#VALUE!</v>
      </c>
      <c r="I291" s="171" t="e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#VALUE!</v>
      </c>
      <c r="J291" s="76" t="e">
        <f t="shared" si="55"/>
        <v>#VALUE!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71" t="str">
        <f t="shared" si="56"/>
        <v>JB1-10</v>
      </c>
      <c r="F292" t="e">
        <f t="shared" si="54"/>
        <v>#VALUE!</v>
      </c>
      <c r="G292" s="76" t="e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#VALUE!</v>
      </c>
      <c r="H292" s="171" t="e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#VALUE!</v>
      </c>
      <c r="I292" s="171" t="e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#VALUE!</v>
      </c>
      <c r="J292" s="76" t="e">
        <f t="shared" si="55"/>
        <v>#VALUE!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71" t="str">
        <f t="shared" si="56"/>
        <v>JB1-10</v>
      </c>
      <c r="F293" t="e">
        <f t="shared" si="54"/>
        <v>#VALUE!</v>
      </c>
      <c r="G293" s="76" t="e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#VALUE!</v>
      </c>
      <c r="H293" s="171" t="e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#VALUE!</v>
      </c>
      <c r="I293" s="171" t="e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#VALUE!</v>
      </c>
      <c r="J293" s="76" t="e">
        <f t="shared" si="55"/>
        <v>#VALUE!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71" t="str">
        <f t="shared" si="56"/>
        <v>JB1-10</v>
      </c>
      <c r="F294" t="e">
        <f t="shared" si="54"/>
        <v>#VALUE!</v>
      </c>
      <c r="G294" s="76" t="e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#VALUE!</v>
      </c>
      <c r="H294" s="171" t="e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#VALUE!</v>
      </c>
      <c r="I294" s="171" t="e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#VALUE!</v>
      </c>
      <c r="J294" s="76" t="e">
        <f t="shared" si="55"/>
        <v>#VALUE!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71" t="str">
        <f t="shared" si="56"/>
        <v>JB1-10</v>
      </c>
      <c r="F295" t="e">
        <f t="shared" si="54"/>
        <v>#VALUE!</v>
      </c>
      <c r="G295" s="76" t="e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#VALUE!</v>
      </c>
      <c r="H295" s="171" t="e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#VALUE!</v>
      </c>
      <c r="I295" s="171" t="e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#VALUE!</v>
      </c>
      <c r="J295" s="76" t="e">
        <f t="shared" si="55"/>
        <v>#VALUE!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71" t="str">
        <f t="shared" si="56"/>
        <v>JB1-10</v>
      </c>
      <c r="F296" t="e">
        <f t="shared" si="54"/>
        <v>#VALUE!</v>
      </c>
      <c r="G296" s="76" t="e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#VALUE!</v>
      </c>
      <c r="H296" s="171" t="e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#VALUE!</v>
      </c>
      <c r="I296" s="171" t="e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#VALUE!</v>
      </c>
      <c r="J296" s="76" t="e">
        <f t="shared" si="55"/>
        <v>#VALUE!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71" t="str">
        <f t="shared" si="56"/>
        <v>JB1-10</v>
      </c>
      <c r="F297" t="e">
        <f t="shared" si="54"/>
        <v>#VALUE!</v>
      </c>
      <c r="G297" s="76" t="e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#VALUE!</v>
      </c>
      <c r="H297" s="171" t="e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#VALUE!</v>
      </c>
      <c r="I297" s="171" t="e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#VALUE!</v>
      </c>
      <c r="J297" s="76" t="e">
        <f t="shared" si="55"/>
        <v>#VALUE!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71" t="str">
        <f t="shared" si="56"/>
        <v>JB1-10</v>
      </c>
      <c r="F298" t="e">
        <f t="shared" si="54"/>
        <v>#VALUE!</v>
      </c>
      <c r="G298" s="76" t="e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#VALUE!</v>
      </c>
      <c r="H298" s="171" t="e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#VALUE!</v>
      </c>
      <c r="I298" s="171" t="e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#VALUE!</v>
      </c>
      <c r="J298" s="76" t="e">
        <f t="shared" si="55"/>
        <v>#VALUE!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71" t="str">
        <f t="shared" si="56"/>
        <v>JB1-10</v>
      </c>
      <c r="F299" t="e">
        <f t="shared" si="54"/>
        <v>#VALUE!</v>
      </c>
      <c r="G299" s="76" t="e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#VALUE!</v>
      </c>
      <c r="H299" s="171" t="e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#VALUE!</v>
      </c>
      <c r="I299" s="171" t="e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#VALUE!</v>
      </c>
      <c r="J299" s="76" t="e">
        <f t="shared" si="55"/>
        <v>#VALUE!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71" t="str">
        <f t="shared" si="56"/>
        <v>JB1-10</v>
      </c>
      <c r="F300" t="e">
        <f t="shared" si="54"/>
        <v>#VALUE!</v>
      </c>
      <c r="G300" s="76" t="e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#VALUE!</v>
      </c>
      <c r="H300" s="171" t="e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#VALUE!</v>
      </c>
      <c r="I300" s="171" t="e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#VALUE!</v>
      </c>
      <c r="J300" s="76" t="e">
        <f t="shared" si="55"/>
        <v>#VALUE!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71" t="str">
        <f t="shared" si="56"/>
        <v>JB1-10</v>
      </c>
      <c r="F301" t="e">
        <f t="shared" si="54"/>
        <v>#VALUE!</v>
      </c>
      <c r="G301" s="76" t="e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#VALUE!</v>
      </c>
      <c r="H301" s="171" t="e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#VALUE!</v>
      </c>
      <c r="I301" s="171" t="e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#VALUE!</v>
      </c>
      <c r="J301" s="76" t="e">
        <f t="shared" si="55"/>
        <v>#VALUE!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71" t="str">
        <f t="shared" si="56"/>
        <v>JB1-10</v>
      </c>
      <c r="F302" t="e">
        <f t="shared" si="54"/>
        <v>#VALUE!</v>
      </c>
      <c r="G302" s="76" t="e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#VALUE!</v>
      </c>
      <c r="H302" s="171" t="e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#VALUE!</v>
      </c>
      <c r="I302" s="171" t="e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#VALUE!</v>
      </c>
      <c r="J302" s="76" t="e">
        <f t="shared" si="55"/>
        <v>#VALUE!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71" t="str">
        <f t="shared" si="56"/>
        <v>JB1-10</v>
      </c>
      <c r="F303" t="e">
        <f t="shared" si="54"/>
        <v>#VALUE!</v>
      </c>
      <c r="G303" s="76" t="e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#VALUE!</v>
      </c>
      <c r="H303" s="171" t="e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#VALUE!</v>
      </c>
      <c r="I303" s="171" t="e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#VALUE!</v>
      </c>
      <c r="J303" s="76" t="e">
        <f t="shared" si="55"/>
        <v>#VALUE!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71" t="str">
        <f t="shared" si="56"/>
        <v>JB1-10</v>
      </c>
      <c r="F304" t="e">
        <f t="shared" si="54"/>
        <v>#VALUE!</v>
      </c>
      <c r="G304" s="76" t="e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#VALUE!</v>
      </c>
      <c r="H304" s="171" t="e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#VALUE!</v>
      </c>
      <c r="I304" s="171" t="e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#VALUE!</v>
      </c>
      <c r="J304" s="76" t="e">
        <f t="shared" si="55"/>
        <v>#VALUE!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71" t="str">
        <f t="shared" si="56"/>
        <v>JB1-10</v>
      </c>
      <c r="F305" t="e">
        <f t="shared" si="54"/>
        <v>#VALUE!</v>
      </c>
      <c r="G305" s="76" t="e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#VALUE!</v>
      </c>
      <c r="H305" s="171" t="e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#VALUE!</v>
      </c>
      <c r="I305" s="171" t="e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#VALUE!</v>
      </c>
      <c r="J305" s="76" t="e">
        <f t="shared" si="55"/>
        <v>#VALUE!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71" t="str">
        <f t="shared" si="56"/>
        <v>JB1-10</v>
      </c>
      <c r="F306" t="e">
        <f t="shared" si="54"/>
        <v>#VALUE!</v>
      </c>
      <c r="G306" s="76" t="e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#VALUE!</v>
      </c>
      <c r="H306" s="171" t="e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#VALUE!</v>
      </c>
      <c r="I306" s="171" t="e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#VALUE!</v>
      </c>
      <c r="J306" s="76" t="e">
        <f t="shared" si="55"/>
        <v>#VALUE!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71" t="str">
        <f t="shared" si="56"/>
        <v>JB1-10</v>
      </c>
      <c r="F307" t="e">
        <f t="shared" si="54"/>
        <v>#VALUE!</v>
      </c>
      <c r="G307" s="76" t="e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#VALUE!</v>
      </c>
      <c r="H307" s="171" t="e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#VALUE!</v>
      </c>
      <c r="I307" s="171" t="e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#VALUE!</v>
      </c>
      <c r="J307" s="76" t="e">
        <f t="shared" si="55"/>
        <v>#VALUE!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71" t="str">
        <f t="shared" si="56"/>
        <v>JB1-10</v>
      </c>
      <c r="F308" t="e">
        <f t="shared" si="54"/>
        <v>#VALUE!</v>
      </c>
      <c r="G308" s="76" t="e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#VALUE!</v>
      </c>
      <c r="H308" s="171" t="e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#VALUE!</v>
      </c>
      <c r="I308" s="171" t="e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#VALUE!</v>
      </c>
      <c r="J308" s="76" t="e">
        <f t="shared" si="55"/>
        <v>#VALUE!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71" t="str">
        <f t="shared" si="56"/>
        <v>JB1-10</v>
      </c>
      <c r="F309" t="e">
        <f t="shared" si="54"/>
        <v>#VALUE!</v>
      </c>
      <c r="G309" s="76" t="e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#VALUE!</v>
      </c>
      <c r="H309" s="171" t="e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#VALUE!</v>
      </c>
      <c r="I309" s="171" t="e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#VALUE!</v>
      </c>
      <c r="J309" s="76" t="e">
        <f t="shared" si="55"/>
        <v>#VALUE!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71" t="str">
        <f t="shared" si="56"/>
        <v>JB1-10</v>
      </c>
      <c r="F310" t="e">
        <f t="shared" si="54"/>
        <v>#VALUE!</v>
      </c>
      <c r="G310" s="76" t="e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#VALUE!</v>
      </c>
      <c r="H310" s="171" t="e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#VALUE!</v>
      </c>
      <c r="I310" s="171" t="e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#VALUE!</v>
      </c>
      <c r="J310" s="76" t="e">
        <f t="shared" si="55"/>
        <v>#VALUE!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71" t="str">
        <f t="shared" si="56"/>
        <v>JB1-10</v>
      </c>
      <c r="F311" t="e">
        <f t="shared" si="54"/>
        <v>#VALUE!</v>
      </c>
      <c r="G311" s="76" t="e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#VALUE!</v>
      </c>
      <c r="H311" s="171" t="e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#VALUE!</v>
      </c>
      <c r="I311" s="171" t="e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#VALUE!</v>
      </c>
      <c r="J311" s="76" t="e">
        <f t="shared" si="55"/>
        <v>#VALUE!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71" t="str">
        <f t="shared" si="56"/>
        <v>JB1-10</v>
      </c>
      <c r="F312" t="e">
        <f t="shared" si="54"/>
        <v>#VALUE!</v>
      </c>
      <c r="G312" s="76" t="e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#VALUE!</v>
      </c>
      <c r="H312" s="171" t="e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#VALUE!</v>
      </c>
      <c r="I312" s="171" t="e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#VALUE!</v>
      </c>
      <c r="J312" s="76" t="e">
        <f t="shared" si="55"/>
        <v>#VALUE!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71" t="str">
        <f t="shared" si="56"/>
        <v>JB1-10</v>
      </c>
      <c r="F313" t="e">
        <f t="shared" si="54"/>
        <v>#VALUE!</v>
      </c>
      <c r="G313" s="76" t="e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#VALUE!</v>
      </c>
      <c r="H313" s="171" t="e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#VALUE!</v>
      </c>
      <c r="I313" s="171" t="e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#VALUE!</v>
      </c>
      <c r="J313" s="76" t="e">
        <f t="shared" si="55"/>
        <v>#VALUE!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71" t="str">
        <f t="shared" si="56"/>
        <v>JB1-10</v>
      </c>
      <c r="F314" t="e">
        <f t="shared" si="54"/>
        <v>#VALUE!</v>
      </c>
      <c r="G314" s="76" t="e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#VALUE!</v>
      </c>
      <c r="H314" s="171" t="e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#VALUE!</v>
      </c>
      <c r="I314" s="171" t="e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#VALUE!</v>
      </c>
      <c r="J314" s="76" t="e">
        <f t="shared" si="55"/>
        <v>#VALUE!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71" t="str">
        <f t="shared" si="56"/>
        <v>JB1-10</v>
      </c>
      <c r="F315" t="e">
        <f t="shared" si="54"/>
        <v>#VALUE!</v>
      </c>
      <c r="G315" s="76" t="e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#VALUE!</v>
      </c>
      <c r="H315" s="171" t="e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#VALUE!</v>
      </c>
      <c r="I315" s="171" t="e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#VALUE!</v>
      </c>
      <c r="J315" s="76" t="e">
        <f t="shared" si="55"/>
        <v>#VALUE!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71" t="str">
        <f t="shared" si="56"/>
        <v>JB1-10</v>
      </c>
      <c r="F316" t="e">
        <f t="shared" si="54"/>
        <v>#VALUE!</v>
      </c>
      <c r="G316" s="76" t="e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#VALUE!</v>
      </c>
      <c r="H316" s="171" t="e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#VALUE!</v>
      </c>
      <c r="I316" s="171" t="e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#VALUE!</v>
      </c>
      <c r="J316" s="76" t="e">
        <f t="shared" si="55"/>
        <v>#VALUE!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71" t="str">
        <f t="shared" si="56"/>
        <v>JB1-10</v>
      </c>
      <c r="F317" t="e">
        <f t="shared" si="54"/>
        <v>#VALUE!</v>
      </c>
      <c r="G317" s="76" t="e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#VALUE!</v>
      </c>
      <c r="H317" s="171" t="e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#VALUE!</v>
      </c>
      <c r="I317" s="171" t="e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#VALUE!</v>
      </c>
      <c r="J317" s="76" t="e">
        <f t="shared" si="55"/>
        <v>#VALUE!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71" t="str">
        <f t="shared" ref="E318:E337" si="57">Jordbund1</f>
        <v>JB1-10</v>
      </c>
      <c r="F318" t="e">
        <f t="shared" si="54"/>
        <v>#VALUE!</v>
      </c>
      <c r="G318" s="76" t="e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#VALUE!</v>
      </c>
      <c r="H318" s="171" t="e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#VALUE!</v>
      </c>
      <c r="I318" s="171" t="e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#VALUE!</v>
      </c>
      <c r="J318" s="76" t="e">
        <f t="shared" si="55"/>
        <v>#VALUE!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71" t="str">
        <f t="shared" si="57"/>
        <v>JB1-10</v>
      </c>
      <c r="F319" t="e">
        <f t="shared" si="54"/>
        <v>#VALUE!</v>
      </c>
      <c r="G319" s="76" t="e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#VALUE!</v>
      </c>
      <c r="H319" s="171" t="e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#VALUE!</v>
      </c>
      <c r="I319" s="171" t="e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#VALUE!</v>
      </c>
      <c r="J319" s="76" t="e">
        <f t="shared" si="55"/>
        <v>#VALUE!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71" t="str">
        <f t="shared" si="57"/>
        <v>JB1-10</v>
      </c>
      <c r="F320" t="e">
        <f t="shared" si="54"/>
        <v>#VALUE!</v>
      </c>
      <c r="G320" s="76" t="e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#VALUE!</v>
      </c>
      <c r="H320" s="171" t="e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#VALUE!</v>
      </c>
      <c r="I320" s="171" t="e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#VALUE!</v>
      </c>
      <c r="J320" s="76" t="e">
        <f t="shared" si="55"/>
        <v>#VALUE!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71" t="str">
        <f t="shared" si="57"/>
        <v>JB1-10</v>
      </c>
      <c r="F321" t="e">
        <f t="shared" si="54"/>
        <v>#VALUE!</v>
      </c>
      <c r="G321" s="76" t="e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#VALUE!</v>
      </c>
      <c r="H321" s="171" t="e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#VALUE!</v>
      </c>
      <c r="I321" s="171" t="e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#VALUE!</v>
      </c>
      <c r="J321" s="76" t="e">
        <f t="shared" si="55"/>
        <v>#VALUE!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71" t="str">
        <f t="shared" si="57"/>
        <v>JB1-10</v>
      </c>
      <c r="F322" t="e">
        <f t="shared" si="54"/>
        <v>#VALUE!</v>
      </c>
      <c r="G322" s="76" t="e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#VALUE!</v>
      </c>
      <c r="H322" s="171" t="e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#VALUE!</v>
      </c>
      <c r="I322" s="171" t="e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#VALUE!</v>
      </c>
      <c r="J322" s="76" t="e">
        <f t="shared" si="55"/>
        <v>#VALUE!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71" t="str">
        <f t="shared" si="57"/>
        <v>JB1-10</v>
      </c>
      <c r="F323" t="e">
        <f t="shared" si="54"/>
        <v>#VALUE!</v>
      </c>
      <c r="G323" s="76" t="e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#VALUE!</v>
      </c>
      <c r="H323" s="171" t="e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#VALUE!</v>
      </c>
      <c r="I323" s="171" t="e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#VALUE!</v>
      </c>
      <c r="J323" s="76" t="e">
        <f t="shared" si="55"/>
        <v>#VALUE!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71" t="str">
        <f t="shared" si="57"/>
        <v>JB1-10</v>
      </c>
      <c r="F324" t="e">
        <f t="shared" si="54"/>
        <v>#VALUE!</v>
      </c>
      <c r="G324" s="76" t="e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#VALUE!</v>
      </c>
      <c r="H324" s="171" t="e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#VALUE!</v>
      </c>
      <c r="I324" s="171" t="e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#VALUE!</v>
      </c>
      <c r="J324" s="76" t="e">
        <f t="shared" si="55"/>
        <v>#VALUE!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71" t="str">
        <f t="shared" si="57"/>
        <v>JB1-10</v>
      </c>
      <c r="F325" t="e">
        <f t="shared" si="54"/>
        <v>#VALUE!</v>
      </c>
      <c r="G325" s="76" t="e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#VALUE!</v>
      </c>
      <c r="H325" s="171" t="e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#VALUE!</v>
      </c>
      <c r="I325" s="171" t="e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#VALUE!</v>
      </c>
      <c r="J325" s="76" t="e">
        <f t="shared" si="55"/>
        <v>#VALUE!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71" t="str">
        <f t="shared" si="57"/>
        <v>JB1-10</v>
      </c>
      <c r="F326" t="e">
        <f t="shared" si="54"/>
        <v>#VALUE!</v>
      </c>
      <c r="G326" s="76" t="e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#VALUE!</v>
      </c>
      <c r="H326" s="171" t="e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#VALUE!</v>
      </c>
      <c r="I326" s="171" t="e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#VALUE!</v>
      </c>
      <c r="J326" s="76" t="e">
        <f t="shared" si="55"/>
        <v>#VALUE!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71" t="str">
        <f t="shared" si="57"/>
        <v>JB1-10</v>
      </c>
      <c r="F327" t="e">
        <f t="shared" si="54"/>
        <v>#VALUE!</v>
      </c>
      <c r="G327" s="76" t="e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#VALUE!</v>
      </c>
      <c r="H327" s="171" t="e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#VALUE!</v>
      </c>
      <c r="I327" s="171" t="e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#VALUE!</v>
      </c>
      <c r="J327" s="76" t="e">
        <f t="shared" si="55"/>
        <v>#VALUE!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71" t="str">
        <f t="shared" si="57"/>
        <v>JB1-10</v>
      </c>
      <c r="F328" t="e">
        <f t="shared" si="54"/>
        <v>#VALUE!</v>
      </c>
      <c r="G328" s="76" t="e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#VALUE!</v>
      </c>
      <c r="H328" s="171" t="e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#VALUE!</v>
      </c>
      <c r="I328" s="171" t="e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#VALUE!</v>
      </c>
      <c r="J328" s="76" t="e">
        <f t="shared" si="55"/>
        <v>#VALUE!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71" t="str">
        <f t="shared" si="57"/>
        <v>JB1-10</v>
      </c>
      <c r="F329" t="e">
        <f t="shared" si="54"/>
        <v>#VALUE!</v>
      </c>
      <c r="G329" s="76" t="e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#VALUE!</v>
      </c>
      <c r="H329" s="171" t="e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#VALUE!</v>
      </c>
      <c r="I329" s="171" t="e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#VALUE!</v>
      </c>
      <c r="J329" s="76" t="e">
        <f t="shared" si="55"/>
        <v>#VALUE!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71" t="str">
        <f t="shared" si="57"/>
        <v>JB1-10</v>
      </c>
      <c r="F330" t="e">
        <f t="shared" si="54"/>
        <v>#VALUE!</v>
      </c>
      <c r="G330" s="76" t="e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#VALUE!</v>
      </c>
      <c r="H330" s="171" t="e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#VALUE!</v>
      </c>
      <c r="I330" s="171" t="e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#VALUE!</v>
      </c>
      <c r="J330" s="76" t="e">
        <f t="shared" si="55"/>
        <v>#VALUE!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71" t="str">
        <f t="shared" si="57"/>
        <v>JB1-10</v>
      </c>
      <c r="F331" t="e">
        <f t="shared" si="54"/>
        <v>#VALUE!</v>
      </c>
      <c r="G331" s="76" t="e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#VALUE!</v>
      </c>
      <c r="H331" s="171" t="e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#VALUE!</v>
      </c>
      <c r="I331" s="171" t="e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#VALUE!</v>
      </c>
      <c r="J331" s="76" t="e">
        <f t="shared" si="55"/>
        <v>#VALUE!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71" t="str">
        <f t="shared" si="57"/>
        <v>JB1-10</v>
      </c>
      <c r="F332" t="e">
        <f t="shared" si="54"/>
        <v>#VALUE!</v>
      </c>
      <c r="G332" s="76" t="e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#VALUE!</v>
      </c>
      <c r="H332" s="171" t="e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#VALUE!</v>
      </c>
      <c r="I332" s="171" t="e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#VALUE!</v>
      </c>
      <c r="J332" s="76" t="e">
        <f t="shared" si="55"/>
        <v>#VALUE!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71" t="str">
        <f t="shared" si="57"/>
        <v>JB1-10</v>
      </c>
      <c r="F333" t="e">
        <f t="shared" si="54"/>
        <v>#VALUE!</v>
      </c>
      <c r="G333" s="76" t="e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#VALUE!</v>
      </c>
      <c r="H333" s="171" t="e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#VALUE!</v>
      </c>
      <c r="I333" s="171" t="e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#VALUE!</v>
      </c>
      <c r="J333" s="76" t="e">
        <f t="shared" si="55"/>
        <v>#VALUE!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71" t="str">
        <f t="shared" si="57"/>
        <v>JB1-10</v>
      </c>
      <c r="F334" t="e">
        <f t="shared" si="54"/>
        <v>#VALUE!</v>
      </c>
      <c r="G334" s="76" t="e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#VALUE!</v>
      </c>
      <c r="H334" s="171" t="e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#VALUE!</v>
      </c>
      <c r="I334" s="171" t="e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#VALUE!</v>
      </c>
      <c r="J334" s="76" t="e">
        <f t="shared" si="55"/>
        <v>#VALUE!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71" t="str">
        <f t="shared" si="57"/>
        <v>JB1-10</v>
      </c>
      <c r="F335" t="e">
        <f t="shared" si="54"/>
        <v>#VALUE!</v>
      </c>
      <c r="G335" s="76" t="e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#VALUE!</v>
      </c>
      <c r="H335" s="171" t="e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#VALUE!</v>
      </c>
      <c r="I335" s="171" t="e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#VALUE!</v>
      </c>
      <c r="J335" s="76" t="e">
        <f t="shared" si="55"/>
        <v>#VALUE!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71" t="str">
        <f t="shared" si="57"/>
        <v>JB1-10</v>
      </c>
      <c r="F336" t="e">
        <f t="shared" ref="F336:F399" si="58">IF(I336&lt;&gt;0,"Halm",IF(B336&lt;&gt;"Permanent græs",B336,"Græs"))</f>
        <v>#VALUE!</v>
      </c>
      <c r="G336" s="76" t="e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#VALUE!</v>
      </c>
      <c r="H336" s="171" t="e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#VALUE!</v>
      </c>
      <c r="I336" s="171" t="e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#VALUE!</v>
      </c>
      <c r="J336" s="76" t="e">
        <f t="shared" si="55"/>
        <v>#VALUE!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71" t="str">
        <f t="shared" si="57"/>
        <v>JB1-10</v>
      </c>
      <c r="F337" t="e">
        <f t="shared" si="58"/>
        <v>#VALUE!</v>
      </c>
      <c r="G337" s="76" t="e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#VALUE!</v>
      </c>
      <c r="H337" s="171" t="e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#VALUE!</v>
      </c>
      <c r="I337" s="171" t="e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#VALUE!</v>
      </c>
      <c r="J337" s="76" t="e">
        <f t="shared" si="55"/>
        <v>#VALUE!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71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71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71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71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71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71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71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71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71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71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7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7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71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71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71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71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71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71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71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71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71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71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71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71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71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71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71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71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71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71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71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71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71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71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71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71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71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71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71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71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7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7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71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71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71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8201.4616036905572</v>
      </c>
      <c r="J352" s="76">
        <f t="shared" si="60"/>
        <v>8201.4616036905572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71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71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71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111.07726616970228</v>
      </c>
      <c r="J353" s="76">
        <f t="shared" si="60"/>
        <v>111.07726616970228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71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71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71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920.08668153685562</v>
      </c>
      <c r="J354" s="76">
        <f t="shared" si="60"/>
        <v>920.08668153685562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71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71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71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71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71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71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71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71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71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71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71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71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71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71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71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71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71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71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71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7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7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71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71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71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2930.8730620890651</v>
      </c>
      <c r="J362" s="76">
        <f t="shared" si="60"/>
        <v>2930.8730620890651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71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71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71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71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71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71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71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71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71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71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71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71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7822.2032636355034</v>
      </c>
      <c r="J366" s="76">
        <f t="shared" si="60"/>
        <v>7822.2032636355034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71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71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71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105.94074519075649</v>
      </c>
      <c r="J367" s="76">
        <f t="shared" si="60"/>
        <v>105.94074519075649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71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71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71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877.5393205409315</v>
      </c>
      <c r="J368" s="76">
        <f t="shared" si="60"/>
        <v>877.5393205409315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71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71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71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71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71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71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71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71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71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71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71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71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71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71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71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71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71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71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71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71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71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71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2795.3413597959288</v>
      </c>
      <c r="J376" s="76">
        <f t="shared" si="60"/>
        <v>2795.3413597959288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71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71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71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71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71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71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71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71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71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71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71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71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71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7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7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71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71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71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71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71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71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71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71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71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71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71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71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71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71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71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71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71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71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71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71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71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71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71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71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71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71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71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71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7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7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71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71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71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71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71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71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71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71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71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857.59792144949267</v>
      </c>
      <c r="J394" s="76">
        <f t="shared" si="60"/>
        <v>857.59792144949267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71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71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71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9.8813822332469243</v>
      </c>
      <c r="J395" s="76">
        <f t="shared" si="60"/>
        <v>9.8813822332469243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71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71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71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78.978538848683883</v>
      </c>
      <c r="J396" s="76">
        <f t="shared" si="60"/>
        <v>78.978538848683883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71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71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71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71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71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71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71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71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71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71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71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71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71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7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7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71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71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71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71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71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71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71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71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71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260.72911228642022</v>
      </c>
      <c r="J404" s="76">
        <f t="shared" si="60"/>
        <v>260.72911228642022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71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71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71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71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71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71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71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71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71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71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71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71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1111.7010092863791</v>
      </c>
      <c r="J408" s="76">
        <f t="shared" si="64"/>
        <v>1111.7010092863791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71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71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71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12.809199191246012</v>
      </c>
      <c r="J409" s="76">
        <f t="shared" si="64"/>
        <v>12.809199191246012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71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71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71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102.37958739644202</v>
      </c>
      <c r="J410" s="76">
        <f t="shared" si="64"/>
        <v>102.37958739644202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71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7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7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71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71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71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71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71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71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71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71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71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71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71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71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71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71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71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71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71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71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71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71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71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337.98218259350773</v>
      </c>
      <c r="J418" s="76">
        <f t="shared" si="64"/>
        <v>337.98218259350773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71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71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71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71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71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71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71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7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7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71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71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71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71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71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71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71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71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71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71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71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71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71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71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71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71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71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71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71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71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71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71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71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71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71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71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71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71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7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7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71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71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71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71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71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71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71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71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71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71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71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71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71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71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71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5153.2905236391998</v>
      </c>
      <c r="J436" s="76">
        <f t="shared" si="64"/>
        <v>5153.2905236391998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71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71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71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46.879275596576036</v>
      </c>
      <c r="J437" s="76">
        <f t="shared" si="64"/>
        <v>46.879275596576036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71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71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71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469.61025173925685</v>
      </c>
      <c r="J438" s="76">
        <f t="shared" si="64"/>
        <v>469.61025173925685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71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71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71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71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71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71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71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7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7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71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71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71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71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71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71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71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71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71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71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71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71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71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71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71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2682.1082158208537</v>
      </c>
      <c r="J446" s="76">
        <f t="shared" si="64"/>
        <v>2682.1082158208537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71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71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71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71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71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71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71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71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71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71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71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71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4914.9880716790058</v>
      </c>
      <c r="J450" s="76">
        <f t="shared" si="64"/>
        <v>4914.9880716790058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71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7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7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44.711447823323965</v>
      </c>
      <c r="J451" s="76">
        <f t="shared" si="64"/>
        <v>44.711447823323965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71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71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71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447.89417073397317</v>
      </c>
      <c r="J452" s="76">
        <f t="shared" si="64"/>
        <v>447.89417073397317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71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71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71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71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71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71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71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71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71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71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71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71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71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71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71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71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71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71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71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71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71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71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71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71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2558.0800902337614</v>
      </c>
      <c r="J460" s="76">
        <f t="shared" si="64"/>
        <v>2558.0800902337614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71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7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7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71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71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71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71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71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71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71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71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71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71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71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71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71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71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71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71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71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71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71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71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71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71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71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71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71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71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71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71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71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71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71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71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71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71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71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71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71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71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71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71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71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71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71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71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71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71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71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71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71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538.86141949498926</v>
      </c>
      <c r="J478" s="76">
        <f t="shared" si="68"/>
        <v>538.86141949498926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71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71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71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4.1703586787936713</v>
      </c>
      <c r="J479" s="76">
        <f t="shared" si="68"/>
        <v>4.1703586787936713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71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71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71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40.310475366057602</v>
      </c>
      <c r="J480" s="76">
        <f t="shared" si="68"/>
        <v>40.310475366057602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71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7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7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71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71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71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71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71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71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71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71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71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71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71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71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71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71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71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71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71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71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71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71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71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238.59910659816725</v>
      </c>
      <c r="J488" s="76">
        <f t="shared" ref="J488:J505" si="70">IF(I488&lt;&gt;0,I488,H488)</f>
        <v>238.59910659816725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71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71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71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71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71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71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71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7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7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71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71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71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698.52406230831946</v>
      </c>
      <c r="J492" s="76">
        <f t="shared" si="70"/>
        <v>698.52406230831946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71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71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71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5.4060205095473508</v>
      </c>
      <c r="J493" s="76">
        <f t="shared" si="70"/>
        <v>5.4060205095473508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71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71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71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52.254319918963553</v>
      </c>
      <c r="J494" s="76">
        <f t="shared" si="70"/>
        <v>52.254319918963553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71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71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71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71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71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71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71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71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71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71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71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71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71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71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71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71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71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71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71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7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7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71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71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71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309.29513818280947</v>
      </c>
      <c r="J502" s="76">
        <f t="shared" si="70"/>
        <v>309.29513818280947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71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71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71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71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71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71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71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71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71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11</vt:i4>
      </vt:variant>
    </vt:vector>
  </HeadingPairs>
  <TitlesOfParts>
    <vt:vector size="46" baseType="lpstr">
      <vt:lpstr>Overblik</vt:lpstr>
      <vt:lpstr>Resume</vt:lpstr>
      <vt:lpstr>Arealanvendelse</vt:lpstr>
      <vt:lpstr>Landbrug</vt:lpstr>
      <vt:lpstr>Fodersammensætning</vt:lpstr>
      <vt:lpstr>Skovbrug</vt:lpstr>
      <vt:lpstr>Havbrug</vt:lpstr>
      <vt:lpstr>Adfærd</vt:lpstr>
      <vt:lpstr>Biogasanlæg</vt:lpstr>
      <vt:lpstr>Forbrug til andet</vt:lpstr>
      <vt:lpstr>Avanceret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2021-09-10T12:38:37Z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969433069229125</vt:r8>
  </property>
</Properties>
</file>