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B63849DF-0D3A-41D8-9AA9-CF723A3D840B}" xr6:coauthVersionLast="47" xr6:coauthVersionMax="47" xr10:uidLastSave="{00000000-0000-0000-0000-000000000000}"/>
  <bookViews>
    <workbookView xWindow="-96" yWindow="-96" windowWidth="23232" windowHeight="12552" tabRatio="945" firstSheet="1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biomasse'!$A$1:$G$421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2" r:id="rId38"/>
    <pivotCache cacheId="17" r:id="rId39"/>
    <pivotCache cacheId="22" r:id="rId40"/>
    <pivotCache cacheId="28" r:id="rId41"/>
    <pivotCache cacheId="33" r:id="rId42"/>
    <pivotCache cacheId="38" r:id="rId43"/>
    <pivotCache cacheId="42" r:id="rId44"/>
    <pivotCache cacheId="4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98" i="58" l="1"/>
  <c r="B498" i="58"/>
  <c r="C498" i="58"/>
  <c r="D498" i="58"/>
  <c r="E498" i="58"/>
  <c r="F498" i="58"/>
  <c r="G498" i="58"/>
  <c r="A499" i="58"/>
  <c r="B499" i="58"/>
  <c r="C499" i="58"/>
  <c r="D499" i="58"/>
  <c r="E499" i="58"/>
  <c r="F499" i="58"/>
  <c r="G499" i="58"/>
  <c r="A500" i="58"/>
  <c r="B500" i="58"/>
  <c r="C500" i="58"/>
  <c r="D500" i="58"/>
  <c r="E500" i="58"/>
  <c r="F500" i="58"/>
  <c r="G500" i="58"/>
  <c r="A498" i="37"/>
  <c r="A498" i="41" s="1"/>
  <c r="B498" i="37"/>
  <c r="B498" i="41" s="1"/>
  <c r="C498" i="37"/>
  <c r="C498" i="41" s="1"/>
  <c r="D498" i="37"/>
  <c r="E498" i="37"/>
  <c r="E498" i="41" s="1"/>
  <c r="F498" i="37"/>
  <c r="F498" i="41" s="1"/>
  <c r="G498" i="37"/>
  <c r="G498" i="41" s="1"/>
  <c r="A499" i="37"/>
  <c r="A499" i="41" s="1"/>
  <c r="B499" i="37"/>
  <c r="B499" i="41" s="1"/>
  <c r="C499" i="37"/>
  <c r="C499" i="41" s="1"/>
  <c r="D499" i="37"/>
  <c r="D499" i="41" s="1"/>
  <c r="E499" i="37"/>
  <c r="E499" i="41" s="1"/>
  <c r="F499" i="37"/>
  <c r="F499" i="41" s="1"/>
  <c r="G499" i="37"/>
  <c r="G499" i="41" s="1"/>
  <c r="A500" i="37"/>
  <c r="A500" i="41" s="1"/>
  <c r="B500" i="37"/>
  <c r="B500" i="41" s="1"/>
  <c r="C500" i="37"/>
  <c r="C500" i="41" s="1"/>
  <c r="D500" i="37"/>
  <c r="D500" i="41" s="1"/>
  <c r="E500" i="37"/>
  <c r="E500" i="41" s="1"/>
  <c r="F500" i="37"/>
  <c r="F500" i="41" s="1"/>
  <c r="G500" i="37"/>
  <c r="G500" i="41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498" i="41" l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293" i="38" l="1"/>
  <c r="C305" i="38" s="1"/>
  <c r="C317" i="38" s="1"/>
  <c r="C329" i="38" s="1"/>
  <c r="C341" i="38" s="1"/>
  <c r="C299" i="38"/>
  <c r="C311" i="38" s="1"/>
  <c r="C323" i="38" s="1"/>
  <c r="C335" i="38" s="1"/>
  <c r="C347" i="38" s="1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P36" i="70" l="1"/>
  <c r="D407" i="38"/>
  <c r="D404" i="38"/>
  <c r="P38" i="70"/>
  <c r="D409" i="38"/>
  <c r="D406" i="38"/>
  <c r="P37" i="70"/>
  <c r="D408" i="38"/>
  <c r="D405" i="38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7" i="38"/>
  <c r="B40" i="63"/>
  <c r="D416" i="38"/>
  <c r="B36" i="63"/>
  <c r="B5" i="63"/>
  <c r="B38" i="63"/>
  <c r="D411" i="38"/>
  <c r="D410" i="38"/>
  <c r="B61" i="63"/>
  <c r="B53" i="63"/>
  <c r="B60" i="63"/>
  <c r="B31" i="63"/>
  <c r="D420" i="38"/>
  <c r="B58" i="63"/>
  <c r="B52" i="63"/>
  <c r="B57" i="63"/>
  <c r="B56" i="63"/>
  <c r="B55" i="63"/>
  <c r="D415" i="38"/>
  <c r="D414" i="38"/>
  <c r="B54" i="63"/>
  <c r="D421" i="38"/>
  <c r="B12" i="63"/>
  <c r="B51" i="63"/>
  <c r="B50" i="63"/>
  <c r="B47" i="63"/>
  <c r="B13" i="63"/>
  <c r="B45" i="63"/>
  <c r="B15" i="63"/>
  <c r="B44" i="63"/>
  <c r="B16" i="63"/>
  <c r="D419" i="38"/>
  <c r="D413" i="38"/>
  <c r="D412" i="38"/>
  <c r="B48" i="63"/>
  <c r="B43" i="63"/>
  <c r="B17" i="63"/>
  <c r="D418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I37" i="9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Q36" i="70"/>
  <c r="Q38" i="70"/>
  <c r="Q37" i="70"/>
  <c r="R37" i="70" l="1"/>
  <c r="R38" i="70"/>
  <c r="R36" i="70"/>
  <c r="F14" i="63"/>
  <c r="F24" i="63" s="1"/>
  <c r="F34" i="63" s="1"/>
  <c r="F44" i="63" s="1"/>
  <c r="F54" i="63" s="1"/>
  <c r="F16" i="63"/>
  <c r="F26" i="63" s="1"/>
  <c r="F36" i="63" s="1"/>
  <c r="F46" i="63" s="1"/>
  <c r="F56" i="63" s="1"/>
  <c r="F15" i="63"/>
  <c r="F25" i="63" s="1"/>
  <c r="F35" i="63" s="1"/>
  <c r="F45" i="63" s="1"/>
  <c r="F55" i="63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1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E20" i="38"/>
  <c r="D53" i="39"/>
  <c r="E117" i="38" s="1"/>
  <c r="L53" i="39"/>
  <c r="E168" i="38" s="1"/>
  <c r="E16" i="38"/>
  <c r="E33" i="38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A12" i="53"/>
  <c r="C274" i="38"/>
  <c r="U51" i="66"/>
  <c r="C271" i="38"/>
  <c r="C254" i="38"/>
  <c r="A8" i="53"/>
  <c r="C27" i="63" l="1"/>
  <c r="C17" i="63"/>
  <c r="C7" i="63"/>
  <c r="D24" i="20"/>
  <c r="H17" i="37"/>
  <c r="H61" i="37"/>
  <c r="H93" i="37"/>
  <c r="H53" i="37"/>
  <c r="H37" i="37"/>
  <c r="H73" i="37"/>
  <c r="H89" i="37"/>
  <c r="H45" i="37"/>
  <c r="H65" i="37"/>
  <c r="H25" i="37"/>
  <c r="H85" i="37"/>
  <c r="H57" i="37"/>
  <c r="H77" i="37"/>
  <c r="H81" i="37"/>
  <c r="H33" i="37"/>
  <c r="H69" i="37"/>
  <c r="H29" i="37"/>
  <c r="H49" i="37"/>
  <c r="H21" i="37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E18" i="38"/>
  <c r="E81" i="38"/>
  <c r="E21" i="38"/>
  <c r="E60" i="38"/>
  <c r="E70" i="38"/>
  <c r="E24" i="38"/>
  <c r="E30" i="38"/>
  <c r="E42" i="38"/>
  <c r="E23" i="38"/>
  <c r="E4" i="38"/>
  <c r="E17" i="38"/>
  <c r="E19" i="38"/>
  <c r="H10" i="41"/>
  <c r="D53" i="20"/>
  <c r="P34" i="18"/>
  <c r="G26" i="20"/>
  <c r="D26" i="20"/>
  <c r="P7" i="18" s="1"/>
  <c r="C269" i="38"/>
  <c r="D52" i="20"/>
  <c r="P24" i="18" s="1"/>
  <c r="P33" i="18"/>
  <c r="A14" i="53"/>
  <c r="A21" i="53"/>
  <c r="P23" i="18"/>
  <c r="P32" i="18"/>
  <c r="A18" i="53"/>
  <c r="G24" i="20"/>
  <c r="A29" i="53"/>
  <c r="D25" i="20"/>
  <c r="G25" i="20"/>
  <c r="C220" i="38"/>
  <c r="A22" i="53"/>
  <c r="C230" i="38"/>
  <c r="I10" i="41"/>
  <c r="C223" i="38"/>
  <c r="J10" i="41"/>
  <c r="D15" i="53" l="1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34" i="53"/>
  <c r="D9" i="53"/>
  <c r="D22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C3" i="63" s="1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22" i="58" l="1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22" i="41" l="1"/>
  <c r="C23" i="63"/>
  <c r="C13" i="63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C53" i="63" s="1"/>
  <c r="H98" i="58"/>
  <c r="I98" i="58"/>
  <c r="I128" i="58"/>
  <c r="F195" i="66" s="1"/>
  <c r="N195" i="66" s="1"/>
  <c r="H97" i="58"/>
  <c r="H124" i="58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H98" i="41"/>
  <c r="J124" i="41"/>
  <c r="O5" i="41" s="1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F285" i="66"/>
  <c r="M39" i="39"/>
  <c r="E171" i="38" s="1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C50" i="63" s="1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C40" i="63" s="1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C10" i="63" s="1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H3" i="41" l="1"/>
  <c r="B6" i="39" s="1"/>
  <c r="C15" i="39" s="1"/>
  <c r="AA3" i="39" s="1"/>
  <c r="F44" i="66"/>
  <c r="F188" i="66"/>
  <c r="K42" i="39" l="1"/>
  <c r="E140" i="38" s="1"/>
  <c r="C42" i="39"/>
  <c r="E89" i="38" s="1"/>
  <c r="P15" i="39"/>
  <c r="O15" i="39"/>
  <c r="Q15" i="39" l="1"/>
  <c r="J44" i="66"/>
  <c r="J188" i="66"/>
  <c r="S188" i="66" l="1"/>
  <c r="P188" i="66"/>
  <c r="R188" i="66"/>
  <c r="N188" i="66"/>
  <c r="S44" i="66"/>
  <c r="P44" i="66"/>
  <c r="R44" i="66"/>
  <c r="N44" i="66"/>
  <c r="T188" i="66" l="1"/>
  <c r="O188" i="66"/>
  <c r="Q188" i="66" s="1"/>
  <c r="T44" i="66"/>
  <c r="O44" i="66"/>
  <c r="Y44" i="66"/>
  <c r="Z188" i="66"/>
  <c r="Y188" i="66"/>
  <c r="Z44" i="66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E459" i="37" l="1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E6" i="58" l="1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H439" i="41" l="1"/>
  <c r="H431" i="41"/>
  <c r="H435" i="41"/>
  <c r="I451" i="41" l="1"/>
  <c r="G183" i="58" l="1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G190" i="58"/>
  <c r="G190" i="37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C47" i="63" s="1"/>
  <c r="G406" i="37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G323" i="58"/>
  <c r="G314" i="37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G174" i="58"/>
  <c r="G166" i="58"/>
  <c r="G166" i="37"/>
  <c r="G156" i="37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G189" i="58"/>
  <c r="G189" i="37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G405" i="58"/>
  <c r="G397" i="37"/>
  <c r="G397" i="58"/>
  <c r="G389" i="37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G305" i="58"/>
  <c r="G305" i="37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G239" i="58"/>
  <c r="G239" i="37"/>
  <c r="G228" i="37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G388" i="58"/>
  <c r="G380" i="58"/>
  <c r="G380" i="37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G227" i="58"/>
  <c r="G227" i="37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G217" i="37"/>
  <c r="G217" i="58"/>
  <c r="G209" i="58"/>
  <c r="G209" i="37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C37" i="63" s="1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G225" i="41"/>
  <c r="G329" i="41"/>
  <c r="G387" i="41"/>
  <c r="G324" i="41"/>
  <c r="G194" i="41"/>
  <c r="G248" i="41"/>
  <c r="G352" i="41"/>
  <c r="G404" i="41"/>
  <c r="G265" i="41"/>
  <c r="G421" i="41"/>
  <c r="G182" i="41"/>
  <c r="G290" i="41"/>
  <c r="G175" i="41"/>
  <c r="G252" i="41"/>
  <c r="G300" i="41"/>
  <c r="G357" i="41"/>
  <c r="G302" i="41"/>
  <c r="G221" i="41"/>
  <c r="G244" i="41"/>
  <c r="G401" i="41"/>
  <c r="G151" i="41"/>
  <c r="G370" i="41"/>
  <c r="G192" i="41"/>
  <c r="G339" i="41"/>
  <c r="G416" i="41"/>
  <c r="G170" i="41"/>
  <c r="G283" i="41"/>
  <c r="G179" i="41"/>
  <c r="G236" i="41"/>
  <c r="G340" i="41"/>
  <c r="G367" i="41"/>
  <c r="G143" i="41"/>
  <c r="G202" i="41"/>
  <c r="G256" i="41"/>
  <c r="G414" i="41"/>
  <c r="G196" i="41"/>
  <c r="G250" i="41"/>
  <c r="G298" i="41"/>
  <c r="G355" i="41"/>
  <c r="G251" i="41"/>
  <c r="G206" i="41"/>
  <c r="G368" i="41"/>
  <c r="G310" i="41"/>
  <c r="G253" i="41"/>
  <c r="G301" i="41"/>
  <c r="G359" i="41"/>
  <c r="G409" i="41"/>
  <c r="G383" i="41"/>
  <c r="G199" i="41"/>
  <c r="G178" i="41"/>
  <c r="G304" i="41"/>
  <c r="G363" i="41"/>
  <c r="G412" i="41"/>
  <c r="G399" i="41"/>
  <c r="G281" i="41"/>
  <c r="G335" i="41"/>
  <c r="G145" i="41"/>
  <c r="G204" i="41"/>
  <c r="G306" i="41"/>
  <c r="G365" i="41"/>
  <c r="G214" i="41"/>
  <c r="G268" i="41"/>
  <c r="G376" i="41"/>
  <c r="G200" i="41"/>
  <c r="G328" i="41"/>
  <c r="G345" i="41"/>
  <c r="G149" i="41"/>
  <c r="G309" i="41"/>
  <c r="G208" i="41"/>
  <c r="G224" i="41"/>
  <c r="G360" i="41"/>
  <c r="G193" i="41"/>
  <c r="G295" i="41"/>
  <c r="G351" i="41"/>
  <c r="G415" i="41"/>
  <c r="G153" i="41"/>
  <c r="G210" i="41"/>
  <c r="G312" i="41"/>
  <c r="G173" i="41"/>
  <c r="G228" i="41"/>
  <c r="G332" i="41"/>
  <c r="G389" i="41"/>
  <c r="G258" i="41"/>
  <c r="G307" i="41"/>
  <c r="G159" i="41"/>
  <c r="G316" i="41"/>
  <c r="G207" i="41"/>
  <c r="G261" i="41"/>
  <c r="G369" i="41"/>
  <c r="G417" i="41"/>
  <c r="G418" i="41"/>
  <c r="G254" i="41"/>
  <c r="G165" i="41"/>
  <c r="G321" i="41"/>
  <c r="G260" i="41"/>
  <c r="G247" i="41"/>
  <c r="G403" i="41"/>
  <c r="G390" i="41"/>
  <c r="G264" i="41"/>
  <c r="G372" i="41"/>
  <c r="G420" i="41"/>
  <c r="G239" i="41"/>
  <c r="G289" i="41"/>
  <c r="G343" i="41"/>
  <c r="G391" i="41"/>
  <c r="G266" i="41"/>
  <c r="G374" i="41"/>
  <c r="G222" i="41"/>
  <c r="G276" i="41"/>
  <c r="G384" i="41"/>
  <c r="G216" i="41"/>
  <c r="G349" i="41"/>
  <c r="G407" i="41"/>
  <c r="G215" i="41"/>
  <c r="G269" i="41"/>
  <c r="G377" i="41"/>
  <c r="G235" i="41"/>
  <c r="G386" i="41"/>
  <c r="G287" i="41"/>
  <c r="G395" i="41"/>
  <c r="G141" i="41"/>
  <c r="G255" i="41"/>
  <c r="G303" i="41"/>
  <c r="G411" i="41"/>
  <c r="G422" i="41"/>
  <c r="G147" i="41"/>
  <c r="G218" i="41"/>
  <c r="G380" i="41"/>
  <c r="G181" i="41"/>
  <c r="G397" i="41"/>
  <c r="G156" i="41"/>
  <c r="G212" i="41"/>
  <c r="G314" i="41"/>
  <c r="G375" i="41"/>
  <c r="G168" i="41"/>
  <c r="G325" i="41"/>
  <c r="G160" i="41"/>
  <c r="G317" i="41"/>
  <c r="G410" i="41"/>
  <c r="G197" i="41"/>
  <c r="G273" i="41"/>
  <c r="G381" i="41"/>
  <c r="G164" i="41"/>
  <c r="G272" i="41"/>
  <c r="G320" i="41"/>
  <c r="G157" i="41"/>
  <c r="G195" i="41"/>
  <c r="G249" i="41"/>
  <c r="G297" i="41"/>
  <c r="G353" i="41"/>
  <c r="G166" i="41"/>
  <c r="G220" i="41"/>
  <c r="G274" i="41"/>
  <c r="G382" i="41"/>
  <c r="G176" i="41"/>
  <c r="G232" i="41"/>
  <c r="G336" i="41"/>
  <c r="G392" i="41"/>
  <c r="G245" i="41"/>
  <c r="G169" i="41"/>
  <c r="G223" i="41"/>
  <c r="G327" i="41"/>
  <c r="G385" i="41"/>
  <c r="G205" i="41"/>
  <c r="G278" i="41"/>
  <c r="G394" i="41"/>
  <c r="G213" i="41"/>
  <c r="G227" i="41"/>
  <c r="G331" i="41"/>
  <c r="G405" i="41"/>
  <c r="G323" i="41"/>
  <c r="G284" i="41"/>
  <c r="G378" i="41"/>
  <c r="G277" i="41"/>
  <c r="G270" i="41"/>
  <c r="G286" i="41"/>
  <c r="G241" i="41"/>
  <c r="G279" i="41"/>
  <c r="G296" i="41"/>
  <c r="G356" i="41"/>
  <c r="G219" i="41"/>
  <c r="G267" i="41"/>
  <c r="G201" i="41"/>
  <c r="G361" i="41"/>
  <c r="G209" i="41"/>
  <c r="G311" i="41"/>
  <c r="G371" i="41"/>
  <c r="G419" i="41"/>
  <c r="G172" i="41"/>
  <c r="G280" i="41"/>
  <c r="G388" i="41"/>
  <c r="G231" i="41"/>
  <c r="G144" i="41"/>
  <c r="G257" i="41"/>
  <c r="G305" i="41"/>
  <c r="G413" i="41"/>
  <c r="G398" i="41"/>
  <c r="G229" i="41"/>
  <c r="G282" i="41"/>
  <c r="G190" i="41"/>
  <c r="G292" i="41"/>
  <c r="G262" i="41"/>
  <c r="G402" i="41"/>
  <c r="G177" i="41"/>
  <c r="G285" i="41"/>
  <c r="G337" i="41"/>
  <c r="G294" i="41"/>
  <c r="G259" i="41"/>
  <c r="G152" i="41"/>
  <c r="G263" i="41"/>
  <c r="G180" i="41"/>
  <c r="G237" i="41"/>
  <c r="G288" i="41"/>
  <c r="G396" i="41"/>
  <c r="G203" i="41"/>
  <c r="G364" i="41"/>
  <c r="G174" i="41"/>
  <c r="G333" i="41"/>
  <c r="G406" i="41"/>
  <c r="G243" i="41"/>
  <c r="G347" i="41"/>
  <c r="G400" i="41"/>
  <c r="G167" i="41"/>
  <c r="G233" i="41"/>
  <c r="G393" i="41"/>
  <c r="G291" i="41"/>
  <c r="G148" i="41"/>
  <c r="G308" i="41"/>
  <c r="G163" i="41"/>
  <c r="G319" i="41"/>
  <c r="G217" i="41"/>
  <c r="G271" i="41"/>
  <c r="G379" i="41"/>
  <c r="G275" i="41"/>
  <c r="G341" i="41"/>
  <c r="G299" i="41"/>
  <c r="G155" i="41"/>
  <c r="G211" i="41"/>
  <c r="G313" i="41"/>
  <c r="G373" i="41"/>
  <c r="G189" i="41"/>
  <c r="G240" i="41"/>
  <c r="G344" i="41"/>
  <c r="G198" i="41"/>
  <c r="G408" i="41"/>
  <c r="G191" i="41"/>
  <c r="G293" i="41"/>
  <c r="G348" i="41"/>
  <c r="G315" i="41"/>
  <c r="G161" i="41"/>
  <c r="G318" i="41"/>
  <c r="G14" i="39"/>
  <c r="G12" i="39"/>
  <c r="G13" i="39"/>
  <c r="G16" i="39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J462" i="41"/>
  <c r="H463" i="41"/>
  <c r="I468" i="41"/>
  <c r="I458" i="41"/>
  <c r="H472" i="41"/>
  <c r="J458" i="41"/>
  <c r="J469" i="41"/>
  <c r="J472" i="41"/>
  <c r="H462" i="41"/>
  <c r="G10" i="66"/>
  <c r="H451" i="37"/>
  <c r="G112" i="66"/>
  <c r="J449" i="37"/>
  <c r="J450" i="37"/>
  <c r="G124" i="66"/>
  <c r="N124" i="66" s="1"/>
  <c r="I447" i="58"/>
  <c r="G239" i="66"/>
  <c r="H442" i="37"/>
  <c r="G24" i="66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H426" i="58"/>
  <c r="F174" i="66" s="1"/>
  <c r="N174" i="66" s="1"/>
  <c r="G175" i="66"/>
  <c r="N175" i="66" s="1"/>
  <c r="H448" i="58"/>
  <c r="H442" i="58"/>
  <c r="G168" i="66"/>
  <c r="H8" i="41"/>
  <c r="G43" i="66"/>
  <c r="N43" i="66" s="1"/>
  <c r="H453" i="37"/>
  <c r="G220" i="66"/>
  <c r="I450" i="58"/>
  <c r="G259" i="66"/>
  <c r="J441" i="58"/>
  <c r="G100" i="66"/>
  <c r="J443" i="37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G160" i="66"/>
  <c r="H449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8" i="58"/>
  <c r="C57" i="63" s="1"/>
  <c r="G143" i="66"/>
  <c r="J447" i="37"/>
  <c r="G12" i="41"/>
  <c r="G216" i="66"/>
  <c r="I442" i="58"/>
  <c r="G148" i="66"/>
  <c r="H443" i="58"/>
  <c r="G127" i="66"/>
  <c r="J448" i="37"/>
  <c r="G41" i="66"/>
  <c r="H444" i="37"/>
  <c r="G89" i="66"/>
  <c r="I444" i="37"/>
  <c r="E259" i="38"/>
  <c r="G214" i="66" s="1"/>
  <c r="E214" i="38"/>
  <c r="J460" i="41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I463" i="41"/>
  <c r="G287" i="66"/>
  <c r="N287" i="66" s="1"/>
  <c r="J447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I462" i="41"/>
  <c r="I473" i="41"/>
  <c r="N57" i="66" l="1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447" i="41"/>
  <c r="H454" i="41"/>
  <c r="O191" i="66"/>
  <c r="Q191" i="66" s="1"/>
  <c r="H441" i="41"/>
  <c r="H444" i="41"/>
  <c r="J442" i="41"/>
  <c r="I442" i="41"/>
  <c r="J453" i="41"/>
  <c r="I444" i="41"/>
  <c r="J454" i="41"/>
  <c r="H453" i="41"/>
  <c r="J446" i="41"/>
  <c r="H445" i="41"/>
  <c r="J450" i="41"/>
  <c r="I449" i="41"/>
  <c r="I445" i="41"/>
  <c r="J444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M256" i="66"/>
  <c r="J492" i="58"/>
  <c r="J491" i="58"/>
  <c r="F250" i="66" s="1"/>
  <c r="J490" i="58"/>
  <c r="F257" i="66" s="1"/>
  <c r="N257" i="66" s="1"/>
  <c r="O175" i="66"/>
  <c r="J449" i="41"/>
  <c r="Z43" i="66"/>
  <c r="Y43" i="66"/>
  <c r="Y187" i="66"/>
  <c r="Z187" i="66"/>
  <c r="M208" i="66"/>
  <c r="I490" i="58"/>
  <c r="F209" i="66" s="1"/>
  <c r="I491" i="58"/>
  <c r="F202" i="66" s="1"/>
  <c r="I492" i="58"/>
  <c r="J447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E229" i="38"/>
  <c r="E274" i="38"/>
  <c r="N143" i="66"/>
  <c r="I441" i="41"/>
  <c r="E363" i="38"/>
  <c r="K123" i="66" s="1"/>
  <c r="N123" i="66" s="1"/>
  <c r="O267" i="66" s="1"/>
  <c r="J476" i="41"/>
  <c r="Y191" i="66"/>
  <c r="Z47" i="66"/>
  <c r="O47" i="66"/>
  <c r="Z191" i="66"/>
  <c r="Y47" i="66"/>
  <c r="H451" i="41"/>
  <c r="Z165" i="66"/>
  <c r="Z21" i="66"/>
  <c r="Y165" i="66"/>
  <c r="Y21" i="66"/>
  <c r="G58" i="66"/>
  <c r="I451" i="37"/>
  <c r="J448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N127" i="66"/>
  <c r="J8" i="41"/>
  <c r="O93" i="66"/>
  <c r="E364" i="38"/>
  <c r="K107" i="66" s="1"/>
  <c r="N107" i="66" s="1"/>
  <c r="J477" i="41"/>
  <c r="J452" i="41"/>
  <c r="H426" i="41"/>
  <c r="F30" i="66"/>
  <c r="N30" i="66" s="1"/>
  <c r="G202" i="66"/>
  <c r="I451" i="58"/>
  <c r="I453" i="41"/>
  <c r="M112" i="66"/>
  <c r="J490" i="37"/>
  <c r="J491" i="37"/>
  <c r="J492" i="37"/>
  <c r="J445" i="41"/>
  <c r="I426" i="58"/>
  <c r="F222" i="66" s="1"/>
  <c r="N222" i="66" s="1"/>
  <c r="H442" i="41"/>
  <c r="H443" i="41"/>
  <c r="M64" i="66"/>
  <c r="I490" i="37"/>
  <c r="I491" i="37"/>
  <c r="I492" i="37"/>
  <c r="E362" i="38"/>
  <c r="K141" i="66" s="1"/>
  <c r="N141" i="66" s="1"/>
  <c r="J475" i="41"/>
  <c r="Y139" i="66"/>
  <c r="Y283" i="66"/>
  <c r="Z139" i="66"/>
  <c r="Z283" i="66"/>
  <c r="Y268" i="66"/>
  <c r="Y124" i="66"/>
  <c r="Z268" i="66"/>
  <c r="Z124" i="66"/>
  <c r="O75" i="66" l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Z30" i="66"/>
  <c r="Z174" i="66"/>
  <c r="Y174" i="66"/>
  <c r="Y30" i="66"/>
  <c r="G106" i="66"/>
  <c r="J451" i="37"/>
  <c r="H491" i="41"/>
  <c r="F10" i="66"/>
  <c r="N10" i="66" s="1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Z267" i="66"/>
  <c r="Y267" i="66"/>
  <c r="Y123" i="66"/>
  <c r="O123" i="66"/>
  <c r="Z123" i="66"/>
  <c r="Y143" i="66"/>
  <c r="Z287" i="66"/>
  <c r="Y287" i="66"/>
  <c r="Z143" i="66"/>
  <c r="O143" i="66"/>
  <c r="F56" i="66"/>
  <c r="D44" i="39"/>
  <c r="E110" i="38" s="1"/>
  <c r="I492" i="41"/>
  <c r="D17" i="39" s="1"/>
  <c r="F248" i="66"/>
  <c r="M44" i="39"/>
  <c r="E178" i="38" s="1"/>
  <c r="Q267" i="66"/>
  <c r="R267" i="66" s="1"/>
  <c r="T267" i="66" s="1"/>
  <c r="Q75" i="66"/>
  <c r="R75" i="66" s="1"/>
  <c r="T75" i="66" s="1"/>
  <c r="F65" i="66"/>
  <c r="N65" i="66" s="1"/>
  <c r="I490" i="41"/>
  <c r="J426" i="58"/>
  <c r="F270" i="66" s="1"/>
  <c r="N270" i="66" s="1"/>
  <c r="F106" i="66"/>
  <c r="J491" i="41"/>
  <c r="F152" i="66"/>
  <c r="K44" i="39"/>
  <c r="E144" i="38" s="1"/>
  <c r="J490" i="41"/>
  <c r="F113" i="66"/>
  <c r="N113" i="66" s="1"/>
  <c r="Q249" i="66"/>
  <c r="R249" i="66" s="1"/>
  <c r="T249" i="66" s="1"/>
  <c r="I491" i="41"/>
  <c r="F58" i="66"/>
  <c r="I426" i="41"/>
  <c r="F78" i="66"/>
  <c r="N78" i="66" s="1"/>
  <c r="Q47" i="66"/>
  <c r="Z285" i="66"/>
  <c r="Z141" i="66"/>
  <c r="Y285" i="66"/>
  <c r="Y141" i="66"/>
  <c r="O141" i="66"/>
  <c r="O251" i="66"/>
  <c r="F17" i="66"/>
  <c r="N17" i="66" s="1"/>
  <c r="H490" i="41"/>
  <c r="Q175" i="66"/>
  <c r="Z249" i="66"/>
  <c r="O105" i="66"/>
  <c r="Z105" i="66"/>
  <c r="Y249" i="66"/>
  <c r="Y105" i="66"/>
  <c r="F104" i="66"/>
  <c r="E44" i="39"/>
  <c r="E127" i="38" s="1"/>
  <c r="J492" i="41"/>
  <c r="E17" i="39" s="1"/>
  <c r="O285" i="66"/>
  <c r="G250" i="66"/>
  <c r="N250" i="66" s="1"/>
  <c r="J451" i="58"/>
  <c r="C44" i="39"/>
  <c r="E93" i="38" s="1"/>
  <c r="F8" i="66"/>
  <c r="H492" i="41"/>
  <c r="C17" i="39" s="1"/>
  <c r="Q31" i="66"/>
  <c r="F200" i="66"/>
  <c r="L44" i="39"/>
  <c r="E161" i="38" s="1"/>
  <c r="N58" i="66" l="1"/>
  <c r="Z202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J440" i="41"/>
  <c r="N106" i="66"/>
  <c r="Y250" i="66" s="1"/>
  <c r="Y161" i="66"/>
  <c r="Z161" i="66"/>
  <c r="Z17" i="66"/>
  <c r="Y17" i="66"/>
  <c r="Q143" i="66"/>
  <c r="R143" i="66" s="1"/>
  <c r="T143" i="66" s="1"/>
  <c r="J152" i="66"/>
  <c r="H471" i="58"/>
  <c r="Q127" i="66"/>
  <c r="R127" i="66" s="1"/>
  <c r="T127" i="66" s="1"/>
  <c r="Y10" i="66"/>
  <c r="Y154" i="66"/>
  <c r="Z154" i="66"/>
  <c r="Z10" i="66"/>
  <c r="J200" i="66"/>
  <c r="I471" i="58"/>
  <c r="Y58" i="66"/>
  <c r="Z257" i="66"/>
  <c r="Z113" i="66"/>
  <c r="Y113" i="66"/>
  <c r="Y257" i="66"/>
  <c r="Y209" i="66"/>
  <c r="Z65" i="66"/>
  <c r="Y65" i="66"/>
  <c r="Z209" i="66"/>
  <c r="D29" i="39"/>
  <c r="D32" i="39"/>
  <c r="D33" i="39" s="1"/>
  <c r="Q107" i="66"/>
  <c r="R107" i="66" s="1"/>
  <c r="T107" i="66" s="1"/>
  <c r="P17" i="39"/>
  <c r="C32" i="39"/>
  <c r="C33" i="39" s="1"/>
  <c r="C29" i="39"/>
  <c r="J17" i="39" s="1"/>
  <c r="E32" i="39"/>
  <c r="E33" i="39" s="1"/>
  <c r="E29" i="39"/>
  <c r="L17" i="39" s="1"/>
  <c r="F126" i="66"/>
  <c r="N126" i="66" s="1"/>
  <c r="J426" i="41"/>
  <c r="J56" i="66"/>
  <c r="F17" i="39" s="1"/>
  <c r="I471" i="37"/>
  <c r="J104" i="66"/>
  <c r="J471" i="37"/>
  <c r="J451" i="41"/>
  <c r="H471" i="37"/>
  <c r="J8" i="66"/>
  <c r="Q285" i="66"/>
  <c r="R285" i="66" s="1"/>
  <c r="T285" i="66" s="1"/>
  <c r="Q251" i="66"/>
  <c r="R251" i="66" s="1"/>
  <c r="T251" i="66" s="1"/>
  <c r="Y222" i="66"/>
  <c r="Y78" i="66"/>
  <c r="Z78" i="66"/>
  <c r="Z222" i="66"/>
  <c r="J471" i="58"/>
  <c r="J248" i="66"/>
  <c r="N248" i="66" s="1"/>
  <c r="Q123" i="66"/>
  <c r="R123" i="66" s="1"/>
  <c r="T123" i="66" s="1"/>
  <c r="Q105" i="66"/>
  <c r="R105" i="66" s="1"/>
  <c r="T105" i="66" s="1"/>
  <c r="Q141" i="66"/>
  <c r="R141" i="66" s="1"/>
  <c r="T141" i="66" s="1"/>
  <c r="Y202" i="66" l="1"/>
  <c r="Z58" i="66"/>
  <c r="I7" i="6"/>
  <c r="Z239" i="66"/>
  <c r="O223" i="66"/>
  <c r="Q223" i="66" s="1"/>
  <c r="R223" i="66" s="1"/>
  <c r="T223" i="66" s="1"/>
  <c r="Y239" i="66"/>
  <c r="O239" i="66"/>
  <c r="Z95" i="66"/>
  <c r="O95" i="66"/>
  <c r="G17" i="39"/>
  <c r="Y79" i="66"/>
  <c r="O79" i="66"/>
  <c r="Y223" i="66"/>
  <c r="I6" i="6"/>
  <c r="Z79" i="66"/>
  <c r="Y106" i="66"/>
  <c r="Z106" i="66"/>
  <c r="Z250" i="66"/>
  <c r="H471" i="41"/>
  <c r="E30" i="39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152" i="66"/>
  <c r="R152" i="66"/>
  <c r="S152" i="66"/>
  <c r="P152" i="66"/>
  <c r="N56" i="66"/>
  <c r="P56" i="66"/>
  <c r="S56" i="66"/>
  <c r="K17" i="39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N200" i="66"/>
  <c r="S200" i="66"/>
  <c r="P200" i="66"/>
  <c r="J471" i="41"/>
  <c r="Q17" i="39"/>
  <c r="P29" i="39"/>
  <c r="Q29" i="39" s="1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P248" i="66"/>
  <c r="S248" i="66"/>
  <c r="Q239" i="66" l="1"/>
  <c r="R239" i="66" s="1"/>
  <c r="T239" i="66" s="1"/>
  <c r="Q95" i="66"/>
  <c r="R95" i="66" s="1"/>
  <c r="T95" i="66" s="1"/>
  <c r="Q79" i="66"/>
  <c r="R79" i="66" s="1"/>
  <c r="T79" i="66" s="1"/>
  <c r="O200" i="66"/>
  <c r="T152" i="66"/>
  <c r="T8" i="66"/>
  <c r="Z248" i="66"/>
  <c r="O104" i="66"/>
  <c r="Z104" i="66"/>
  <c r="Y248" i="66"/>
  <c r="Y104" i="66"/>
  <c r="Z8" i="66"/>
  <c r="Z152" i="66"/>
  <c r="Y8" i="66"/>
  <c r="O8" i="66"/>
  <c r="Y152" i="66"/>
  <c r="O248" i="66"/>
  <c r="O152" i="66"/>
  <c r="K29" i="39"/>
  <c r="J29" i="39"/>
  <c r="L29" i="39"/>
  <c r="Z56" i="66"/>
  <c r="Z200" i="66"/>
  <c r="O56" i="66"/>
  <c r="Y56" i="66"/>
  <c r="Y200" i="66"/>
  <c r="Q200" i="66" l="1"/>
  <c r="R200" i="66" s="1"/>
  <c r="T200" i="66" s="1"/>
  <c r="Q152" i="66"/>
  <c r="Q104" i="66"/>
  <c r="R104" i="66" s="1"/>
  <c r="T104" i="66" s="1"/>
  <c r="Q8" i="66"/>
  <c r="Q56" i="66"/>
  <c r="R56" i="66" s="1"/>
  <c r="T56" i="66" s="1"/>
  <c r="Q248" i="66"/>
  <c r="R248" i="66" s="1"/>
  <c r="T248" i="66" s="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P214" i="66"/>
  <c r="S214" i="66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166" i="66"/>
  <c r="Q214" i="66"/>
  <c r="R214" i="66" s="1"/>
  <c r="T214" i="66" s="1"/>
  <c r="J5" i="41"/>
  <c r="M52" i="39" s="1"/>
  <c r="E184" i="38" s="1"/>
  <c r="F116" i="66"/>
  <c r="E30" i="53"/>
  <c r="E36" i="53"/>
  <c r="F260" i="66"/>
  <c r="Q22" i="66"/>
  <c r="T22" i="66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C52" i="39"/>
  <c r="E99" i="38" s="1"/>
  <c r="D12" i="53"/>
  <c r="F12" i="53" s="1"/>
  <c r="H6" i="53" s="1"/>
  <c r="J164" i="66"/>
  <c r="H470" i="58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X237" i="66" l="1"/>
  <c r="X200" i="66"/>
  <c r="X287" i="66"/>
  <c r="X123" i="66"/>
  <c r="X68" i="66"/>
  <c r="X284" i="66"/>
  <c r="X236" i="66"/>
  <c r="X285" i="66"/>
  <c r="X104" i="66"/>
  <c r="X105" i="66"/>
  <c r="X107" i="66"/>
  <c r="X231" i="66"/>
  <c r="X31" i="66"/>
  <c r="X260" i="66"/>
  <c r="X22" i="66"/>
  <c r="X196" i="66"/>
  <c r="X39" i="66"/>
  <c r="X255" i="66"/>
  <c r="X127" i="66"/>
  <c r="X278" i="66"/>
  <c r="X27" i="66"/>
  <c r="X118" i="66"/>
  <c r="X120" i="66"/>
  <c r="X52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216" i="66"/>
  <c r="X171" i="66"/>
  <c r="X87" i="66"/>
  <c r="X38" i="66"/>
  <c r="X93" i="66"/>
  <c r="X140" i="66"/>
  <c r="X264" i="66"/>
  <c r="X219" i="66"/>
  <c r="X57" i="66"/>
  <c r="X183" i="66"/>
  <c r="X92" i="66"/>
  <c r="X175" i="66"/>
  <c r="X135" i="66"/>
  <c r="X134" i="66"/>
  <c r="X168" i="66"/>
  <c r="X4" i="66"/>
  <c r="X203" i="66"/>
  <c r="X182" i="66"/>
  <c r="X262" i="66"/>
  <c r="X95" i="66"/>
  <c r="X201" i="66"/>
  <c r="X86" i="66"/>
  <c r="X188" i="66"/>
  <c r="X223" i="66"/>
  <c r="X111" i="66"/>
  <c r="X44" i="66"/>
  <c r="X164" i="66"/>
  <c r="X148" i="66"/>
  <c r="X79" i="66"/>
  <c r="X244" i="66"/>
  <c r="X70" i="66"/>
  <c r="X251" i="66"/>
  <c r="X45" i="66"/>
  <c r="X72" i="66"/>
  <c r="X207" i="66"/>
  <c r="X212" i="66"/>
  <c r="X189" i="66"/>
  <c r="X191" i="66"/>
  <c r="X267" i="66"/>
  <c r="X249" i="66"/>
  <c r="X59" i="66"/>
  <c r="X279" i="66"/>
  <c r="X63" i="66"/>
  <c r="X141" i="66"/>
  <c r="X239" i="66"/>
  <c r="X15" i="66"/>
  <c r="X24" i="66"/>
  <c r="X100" i="66"/>
  <c r="X11" i="66"/>
  <c r="X20" i="66"/>
  <c r="X166" i="66"/>
  <c r="X143" i="66"/>
  <c r="X8" i="66"/>
  <c r="X155" i="66"/>
  <c r="L290" i="66" l="1"/>
  <c r="L194" i="66"/>
  <c r="L242" i="66"/>
  <c r="L98" i="66"/>
  <c r="L146" i="66"/>
  <c r="P290" i="66" l="1"/>
  <c r="V290" i="66" s="1"/>
  <c r="X290" i="66" s="1"/>
  <c r="R290" i="66"/>
  <c r="T29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39" i="9" l="1"/>
  <c r="J29" i="9"/>
  <c r="E6" i="22" s="1"/>
  <c r="J25" i="9" l="1"/>
  <c r="E2" i="22" s="1"/>
  <c r="J27" i="9"/>
  <c r="J9" i="9"/>
  <c r="E51" i="22"/>
  <c r="J37" i="9"/>
  <c r="J35" i="9"/>
  <c r="E4" i="22" l="1"/>
  <c r="C22" i="26"/>
  <c r="J5" i="9"/>
  <c r="E47" i="22"/>
  <c r="J7" i="9"/>
  <c r="F22" i="26"/>
  <c r="E49" i="22"/>
  <c r="D64" i="72" l="1" a="1"/>
  <c r="D64" i="72" s="1"/>
  <c r="D2" i="72" a="1"/>
  <c r="D2" i="72" s="1"/>
  <c r="D3" i="72" s="1" a="1"/>
  <c r="D3" i="72" s="1"/>
  <c r="D4" i="72" s="1" a="1"/>
  <c r="D4" i="72" s="1"/>
  <c r="D5" i="72" s="1" a="1"/>
  <c r="D5" i="72" s="1"/>
  <c r="D126" i="72" a="1"/>
  <c r="D126" i="72" s="1"/>
  <c r="D250" i="72" a="1"/>
  <c r="D250" i="72" s="1"/>
  <c r="D188" i="72" a="1"/>
  <c r="D188" i="72" s="1"/>
  <c r="D189" i="72" s="1" a="1"/>
  <c r="D189" i="72" s="1"/>
  <c r="D190" i="72" s="1" a="1"/>
  <c r="D190" i="72" s="1"/>
  <c r="D127" i="72" a="1"/>
  <c r="D127" i="72" s="1"/>
  <c r="D128" i="72" s="1" a="1"/>
  <c r="D128" i="72" s="1"/>
  <c r="D22" i="26"/>
  <c r="G185" i="35"/>
  <c r="H13" i="37" s="1"/>
  <c r="D65" i="72" a="1"/>
  <c r="D65" i="72" s="1"/>
  <c r="D66" i="72" s="1" a="1"/>
  <c r="D66" i="72" s="1"/>
  <c r="D251" i="72" a="1"/>
  <c r="D251" i="72" s="1"/>
  <c r="D252" i="72" s="1" a="1"/>
  <c r="D252" i="72" s="1"/>
  <c r="B49" i="26"/>
  <c r="D33" i="72" a="1"/>
  <c r="D33" i="72" s="1"/>
  <c r="D34" i="72" s="1" a="1"/>
  <c r="D34" i="72" s="1"/>
  <c r="D157" i="72" a="1"/>
  <c r="D157" i="72" s="1"/>
  <c r="D158" i="72" s="1" a="1"/>
  <c r="D158" i="72" s="1"/>
  <c r="D159" i="72" s="1" a="1"/>
  <c r="D159" i="72" s="1"/>
  <c r="D160" i="72" s="1" a="1"/>
  <c r="D160" i="72" s="1"/>
  <c r="D281" i="72" a="1"/>
  <c r="D281" i="72" s="1"/>
  <c r="D220" i="72" a="1"/>
  <c r="D220" i="72" s="1"/>
  <c r="D221" i="72" s="1" a="1"/>
  <c r="D221" i="72" s="1"/>
  <c r="D222" i="72" s="1" a="1"/>
  <c r="D222" i="72" s="1"/>
  <c r="E49" i="26"/>
  <c r="G22" i="26"/>
  <c r="D96" i="72" a="1"/>
  <c r="D96" i="72" s="1"/>
  <c r="D97" i="72" s="1" a="1"/>
  <c r="D97" i="72" s="1"/>
  <c r="D98" i="72" s="1" a="1"/>
  <c r="D98" i="72" s="1"/>
  <c r="D99" i="72" s="1" a="1"/>
  <c r="D99" i="72" s="1"/>
  <c r="D100" i="72" s="1" a="1"/>
  <c r="D100" i="72" s="1"/>
  <c r="G206" i="35"/>
  <c r="H13" i="58" s="1"/>
  <c r="D95" i="72" a="1"/>
  <c r="D95" i="72" s="1"/>
  <c r="D219" i="72" a="1"/>
  <c r="D219" i="72" s="1"/>
  <c r="D282" i="72" a="1"/>
  <c r="D282" i="72" s="1"/>
  <c r="D283" i="72" s="1" a="1"/>
  <c r="D283" i="72" s="1"/>
  <c r="D284" i="72" s="1" a="1"/>
  <c r="D284" i="72" s="1"/>
  <c r="H12" i="37"/>
  <c r="H11" i="37"/>
  <c r="H11" i="58"/>
  <c r="C8" i="63" l="1"/>
  <c r="H13" i="41"/>
  <c r="H49" i="26"/>
  <c r="D35" i="72" a="1"/>
  <c r="D35" i="72" s="1"/>
  <c r="D36" i="72" s="1" a="1"/>
  <c r="D36" i="72" s="1"/>
  <c r="D37" i="72" s="1" a="1"/>
  <c r="D37" i="72" s="1"/>
  <c r="D6" i="72" a="1"/>
  <c r="D6" i="72" s="1"/>
  <c r="D7" i="72" s="1" a="1"/>
  <c r="D7" i="72" s="1"/>
  <c r="D8" i="72" s="1" a="1"/>
  <c r="D8" i="72" s="1"/>
  <c r="H12" i="58"/>
  <c r="E22" i="26"/>
  <c r="C49" i="26"/>
  <c r="H185" i="35"/>
  <c r="D253" i="72" a="1"/>
  <c r="D253" i="72" s="1"/>
  <c r="D191" i="72" a="1"/>
  <c r="D191" i="72" s="1"/>
  <c r="D192" i="72" s="1" a="1"/>
  <c r="D192" i="72" s="1"/>
  <c r="D193" i="72" s="1" a="1"/>
  <c r="D193" i="72" s="1"/>
  <c r="D194" i="72" s="1" a="1"/>
  <c r="D194" i="72" s="1"/>
  <c r="D129" i="72" a="1"/>
  <c r="D129" i="72" s="1"/>
  <c r="D67" i="72" a="1"/>
  <c r="D67" i="72" s="1"/>
  <c r="Q35" i="9" a="1"/>
  <c r="Q35" i="9" s="1"/>
  <c r="D285" i="72" a="1"/>
  <c r="D285" i="72" s="1"/>
  <c r="D286" i="72" s="1" a="1"/>
  <c r="D286" i="72" s="1"/>
  <c r="D287" i="72" s="1" a="1"/>
  <c r="D287" i="72" s="1"/>
  <c r="D101" i="72" a="1"/>
  <c r="D101" i="72" s="1"/>
  <c r="D102" i="72" s="1" a="1"/>
  <c r="D102" i="72" s="1"/>
  <c r="D103" i="72" s="1" a="1"/>
  <c r="D103" i="72" s="1"/>
  <c r="D104" i="72" s="1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223" i="72" a="1"/>
  <c r="D223" i="72" s="1"/>
  <c r="H22" i="26"/>
  <c r="H206" i="35"/>
  <c r="I14" i="58" s="1"/>
  <c r="F49" i="26"/>
  <c r="I49" i="26" s="1"/>
  <c r="D161" i="72" a="1"/>
  <c r="D161" i="72" s="1"/>
  <c r="H40" i="37"/>
  <c r="H72" i="37"/>
  <c r="H48" i="37"/>
  <c r="I14" i="37"/>
  <c r="H24" i="37"/>
  <c r="H92" i="37"/>
  <c r="H43" i="37"/>
  <c r="H64" i="37"/>
  <c r="H51" i="37"/>
  <c r="H60" i="37"/>
  <c r="H32" i="37"/>
  <c r="Q39" i="9" a="1"/>
  <c r="Q39" i="9" s="1"/>
  <c r="E86" i="22" s="1"/>
  <c r="O35" i="9" a="1"/>
  <c r="O35" i="9" s="1"/>
  <c r="R35" i="9" a="1"/>
  <c r="R35" i="9" s="1"/>
  <c r="N35" i="9" a="1"/>
  <c r="N35" i="9" s="1"/>
  <c r="N39" i="9" a="1"/>
  <c r="N39" i="9" s="1"/>
  <c r="E71" i="22" s="1"/>
  <c r="P37" i="9" a="1"/>
  <c r="P37" i="9" s="1"/>
  <c r="E79" i="22" s="1"/>
  <c r="M35" i="9" a="1"/>
  <c r="M35" i="9" s="1"/>
  <c r="R37" i="9" a="1"/>
  <c r="R37" i="9" s="1"/>
  <c r="E89" i="22" s="1"/>
  <c r="M39" i="9" a="1"/>
  <c r="M39" i="9" s="1"/>
  <c r="E66" i="22" s="1"/>
  <c r="M37" i="9" a="1"/>
  <c r="M37" i="9" s="1"/>
  <c r="P39" i="9" a="1"/>
  <c r="P39" i="9" s="1"/>
  <c r="E81" i="22" s="1"/>
  <c r="O37" i="9" a="1"/>
  <c r="O37" i="9" s="1"/>
  <c r="E74" i="22" s="1"/>
  <c r="L36" i="9"/>
  <c r="L38" i="9"/>
  <c r="H11" i="41"/>
  <c r="H88" i="37"/>
  <c r="H68" i="37"/>
  <c r="H20" i="37"/>
  <c r="K28" i="9"/>
  <c r="L28" i="9"/>
  <c r="H16" i="37"/>
  <c r="H80" i="37"/>
  <c r="H56" i="37"/>
  <c r="H36" i="37"/>
  <c r="H14" i="37"/>
  <c r="H14" i="58"/>
  <c r="H84" i="37"/>
  <c r="H76" i="37"/>
  <c r="H27" i="37"/>
  <c r="H12" i="41" l="1"/>
  <c r="N37" i="9" a="1"/>
  <c r="N37" i="9" s="1"/>
  <c r="E69" i="22" s="1"/>
  <c r="K38" i="9"/>
  <c r="N38" i="9" s="1" a="1"/>
  <c r="N38" i="9" s="1"/>
  <c r="E70" i="22" s="1"/>
  <c r="D38" i="72" a="1"/>
  <c r="D38" i="72" s="1"/>
  <c r="D39" i="72" s="1" a="1"/>
  <c r="D39" i="72" s="1"/>
  <c r="D40" i="72" s="1" a="1"/>
  <c r="D40" i="72" s="1"/>
  <c r="D41" i="72" s="1" a="1"/>
  <c r="D41" i="72" s="1"/>
  <c r="D42" i="72" s="1" a="1"/>
  <c r="D42" i="72" s="1"/>
  <c r="D43" i="72" s="1" a="1"/>
  <c r="D43" i="72" s="1"/>
  <c r="D44" i="72" s="1" a="1"/>
  <c r="D44" i="72" s="1"/>
  <c r="D45" i="72" s="1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9" i="72" a="1"/>
  <c r="D9" i="72" s="1"/>
  <c r="D10" i="72" s="1" a="1"/>
  <c r="D10" i="72" s="1"/>
  <c r="D11" i="72" s="1" a="1"/>
  <c r="D11" i="72" s="1"/>
  <c r="D12" i="72" s="1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K36" i="9"/>
  <c r="Q37" i="9" a="1"/>
  <c r="Q37" i="9" s="1"/>
  <c r="E84" i="22" s="1"/>
  <c r="I13" i="37"/>
  <c r="I12" i="37"/>
  <c r="I11" i="37"/>
  <c r="D254" i="72" a="1"/>
  <c r="D254" i="72" s="1"/>
  <c r="D255" i="72" s="1" a="1"/>
  <c r="D255" i="72" s="1"/>
  <c r="D256" i="72" s="1" a="1"/>
  <c r="D256" i="72" s="1"/>
  <c r="R39" i="9" a="1"/>
  <c r="R39" i="9" s="1"/>
  <c r="E91" i="22" s="1"/>
  <c r="P35" i="9" a="1"/>
  <c r="P35" i="9" s="1"/>
  <c r="O39" i="9" a="1"/>
  <c r="O39" i="9" s="1"/>
  <c r="E76" i="22" s="1"/>
  <c r="D49" i="26"/>
  <c r="I185" i="35"/>
  <c r="D130" i="72" a="1"/>
  <c r="D130" i="72" s="1"/>
  <c r="D131" i="72" s="1" a="1"/>
  <c r="D131" i="72" s="1"/>
  <c r="D132" i="72" s="1" a="1"/>
  <c r="D132" i="72" s="1"/>
  <c r="D133" i="72" s="1" a="1"/>
  <c r="D133" i="72" s="1"/>
  <c r="D134" i="72" s="1" a="1"/>
  <c r="D134" i="72" s="1"/>
  <c r="D135" i="72" s="1" a="1"/>
  <c r="D135" i="72" s="1"/>
  <c r="D136" i="72" s="1" a="1"/>
  <c r="D136" i="72" s="1"/>
  <c r="D137" i="72" s="1" a="1"/>
  <c r="D137" i="72" s="1"/>
  <c r="D68" i="72" a="1"/>
  <c r="D68" i="72" s="1"/>
  <c r="D69" i="72" s="1" a="1"/>
  <c r="D69" i="72" s="1"/>
  <c r="D195" i="72" a="1"/>
  <c r="D195" i="72" s="1"/>
  <c r="D196" i="72" s="1" a="1"/>
  <c r="D196" i="72" s="1"/>
  <c r="D197" i="72" s="1" a="1"/>
  <c r="D197" i="72" s="1"/>
  <c r="D198" i="72" s="1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I14" i="41"/>
  <c r="I13" i="58"/>
  <c r="I12" i="58"/>
  <c r="I11" i="58"/>
  <c r="AL126" i="72"/>
  <c r="G49" i="26"/>
  <c r="I206" i="35"/>
  <c r="D162" i="72" a="1"/>
  <c r="D162" i="72" s="1"/>
  <c r="D163" i="72" s="1" a="1"/>
  <c r="D163" i="72" s="1"/>
  <c r="D224" i="72" a="1"/>
  <c r="D224" i="72" s="1"/>
  <c r="D225" i="72" s="1" a="1"/>
  <c r="D225" i="72" s="1"/>
  <c r="D288" i="72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87" i="22"/>
  <c r="H59" i="37"/>
  <c r="H35" i="37"/>
  <c r="H28" i="37"/>
  <c r="F33" i="72"/>
  <c r="F281" i="72"/>
  <c r="F219" i="72"/>
  <c r="E64" i="22"/>
  <c r="F157" i="72"/>
  <c r="F95" i="72"/>
  <c r="H87" i="37"/>
  <c r="H19" i="37"/>
  <c r="J38" i="9"/>
  <c r="Q38" i="9" a="1"/>
  <c r="Q38" i="9" s="1"/>
  <c r="E85" i="22" s="1"/>
  <c r="E72" i="22"/>
  <c r="H39" i="37"/>
  <c r="H44" i="37"/>
  <c r="H63" i="37"/>
  <c r="H55" i="37"/>
  <c r="H83" i="37"/>
  <c r="L26" i="9"/>
  <c r="M29" i="9" a="1"/>
  <c r="M29" i="9" s="1"/>
  <c r="O25" i="9" a="1"/>
  <c r="O25" i="9" s="1"/>
  <c r="N29" i="9" a="1"/>
  <c r="N29" i="9" s="1"/>
  <c r="N27" i="9" a="1"/>
  <c r="N27" i="9" s="1"/>
  <c r="P27" i="9" a="1"/>
  <c r="P27" i="9" s="1"/>
  <c r="Q25" i="9" a="1"/>
  <c r="Q25" i="9" s="1"/>
  <c r="N25" i="9" a="1"/>
  <c r="N25" i="9" s="1"/>
  <c r="R29" i="9" a="1"/>
  <c r="R29" i="9" s="1"/>
  <c r="O27" i="9" a="1"/>
  <c r="O27" i="9" s="1"/>
  <c r="Q29" i="9" a="1"/>
  <c r="Q29" i="9" s="1"/>
  <c r="K26" i="9"/>
  <c r="M25" i="9" a="1"/>
  <c r="M25" i="9" s="1"/>
  <c r="M27" i="9" a="1"/>
  <c r="M27" i="9" s="1"/>
  <c r="R25" i="9" a="1"/>
  <c r="R25" i="9" s="1"/>
  <c r="O29" i="9" a="1"/>
  <c r="O29" i="9" s="1"/>
  <c r="P25" i="9" a="1"/>
  <c r="P25" i="9" s="1"/>
  <c r="Q27" i="9" a="1"/>
  <c r="Q27" i="9" s="1"/>
  <c r="P29" i="9" a="1"/>
  <c r="P29" i="9" s="1"/>
  <c r="R27" i="9" a="1"/>
  <c r="R27" i="9" s="1"/>
  <c r="E62" i="22"/>
  <c r="H71" i="37"/>
  <c r="H91" i="37"/>
  <c r="E60" i="22"/>
  <c r="O38" i="9" a="1"/>
  <c r="O38" i="9" s="1"/>
  <c r="E75" i="22" s="1"/>
  <c r="R38" i="9" a="1"/>
  <c r="R38" i="9" s="1"/>
  <c r="E90" i="22" s="1"/>
  <c r="H47" i="37"/>
  <c r="H52" i="37"/>
  <c r="H14" i="41"/>
  <c r="H15" i="37"/>
  <c r="L8" i="9"/>
  <c r="O28" i="9" a="1"/>
  <c r="O28" i="9" s="1"/>
  <c r="E15" i="22"/>
  <c r="R28" i="9" a="1"/>
  <c r="R28" i="9" s="1"/>
  <c r="O36" i="9" a="1"/>
  <c r="O36" i="9" s="1"/>
  <c r="E41" i="20"/>
  <c r="E36" i="20"/>
  <c r="N46" i="20"/>
  <c r="E44" i="20"/>
  <c r="N35" i="20"/>
  <c r="N34" i="20"/>
  <c r="E43" i="20"/>
  <c r="N45" i="20"/>
  <c r="E40" i="20"/>
  <c r="N36" i="20"/>
  <c r="N42" i="20"/>
  <c r="N43" i="20"/>
  <c r="E38" i="20"/>
  <c r="N44" i="20"/>
  <c r="N37" i="20"/>
  <c r="N33" i="20"/>
  <c r="E34" i="20"/>
  <c r="N39" i="20"/>
  <c r="E42" i="20"/>
  <c r="R36" i="9" a="1"/>
  <c r="R36" i="9" s="1"/>
  <c r="E39" i="20"/>
  <c r="E45" i="20"/>
  <c r="E46" i="20"/>
  <c r="L40" i="9"/>
  <c r="N40" i="20"/>
  <c r="E58" i="22"/>
  <c r="E37" i="20"/>
  <c r="N41" i="20"/>
  <c r="N38" i="20"/>
  <c r="E33" i="20"/>
  <c r="E35" i="20"/>
  <c r="K8" i="9"/>
  <c r="E10" i="22"/>
  <c r="Q28" i="9" a="1"/>
  <c r="Q28" i="9" s="1"/>
  <c r="N28" i="9" a="1"/>
  <c r="N28" i="9" s="1"/>
  <c r="J28" i="9"/>
  <c r="E67" i="22"/>
  <c r="H31" i="37"/>
  <c r="H79" i="37"/>
  <c r="D42" i="20"/>
  <c r="D41" i="20"/>
  <c r="M46" i="20"/>
  <c r="D46" i="20"/>
  <c r="D45" i="20"/>
  <c r="M33" i="20"/>
  <c r="D44" i="20"/>
  <c r="D43" i="20"/>
  <c r="M35" i="20"/>
  <c r="N36" i="9" a="1"/>
  <c r="N36" i="9" s="1"/>
  <c r="D35" i="20"/>
  <c r="M41" i="20"/>
  <c r="M40" i="20"/>
  <c r="M42" i="20"/>
  <c r="D34" i="20"/>
  <c r="K40" i="9"/>
  <c r="D37" i="20"/>
  <c r="D38" i="20"/>
  <c r="M45" i="20"/>
  <c r="D33" i="20"/>
  <c r="D40" i="20"/>
  <c r="E53" i="22"/>
  <c r="M34" i="20"/>
  <c r="M37" i="20"/>
  <c r="M43" i="20"/>
  <c r="M39" i="20"/>
  <c r="M38" i="20"/>
  <c r="M36" i="20"/>
  <c r="M44" i="20"/>
  <c r="Q36" i="9" a="1"/>
  <c r="Q36" i="9" s="1"/>
  <c r="D36" i="20"/>
  <c r="D39" i="20"/>
  <c r="J36" i="9"/>
  <c r="H23" i="37"/>
  <c r="H75" i="37"/>
  <c r="H67" i="37"/>
  <c r="E77" i="22"/>
  <c r="E82" i="22"/>
  <c r="Q40" i="9" l="1"/>
  <c r="J49" i="26"/>
  <c r="E55" i="22"/>
  <c r="I11" i="41"/>
  <c r="I12" i="41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I13" i="41"/>
  <c r="D257" i="72" a="1"/>
  <c r="D257" i="72" s="1"/>
  <c r="D258" i="72" s="1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70" i="72" a="1"/>
  <c r="D70" i="72" s="1"/>
  <c r="D71" i="72" s="1" a="1"/>
  <c r="D71" i="72" s="1"/>
  <c r="D72" i="72" s="1" a="1"/>
  <c r="D72" i="72" s="1"/>
  <c r="D73" i="72" s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J13" i="37"/>
  <c r="J12" i="37"/>
  <c r="J11" i="37"/>
  <c r="J14" i="37"/>
  <c r="D164" i="72" a="1"/>
  <c r="D164" i="72" s="1"/>
  <c r="D165" i="72" s="1" a="1"/>
  <c r="D165" i="72" s="1"/>
  <c r="D166" i="72" s="1" a="1"/>
  <c r="D166" i="72" s="1"/>
  <c r="D167" i="72" s="1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R40" i="9"/>
  <c r="D226" i="72" a="1"/>
  <c r="D226" i="72" s="1"/>
  <c r="D227" i="72" s="1" a="1"/>
  <c r="D227" i="72" s="1"/>
  <c r="J13" i="58"/>
  <c r="J11" i="58"/>
  <c r="J12" i="58"/>
  <c r="J14" i="58"/>
  <c r="N40" i="9"/>
  <c r="H78" i="37"/>
  <c r="H82" i="37"/>
  <c r="G429" i="18" a="1"/>
  <c r="G429" i="18" s="1"/>
  <c r="G433" i="18" a="1"/>
  <c r="G433" i="18" s="1"/>
  <c r="G435" i="18" a="1"/>
  <c r="G435" i="18" s="1"/>
  <c r="G422" i="18" a="1"/>
  <c r="G422" i="18" s="1"/>
  <c r="G424" i="18" a="1"/>
  <c r="G424" i="18" s="1"/>
  <c r="G127" i="35" a="1"/>
  <c r="G127" i="35" s="1"/>
  <c r="E47" i="20"/>
  <c r="G115" i="35" a="1"/>
  <c r="G115" i="35" s="1"/>
  <c r="G122" i="35" a="1"/>
  <c r="G122" i="35" s="1"/>
  <c r="G423" i="18" a="1"/>
  <c r="G423" i="18" s="1"/>
  <c r="G123" i="35" a="1"/>
  <c r="G123" i="35" s="1"/>
  <c r="G432" i="18" a="1"/>
  <c r="G432" i="18" s="1"/>
  <c r="G117" i="35" a="1"/>
  <c r="G117" i="35" s="1"/>
  <c r="G428" i="18" a="1"/>
  <c r="G428" i="18" s="1"/>
  <c r="G124" i="35" a="1"/>
  <c r="G124" i="35" s="1"/>
  <c r="G126" i="35" a="1"/>
  <c r="G126" i="35" s="1"/>
  <c r="G116" i="35" a="1"/>
  <c r="G116" i="35" s="1"/>
  <c r="G120" i="35" a="1"/>
  <c r="G120" i="35" s="1"/>
  <c r="G434" i="18" a="1"/>
  <c r="G434" i="18" s="1"/>
  <c r="G128" i="35" a="1"/>
  <c r="G128" i="35" s="1"/>
  <c r="G118" i="35" a="1"/>
  <c r="G118" i="35" s="1"/>
  <c r="G125" i="35" a="1"/>
  <c r="G125" i="35" s="1"/>
  <c r="G425" i="18" a="1"/>
  <c r="G425" i="18" s="1"/>
  <c r="G119" i="35" a="1"/>
  <c r="G119" i="35" s="1"/>
  <c r="G427" i="18" a="1"/>
  <c r="G427" i="18" s="1"/>
  <c r="G431" i="18" a="1"/>
  <c r="G431" i="18" s="1"/>
  <c r="G426" i="18" a="1"/>
  <c r="G426" i="18" s="1"/>
  <c r="G430" i="18" a="1"/>
  <c r="G430" i="18" s="1"/>
  <c r="G121" i="35" a="1"/>
  <c r="G121" i="35" s="1"/>
  <c r="H424" i="37"/>
  <c r="F49" i="66" s="1"/>
  <c r="H423" i="37"/>
  <c r="H74" i="37"/>
  <c r="E17" i="22"/>
  <c r="M5" i="9"/>
  <c r="R26" i="9" a="1"/>
  <c r="R26" i="9" s="1"/>
  <c r="R30" i="9" s="1"/>
  <c r="N19" i="20"/>
  <c r="N15" i="20"/>
  <c r="N6" i="20"/>
  <c r="E17" i="20"/>
  <c r="E7" i="20"/>
  <c r="O26" i="9" a="1"/>
  <c r="O26" i="9" s="1"/>
  <c r="O30" i="9" s="1"/>
  <c r="E9" i="20"/>
  <c r="E8" i="20"/>
  <c r="N17" i="20"/>
  <c r="E18" i="20"/>
  <c r="E19" i="20"/>
  <c r="N16" i="20"/>
  <c r="N18" i="20"/>
  <c r="N7" i="20"/>
  <c r="L30" i="9"/>
  <c r="N14" i="20"/>
  <c r="E14" i="20"/>
  <c r="N8" i="20"/>
  <c r="N9" i="20"/>
  <c r="E13" i="20"/>
  <c r="N13" i="20"/>
  <c r="E6" i="20"/>
  <c r="N11" i="20"/>
  <c r="N10" i="20"/>
  <c r="E13" i="22"/>
  <c r="E16" i="20"/>
  <c r="L6" i="9"/>
  <c r="L10" i="9" s="1"/>
  <c r="E11" i="20"/>
  <c r="N12" i="20"/>
  <c r="E10" i="20"/>
  <c r="E15" i="20"/>
  <c r="E12" i="20"/>
  <c r="K30" i="9"/>
  <c r="M18" i="20"/>
  <c r="D9" i="20"/>
  <c r="M13" i="20"/>
  <c r="Q26" i="9" a="1"/>
  <c r="Q26" i="9" s="1"/>
  <c r="Q30" i="9" s="1"/>
  <c r="M8" i="20"/>
  <c r="D12" i="20"/>
  <c r="M10" i="20"/>
  <c r="J26" i="9"/>
  <c r="M15" i="20"/>
  <c r="N26" i="9" a="1"/>
  <c r="N26" i="9" s="1"/>
  <c r="N30" i="9" s="1"/>
  <c r="M19" i="20"/>
  <c r="D10" i="20"/>
  <c r="M12" i="20"/>
  <c r="M7" i="20"/>
  <c r="M11" i="20"/>
  <c r="D17" i="20"/>
  <c r="D15" i="20"/>
  <c r="M17" i="20"/>
  <c r="M6" i="20"/>
  <c r="E8" i="22"/>
  <c r="M16" i="20"/>
  <c r="D6" i="20"/>
  <c r="D18" i="20"/>
  <c r="M9" i="20"/>
  <c r="D14" i="20"/>
  <c r="D19" i="20"/>
  <c r="D16" i="20"/>
  <c r="K6" i="9"/>
  <c r="K10" i="9" s="1"/>
  <c r="M14" i="20"/>
  <c r="D11" i="20"/>
  <c r="D7" i="20"/>
  <c r="D13" i="20"/>
  <c r="D8" i="20"/>
  <c r="G37" i="20"/>
  <c r="G45" i="20"/>
  <c r="G46" i="20"/>
  <c r="P37" i="20"/>
  <c r="P39" i="20"/>
  <c r="G36" i="20"/>
  <c r="P38" i="20"/>
  <c r="G39" i="20"/>
  <c r="G34" i="20"/>
  <c r="P43" i="20"/>
  <c r="P45" i="20"/>
  <c r="P36" i="20"/>
  <c r="P44" i="20"/>
  <c r="P33" i="20"/>
  <c r="P41" i="20"/>
  <c r="P46" i="20"/>
  <c r="G41" i="20"/>
  <c r="P35" i="20"/>
  <c r="G42" i="20"/>
  <c r="P42" i="20"/>
  <c r="G44" i="20"/>
  <c r="E68" i="22"/>
  <c r="P40" i="20"/>
  <c r="G35" i="20"/>
  <c r="G38" i="20"/>
  <c r="G43" i="20"/>
  <c r="G40" i="20"/>
  <c r="P34" i="20"/>
  <c r="G33" i="20"/>
  <c r="H34" i="37"/>
  <c r="G157" i="35" a="1"/>
  <c r="G157" i="35" s="1"/>
  <c r="G473" i="18" a="1"/>
  <c r="G473" i="18" s="1"/>
  <c r="G159" i="35" a="1"/>
  <c r="G159" i="35" s="1"/>
  <c r="G469" i="18" a="1"/>
  <c r="G469" i="18" s="1"/>
  <c r="G162" i="35" a="1"/>
  <c r="G162" i="35" s="1"/>
  <c r="G165" i="35" a="1"/>
  <c r="G165" i="35" s="1"/>
  <c r="G163" i="35" a="1"/>
  <c r="G163" i="35" s="1"/>
  <c r="N47" i="20"/>
  <c r="G467" i="18" a="1"/>
  <c r="G467" i="18" s="1"/>
  <c r="G161" i="35" a="1"/>
  <c r="G161" i="35" s="1"/>
  <c r="G160" i="35" a="1"/>
  <c r="G160" i="35" s="1"/>
  <c r="G476" i="18" a="1"/>
  <c r="G476" i="18" s="1"/>
  <c r="G167" i="35" a="1"/>
  <c r="G167" i="35" s="1"/>
  <c r="G470" i="18" a="1"/>
  <c r="G470" i="18" s="1"/>
  <c r="G158" i="35" a="1"/>
  <c r="G158" i="35" s="1"/>
  <c r="G170" i="35" a="1"/>
  <c r="G170" i="35" s="1"/>
  <c r="G474" i="18" a="1"/>
  <c r="G474" i="18" s="1"/>
  <c r="G471" i="18" a="1"/>
  <c r="G471" i="18" s="1"/>
  <c r="G468" i="18" a="1"/>
  <c r="G468" i="18" s="1"/>
  <c r="G477" i="18" a="1"/>
  <c r="G477" i="18" s="1"/>
  <c r="G464" i="18" a="1"/>
  <c r="G464" i="18" s="1"/>
  <c r="G168" i="35" a="1"/>
  <c r="G168" i="35" s="1"/>
  <c r="G465" i="18" a="1"/>
  <c r="G465" i="18" s="1"/>
  <c r="G166" i="35" a="1"/>
  <c r="G166" i="35" s="1"/>
  <c r="G169" i="35" a="1"/>
  <c r="G169" i="35" s="1"/>
  <c r="G472" i="18" a="1"/>
  <c r="G472" i="18" s="1"/>
  <c r="G475" i="18" a="1"/>
  <c r="G475" i="18" s="1"/>
  <c r="G466" i="18" a="1"/>
  <c r="G466" i="18" s="1"/>
  <c r="G164" i="35" a="1"/>
  <c r="G164" i="35" s="1"/>
  <c r="Q9" i="9"/>
  <c r="E41" i="22"/>
  <c r="H86" i="37"/>
  <c r="E29" i="22"/>
  <c r="O7" i="9"/>
  <c r="H58" i="37"/>
  <c r="M38" i="9" a="1"/>
  <c r="M38" i="9" s="1"/>
  <c r="E65" i="22" s="1"/>
  <c r="P38" i="9" a="1"/>
  <c r="P38" i="9" s="1"/>
  <c r="E80" i="22" s="1"/>
  <c r="E50" i="22"/>
  <c r="H26" i="37"/>
  <c r="G104" i="35" a="1"/>
  <c r="G104" i="35" s="1"/>
  <c r="G349" i="18" a="1"/>
  <c r="G349" i="18" s="1"/>
  <c r="G108" i="35" a="1"/>
  <c r="G108" i="35" s="1"/>
  <c r="G102" i="35" a="1"/>
  <c r="G102" i="35" s="1"/>
  <c r="G114" i="35" a="1"/>
  <c r="G114" i="35" s="1"/>
  <c r="G106" i="35" a="1"/>
  <c r="G106" i="35" s="1"/>
  <c r="G350" i="18" a="1"/>
  <c r="G350" i="18" s="1"/>
  <c r="G112" i="35" a="1"/>
  <c r="G112" i="35" s="1"/>
  <c r="G344" i="18" a="1"/>
  <c r="G344" i="18" s="1"/>
  <c r="G113" i="35" a="1"/>
  <c r="G113" i="35" s="1"/>
  <c r="G346" i="18" a="1"/>
  <c r="G346" i="18" s="1"/>
  <c r="G107" i="35" a="1"/>
  <c r="G107" i="35" s="1"/>
  <c r="G105" i="35" a="1"/>
  <c r="G105" i="35" s="1"/>
  <c r="G351" i="18" a="1"/>
  <c r="G351" i="18" s="1"/>
  <c r="G341" i="18" a="1"/>
  <c r="G341" i="18" s="1"/>
  <c r="G109" i="35" a="1"/>
  <c r="G109" i="35" s="1"/>
  <c r="G342" i="18" a="1"/>
  <c r="G342" i="18" s="1"/>
  <c r="G345" i="18" a="1"/>
  <c r="G345" i="18" s="1"/>
  <c r="G348" i="18" a="1"/>
  <c r="G348" i="18" s="1"/>
  <c r="G338" i="18" a="1"/>
  <c r="G338" i="18" s="1"/>
  <c r="G110" i="35" a="1"/>
  <c r="G110" i="35" s="1"/>
  <c r="G340" i="18" a="1"/>
  <c r="G340" i="18" s="1"/>
  <c r="G343" i="18" a="1"/>
  <c r="G343" i="18" s="1"/>
  <c r="G347" i="18" a="1"/>
  <c r="G347" i="18" s="1"/>
  <c r="D47" i="20"/>
  <c r="G101" i="35" a="1"/>
  <c r="G101" i="35" s="1"/>
  <c r="G339" i="18" a="1"/>
  <c r="G339" i="18" s="1"/>
  <c r="G111" i="35" a="1"/>
  <c r="G111" i="35" s="1"/>
  <c r="G103" i="35" a="1"/>
  <c r="G103" i="35" s="1"/>
  <c r="H54" i="37"/>
  <c r="E46" i="22"/>
  <c r="R9" i="9"/>
  <c r="H30" i="37"/>
  <c r="P36" i="9" a="1"/>
  <c r="P36" i="9" s="1"/>
  <c r="C38" i="20"/>
  <c r="L38" i="20"/>
  <c r="C33" i="20"/>
  <c r="L46" i="20"/>
  <c r="L39" i="20"/>
  <c r="C46" i="20"/>
  <c r="L36" i="20"/>
  <c r="C44" i="20"/>
  <c r="C36" i="20"/>
  <c r="C45" i="20"/>
  <c r="C35" i="20"/>
  <c r="J40" i="9"/>
  <c r="M36" i="9" a="1"/>
  <c r="M36" i="9" s="1"/>
  <c r="C37" i="20"/>
  <c r="L41" i="20"/>
  <c r="L43" i="20"/>
  <c r="L35" i="20"/>
  <c r="L34" i="20"/>
  <c r="L37" i="20"/>
  <c r="L44" i="20"/>
  <c r="C34" i="20"/>
  <c r="C41" i="20"/>
  <c r="L40" i="20"/>
  <c r="C43" i="20"/>
  <c r="C39" i="20"/>
  <c r="C40" i="20"/>
  <c r="L45" i="20"/>
  <c r="E48" i="22"/>
  <c r="C42" i="20"/>
  <c r="L33" i="20"/>
  <c r="L42" i="20"/>
  <c r="E44" i="22"/>
  <c r="R7" i="9"/>
  <c r="E22" i="22"/>
  <c r="N5" i="9"/>
  <c r="H66" i="37"/>
  <c r="H22" i="37"/>
  <c r="H38" i="37"/>
  <c r="J8" i="9"/>
  <c r="P28" i="9" a="1"/>
  <c r="P28" i="9" s="1"/>
  <c r="M28" i="9" a="1"/>
  <c r="M28" i="9" s="1"/>
  <c r="E5" i="22"/>
  <c r="Q33" i="20"/>
  <c r="H33" i="20"/>
  <c r="Q41" i="20"/>
  <c r="H41" i="20"/>
  <c r="Q42" i="20"/>
  <c r="H45" i="20"/>
  <c r="Q44" i="20"/>
  <c r="Q43" i="20"/>
  <c r="H39" i="20"/>
  <c r="H46" i="20"/>
  <c r="H43" i="20"/>
  <c r="Q45" i="20"/>
  <c r="Q40" i="20"/>
  <c r="Q35" i="20"/>
  <c r="E73" i="22"/>
  <c r="Q39" i="20"/>
  <c r="Q46" i="20"/>
  <c r="H38" i="20"/>
  <c r="H35" i="20"/>
  <c r="Q37" i="20"/>
  <c r="Q34" i="20"/>
  <c r="Q36" i="20"/>
  <c r="H34" i="20"/>
  <c r="Q38" i="20"/>
  <c r="H37" i="20"/>
  <c r="H40" i="20"/>
  <c r="H36" i="20"/>
  <c r="H42" i="20"/>
  <c r="H44" i="20"/>
  <c r="H50" i="37"/>
  <c r="E36" i="22"/>
  <c r="P9" i="9"/>
  <c r="E37" i="22"/>
  <c r="Q5" i="9"/>
  <c r="E45" i="22"/>
  <c r="R8" i="9"/>
  <c r="E39" i="22"/>
  <c r="Q7" i="9"/>
  <c r="E34" i="22"/>
  <c r="P7" i="9"/>
  <c r="H62" i="37"/>
  <c r="S43" i="20"/>
  <c r="S42" i="20"/>
  <c r="S40" i="20"/>
  <c r="J38" i="20"/>
  <c r="S41" i="20"/>
  <c r="J36" i="20"/>
  <c r="S45" i="20"/>
  <c r="E83" i="22"/>
  <c r="S37" i="20"/>
  <c r="J35" i="20"/>
  <c r="J41" i="20"/>
  <c r="S34" i="20"/>
  <c r="J34" i="20"/>
  <c r="J37" i="20"/>
  <c r="J39" i="20"/>
  <c r="J44" i="20"/>
  <c r="S35" i="20"/>
  <c r="S39" i="20"/>
  <c r="S38" i="20"/>
  <c r="J46" i="20"/>
  <c r="J42" i="20"/>
  <c r="S36" i="20"/>
  <c r="J33" i="20"/>
  <c r="S33" i="20"/>
  <c r="S46" i="20"/>
  <c r="S44" i="20"/>
  <c r="J40" i="20"/>
  <c r="J43" i="20"/>
  <c r="J45" i="20"/>
  <c r="G393" i="18" a="1"/>
  <c r="G393" i="18" s="1"/>
  <c r="G383" i="18" a="1"/>
  <c r="G383" i="18" s="1"/>
  <c r="G382" i="18" a="1"/>
  <c r="G382" i="18" s="1"/>
  <c r="G380" i="18" a="1"/>
  <c r="G380" i="18" s="1"/>
  <c r="G392" i="18" a="1"/>
  <c r="G392" i="18" s="1"/>
  <c r="G390" i="18" a="1"/>
  <c r="G390" i="18" s="1"/>
  <c r="G389" i="18" a="1"/>
  <c r="G389" i="18" s="1"/>
  <c r="G155" i="35" a="1"/>
  <c r="G155" i="35" s="1"/>
  <c r="G143" i="35" a="1"/>
  <c r="G143" i="35" s="1"/>
  <c r="G386" i="18" a="1"/>
  <c r="G386" i="18" s="1"/>
  <c r="G391" i="18" a="1"/>
  <c r="G391" i="18" s="1"/>
  <c r="G388" i="18" a="1"/>
  <c r="G388" i="18" s="1"/>
  <c r="G145" i="35" a="1"/>
  <c r="G145" i="35" s="1"/>
  <c r="M47" i="20"/>
  <c r="G150" i="35" a="1"/>
  <c r="G150" i="35" s="1"/>
  <c r="G154" i="35" a="1"/>
  <c r="G154" i="35" s="1"/>
  <c r="G151" i="35" a="1"/>
  <c r="G151" i="35" s="1"/>
  <c r="G387" i="18" a="1"/>
  <c r="G387" i="18" s="1"/>
  <c r="G146" i="35" a="1"/>
  <c r="G146" i="35" s="1"/>
  <c r="G153" i="35" a="1"/>
  <c r="G153" i="35" s="1"/>
  <c r="G144" i="35" a="1"/>
  <c r="G144" i="35" s="1"/>
  <c r="G149" i="35" a="1"/>
  <c r="G149" i="35" s="1"/>
  <c r="G156" i="35" a="1"/>
  <c r="G156" i="35" s="1"/>
  <c r="G381" i="18" a="1"/>
  <c r="G381" i="18" s="1"/>
  <c r="G385" i="18" a="1"/>
  <c r="G385" i="18" s="1"/>
  <c r="G384" i="18" a="1"/>
  <c r="G384" i="18" s="1"/>
  <c r="G148" i="35" a="1"/>
  <c r="G148" i="35" s="1"/>
  <c r="G152" i="35" a="1"/>
  <c r="G152" i="35" s="1"/>
  <c r="G147" i="35" a="1"/>
  <c r="G147" i="35" s="1"/>
  <c r="E40" i="22"/>
  <c r="Q8" i="9"/>
  <c r="P5" i="9"/>
  <c r="E32" i="22"/>
  <c r="E24" i="22"/>
  <c r="N7" i="9"/>
  <c r="H46" i="37"/>
  <c r="H90" i="37"/>
  <c r="H70" i="37"/>
  <c r="E30" i="22"/>
  <c r="O8" i="9"/>
  <c r="O9" i="9"/>
  <c r="E31" i="22"/>
  <c r="N9" i="9"/>
  <c r="E26" i="22"/>
  <c r="H42" i="37"/>
  <c r="E25" i="22"/>
  <c r="N8" i="9"/>
  <c r="T40" i="20"/>
  <c r="T44" i="20"/>
  <c r="T43" i="20"/>
  <c r="T37" i="20"/>
  <c r="T45" i="20"/>
  <c r="K44" i="20"/>
  <c r="T34" i="20"/>
  <c r="K43" i="20"/>
  <c r="K40" i="20"/>
  <c r="K38" i="20"/>
  <c r="K42" i="20"/>
  <c r="K36" i="20"/>
  <c r="E88" i="22"/>
  <c r="K46" i="20"/>
  <c r="K41" i="20"/>
  <c r="T42" i="20"/>
  <c r="T38" i="20"/>
  <c r="K35" i="20"/>
  <c r="T36" i="20"/>
  <c r="T46" i="20"/>
  <c r="T35" i="20"/>
  <c r="K34" i="20"/>
  <c r="K37" i="20"/>
  <c r="T39" i="20"/>
  <c r="T41" i="20"/>
  <c r="K45" i="20"/>
  <c r="T33" i="20"/>
  <c r="K33" i="20"/>
  <c r="K39" i="20"/>
  <c r="E42" i="22"/>
  <c r="R5" i="9"/>
  <c r="O5" i="9"/>
  <c r="E27" i="22"/>
  <c r="H18" i="37"/>
  <c r="H94" i="37"/>
  <c r="F2" i="72"/>
  <c r="F64" i="72"/>
  <c r="F188" i="72"/>
  <c r="F250" i="72"/>
  <c r="F126" i="72"/>
  <c r="E19" i="22"/>
  <c r="M7" i="9"/>
  <c r="M9" i="9"/>
  <c r="E21" i="22"/>
  <c r="O40" i="9"/>
  <c r="J12" i="41" l="1"/>
  <c r="J14" i="41"/>
  <c r="J11" i="41"/>
  <c r="J13" i="4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H242" i="58"/>
  <c r="H244" i="58"/>
  <c r="H241" i="58"/>
  <c r="H243" i="58"/>
  <c r="H338" i="18"/>
  <c r="I338" i="18"/>
  <c r="H178" i="58"/>
  <c r="H179" i="58"/>
  <c r="H177" i="58"/>
  <c r="H280" i="58"/>
  <c r="H281" i="58"/>
  <c r="H279" i="58"/>
  <c r="I392" i="18"/>
  <c r="H392" i="18"/>
  <c r="H352" i="58"/>
  <c r="H349" i="58"/>
  <c r="H351" i="58"/>
  <c r="H350" i="58"/>
  <c r="H272" i="58"/>
  <c r="H271" i="58"/>
  <c r="H270" i="58"/>
  <c r="H232" i="58"/>
  <c r="H231" i="58"/>
  <c r="H229" i="58"/>
  <c r="H230" i="58"/>
  <c r="H301" i="58"/>
  <c r="H302" i="58"/>
  <c r="H300" i="58"/>
  <c r="H476" i="18"/>
  <c r="I476" i="18"/>
  <c r="H196" i="58"/>
  <c r="H197" i="58"/>
  <c r="H195" i="58"/>
  <c r="H393" i="58"/>
  <c r="H395" i="58"/>
  <c r="H394" i="58"/>
  <c r="H299" i="58"/>
  <c r="H298" i="58"/>
  <c r="H297" i="58"/>
  <c r="H383" i="58"/>
  <c r="H381" i="58"/>
  <c r="H382" i="58"/>
  <c r="I380" i="18"/>
  <c r="H380" i="18"/>
  <c r="G254" i="18" a="1"/>
  <c r="G254" i="18" s="1"/>
  <c r="G267" i="18" a="1"/>
  <c r="G267" i="18" s="1"/>
  <c r="G100" i="35" a="1"/>
  <c r="G100" i="35" s="1"/>
  <c r="G87" i="35" a="1"/>
  <c r="G87" i="35" s="1"/>
  <c r="G88" i="35" a="1"/>
  <c r="G88" i="35" s="1"/>
  <c r="G95" i="35" a="1"/>
  <c r="G95" i="35" s="1"/>
  <c r="G257" i="18" a="1"/>
  <c r="G257" i="18" s="1"/>
  <c r="G96" i="35" a="1"/>
  <c r="G96" i="35" s="1"/>
  <c r="G90" i="35" a="1"/>
  <c r="G90" i="35" s="1"/>
  <c r="G261" i="18" a="1"/>
  <c r="G261" i="18" s="1"/>
  <c r="G262" i="18" a="1"/>
  <c r="G262" i="18" s="1"/>
  <c r="G266" i="18" a="1"/>
  <c r="G266" i="18" s="1"/>
  <c r="G92" i="35" a="1"/>
  <c r="G92" i="35" s="1"/>
  <c r="G97" i="35" a="1"/>
  <c r="G97" i="35" s="1"/>
  <c r="G264" i="18" a="1"/>
  <c r="G264" i="18" s="1"/>
  <c r="C47" i="20"/>
  <c r="G265" i="18" a="1"/>
  <c r="G265" i="18" s="1"/>
  <c r="G258" i="18" a="1"/>
  <c r="G258" i="18" s="1"/>
  <c r="G259" i="18" a="1"/>
  <c r="G259" i="18" s="1"/>
  <c r="G255" i="18" a="1"/>
  <c r="G255" i="18" s="1"/>
  <c r="G98" i="35" a="1"/>
  <c r="G98" i="35" s="1"/>
  <c r="G99" i="35" a="1"/>
  <c r="G99" i="35" s="1"/>
  <c r="G89" i="35" a="1"/>
  <c r="G89" i="35" s="1"/>
  <c r="G94" i="35" a="1"/>
  <c r="G94" i="35" s="1"/>
  <c r="G93" i="35" a="1"/>
  <c r="G93" i="35" s="1"/>
  <c r="G256" i="18" a="1"/>
  <c r="G256" i="18" s="1"/>
  <c r="G260" i="18" a="1"/>
  <c r="G260" i="18" s="1"/>
  <c r="G263" i="18" a="1"/>
  <c r="G263" i="18" s="1"/>
  <c r="G91" i="35" a="1"/>
  <c r="G91" i="35" s="1"/>
  <c r="H339" i="18"/>
  <c r="I339" i="18"/>
  <c r="H341" i="18"/>
  <c r="I341" i="18"/>
  <c r="H308" i="58"/>
  <c r="H306" i="58"/>
  <c r="H307" i="58"/>
  <c r="H465" i="18"/>
  <c r="I465" i="18"/>
  <c r="H222" i="58"/>
  <c r="H224" i="58"/>
  <c r="H223" i="58"/>
  <c r="H257" i="58"/>
  <c r="H255" i="58"/>
  <c r="H256" i="58"/>
  <c r="H234" i="58"/>
  <c r="H236" i="58"/>
  <c r="H235" i="58"/>
  <c r="H233" i="58"/>
  <c r="H424" i="18"/>
  <c r="I424" i="18"/>
  <c r="E35" i="22"/>
  <c r="P8" i="9"/>
  <c r="H315" i="58"/>
  <c r="H316" i="58"/>
  <c r="H317" i="58"/>
  <c r="H145" i="58"/>
  <c r="H147" i="58"/>
  <c r="H146" i="58"/>
  <c r="H148" i="58"/>
  <c r="H351" i="18"/>
  <c r="I351" i="18"/>
  <c r="H349" i="18"/>
  <c r="I349" i="18"/>
  <c r="H386" i="58"/>
  <c r="H385" i="58"/>
  <c r="H384" i="58"/>
  <c r="H180" i="58"/>
  <c r="H181" i="58"/>
  <c r="H182" i="58"/>
  <c r="G359" i="18" a="1"/>
  <c r="G359" i="18" s="1"/>
  <c r="H112" i="35" a="1"/>
  <c r="H112" i="35" s="1"/>
  <c r="G357" i="18" a="1"/>
  <c r="G357" i="18" s="1"/>
  <c r="H108" i="35" a="1"/>
  <c r="H108" i="35" s="1"/>
  <c r="G364" i="18" a="1"/>
  <c r="G364" i="18" s="1"/>
  <c r="H101" i="35" a="1"/>
  <c r="H101" i="35" s="1"/>
  <c r="G354" i="18" a="1"/>
  <c r="G354" i="18" s="1"/>
  <c r="H105" i="35" a="1"/>
  <c r="H105" i="35" s="1"/>
  <c r="G47" i="20"/>
  <c r="G363" i="18" a="1"/>
  <c r="G363" i="18" s="1"/>
  <c r="H106" i="35" a="1"/>
  <c r="H106" i="35" s="1"/>
  <c r="G360" i="18" a="1"/>
  <c r="G360" i="18" s="1"/>
  <c r="G353" i="18" a="1"/>
  <c r="G353" i="18" s="1"/>
  <c r="H104" i="35" a="1"/>
  <c r="H104" i="35" s="1"/>
  <c r="H107" i="35" a="1"/>
  <c r="H107" i="35" s="1"/>
  <c r="H109" i="35" a="1"/>
  <c r="H109" i="35" s="1"/>
  <c r="H111" i="35" a="1"/>
  <c r="H111" i="35" s="1"/>
  <c r="H103" i="35" a="1"/>
  <c r="H103" i="35" s="1"/>
  <c r="H113" i="35" a="1"/>
  <c r="H113" i="35" s="1"/>
  <c r="G352" i="18" a="1"/>
  <c r="G352" i="18" s="1"/>
  <c r="H102" i="35" a="1"/>
  <c r="H102" i="35" s="1"/>
  <c r="G362" i="18" a="1"/>
  <c r="G362" i="18" s="1"/>
  <c r="H114" i="35" a="1"/>
  <c r="H114" i="35" s="1"/>
  <c r="G356" i="18" a="1"/>
  <c r="G356" i="18" s="1"/>
  <c r="H110" i="35" a="1"/>
  <c r="H110" i="35" s="1"/>
  <c r="G361" i="18" a="1"/>
  <c r="G361" i="18" s="1"/>
  <c r="G355" i="18" a="1"/>
  <c r="G355" i="18" s="1"/>
  <c r="G358" i="18" a="1"/>
  <c r="G358" i="18" s="1"/>
  <c r="G365" i="18" a="1"/>
  <c r="G365" i="18" s="1"/>
  <c r="S10" i="20"/>
  <c r="S14" i="20"/>
  <c r="J14" i="20"/>
  <c r="J10" i="20"/>
  <c r="S11" i="20"/>
  <c r="J15" i="20"/>
  <c r="S18" i="20"/>
  <c r="J19" i="20"/>
  <c r="S17" i="20"/>
  <c r="J12" i="20"/>
  <c r="S15" i="20"/>
  <c r="J8" i="20"/>
  <c r="J17" i="20"/>
  <c r="S9" i="20"/>
  <c r="S19" i="20"/>
  <c r="S12" i="20"/>
  <c r="J6" i="20"/>
  <c r="S8" i="20"/>
  <c r="J11" i="20"/>
  <c r="S7" i="20"/>
  <c r="S16" i="20"/>
  <c r="J18" i="20"/>
  <c r="J13" i="20"/>
  <c r="J16" i="20"/>
  <c r="Q6" i="9"/>
  <c r="J9" i="20"/>
  <c r="E38" i="22"/>
  <c r="S13" i="20"/>
  <c r="S6" i="20"/>
  <c r="J7" i="20"/>
  <c r="G219" i="18" a="1"/>
  <c r="G219" i="18" s="1"/>
  <c r="G223" i="18" a="1"/>
  <c r="G223" i="18" s="1"/>
  <c r="G218" i="18" a="1"/>
  <c r="G218" i="18" s="1"/>
  <c r="G84" i="35" a="1"/>
  <c r="G84" i="35" s="1"/>
  <c r="G213" i="18" a="1"/>
  <c r="G213" i="18" s="1"/>
  <c r="G224" i="18" a="1"/>
  <c r="G224" i="18" s="1"/>
  <c r="G78" i="35" a="1"/>
  <c r="G78" i="35" s="1"/>
  <c r="G85" i="35" a="1"/>
  <c r="G85" i="35" s="1"/>
  <c r="G222" i="18" a="1"/>
  <c r="G222" i="18" s="1"/>
  <c r="G73" i="35" a="1"/>
  <c r="G73" i="35" s="1"/>
  <c r="G82" i="35" a="1"/>
  <c r="G82" i="35" s="1"/>
  <c r="G79" i="35" a="1"/>
  <c r="G79" i="35" s="1"/>
  <c r="G77" i="35" a="1"/>
  <c r="G77" i="35" s="1"/>
  <c r="G76" i="35" a="1"/>
  <c r="G76" i="35" s="1"/>
  <c r="G86" i="35" a="1"/>
  <c r="G86" i="35" s="1"/>
  <c r="G81" i="35" a="1"/>
  <c r="G81" i="35" s="1"/>
  <c r="G225" i="18" a="1"/>
  <c r="G225" i="18" s="1"/>
  <c r="G74" i="35" a="1"/>
  <c r="G74" i="35" s="1"/>
  <c r="G80" i="35" a="1"/>
  <c r="G80" i="35" s="1"/>
  <c r="N20" i="20"/>
  <c r="G75" i="35" a="1"/>
  <c r="G75" i="35" s="1"/>
  <c r="G214" i="18" a="1"/>
  <c r="G214" i="18" s="1"/>
  <c r="G216" i="18" a="1"/>
  <c r="G216" i="18" s="1"/>
  <c r="G83" i="35" a="1"/>
  <c r="G83" i="35" s="1"/>
  <c r="G212" i="18" a="1"/>
  <c r="G212" i="18" s="1"/>
  <c r="G215" i="18" a="1"/>
  <c r="G215" i="18" s="1"/>
  <c r="G217" i="18" a="1"/>
  <c r="G217" i="18" s="1"/>
  <c r="G221" i="18" a="1"/>
  <c r="G221" i="18" s="1"/>
  <c r="G220" i="18" a="1"/>
  <c r="G220" i="18" s="1"/>
  <c r="I430" i="18"/>
  <c r="H430" i="18"/>
  <c r="H375" i="58"/>
  <c r="H377" i="58"/>
  <c r="H376" i="58"/>
  <c r="H422" i="18"/>
  <c r="I422" i="18"/>
  <c r="I382" i="18"/>
  <c r="H382" i="18"/>
  <c r="H384" i="18"/>
  <c r="I384" i="18"/>
  <c r="H383" i="18"/>
  <c r="I383" i="18"/>
  <c r="E63" i="22"/>
  <c r="M40" i="9"/>
  <c r="H168" i="58"/>
  <c r="H170" i="58"/>
  <c r="H169" i="58"/>
  <c r="H212" i="58"/>
  <c r="H210" i="58"/>
  <c r="H211" i="58"/>
  <c r="H464" i="18"/>
  <c r="I464" i="18"/>
  <c r="H467" i="18"/>
  <c r="I467" i="18"/>
  <c r="H426" i="18"/>
  <c r="I426" i="18"/>
  <c r="H292" i="58"/>
  <c r="H293" i="58"/>
  <c r="H291" i="58"/>
  <c r="H435" i="18"/>
  <c r="I435" i="18"/>
  <c r="H203" i="58"/>
  <c r="H201" i="58"/>
  <c r="H202" i="58"/>
  <c r="H340" i="58"/>
  <c r="H339" i="58"/>
  <c r="H337" i="58"/>
  <c r="H338" i="58"/>
  <c r="I393" i="18"/>
  <c r="H393" i="18"/>
  <c r="H115" i="35" a="1"/>
  <c r="H115" i="35" s="1"/>
  <c r="G442" i="18" a="1"/>
  <c r="G442" i="18" s="1"/>
  <c r="G439" i="18" a="1"/>
  <c r="G439" i="18" s="1"/>
  <c r="G443" i="18" a="1"/>
  <c r="G443" i="18" s="1"/>
  <c r="G437" i="18" a="1"/>
  <c r="G437" i="18" s="1"/>
  <c r="H128" i="35" a="1"/>
  <c r="H128" i="35" s="1"/>
  <c r="H117" i="35" a="1"/>
  <c r="H117" i="35" s="1"/>
  <c r="H47" i="20"/>
  <c r="G449" i="18" a="1"/>
  <c r="G449" i="18" s="1"/>
  <c r="G438" i="18" a="1"/>
  <c r="G438" i="18" s="1"/>
  <c r="H121" i="35" a="1"/>
  <c r="H121" i="35" s="1"/>
  <c r="G447" i="18" a="1"/>
  <c r="G447" i="18" s="1"/>
  <c r="H125" i="35" a="1"/>
  <c r="H125" i="35" s="1"/>
  <c r="G446" i="18" a="1"/>
  <c r="G446" i="18" s="1"/>
  <c r="H119" i="35" a="1"/>
  <c r="H119" i="35" s="1"/>
  <c r="G445" i="18" a="1"/>
  <c r="G445" i="18" s="1"/>
  <c r="H118" i="35" a="1"/>
  <c r="H118" i="35" s="1"/>
  <c r="H116" i="35" a="1"/>
  <c r="H116" i="35" s="1"/>
  <c r="G441" i="18" a="1"/>
  <c r="G441" i="18" s="1"/>
  <c r="H120" i="35" a="1"/>
  <c r="H120" i="35" s="1"/>
  <c r="G440" i="18" a="1"/>
  <c r="G440" i="18" s="1"/>
  <c r="H126" i="35" a="1"/>
  <c r="H126" i="35" s="1"/>
  <c r="G448" i="18" a="1"/>
  <c r="G448" i="18" s="1"/>
  <c r="G444" i="18" a="1"/>
  <c r="G444" i="18" s="1"/>
  <c r="H127" i="35" a="1"/>
  <c r="H127" i="35" s="1"/>
  <c r="H123" i="35" a="1"/>
  <c r="H123" i="35" s="1"/>
  <c r="H124" i="35" a="1"/>
  <c r="H124" i="35" s="1"/>
  <c r="G436" i="18" a="1"/>
  <c r="G436" i="18" s="1"/>
  <c r="H122" i="35" a="1"/>
  <c r="H122" i="35" s="1"/>
  <c r="E78" i="22"/>
  <c r="P40" i="9"/>
  <c r="H347" i="18"/>
  <c r="I347" i="18"/>
  <c r="H252" i="58"/>
  <c r="H253" i="58"/>
  <c r="H254" i="58"/>
  <c r="I477" i="18"/>
  <c r="H477" i="18"/>
  <c r="I431" i="18"/>
  <c r="H431" i="18"/>
  <c r="H428" i="18"/>
  <c r="I428" i="18"/>
  <c r="I433" i="18"/>
  <c r="H433" i="18"/>
  <c r="H385" i="18"/>
  <c r="I385" i="18"/>
  <c r="I381" i="18"/>
  <c r="H381" i="18"/>
  <c r="I388" i="18"/>
  <c r="H388" i="18"/>
  <c r="G484" i="18" a="1"/>
  <c r="G484" i="18" s="1"/>
  <c r="H167" i="35" a="1"/>
  <c r="H167" i="35" s="1"/>
  <c r="H170" i="35" a="1"/>
  <c r="H170" i="35" s="1"/>
  <c r="G479" i="18" a="1"/>
  <c r="G479" i="18" s="1"/>
  <c r="H163" i="35" a="1"/>
  <c r="H163" i="35" s="1"/>
  <c r="G480" i="18" a="1"/>
  <c r="G480" i="18" s="1"/>
  <c r="G490" i="18" a="1"/>
  <c r="G490" i="18" s="1"/>
  <c r="G483" i="18" a="1"/>
  <c r="G483" i="18" s="1"/>
  <c r="H169" i="35" a="1"/>
  <c r="H169" i="35" s="1"/>
  <c r="H168" i="35" a="1"/>
  <c r="H168" i="35" s="1"/>
  <c r="G485" i="18" a="1"/>
  <c r="G485" i="18" s="1"/>
  <c r="H162" i="35" a="1"/>
  <c r="H162" i="35" s="1"/>
  <c r="G478" i="18" a="1"/>
  <c r="G478" i="18" s="1"/>
  <c r="H164" i="35" a="1"/>
  <c r="H164" i="35" s="1"/>
  <c r="G482" i="18" a="1"/>
  <c r="G482" i="18" s="1"/>
  <c r="G488" i="18" a="1"/>
  <c r="G488" i="18" s="1"/>
  <c r="H158" i="35" a="1"/>
  <c r="H158" i="35" s="1"/>
  <c r="G481" i="18" a="1"/>
  <c r="G481" i="18" s="1"/>
  <c r="H157" i="35" a="1"/>
  <c r="H157" i="35" s="1"/>
  <c r="G487" i="18" a="1"/>
  <c r="G487" i="18" s="1"/>
  <c r="H165" i="35" a="1"/>
  <c r="H165" i="35" s="1"/>
  <c r="Q47" i="20"/>
  <c r="H159" i="35" a="1"/>
  <c r="H159" i="35" s="1"/>
  <c r="H160" i="35" a="1"/>
  <c r="H160" i="35" s="1"/>
  <c r="G486" i="18" a="1"/>
  <c r="G486" i="18" s="1"/>
  <c r="H166" i="35" a="1"/>
  <c r="H166" i="35" s="1"/>
  <c r="G489" i="18" a="1"/>
  <c r="G489" i="18" s="1"/>
  <c r="G491" i="18" a="1"/>
  <c r="G491" i="18" s="1"/>
  <c r="H161" i="35" a="1"/>
  <c r="H161" i="35" s="1"/>
  <c r="H343" i="18"/>
  <c r="I343" i="18"/>
  <c r="H346" i="18"/>
  <c r="I346" i="18"/>
  <c r="H468" i="18"/>
  <c r="I468" i="18"/>
  <c r="H266" i="58"/>
  <c r="H265" i="58"/>
  <c r="H264" i="58"/>
  <c r="G400" i="18" a="1"/>
  <c r="G400" i="18" s="1"/>
  <c r="G407" i="18" a="1"/>
  <c r="G407" i="18" s="1"/>
  <c r="H151" i="35" a="1"/>
  <c r="H151" i="35" s="1"/>
  <c r="G406" i="18" a="1"/>
  <c r="G406" i="18" s="1"/>
  <c r="G396" i="18" a="1"/>
  <c r="G396" i="18" s="1"/>
  <c r="H146" i="35" a="1"/>
  <c r="H146" i="35" s="1"/>
  <c r="H152" i="35" a="1"/>
  <c r="H152" i="35" s="1"/>
  <c r="H145" i="35" a="1"/>
  <c r="H145" i="35" s="1"/>
  <c r="H154" i="35" a="1"/>
  <c r="H154" i="35" s="1"/>
  <c r="H150" i="35" a="1"/>
  <c r="H150" i="35" s="1"/>
  <c r="P47" i="20"/>
  <c r="H144" i="35" a="1"/>
  <c r="H144" i="35" s="1"/>
  <c r="H153" i="35" a="1"/>
  <c r="H153" i="35" s="1"/>
  <c r="G405" i="18" a="1"/>
  <c r="G405" i="18" s="1"/>
  <c r="H148" i="35" a="1"/>
  <c r="H148" i="35" s="1"/>
  <c r="H155" i="35" a="1"/>
  <c r="H155" i="35" s="1"/>
  <c r="G394" i="18" a="1"/>
  <c r="G394" i="18" s="1"/>
  <c r="H143" i="35" a="1"/>
  <c r="H143" i="35" s="1"/>
  <c r="G395" i="18" a="1"/>
  <c r="G395" i="18" s="1"/>
  <c r="H147" i="35" a="1"/>
  <c r="H147" i="35" s="1"/>
  <c r="G399" i="18" a="1"/>
  <c r="G399" i="18" s="1"/>
  <c r="G401" i="18" a="1"/>
  <c r="G401" i="18" s="1"/>
  <c r="H156" i="35" a="1"/>
  <c r="H156" i="35" s="1"/>
  <c r="G404" i="18" a="1"/>
  <c r="G404" i="18" s="1"/>
  <c r="G403" i="18" a="1"/>
  <c r="G403" i="18" s="1"/>
  <c r="G402" i="18" a="1"/>
  <c r="G402" i="18" s="1"/>
  <c r="H149" i="35" a="1"/>
  <c r="H149" i="35" s="1"/>
  <c r="G398" i="18" a="1"/>
  <c r="G398" i="18" s="1"/>
  <c r="G397" i="18" a="1"/>
  <c r="G397" i="18" s="1"/>
  <c r="T18" i="20"/>
  <c r="T19" i="20"/>
  <c r="K18" i="20"/>
  <c r="K7" i="20"/>
  <c r="T10" i="20"/>
  <c r="K10" i="20"/>
  <c r="R6" i="9"/>
  <c r="T12" i="20"/>
  <c r="T11" i="20"/>
  <c r="K11" i="20"/>
  <c r="E43" i="22"/>
  <c r="T15" i="20"/>
  <c r="T6" i="20"/>
  <c r="K16" i="20"/>
  <c r="T13" i="20"/>
  <c r="K19" i="20"/>
  <c r="K17" i="20"/>
  <c r="K15" i="20"/>
  <c r="T7" i="20"/>
  <c r="K13" i="20"/>
  <c r="K6" i="20"/>
  <c r="T17" i="20"/>
  <c r="T9" i="20"/>
  <c r="T16" i="20"/>
  <c r="T14" i="20"/>
  <c r="K12" i="20"/>
  <c r="K14" i="20"/>
  <c r="K9" i="20"/>
  <c r="T8" i="20"/>
  <c r="K8" i="20"/>
  <c r="H427" i="18"/>
  <c r="I427" i="18"/>
  <c r="H330" i="58"/>
  <c r="H331" i="58"/>
  <c r="H332" i="58"/>
  <c r="H329" i="58"/>
  <c r="I429" i="18"/>
  <c r="H429" i="18"/>
  <c r="H417" i="58"/>
  <c r="H419" i="58"/>
  <c r="H418" i="58"/>
  <c r="I391" i="18"/>
  <c r="H391" i="18"/>
  <c r="H340" i="18"/>
  <c r="I340" i="18"/>
  <c r="H391" i="58"/>
  <c r="H392" i="58"/>
  <c r="H390" i="58"/>
  <c r="H471" i="18"/>
  <c r="I471" i="18"/>
  <c r="H283" i="58"/>
  <c r="H284" i="58"/>
  <c r="H282" i="58"/>
  <c r="H173" i="58"/>
  <c r="H171" i="58"/>
  <c r="H172" i="58"/>
  <c r="I432" i="18"/>
  <c r="H432" i="18"/>
  <c r="G456" i="18" a="1"/>
  <c r="G456" i="18" s="1"/>
  <c r="I121" i="35" a="1"/>
  <c r="I121" i="35" s="1"/>
  <c r="I128" i="35" a="1"/>
  <c r="I128" i="35" s="1"/>
  <c r="I122" i="35" a="1"/>
  <c r="I122" i="35" s="1"/>
  <c r="G454" i="18" a="1"/>
  <c r="G454" i="18" s="1"/>
  <c r="G457" i="18" a="1"/>
  <c r="G457" i="18" s="1"/>
  <c r="G451" i="18" a="1"/>
  <c r="G451" i="18" s="1"/>
  <c r="I115" i="35" a="1"/>
  <c r="I115" i="35" s="1"/>
  <c r="G452" i="18" a="1"/>
  <c r="G452" i="18" s="1"/>
  <c r="I119" i="35" a="1"/>
  <c r="I119" i="35" s="1"/>
  <c r="I124" i="35" a="1"/>
  <c r="I124" i="35" s="1"/>
  <c r="G461" i="18" a="1"/>
  <c r="G461" i="18" s="1"/>
  <c r="G463" i="18" a="1"/>
  <c r="G463" i="18" s="1"/>
  <c r="I125" i="35" a="1"/>
  <c r="I125" i="35" s="1"/>
  <c r="G458" i="18" a="1"/>
  <c r="G458" i="18" s="1"/>
  <c r="I118" i="35" a="1"/>
  <c r="I118" i="35" s="1"/>
  <c r="G453" i="18" a="1"/>
  <c r="G453" i="18" s="1"/>
  <c r="I116" i="35" a="1"/>
  <c r="I116" i="35" s="1"/>
  <c r="G450" i="18" a="1"/>
  <c r="G450" i="18" s="1"/>
  <c r="I123" i="35" a="1"/>
  <c r="I123" i="35" s="1"/>
  <c r="G459" i="18" a="1"/>
  <c r="G459" i="18" s="1"/>
  <c r="K47" i="20"/>
  <c r="I126" i="35" a="1"/>
  <c r="I126" i="35" s="1"/>
  <c r="I127" i="35" a="1"/>
  <c r="I127" i="35" s="1"/>
  <c r="G462" i="18" a="1"/>
  <c r="G462" i="18" s="1"/>
  <c r="I120" i="35" a="1"/>
  <c r="I120" i="35" s="1"/>
  <c r="G460" i="18" a="1"/>
  <c r="G460" i="18" s="1"/>
  <c r="G455" i="18" a="1"/>
  <c r="G455" i="18" s="1"/>
  <c r="I117" i="35" a="1"/>
  <c r="I117" i="35" s="1"/>
  <c r="H263" i="58"/>
  <c r="H261" i="58"/>
  <c r="H262" i="58"/>
  <c r="H386" i="18"/>
  <c r="I386" i="18"/>
  <c r="Q10" i="9"/>
  <c r="E20" i="22"/>
  <c r="M8" i="9"/>
  <c r="H290" i="58"/>
  <c r="H289" i="58"/>
  <c r="H288" i="58"/>
  <c r="H344" i="18"/>
  <c r="I344" i="18"/>
  <c r="H318" i="58"/>
  <c r="H319" i="58"/>
  <c r="H320" i="58"/>
  <c r="I474" i="18"/>
  <c r="H474" i="18"/>
  <c r="H206" i="58"/>
  <c r="H204" i="58"/>
  <c r="H205" i="58"/>
  <c r="G40" i="35" a="1"/>
  <c r="G40" i="35" s="1"/>
  <c r="G41" i="35" a="1"/>
  <c r="G41" i="35" s="1"/>
  <c r="G34" i="35" a="1"/>
  <c r="G34" i="35" s="1"/>
  <c r="G32" i="35" a="1"/>
  <c r="G32" i="35" s="1"/>
  <c r="G177" i="18" a="1"/>
  <c r="G177" i="18" s="1"/>
  <c r="G38" i="35" a="1"/>
  <c r="G38" i="35" s="1"/>
  <c r="G183" i="18" a="1"/>
  <c r="G183" i="18" s="1"/>
  <c r="G178" i="18" a="1"/>
  <c r="G178" i="18" s="1"/>
  <c r="G35" i="35" a="1"/>
  <c r="G35" i="35" s="1"/>
  <c r="G171" i="18" a="1"/>
  <c r="G171" i="18" s="1"/>
  <c r="G181" i="18" a="1"/>
  <c r="G181" i="18" s="1"/>
  <c r="G31" i="35" a="1"/>
  <c r="G31" i="35" s="1"/>
  <c r="G173" i="18" a="1"/>
  <c r="G173" i="18" s="1"/>
  <c r="G170" i="18" a="1"/>
  <c r="G170" i="18" s="1"/>
  <c r="G44" i="35" a="1"/>
  <c r="G44" i="35" s="1"/>
  <c r="G179" i="18" a="1"/>
  <c r="G179" i="18" s="1"/>
  <c r="G43" i="35" a="1"/>
  <c r="G43" i="35" s="1"/>
  <c r="G175" i="18" a="1"/>
  <c r="G175" i="18" s="1"/>
  <c r="G172" i="18" a="1"/>
  <c r="G172" i="18" s="1"/>
  <c r="G174" i="18" a="1"/>
  <c r="G174" i="18" s="1"/>
  <c r="G182" i="18" a="1"/>
  <c r="G182" i="18" s="1"/>
  <c r="G39" i="35" a="1"/>
  <c r="G39" i="35" s="1"/>
  <c r="G36" i="35" a="1"/>
  <c r="G36" i="35" s="1"/>
  <c r="E20" i="20"/>
  <c r="G33" i="35" a="1"/>
  <c r="G33" i="35" s="1"/>
  <c r="G180" i="18" a="1"/>
  <c r="G180" i="18" s="1"/>
  <c r="G37" i="35" a="1"/>
  <c r="G37" i="35" s="1"/>
  <c r="G42" i="35" a="1"/>
  <c r="G42" i="35" s="1"/>
  <c r="G176" i="18" a="1"/>
  <c r="G176" i="18" s="1"/>
  <c r="I425" i="18"/>
  <c r="H425" i="18"/>
  <c r="H273" i="58"/>
  <c r="H275" i="58"/>
  <c r="H274" i="58"/>
  <c r="H158" i="58"/>
  <c r="H159" i="58"/>
  <c r="H157" i="58"/>
  <c r="H160" i="58"/>
  <c r="H373" i="58"/>
  <c r="H372" i="58"/>
  <c r="H374" i="58"/>
  <c r="I466" i="18"/>
  <c r="H466" i="18"/>
  <c r="H421" i="58"/>
  <c r="H420" i="58"/>
  <c r="H422" i="58"/>
  <c r="H469" i="18"/>
  <c r="I469" i="18"/>
  <c r="G19" i="35" a="1"/>
  <c r="G19" i="35" s="1"/>
  <c r="G22" i="35" a="1"/>
  <c r="G22" i="35" s="1"/>
  <c r="G28" i="35" a="1"/>
  <c r="G28" i="35" s="1"/>
  <c r="G92" i="18" a="1"/>
  <c r="G92" i="18" s="1"/>
  <c r="G94" i="18" a="1"/>
  <c r="G94" i="18" s="1"/>
  <c r="G93" i="18" a="1"/>
  <c r="G93" i="18" s="1"/>
  <c r="G86" i="18" a="1"/>
  <c r="G86" i="18" s="1"/>
  <c r="G98" i="18" a="1"/>
  <c r="G98" i="18" s="1"/>
  <c r="G27" i="35" a="1"/>
  <c r="G27" i="35" s="1"/>
  <c r="G25" i="35" a="1"/>
  <c r="G25" i="35" s="1"/>
  <c r="G24" i="35" a="1"/>
  <c r="G24" i="35" s="1"/>
  <c r="G89" i="18" a="1"/>
  <c r="G89" i="18" s="1"/>
  <c r="G97" i="18" a="1"/>
  <c r="G97" i="18" s="1"/>
  <c r="G20" i="35" a="1"/>
  <c r="G20" i="35" s="1"/>
  <c r="G23" i="35" a="1"/>
  <c r="G23" i="35" s="1"/>
  <c r="G99" i="18" a="1"/>
  <c r="G99" i="18" s="1"/>
  <c r="D20" i="20"/>
  <c r="G88" i="18" a="1"/>
  <c r="G88" i="18" s="1"/>
  <c r="G95" i="18" a="1"/>
  <c r="G95" i="18" s="1"/>
  <c r="G90" i="18" a="1"/>
  <c r="G90" i="18" s="1"/>
  <c r="G96" i="18" a="1"/>
  <c r="G96" i="18" s="1"/>
  <c r="G17" i="35" a="1"/>
  <c r="G17" i="35" s="1"/>
  <c r="G26" i="35" a="1"/>
  <c r="G26" i="35" s="1"/>
  <c r="G18" i="35" a="1"/>
  <c r="G18" i="35" s="1"/>
  <c r="G87" i="18" a="1"/>
  <c r="G87" i="18" s="1"/>
  <c r="G30" i="35" a="1"/>
  <c r="G30" i="35" s="1"/>
  <c r="G21" i="35" a="1"/>
  <c r="G21" i="35" s="1"/>
  <c r="G91" i="18" a="1"/>
  <c r="G91" i="18" s="1"/>
  <c r="G29" i="35" a="1"/>
  <c r="G29" i="35" s="1"/>
  <c r="P13" i="20"/>
  <c r="G7" i="20"/>
  <c r="P8" i="20"/>
  <c r="P12" i="20"/>
  <c r="G9" i="20"/>
  <c r="G17" i="20"/>
  <c r="G11" i="20"/>
  <c r="P7" i="20"/>
  <c r="G19" i="20"/>
  <c r="P16" i="20"/>
  <c r="P14" i="20"/>
  <c r="G12" i="20"/>
  <c r="G14" i="20"/>
  <c r="P15" i="20"/>
  <c r="G16" i="20"/>
  <c r="G6" i="20"/>
  <c r="G18" i="20"/>
  <c r="E23" i="22"/>
  <c r="G8" i="20"/>
  <c r="G15" i="20"/>
  <c r="N6" i="9"/>
  <c r="P19" i="20"/>
  <c r="P17" i="20"/>
  <c r="P11" i="20"/>
  <c r="P18" i="20"/>
  <c r="G10" i="20"/>
  <c r="G13" i="20"/>
  <c r="P10" i="20"/>
  <c r="P6" i="20"/>
  <c r="P9" i="20"/>
  <c r="H356" i="58"/>
  <c r="H355" i="58"/>
  <c r="H353" i="58"/>
  <c r="H354" i="58"/>
  <c r="I423" i="18"/>
  <c r="H423" i="18"/>
  <c r="H425" i="37"/>
  <c r="C9" i="63" s="1"/>
  <c r="H363" i="58"/>
  <c r="H364" i="58"/>
  <c r="H361" i="58"/>
  <c r="H362" i="58"/>
  <c r="H400" i="58"/>
  <c r="H399" i="58"/>
  <c r="H401" i="58"/>
  <c r="H348" i="18"/>
  <c r="I348" i="18"/>
  <c r="H350" i="18"/>
  <c r="I350" i="18"/>
  <c r="H475" i="18"/>
  <c r="I475" i="18"/>
  <c r="H246" i="58"/>
  <c r="H245" i="58"/>
  <c r="H247" i="58"/>
  <c r="H248" i="58"/>
  <c r="H342" i="58"/>
  <c r="H343" i="58"/>
  <c r="H341" i="58"/>
  <c r="H344" i="58"/>
  <c r="H213" i="58"/>
  <c r="H215" i="58"/>
  <c r="H214" i="58"/>
  <c r="H311" i="58"/>
  <c r="H310" i="58"/>
  <c r="H309" i="58"/>
  <c r="H221" i="58"/>
  <c r="H219" i="58"/>
  <c r="H220" i="58"/>
  <c r="H389" i="18"/>
  <c r="I389" i="18"/>
  <c r="I144" i="35" a="1"/>
  <c r="I144" i="35" s="1"/>
  <c r="G414" i="18" a="1"/>
  <c r="G414" i="18" s="1"/>
  <c r="I145" i="35" a="1"/>
  <c r="I145" i="35" s="1"/>
  <c r="I146" i="35" a="1"/>
  <c r="I146" i="35" s="1"/>
  <c r="I148" i="35" a="1"/>
  <c r="I148" i="35" s="1"/>
  <c r="G409" i="18" a="1"/>
  <c r="G409" i="18" s="1"/>
  <c r="G419" i="18" a="1"/>
  <c r="G419" i="18" s="1"/>
  <c r="G412" i="18" a="1"/>
  <c r="G412" i="18" s="1"/>
  <c r="I147" i="35" a="1"/>
  <c r="I147" i="35" s="1"/>
  <c r="I143" i="35" a="1"/>
  <c r="I143" i="35" s="1"/>
  <c r="I153" i="35" a="1"/>
  <c r="I153" i="35" s="1"/>
  <c r="G408" i="18" a="1"/>
  <c r="G408" i="18" s="1"/>
  <c r="G418" i="18" a="1"/>
  <c r="G418" i="18" s="1"/>
  <c r="I150" i="35" a="1"/>
  <c r="I150" i="35" s="1"/>
  <c r="S47" i="20"/>
  <c r="I152" i="35" a="1"/>
  <c r="I152" i="35" s="1"/>
  <c r="G415" i="18" a="1"/>
  <c r="G415" i="18" s="1"/>
  <c r="G421" i="18" a="1"/>
  <c r="G421" i="18" s="1"/>
  <c r="I156" i="35" a="1"/>
  <c r="I156" i="35" s="1"/>
  <c r="G416" i="18" a="1"/>
  <c r="G416" i="18" s="1"/>
  <c r="G413" i="18" a="1"/>
  <c r="G413" i="18" s="1"/>
  <c r="G417" i="18" a="1"/>
  <c r="G417" i="18" s="1"/>
  <c r="I155" i="35" a="1"/>
  <c r="I155" i="35" s="1"/>
  <c r="I149" i="35" a="1"/>
  <c r="I149" i="35" s="1"/>
  <c r="G420" i="18" a="1"/>
  <c r="G420" i="18" s="1"/>
  <c r="G410" i="18" a="1"/>
  <c r="G410" i="18" s="1"/>
  <c r="I154" i="35" a="1"/>
  <c r="I154" i="35" s="1"/>
  <c r="G411" i="18" a="1"/>
  <c r="G411" i="18" s="1"/>
  <c r="I151" i="35" a="1"/>
  <c r="I151" i="35" s="1"/>
  <c r="G138" i="35" a="1"/>
  <c r="G138" i="35" s="1"/>
  <c r="G308" i="18" a="1"/>
  <c r="G308" i="18" s="1"/>
  <c r="G306" i="18" a="1"/>
  <c r="G306" i="18" s="1"/>
  <c r="G297" i="18" a="1"/>
  <c r="G297" i="18" s="1"/>
  <c r="G309" i="18" a="1"/>
  <c r="G309" i="18" s="1"/>
  <c r="G298" i="18" a="1"/>
  <c r="G298" i="18" s="1"/>
  <c r="G135" i="35" a="1"/>
  <c r="G135" i="35" s="1"/>
  <c r="G302" i="18" a="1"/>
  <c r="G302" i="18" s="1"/>
  <c r="G131" i="35" a="1"/>
  <c r="G131" i="35" s="1"/>
  <c r="G132" i="35" a="1"/>
  <c r="G132" i="35" s="1"/>
  <c r="G139" i="35" a="1"/>
  <c r="G139" i="35" s="1"/>
  <c r="G141" i="35" a="1"/>
  <c r="G141" i="35" s="1"/>
  <c r="G129" i="35" a="1"/>
  <c r="G129" i="35" s="1"/>
  <c r="G133" i="35" a="1"/>
  <c r="G133" i="35" s="1"/>
  <c r="L47" i="20"/>
  <c r="G304" i="18" a="1"/>
  <c r="G304" i="18" s="1"/>
  <c r="G305" i="18" a="1"/>
  <c r="G305" i="18" s="1"/>
  <c r="G300" i="18" a="1"/>
  <c r="G300" i="18" s="1"/>
  <c r="G303" i="18" a="1"/>
  <c r="G303" i="18" s="1"/>
  <c r="G130" i="35" a="1"/>
  <c r="G130" i="35" s="1"/>
  <c r="G140" i="35" a="1"/>
  <c r="G140" i="35" s="1"/>
  <c r="G134" i="35" a="1"/>
  <c r="G134" i="35" s="1"/>
  <c r="G301" i="18" a="1"/>
  <c r="G301" i="18" s="1"/>
  <c r="G136" i="35" a="1"/>
  <c r="G136" i="35" s="1"/>
  <c r="G299" i="18" a="1"/>
  <c r="G299" i="18" s="1"/>
  <c r="G142" i="35" a="1"/>
  <c r="G142" i="35" s="1"/>
  <c r="G137" i="35" a="1"/>
  <c r="G137" i="35" s="1"/>
  <c r="G296" i="18" a="1"/>
  <c r="G296" i="18" s="1"/>
  <c r="G307" i="18" a="1"/>
  <c r="G307" i="18" s="1"/>
  <c r="H345" i="18"/>
  <c r="I345" i="18"/>
  <c r="H193" i="58"/>
  <c r="H192" i="58"/>
  <c r="H194" i="58"/>
  <c r="H472" i="18"/>
  <c r="I472" i="18"/>
  <c r="I470" i="18"/>
  <c r="H470" i="18"/>
  <c r="H473" i="18"/>
  <c r="I473" i="18"/>
  <c r="L11" i="20"/>
  <c r="C10" i="20"/>
  <c r="J6" i="9"/>
  <c r="J10" i="9" s="1"/>
  <c r="C17" i="20"/>
  <c r="J30" i="9"/>
  <c r="L12" i="20"/>
  <c r="L15" i="20"/>
  <c r="C19" i="20"/>
  <c r="L13" i="20"/>
  <c r="C7" i="20"/>
  <c r="C6" i="20"/>
  <c r="M26" i="9" a="1"/>
  <c r="M26" i="9" s="1"/>
  <c r="L7" i="20"/>
  <c r="L10" i="20"/>
  <c r="C18" i="20"/>
  <c r="L17" i="20"/>
  <c r="L19" i="20"/>
  <c r="L8" i="20"/>
  <c r="C13" i="20"/>
  <c r="C16" i="20"/>
  <c r="L18" i="20"/>
  <c r="L9" i="20"/>
  <c r="C11" i="20"/>
  <c r="P26" i="9" a="1"/>
  <c r="P26" i="9" s="1"/>
  <c r="E3" i="22"/>
  <c r="L6" i="20"/>
  <c r="C8" i="20"/>
  <c r="C14" i="20"/>
  <c r="L16" i="20"/>
  <c r="C15" i="20"/>
  <c r="L14" i="20"/>
  <c r="C12" i="20"/>
  <c r="C9" i="20"/>
  <c r="H413" i="58"/>
  <c r="H412" i="58"/>
  <c r="H411" i="58"/>
  <c r="H149" i="58"/>
  <c r="H150" i="58"/>
  <c r="H151" i="58"/>
  <c r="H152" i="58"/>
  <c r="I160" i="35" a="1"/>
  <c r="I160" i="35" s="1"/>
  <c r="G495" i="18" a="1"/>
  <c r="G495" i="18" s="1"/>
  <c r="T47" i="20"/>
  <c r="I168" i="35" a="1"/>
  <c r="I168" i="35" s="1"/>
  <c r="G497" i="18" a="1"/>
  <c r="G497" i="18" s="1"/>
  <c r="G494" i="18" a="1"/>
  <c r="G494" i="18" s="1"/>
  <c r="G501" i="18" a="1"/>
  <c r="G501" i="18" s="1"/>
  <c r="I169" i="35" a="1"/>
  <c r="I169" i="35" s="1"/>
  <c r="I164" i="35" a="1"/>
  <c r="I164" i="35" s="1"/>
  <c r="G502" i="18" a="1"/>
  <c r="G502" i="18" s="1"/>
  <c r="I157" i="35" a="1"/>
  <c r="I157" i="35" s="1"/>
  <c r="G505" i="18" a="1"/>
  <c r="G505" i="18" s="1"/>
  <c r="G503" i="18" a="1"/>
  <c r="G503" i="18" s="1"/>
  <c r="I170" i="35" a="1"/>
  <c r="I170" i="35" s="1"/>
  <c r="I167" i="35" a="1"/>
  <c r="I167" i="35" s="1"/>
  <c r="G500" i="18" a="1"/>
  <c r="G500" i="18" s="1"/>
  <c r="G499" i="18" a="1"/>
  <c r="G499" i="18" s="1"/>
  <c r="G496" i="18" a="1"/>
  <c r="G496" i="18" s="1"/>
  <c r="I161" i="35" a="1"/>
  <c r="I161" i="35" s="1"/>
  <c r="I166" i="35" a="1"/>
  <c r="I166" i="35" s="1"/>
  <c r="I163" i="35" a="1"/>
  <c r="I163" i="35" s="1"/>
  <c r="I158" i="35" a="1"/>
  <c r="I158" i="35" s="1"/>
  <c r="G492" i="18" a="1"/>
  <c r="G492" i="18" s="1"/>
  <c r="G493" i="18" a="1"/>
  <c r="G493" i="18" s="1"/>
  <c r="G498" i="18" a="1"/>
  <c r="G498" i="18" s="1"/>
  <c r="I159" i="35" a="1"/>
  <c r="I159" i="35" s="1"/>
  <c r="I165" i="35" a="1"/>
  <c r="I165" i="35" s="1"/>
  <c r="G504" i="18" a="1"/>
  <c r="G504" i="18" s="1"/>
  <c r="I162" i="35" a="1"/>
  <c r="I162" i="35" s="1"/>
  <c r="I387" i="18"/>
  <c r="H387" i="18"/>
  <c r="H390" i="18"/>
  <c r="I390" i="18"/>
  <c r="J47" i="20"/>
  <c r="G369" i="18" a="1"/>
  <c r="G369" i="18" s="1"/>
  <c r="G373" i="18" a="1"/>
  <c r="G373" i="18" s="1"/>
  <c r="G379" i="18" a="1"/>
  <c r="G379" i="18" s="1"/>
  <c r="G374" i="18" a="1"/>
  <c r="G374" i="18" s="1"/>
  <c r="I112" i="35" a="1"/>
  <c r="I112" i="35" s="1"/>
  <c r="I103" i="35" a="1"/>
  <c r="I103" i="35" s="1"/>
  <c r="I113" i="35" a="1"/>
  <c r="I113" i="35" s="1"/>
  <c r="G372" i="18" a="1"/>
  <c r="G372" i="18" s="1"/>
  <c r="G370" i="18" a="1"/>
  <c r="G370" i="18" s="1"/>
  <c r="I111" i="35" a="1"/>
  <c r="I111" i="35" s="1"/>
  <c r="I102" i="35" a="1"/>
  <c r="I102" i="35" s="1"/>
  <c r="G368" i="18" a="1"/>
  <c r="G368" i="18" s="1"/>
  <c r="I114" i="35" a="1"/>
  <c r="I114" i="35" s="1"/>
  <c r="I110" i="35" a="1"/>
  <c r="I110" i="35" s="1"/>
  <c r="G378" i="18" a="1"/>
  <c r="G378" i="18" s="1"/>
  <c r="G377" i="18" a="1"/>
  <c r="G377" i="18" s="1"/>
  <c r="G371" i="18" a="1"/>
  <c r="G371" i="18" s="1"/>
  <c r="G367" i="18" a="1"/>
  <c r="G367" i="18" s="1"/>
  <c r="I106" i="35" a="1"/>
  <c r="I106" i="35" s="1"/>
  <c r="I105" i="35" a="1"/>
  <c r="I105" i="35" s="1"/>
  <c r="G375" i="18" a="1"/>
  <c r="G375" i="18" s="1"/>
  <c r="I104" i="35" a="1"/>
  <c r="I104" i="35" s="1"/>
  <c r="I107" i="35" a="1"/>
  <c r="I107" i="35" s="1"/>
  <c r="G376" i="18" a="1"/>
  <c r="G376" i="18" s="1"/>
  <c r="I108" i="35" a="1"/>
  <c r="I108" i="35" s="1"/>
  <c r="I101" i="35" a="1"/>
  <c r="I101" i="35" s="1"/>
  <c r="I109" i="35" a="1"/>
  <c r="I109" i="35" s="1"/>
  <c r="G366" i="18" a="1"/>
  <c r="G366" i="18" s="1"/>
  <c r="H328" i="58"/>
  <c r="H326" i="58"/>
  <c r="H327" i="58"/>
  <c r="H325" i="58"/>
  <c r="I342" i="18"/>
  <c r="H342" i="18"/>
  <c r="H410" i="58"/>
  <c r="H409" i="58"/>
  <c r="H408" i="58"/>
  <c r="H403" i="58"/>
  <c r="H404" i="58"/>
  <c r="H402" i="58"/>
  <c r="H367" i="58"/>
  <c r="H368" i="58"/>
  <c r="H365" i="58"/>
  <c r="H366" i="58"/>
  <c r="H161" i="58"/>
  <c r="H163" i="58"/>
  <c r="H162" i="58"/>
  <c r="H164" i="58"/>
  <c r="G61" i="35" a="1"/>
  <c r="G61" i="35" s="1"/>
  <c r="G59" i="35" a="1"/>
  <c r="G59" i="35" s="1"/>
  <c r="G135" i="18" a="1"/>
  <c r="G135" i="18" s="1"/>
  <c r="G72" i="35" a="1"/>
  <c r="G72" i="35" s="1"/>
  <c r="G131" i="18" a="1"/>
  <c r="G131" i="18" s="1"/>
  <c r="G130" i="18" a="1"/>
  <c r="G130" i="18" s="1"/>
  <c r="G60" i="35" a="1"/>
  <c r="G60" i="35" s="1"/>
  <c r="G139" i="18" a="1"/>
  <c r="G139" i="18" s="1"/>
  <c r="G132" i="18" a="1"/>
  <c r="G132" i="18" s="1"/>
  <c r="G62" i="35" a="1"/>
  <c r="G62" i="35" s="1"/>
  <c r="G65" i="35" a="1"/>
  <c r="G65" i="35" s="1"/>
  <c r="G136" i="18" a="1"/>
  <c r="G136" i="18" s="1"/>
  <c r="G140" i="18" a="1"/>
  <c r="G140" i="18" s="1"/>
  <c r="G137" i="18" a="1"/>
  <c r="G137" i="18" s="1"/>
  <c r="G133" i="18" a="1"/>
  <c r="G133" i="18" s="1"/>
  <c r="G134" i="18" a="1"/>
  <c r="G134" i="18" s="1"/>
  <c r="G128" i="18" a="1"/>
  <c r="G128" i="18" s="1"/>
  <c r="G68" i="35" a="1"/>
  <c r="G68" i="35" s="1"/>
  <c r="M20" i="20"/>
  <c r="G69" i="35" a="1"/>
  <c r="G69" i="35" s="1"/>
  <c r="G67" i="35" a="1"/>
  <c r="G67" i="35" s="1"/>
  <c r="G129" i="18" a="1"/>
  <c r="G129" i="18" s="1"/>
  <c r="G63" i="35" a="1"/>
  <c r="G63" i="35" s="1"/>
  <c r="G64" i="35" a="1"/>
  <c r="G64" i="35" s="1"/>
  <c r="G141" i="18" a="1"/>
  <c r="G141" i="18" s="1"/>
  <c r="G71" i="35" a="1"/>
  <c r="G71" i="35" s="1"/>
  <c r="G70" i="35" a="1"/>
  <c r="G70" i="35" s="1"/>
  <c r="G66" i="35" a="1"/>
  <c r="G66" i="35" s="1"/>
  <c r="G138" i="18" a="1"/>
  <c r="G138" i="18" s="1"/>
  <c r="H14" i="20"/>
  <c r="Q12" i="20"/>
  <c r="Q18" i="20"/>
  <c r="Q19" i="20"/>
  <c r="Q16" i="20"/>
  <c r="E28" i="22"/>
  <c r="O6" i="9"/>
  <c r="Q6" i="20"/>
  <c r="H8" i="20"/>
  <c r="H6" i="20"/>
  <c r="Q8" i="20"/>
  <c r="Q10" i="20"/>
  <c r="Q13" i="20"/>
  <c r="Q15" i="20"/>
  <c r="Q17" i="20"/>
  <c r="Q7" i="20"/>
  <c r="H16" i="20"/>
  <c r="H12" i="20"/>
  <c r="H17" i="20"/>
  <c r="H18" i="20"/>
  <c r="H9" i="20"/>
  <c r="H19" i="20"/>
  <c r="H7" i="20"/>
  <c r="H13" i="20"/>
  <c r="H10" i="20"/>
  <c r="H11" i="20"/>
  <c r="Q9" i="20"/>
  <c r="H15" i="20"/>
  <c r="Q11" i="20"/>
  <c r="Q14" i="20"/>
  <c r="E287" i="38"/>
  <c r="M50" i="66" s="1"/>
  <c r="F50" i="66"/>
  <c r="H434" i="18"/>
  <c r="I434" i="18"/>
  <c r="C35" i="63" l="1"/>
  <c r="C36" i="63"/>
  <c r="N50" i="66"/>
  <c r="H134" i="18"/>
  <c r="I134" i="18"/>
  <c r="H399" i="37"/>
  <c r="H399" i="41" s="1"/>
  <c r="H400" i="37"/>
  <c r="H400" i="41" s="1"/>
  <c r="H401" i="37"/>
  <c r="H401" i="41" s="1"/>
  <c r="H137" i="18"/>
  <c r="I137" i="18"/>
  <c r="H158" i="37"/>
  <c r="H158" i="41" s="1"/>
  <c r="H157" i="37"/>
  <c r="H157" i="41" s="1"/>
  <c r="H160" i="37"/>
  <c r="H160" i="41" s="1"/>
  <c r="H159" i="37"/>
  <c r="H159" i="41" s="1"/>
  <c r="J147" i="58"/>
  <c r="J148" i="58"/>
  <c r="J145" i="58"/>
  <c r="J146" i="58"/>
  <c r="J288" i="58"/>
  <c r="J290" i="58"/>
  <c r="J289" i="58"/>
  <c r="I373" i="18"/>
  <c r="H373" i="18"/>
  <c r="H493" i="18"/>
  <c r="I493" i="18"/>
  <c r="I505" i="18"/>
  <c r="H505" i="18"/>
  <c r="H239" i="58"/>
  <c r="H240" i="58"/>
  <c r="H237" i="58"/>
  <c r="H238" i="58"/>
  <c r="H302" i="18"/>
  <c r="I302" i="18"/>
  <c r="I420" i="18"/>
  <c r="H420" i="18"/>
  <c r="H418" i="18"/>
  <c r="I418" i="18"/>
  <c r="J243" i="58"/>
  <c r="J244" i="58"/>
  <c r="J242" i="58"/>
  <c r="J241" i="58"/>
  <c r="H391" i="37"/>
  <c r="H391" i="41" s="1"/>
  <c r="H392" i="37"/>
  <c r="H392" i="41" s="1"/>
  <c r="H390" i="37"/>
  <c r="H390" i="41" s="1"/>
  <c r="I94" i="18"/>
  <c r="H94" i="18"/>
  <c r="H175" i="18"/>
  <c r="I175" i="18"/>
  <c r="H311" i="37"/>
  <c r="H311" i="41" s="1"/>
  <c r="H309" i="37"/>
  <c r="H309" i="41" s="1"/>
  <c r="H310" i="37"/>
  <c r="H310" i="41" s="1"/>
  <c r="J474" i="18"/>
  <c r="F474" i="18"/>
  <c r="F386" i="18"/>
  <c r="J386" i="18"/>
  <c r="J171" i="58"/>
  <c r="J173" i="58"/>
  <c r="J172" i="58"/>
  <c r="F427" i="18"/>
  <c r="J427" i="18"/>
  <c r="I403" i="18"/>
  <c r="H403" i="18"/>
  <c r="I364" i="58"/>
  <c r="I361" i="58"/>
  <c r="I362" i="58"/>
  <c r="I363" i="58"/>
  <c r="H400" i="18"/>
  <c r="I400" i="18"/>
  <c r="H491" i="18"/>
  <c r="I491" i="18"/>
  <c r="H488" i="18"/>
  <c r="I488" i="18"/>
  <c r="I479" i="18"/>
  <c r="H479" i="18"/>
  <c r="I196" i="58"/>
  <c r="I195" i="58"/>
  <c r="I197" i="58"/>
  <c r="J382" i="18"/>
  <c r="F382" i="18"/>
  <c r="H212" i="18"/>
  <c r="I212" i="18"/>
  <c r="H180" i="37"/>
  <c r="H180" i="41" s="1"/>
  <c r="H182" i="37"/>
  <c r="H182" i="41" s="1"/>
  <c r="H181" i="37"/>
  <c r="H181" i="41" s="1"/>
  <c r="H219" i="18"/>
  <c r="I219" i="18"/>
  <c r="H356" i="18"/>
  <c r="I356" i="18"/>
  <c r="I360" i="18"/>
  <c r="H360" i="18"/>
  <c r="F424" i="18"/>
  <c r="J424" i="18"/>
  <c r="F465" i="18"/>
  <c r="J465" i="18"/>
  <c r="I263" i="18"/>
  <c r="H263" i="18"/>
  <c r="H141" i="58"/>
  <c r="H143" i="58"/>
  <c r="H142" i="58"/>
  <c r="H144" i="58"/>
  <c r="H138" i="18"/>
  <c r="I138" i="18"/>
  <c r="H371" i="18"/>
  <c r="I371" i="18"/>
  <c r="H359" i="58"/>
  <c r="H360" i="58"/>
  <c r="H358" i="58"/>
  <c r="H357" i="58"/>
  <c r="H85" i="35" a="1"/>
  <c r="H85" i="35" s="1"/>
  <c r="H73" i="35" a="1"/>
  <c r="H73" i="35" s="1"/>
  <c r="H74" i="35" a="1"/>
  <c r="H74" i="35" s="1"/>
  <c r="H86" i="35" a="1"/>
  <c r="H86" i="35" s="1"/>
  <c r="H83" i="35" a="1"/>
  <c r="H83" i="35" s="1"/>
  <c r="H82" i="35" a="1"/>
  <c r="H82" i="35" s="1"/>
  <c r="G232" i="18" a="1"/>
  <c r="G232" i="18" s="1"/>
  <c r="H79" i="35" a="1"/>
  <c r="H79" i="35" s="1"/>
  <c r="H77" i="35" a="1"/>
  <c r="H77" i="35" s="1"/>
  <c r="G226" i="18" a="1"/>
  <c r="G226" i="18" s="1"/>
  <c r="G227" i="18" a="1"/>
  <c r="G227" i="18" s="1"/>
  <c r="G238" i="18" a="1"/>
  <c r="G238" i="18" s="1"/>
  <c r="G234" i="18" a="1"/>
  <c r="G234" i="18" s="1"/>
  <c r="G228" i="18" a="1"/>
  <c r="G228" i="18" s="1"/>
  <c r="G237" i="18" a="1"/>
  <c r="G237" i="18" s="1"/>
  <c r="H84" i="35" a="1"/>
  <c r="H84" i="35" s="1"/>
  <c r="Q20" i="20"/>
  <c r="G233" i="18" a="1"/>
  <c r="G233" i="18" s="1"/>
  <c r="G235" i="18" a="1"/>
  <c r="G235" i="18" s="1"/>
  <c r="H81" i="35" a="1"/>
  <c r="H81" i="35" s="1"/>
  <c r="H80" i="35" a="1"/>
  <c r="H80" i="35" s="1"/>
  <c r="H75" i="35" a="1"/>
  <c r="H75" i="35" s="1"/>
  <c r="G229" i="18" a="1"/>
  <c r="G229" i="18" s="1"/>
  <c r="H76" i="35" a="1"/>
  <c r="H76" i="35" s="1"/>
  <c r="G236" i="18" a="1"/>
  <c r="G236" i="18" s="1"/>
  <c r="G239" i="18" a="1"/>
  <c r="G239" i="18" s="1"/>
  <c r="H78" i="35" a="1"/>
  <c r="H78" i="35" s="1"/>
  <c r="G230" i="18" a="1"/>
  <c r="G230" i="18" s="1"/>
  <c r="G231" i="18" a="1"/>
  <c r="G231" i="18" s="1"/>
  <c r="H141" i="18"/>
  <c r="I141" i="18"/>
  <c r="H140" i="18"/>
  <c r="I140" i="18"/>
  <c r="H338" i="37"/>
  <c r="H338" i="41" s="1"/>
  <c r="H337" i="37"/>
  <c r="H337" i="41" s="1"/>
  <c r="H339" i="37"/>
  <c r="H339" i="41" s="1"/>
  <c r="H340" i="37"/>
  <c r="H340" i="41" s="1"/>
  <c r="J307" i="58"/>
  <c r="J308" i="58"/>
  <c r="J306" i="58"/>
  <c r="J408" i="58"/>
  <c r="J410" i="58"/>
  <c r="J409" i="58"/>
  <c r="I369" i="18"/>
  <c r="H369" i="18"/>
  <c r="H492" i="18"/>
  <c r="I492" i="18"/>
  <c r="J162" i="58"/>
  <c r="J161" i="58"/>
  <c r="J163" i="58"/>
  <c r="J164" i="58"/>
  <c r="F345" i="18"/>
  <c r="J345" i="18"/>
  <c r="H303" i="18"/>
  <c r="I303" i="18"/>
  <c r="H258" i="58"/>
  <c r="H259" i="58"/>
  <c r="H260" i="58"/>
  <c r="J262" i="58"/>
  <c r="J263" i="58"/>
  <c r="J261" i="58"/>
  <c r="I408" i="18"/>
  <c r="H408" i="18"/>
  <c r="F389" i="18"/>
  <c r="J389" i="18"/>
  <c r="J348" i="18"/>
  <c r="F348" i="18"/>
  <c r="J423" i="18"/>
  <c r="F423" i="18"/>
  <c r="I91" i="18"/>
  <c r="H91" i="18"/>
  <c r="H99" i="18"/>
  <c r="I99" i="18"/>
  <c r="I92" i="18"/>
  <c r="H92" i="18"/>
  <c r="I176" i="18"/>
  <c r="H176" i="18"/>
  <c r="H395" i="37"/>
  <c r="H395" i="41" s="1"/>
  <c r="H393" i="37"/>
  <c r="H393" i="41" s="1"/>
  <c r="H394" i="37"/>
  <c r="H394" i="41" s="1"/>
  <c r="H177" i="18"/>
  <c r="I177" i="18"/>
  <c r="I459" i="18"/>
  <c r="H459" i="18"/>
  <c r="I452" i="18"/>
  <c r="H452" i="18"/>
  <c r="E27" i="17"/>
  <c r="E25" i="17"/>
  <c r="H404" i="18"/>
  <c r="I404" i="18"/>
  <c r="I241" i="58"/>
  <c r="I242" i="58"/>
  <c r="I244" i="58"/>
  <c r="I243" i="58"/>
  <c r="I489" i="18"/>
  <c r="H489" i="18"/>
  <c r="H482" i="18"/>
  <c r="I482" i="18"/>
  <c r="I422" i="58"/>
  <c r="I421" i="58"/>
  <c r="I420" i="58"/>
  <c r="J433" i="18"/>
  <c r="F433" i="18"/>
  <c r="I441" i="18"/>
  <c r="H441" i="18"/>
  <c r="I329" i="58"/>
  <c r="I331" i="58"/>
  <c r="I332" i="58"/>
  <c r="I330" i="58"/>
  <c r="F422" i="18"/>
  <c r="J422" i="18"/>
  <c r="H366" i="37"/>
  <c r="H366" i="41" s="1"/>
  <c r="H367" i="37"/>
  <c r="H367" i="41" s="1"/>
  <c r="H365" i="37"/>
  <c r="H365" i="41" s="1"/>
  <c r="H368" i="37"/>
  <c r="H368" i="41" s="1"/>
  <c r="H265" i="37"/>
  <c r="H265" i="41" s="1"/>
  <c r="H264" i="37"/>
  <c r="H264" i="41" s="1"/>
  <c r="H266" i="37"/>
  <c r="H266" i="41" s="1"/>
  <c r="I410" i="58"/>
  <c r="I409" i="58"/>
  <c r="I408" i="58"/>
  <c r="I192" i="58"/>
  <c r="I194" i="58"/>
  <c r="I193" i="58"/>
  <c r="H260" i="18"/>
  <c r="I260" i="18"/>
  <c r="H264" i="18"/>
  <c r="I264" i="18"/>
  <c r="H407" i="58"/>
  <c r="H405" i="58"/>
  <c r="H406" i="58"/>
  <c r="D25" i="17"/>
  <c r="D27" i="17"/>
  <c r="H201" i="37"/>
  <c r="H201" i="41" s="1"/>
  <c r="H203" i="37"/>
  <c r="H203" i="41" s="1"/>
  <c r="H202" i="37"/>
  <c r="H202" i="41" s="1"/>
  <c r="I136" i="18"/>
  <c r="H136" i="18"/>
  <c r="H376" i="18"/>
  <c r="I376" i="18"/>
  <c r="H368" i="18"/>
  <c r="I368" i="18"/>
  <c r="J247" i="58"/>
  <c r="J245" i="58"/>
  <c r="J248" i="58"/>
  <c r="J246" i="58"/>
  <c r="H502" i="18"/>
  <c r="I502" i="18"/>
  <c r="G45" i="18" a="1"/>
  <c r="G45" i="18" s="1"/>
  <c r="G55" i="18" a="1"/>
  <c r="G55" i="18" s="1"/>
  <c r="G48" i="35" a="1"/>
  <c r="G48" i="35" s="1"/>
  <c r="G52" i="35" a="1"/>
  <c r="G52" i="35" s="1"/>
  <c r="G51" i="35" a="1"/>
  <c r="G51" i="35" s="1"/>
  <c r="G54" i="18" a="1"/>
  <c r="G54" i="18" s="1"/>
  <c r="G56" i="18" a="1"/>
  <c r="G56" i="18" s="1"/>
  <c r="G55" i="35" a="1"/>
  <c r="G55" i="35" s="1"/>
  <c r="G44" i="18" a="1"/>
  <c r="G44" i="18" s="1"/>
  <c r="G51" i="18" a="1"/>
  <c r="G51" i="18" s="1"/>
  <c r="G49" i="35" a="1"/>
  <c r="G49" i="35" s="1"/>
  <c r="G53" i="35" a="1"/>
  <c r="G53" i="35" s="1"/>
  <c r="G57" i="18" a="1"/>
  <c r="G57" i="18" s="1"/>
  <c r="G52" i="18" a="1"/>
  <c r="G52" i="18" s="1"/>
  <c r="G56" i="35" a="1"/>
  <c r="G56" i="35" s="1"/>
  <c r="G47" i="18" a="1"/>
  <c r="G47" i="18" s="1"/>
  <c r="L20" i="20"/>
  <c r="G46" i="35" a="1"/>
  <c r="G46" i="35" s="1"/>
  <c r="G47" i="35" a="1"/>
  <c r="G47" i="35" s="1"/>
  <c r="G49" i="18" a="1"/>
  <c r="G49" i="18" s="1"/>
  <c r="G57" i="35" a="1"/>
  <c r="G57" i="35" s="1"/>
  <c r="G54" i="35" a="1"/>
  <c r="G54" i="35" s="1"/>
  <c r="G48" i="18" a="1"/>
  <c r="G48" i="18" s="1"/>
  <c r="G50" i="35" a="1"/>
  <c r="G50" i="35" s="1"/>
  <c r="G58" i="35" a="1"/>
  <c r="G58" i="35" s="1"/>
  <c r="G46" i="18" a="1"/>
  <c r="G46" i="18" s="1"/>
  <c r="G50" i="18" a="1"/>
  <c r="G50" i="18" s="1"/>
  <c r="G45" i="35" a="1"/>
  <c r="G45" i="35" s="1"/>
  <c r="G53" i="18" a="1"/>
  <c r="G53" i="18" s="1"/>
  <c r="H300" i="18"/>
  <c r="I300" i="18"/>
  <c r="I298" i="18"/>
  <c r="H298" i="18"/>
  <c r="J399" i="58"/>
  <c r="J400" i="58"/>
  <c r="J401" i="58"/>
  <c r="J362" i="58"/>
  <c r="J364" i="58"/>
  <c r="J361" i="58"/>
  <c r="J363" i="58"/>
  <c r="H170" i="37"/>
  <c r="H170" i="41" s="1"/>
  <c r="H168" i="37"/>
  <c r="H168" i="41" s="1"/>
  <c r="H169" i="37"/>
  <c r="H169" i="41" s="1"/>
  <c r="H253" i="37"/>
  <c r="H253" i="41" s="1"/>
  <c r="H252" i="37"/>
  <c r="H252" i="41" s="1"/>
  <c r="H254" i="37"/>
  <c r="H254" i="41" s="1"/>
  <c r="H372" i="37"/>
  <c r="H372" i="41" s="1"/>
  <c r="H374" i="37"/>
  <c r="H374" i="41" s="1"/>
  <c r="H373" i="37"/>
  <c r="H373" i="41" s="1"/>
  <c r="H376" i="37"/>
  <c r="H376" i="41" s="1"/>
  <c r="H375" i="37"/>
  <c r="H375" i="41" s="1"/>
  <c r="H377" i="37"/>
  <c r="H377" i="41" s="1"/>
  <c r="I179" i="18"/>
  <c r="H179" i="18"/>
  <c r="H234" i="37"/>
  <c r="H234" i="41" s="1"/>
  <c r="H233" i="37"/>
  <c r="H233" i="41" s="1"/>
  <c r="H236" i="37"/>
  <c r="H236" i="41" s="1"/>
  <c r="H235" i="37"/>
  <c r="H235" i="41" s="1"/>
  <c r="J273" i="58"/>
  <c r="J274" i="58"/>
  <c r="J275" i="58"/>
  <c r="J151" i="58"/>
  <c r="J149" i="58"/>
  <c r="J150" i="58"/>
  <c r="J152" i="58"/>
  <c r="F391" i="18"/>
  <c r="J391" i="18"/>
  <c r="I417" i="58"/>
  <c r="I419" i="58"/>
  <c r="I418" i="58"/>
  <c r="I300" i="58"/>
  <c r="I302" i="58"/>
  <c r="I301" i="58"/>
  <c r="I319" i="58"/>
  <c r="I318" i="58"/>
  <c r="I320" i="58"/>
  <c r="I367" i="58"/>
  <c r="I365" i="58"/>
  <c r="I366" i="58"/>
  <c r="I368" i="58"/>
  <c r="J428" i="18"/>
  <c r="F428" i="18"/>
  <c r="I234" i="58"/>
  <c r="I236" i="58"/>
  <c r="I235" i="58"/>
  <c r="I233" i="58"/>
  <c r="I412" i="58"/>
  <c r="I411" i="58"/>
  <c r="I413" i="58"/>
  <c r="R10" i="9"/>
  <c r="I216" i="18"/>
  <c r="H216" i="18"/>
  <c r="H302" i="37"/>
  <c r="H302" i="41" s="1"/>
  <c r="H301" i="37"/>
  <c r="H301" i="41" s="1"/>
  <c r="H300" i="37"/>
  <c r="H300" i="41" s="1"/>
  <c r="I70" i="35" a="1"/>
  <c r="I70" i="35" s="1"/>
  <c r="I68" i="35" a="1"/>
  <c r="I68" i="35" s="1"/>
  <c r="I71" i="35" a="1"/>
  <c r="I71" i="35" s="1"/>
  <c r="I63" i="35" a="1"/>
  <c r="I63" i="35" s="1"/>
  <c r="G156" i="18" a="1"/>
  <c r="G156" i="18" s="1"/>
  <c r="G161" i="18" a="1"/>
  <c r="G161" i="18" s="1"/>
  <c r="G169" i="18" a="1"/>
  <c r="G169" i="18" s="1"/>
  <c r="G159" i="18" a="1"/>
  <c r="G159" i="18" s="1"/>
  <c r="G160" i="18" a="1"/>
  <c r="G160" i="18" s="1"/>
  <c r="G163" i="18" a="1"/>
  <c r="G163" i="18" s="1"/>
  <c r="I64" i="35" a="1"/>
  <c r="I64" i="35" s="1"/>
  <c r="I59" i="35" a="1"/>
  <c r="I59" i="35" s="1"/>
  <c r="G157" i="18" a="1"/>
  <c r="G157" i="18" s="1"/>
  <c r="G166" i="18" a="1"/>
  <c r="G166" i="18" s="1"/>
  <c r="I66" i="35" a="1"/>
  <c r="I66" i="35" s="1"/>
  <c r="G164" i="18" a="1"/>
  <c r="G164" i="18" s="1"/>
  <c r="I60" i="35" a="1"/>
  <c r="I60" i="35" s="1"/>
  <c r="G168" i="18" a="1"/>
  <c r="G168" i="18" s="1"/>
  <c r="I67" i="35" a="1"/>
  <c r="I67" i="35" s="1"/>
  <c r="I72" i="35" a="1"/>
  <c r="I72" i="35" s="1"/>
  <c r="I61" i="35" a="1"/>
  <c r="I61" i="35" s="1"/>
  <c r="G158" i="18" a="1"/>
  <c r="G158" i="18" s="1"/>
  <c r="S20" i="20"/>
  <c r="G162" i="18" a="1"/>
  <c r="G162" i="18" s="1"/>
  <c r="G165" i="18" a="1"/>
  <c r="G165" i="18" s="1"/>
  <c r="I69" i="35" a="1"/>
  <c r="I69" i="35" s="1"/>
  <c r="I65" i="35" a="1"/>
  <c r="I65" i="35" s="1"/>
  <c r="G167" i="18" a="1"/>
  <c r="G167" i="18" s="1"/>
  <c r="I62" i="35" a="1"/>
  <c r="I62" i="35" s="1"/>
  <c r="G125" i="18" a="1"/>
  <c r="G125" i="18" s="1"/>
  <c r="I27" i="35" a="1"/>
  <c r="I27" i="35" s="1"/>
  <c r="I23" i="35" a="1"/>
  <c r="I23" i="35" s="1"/>
  <c r="I30" i="35" a="1"/>
  <c r="I30" i="35" s="1"/>
  <c r="I20" i="35" a="1"/>
  <c r="I20" i="35" s="1"/>
  <c r="G118" i="18" a="1"/>
  <c r="G118" i="18" s="1"/>
  <c r="I22" i="35" a="1"/>
  <c r="I22" i="35" s="1"/>
  <c r="G117" i="18" a="1"/>
  <c r="G117" i="18" s="1"/>
  <c r="G123" i="18" a="1"/>
  <c r="G123" i="18" s="1"/>
  <c r="G124" i="18" a="1"/>
  <c r="G124" i="18" s="1"/>
  <c r="I21" i="35" a="1"/>
  <c r="I21" i="35" s="1"/>
  <c r="I28" i="35" a="1"/>
  <c r="I28" i="35" s="1"/>
  <c r="I26" i="35" a="1"/>
  <c r="I26" i="35" s="1"/>
  <c r="G121" i="18" a="1"/>
  <c r="G121" i="18" s="1"/>
  <c r="I18" i="35" a="1"/>
  <c r="I18" i="35" s="1"/>
  <c r="I19" i="35" a="1"/>
  <c r="I19" i="35" s="1"/>
  <c r="I17" i="35" a="1"/>
  <c r="I17" i="35" s="1"/>
  <c r="J20" i="20"/>
  <c r="G127" i="18" a="1"/>
  <c r="G127" i="18" s="1"/>
  <c r="I24" i="35" a="1"/>
  <c r="I24" i="35" s="1"/>
  <c r="G119" i="18" a="1"/>
  <c r="G119" i="18" s="1"/>
  <c r="G120" i="18" a="1"/>
  <c r="G120" i="18" s="1"/>
  <c r="G126" i="18" a="1"/>
  <c r="G126" i="18" s="1"/>
  <c r="G122" i="18" a="1"/>
  <c r="G122" i="18" s="1"/>
  <c r="I25" i="35" a="1"/>
  <c r="I25" i="35" s="1"/>
  <c r="I29" i="35" a="1"/>
  <c r="I29" i="35" s="1"/>
  <c r="G115" i="18" a="1"/>
  <c r="G115" i="18" s="1"/>
  <c r="G116" i="18" a="1"/>
  <c r="G116" i="18" s="1"/>
  <c r="G114" i="18" a="1"/>
  <c r="G114" i="18" s="1"/>
  <c r="I362" i="18"/>
  <c r="H362" i="18"/>
  <c r="H363" i="18"/>
  <c r="I363" i="18"/>
  <c r="I256" i="18"/>
  <c r="H256" i="18"/>
  <c r="H346" i="58"/>
  <c r="H347" i="58"/>
  <c r="H345" i="58"/>
  <c r="H348" i="58"/>
  <c r="H267" i="18"/>
  <c r="I267" i="18"/>
  <c r="H178" i="37"/>
  <c r="H178" i="41" s="1"/>
  <c r="H179" i="37"/>
  <c r="H179" i="41" s="1"/>
  <c r="H177" i="37"/>
  <c r="H177" i="41" s="1"/>
  <c r="H262" i="37"/>
  <c r="H262" i="41" s="1"/>
  <c r="H261" i="37"/>
  <c r="H261" i="41" s="1"/>
  <c r="H263" i="37"/>
  <c r="H263" i="41" s="1"/>
  <c r="J252" i="58"/>
  <c r="J253" i="58"/>
  <c r="J254" i="58"/>
  <c r="J265" i="58"/>
  <c r="J264" i="58"/>
  <c r="J266" i="58"/>
  <c r="J318" i="58"/>
  <c r="J320" i="58"/>
  <c r="J319" i="58"/>
  <c r="H307" i="18"/>
  <c r="I307" i="18"/>
  <c r="I305" i="18"/>
  <c r="H305" i="18"/>
  <c r="I309" i="18"/>
  <c r="H309" i="18"/>
  <c r="I417" i="18"/>
  <c r="H417" i="18"/>
  <c r="J157" i="58"/>
  <c r="J159" i="58"/>
  <c r="J158" i="58"/>
  <c r="J160" i="58"/>
  <c r="D26" i="17"/>
  <c r="D24" i="17"/>
  <c r="D28" i="17" s="1"/>
  <c r="H410" i="37"/>
  <c r="H410" i="41" s="1"/>
  <c r="H409" i="37"/>
  <c r="H409" i="41" s="1"/>
  <c r="H408" i="37"/>
  <c r="H408" i="41" s="1"/>
  <c r="H211" i="37"/>
  <c r="H211" i="41" s="1"/>
  <c r="H210" i="37"/>
  <c r="H210" i="41" s="1"/>
  <c r="H212" i="37"/>
  <c r="H212" i="41" s="1"/>
  <c r="H192" i="37"/>
  <c r="H192" i="41" s="1"/>
  <c r="H194" i="37"/>
  <c r="H194" i="41" s="1"/>
  <c r="H193" i="37"/>
  <c r="H193" i="41" s="1"/>
  <c r="H256" i="37"/>
  <c r="H256" i="41" s="1"/>
  <c r="H255" i="37"/>
  <c r="H255" i="41" s="1"/>
  <c r="H257" i="37"/>
  <c r="H257" i="41" s="1"/>
  <c r="H411" i="37"/>
  <c r="H411" i="41" s="1"/>
  <c r="H413" i="37"/>
  <c r="H413" i="41" s="1"/>
  <c r="H412" i="37"/>
  <c r="H412" i="41" s="1"/>
  <c r="H213" i="37"/>
  <c r="H213" i="41" s="1"/>
  <c r="H214" i="37"/>
  <c r="H214" i="41" s="1"/>
  <c r="H215" i="37"/>
  <c r="H215" i="41" s="1"/>
  <c r="I450" i="18"/>
  <c r="H450" i="18"/>
  <c r="H451" i="18"/>
  <c r="I451" i="18"/>
  <c r="H401" i="18"/>
  <c r="I401" i="18"/>
  <c r="I317" i="58"/>
  <c r="I316" i="58"/>
  <c r="I315" i="58"/>
  <c r="I486" i="18"/>
  <c r="H486" i="18"/>
  <c r="I478" i="18"/>
  <c r="H478" i="18"/>
  <c r="H484" i="18"/>
  <c r="I484" i="18"/>
  <c r="I309" i="58"/>
  <c r="I311" i="58"/>
  <c r="I310" i="58"/>
  <c r="I214" i="58"/>
  <c r="I215" i="58"/>
  <c r="I213" i="58"/>
  <c r="I437" i="18"/>
  <c r="H437" i="18"/>
  <c r="F426" i="18"/>
  <c r="J426" i="18"/>
  <c r="I214" i="18"/>
  <c r="H214" i="18"/>
  <c r="H162" i="37"/>
  <c r="H162" i="41" s="1"/>
  <c r="H164" i="37"/>
  <c r="H164" i="41" s="1"/>
  <c r="H163" i="37"/>
  <c r="H163" i="41" s="1"/>
  <c r="H161" i="37"/>
  <c r="H161" i="41" s="1"/>
  <c r="I229" i="58"/>
  <c r="I230" i="58"/>
  <c r="I231" i="58"/>
  <c r="I232" i="58"/>
  <c r="H249" i="58"/>
  <c r="H251" i="58"/>
  <c r="H250" i="58"/>
  <c r="H189" i="58"/>
  <c r="H191" i="58"/>
  <c r="H190" i="58"/>
  <c r="I254" i="18"/>
  <c r="H254" i="18"/>
  <c r="H219" i="37"/>
  <c r="H219" i="41" s="1"/>
  <c r="H221" i="37"/>
  <c r="H221" i="41" s="1"/>
  <c r="H220" i="37"/>
  <c r="H220" i="41" s="1"/>
  <c r="J349" i="58"/>
  <c r="J352" i="58"/>
  <c r="J350" i="58"/>
  <c r="J351" i="58"/>
  <c r="J301" i="58"/>
  <c r="J302" i="58"/>
  <c r="J300" i="58"/>
  <c r="P6" i="9"/>
  <c r="E33" i="22"/>
  <c r="P30" i="9"/>
  <c r="H296" i="18"/>
  <c r="I296" i="18"/>
  <c r="I304" i="18"/>
  <c r="H304" i="18"/>
  <c r="J178" i="58"/>
  <c r="J177" i="58"/>
  <c r="J179" i="58"/>
  <c r="I87" i="18"/>
  <c r="H87" i="18"/>
  <c r="H97" i="18"/>
  <c r="I97" i="18"/>
  <c r="H326" i="37"/>
  <c r="H326" i="41" s="1"/>
  <c r="H327" i="37"/>
  <c r="H327" i="41" s="1"/>
  <c r="H328" i="37"/>
  <c r="H328" i="41" s="1"/>
  <c r="H325" i="37"/>
  <c r="H325" i="41" s="1"/>
  <c r="H180" i="18"/>
  <c r="I180" i="18"/>
  <c r="H170" i="18"/>
  <c r="I170" i="18"/>
  <c r="H354" i="37"/>
  <c r="H354" i="41" s="1"/>
  <c r="H353" i="37"/>
  <c r="H353" i="41" s="1"/>
  <c r="H356" i="37"/>
  <c r="H356" i="41" s="1"/>
  <c r="H355" i="37"/>
  <c r="H355" i="41" s="1"/>
  <c r="F344" i="18"/>
  <c r="J344" i="18"/>
  <c r="J236" i="58"/>
  <c r="J233" i="58"/>
  <c r="J234" i="58"/>
  <c r="J235" i="58"/>
  <c r="H457" i="18"/>
  <c r="I457" i="18"/>
  <c r="I399" i="18"/>
  <c r="H399" i="18"/>
  <c r="I382" i="58"/>
  <c r="I381" i="58"/>
  <c r="I383" i="58"/>
  <c r="J468" i="18"/>
  <c r="F468" i="18"/>
  <c r="I222" i="58"/>
  <c r="I224" i="58"/>
  <c r="I223" i="58"/>
  <c r="I204" i="58"/>
  <c r="I206" i="58"/>
  <c r="I205" i="58"/>
  <c r="H436" i="18"/>
  <c r="I436" i="18"/>
  <c r="I445" i="18"/>
  <c r="H445" i="18"/>
  <c r="I443" i="18"/>
  <c r="H443" i="18"/>
  <c r="H342" i="37"/>
  <c r="H342" i="41" s="1"/>
  <c r="H341" i="37"/>
  <c r="H341" i="41" s="1"/>
  <c r="H344" i="37"/>
  <c r="H344" i="41" s="1"/>
  <c r="H343" i="37"/>
  <c r="H343" i="41" s="1"/>
  <c r="I222" i="18"/>
  <c r="H222" i="18"/>
  <c r="H352" i="18"/>
  <c r="I352" i="18"/>
  <c r="I169" i="58"/>
  <c r="I168" i="58"/>
  <c r="I170" i="58"/>
  <c r="H304" i="58"/>
  <c r="H303" i="58"/>
  <c r="H305" i="58"/>
  <c r="H266" i="18"/>
  <c r="I266" i="18"/>
  <c r="J282" i="58"/>
  <c r="J283" i="58"/>
  <c r="J284" i="58"/>
  <c r="J297" i="58"/>
  <c r="J299" i="58"/>
  <c r="J298" i="58"/>
  <c r="F390" i="18"/>
  <c r="J390" i="18"/>
  <c r="I129" i="18"/>
  <c r="H129" i="18"/>
  <c r="J210" i="58"/>
  <c r="J212" i="58"/>
  <c r="J211" i="58"/>
  <c r="J404" i="58"/>
  <c r="J402" i="58"/>
  <c r="J403" i="58"/>
  <c r="M6" i="9"/>
  <c r="E18" i="22"/>
  <c r="M30" i="9"/>
  <c r="H297" i="18"/>
  <c r="I297" i="18"/>
  <c r="F342" i="18"/>
  <c r="J342" i="18"/>
  <c r="H370" i="18"/>
  <c r="I370" i="18"/>
  <c r="I501" i="18"/>
  <c r="H501" i="18"/>
  <c r="G7" i="35" a="1"/>
  <c r="G7" i="35" s="1"/>
  <c r="G5" i="18" a="1"/>
  <c r="G5" i="18" s="1"/>
  <c r="G13" i="18" a="1"/>
  <c r="G13" i="18" s="1"/>
  <c r="G4" i="18" a="1"/>
  <c r="G4" i="18" s="1"/>
  <c r="G16" i="35" a="1"/>
  <c r="G16" i="35" s="1"/>
  <c r="G5" i="35" a="1"/>
  <c r="G5" i="35" s="1"/>
  <c r="G10" i="18" a="1"/>
  <c r="G10" i="18" s="1"/>
  <c r="G11" i="35" a="1"/>
  <c r="G11" i="35" s="1"/>
  <c r="G2" i="18" a="1"/>
  <c r="G2" i="18" s="1"/>
  <c r="G15" i="18" a="1"/>
  <c r="G15" i="18" s="1"/>
  <c r="G14" i="35" a="1"/>
  <c r="G14" i="35" s="1"/>
  <c r="G6" i="18" a="1"/>
  <c r="G6" i="18" s="1"/>
  <c r="G12" i="35" a="1"/>
  <c r="G12" i="35" s="1"/>
  <c r="G9" i="35" a="1"/>
  <c r="G9" i="35" s="1"/>
  <c r="G9" i="18" a="1"/>
  <c r="G9" i="18" s="1"/>
  <c r="G7" i="18" a="1"/>
  <c r="G7" i="18" s="1"/>
  <c r="G14" i="18" a="1"/>
  <c r="G14" i="18" s="1"/>
  <c r="G10" i="35" a="1"/>
  <c r="G10" i="35" s="1"/>
  <c r="G3" i="35" a="1"/>
  <c r="G3" i="35" s="1"/>
  <c r="G11" i="18" a="1"/>
  <c r="G11" i="18" s="1"/>
  <c r="G13" i="35" a="1"/>
  <c r="G13" i="35" s="1"/>
  <c r="C20" i="20"/>
  <c r="G8" i="18" a="1"/>
  <c r="G8" i="18" s="1"/>
  <c r="G6" i="35" a="1"/>
  <c r="G6" i="35" s="1"/>
  <c r="G3" i="18" a="1"/>
  <c r="G3" i="18" s="1"/>
  <c r="G15" i="35" a="1"/>
  <c r="G15" i="35" s="1"/>
  <c r="G8" i="35" a="1"/>
  <c r="G8" i="35" s="1"/>
  <c r="G12" i="18" a="1"/>
  <c r="G12" i="18" s="1"/>
  <c r="G4" i="35" a="1"/>
  <c r="G4" i="35" s="1"/>
  <c r="H276" i="58"/>
  <c r="H277" i="58"/>
  <c r="H278" i="58"/>
  <c r="I306" i="18"/>
  <c r="H306" i="18"/>
  <c r="I416" i="18"/>
  <c r="H416" i="18"/>
  <c r="I412" i="18"/>
  <c r="H412" i="18"/>
  <c r="H230" i="37"/>
  <c r="H230" i="41" s="1"/>
  <c r="H231" i="37"/>
  <c r="H231" i="41" s="1"/>
  <c r="H232" i="37"/>
  <c r="H232" i="41" s="1"/>
  <c r="H229" i="37"/>
  <c r="H229" i="41" s="1"/>
  <c r="I89" i="18"/>
  <c r="H89" i="18"/>
  <c r="F469" i="18"/>
  <c r="J469" i="18"/>
  <c r="H330" i="37"/>
  <c r="H330" i="41" s="1"/>
  <c r="H332" i="37"/>
  <c r="H332" i="41" s="1"/>
  <c r="H331" i="37"/>
  <c r="H331" i="41" s="1"/>
  <c r="H329" i="37"/>
  <c r="H329" i="41" s="1"/>
  <c r="I173" i="18"/>
  <c r="H173" i="18"/>
  <c r="H292" i="37"/>
  <c r="H292" i="41" s="1"/>
  <c r="H291" i="37"/>
  <c r="H291" i="41" s="1"/>
  <c r="H293" i="37"/>
  <c r="H293" i="41" s="1"/>
  <c r="J330" i="58"/>
  <c r="J332" i="58"/>
  <c r="J331" i="58"/>
  <c r="J329" i="58"/>
  <c r="H453" i="18"/>
  <c r="I453" i="18"/>
  <c r="I454" i="18"/>
  <c r="H454" i="18"/>
  <c r="I178" i="58"/>
  <c r="I177" i="58"/>
  <c r="I179" i="58"/>
  <c r="I337" i="58"/>
  <c r="I340" i="58"/>
  <c r="I338" i="58"/>
  <c r="I339" i="58"/>
  <c r="I343" i="58"/>
  <c r="I342" i="58"/>
  <c r="I344" i="58"/>
  <c r="I341" i="58"/>
  <c r="I485" i="18"/>
  <c r="H485" i="18"/>
  <c r="F388" i="18"/>
  <c r="J388" i="18"/>
  <c r="F431" i="18"/>
  <c r="J431" i="18"/>
  <c r="I293" i="58"/>
  <c r="I292" i="58"/>
  <c r="I291" i="58"/>
  <c r="I171" i="58"/>
  <c r="I173" i="58"/>
  <c r="I172" i="58"/>
  <c r="I439" i="18"/>
  <c r="H439" i="18"/>
  <c r="J467" i="18"/>
  <c r="F467" i="18"/>
  <c r="J383" i="18"/>
  <c r="F383" i="18"/>
  <c r="H402" i="37"/>
  <c r="H402" i="41" s="1"/>
  <c r="H403" i="37"/>
  <c r="H403" i="41" s="1"/>
  <c r="H404" i="37"/>
  <c r="H404" i="41" s="1"/>
  <c r="I390" i="58"/>
  <c r="I392" i="58"/>
  <c r="I391" i="58"/>
  <c r="H354" i="18"/>
  <c r="I354" i="18"/>
  <c r="O10" i="9"/>
  <c r="H321" i="58"/>
  <c r="H324" i="58"/>
  <c r="H323" i="58"/>
  <c r="H322" i="58"/>
  <c r="H262" i="18"/>
  <c r="I262" i="18"/>
  <c r="J380" i="18"/>
  <c r="F380" i="18"/>
  <c r="H280" i="37"/>
  <c r="H280" i="41" s="1"/>
  <c r="H281" i="37"/>
  <c r="H281" i="41" s="1"/>
  <c r="H279" i="37"/>
  <c r="H279" i="41" s="1"/>
  <c r="I132" i="18"/>
  <c r="H132" i="18"/>
  <c r="I375" i="18"/>
  <c r="H375" i="18"/>
  <c r="J182" i="58"/>
  <c r="J180" i="58"/>
  <c r="J181" i="58"/>
  <c r="H362" i="37"/>
  <c r="H362" i="41" s="1"/>
  <c r="H363" i="37"/>
  <c r="H363" i="41" s="1"/>
  <c r="H361" i="37"/>
  <c r="H361" i="41" s="1"/>
  <c r="H364" i="37"/>
  <c r="H364" i="41" s="1"/>
  <c r="H139" i="18"/>
  <c r="I139" i="18"/>
  <c r="J168" i="58"/>
  <c r="J169" i="58"/>
  <c r="J170" i="58"/>
  <c r="I372" i="18"/>
  <c r="H372" i="18"/>
  <c r="F387" i="18"/>
  <c r="J387" i="18"/>
  <c r="I496" i="18"/>
  <c r="H496" i="18"/>
  <c r="I494" i="18"/>
  <c r="H494" i="18"/>
  <c r="H415" i="58"/>
  <c r="H414" i="58"/>
  <c r="H416" i="58"/>
  <c r="H175" i="58"/>
  <c r="H187" i="58"/>
  <c r="H186" i="58"/>
  <c r="H188" i="58"/>
  <c r="H174" i="58"/>
  <c r="H176" i="58"/>
  <c r="I308" i="18"/>
  <c r="H308" i="18"/>
  <c r="J418" i="58"/>
  <c r="J417" i="58"/>
  <c r="J419" i="58"/>
  <c r="H419" i="18"/>
  <c r="I419" i="18"/>
  <c r="H290" i="37"/>
  <c r="H290" i="41" s="1"/>
  <c r="H289" i="37"/>
  <c r="H289" i="41" s="1"/>
  <c r="H288" i="37"/>
  <c r="H288" i="41" s="1"/>
  <c r="H307" i="37"/>
  <c r="H307" i="41" s="1"/>
  <c r="H306" i="37"/>
  <c r="H306" i="41" s="1"/>
  <c r="H308" i="37"/>
  <c r="H308" i="41" s="1"/>
  <c r="H150" i="37"/>
  <c r="H150" i="41" s="1"/>
  <c r="H149" i="37"/>
  <c r="H149" i="41" s="1"/>
  <c r="H152" i="37"/>
  <c r="H151" i="37"/>
  <c r="H151" i="41" s="1"/>
  <c r="H455" i="18"/>
  <c r="I455" i="18"/>
  <c r="J215" i="58"/>
  <c r="J214" i="58"/>
  <c r="J213" i="58"/>
  <c r="J311" i="58"/>
  <c r="J309" i="58"/>
  <c r="J310" i="58"/>
  <c r="J471" i="18"/>
  <c r="F471" i="18"/>
  <c r="I395" i="18"/>
  <c r="H395" i="18"/>
  <c r="I298" i="58"/>
  <c r="I297" i="58"/>
  <c r="I299" i="58"/>
  <c r="F346" i="18"/>
  <c r="J346" i="18"/>
  <c r="I384" i="58"/>
  <c r="I386" i="58"/>
  <c r="I385" i="58"/>
  <c r="I275" i="58"/>
  <c r="I274" i="58"/>
  <c r="I273" i="58"/>
  <c r="H446" i="18"/>
  <c r="I446" i="18"/>
  <c r="I442" i="18"/>
  <c r="H442" i="18"/>
  <c r="H318" i="37"/>
  <c r="H318" i="41" s="1"/>
  <c r="H320" i="37"/>
  <c r="H320" i="41" s="1"/>
  <c r="H319" i="37"/>
  <c r="H319" i="41" s="1"/>
  <c r="H206" i="37"/>
  <c r="H206" i="41" s="1"/>
  <c r="H204" i="37"/>
  <c r="H204" i="41" s="1"/>
  <c r="H205" i="37"/>
  <c r="H205" i="41" s="1"/>
  <c r="E26" i="17"/>
  <c r="E24" i="17"/>
  <c r="I326" i="58"/>
  <c r="I328" i="58"/>
  <c r="I325" i="58"/>
  <c r="I327" i="58"/>
  <c r="I145" i="58"/>
  <c r="I146" i="58"/>
  <c r="I147" i="58"/>
  <c r="I148" i="58"/>
  <c r="F349" i="18"/>
  <c r="J349" i="18"/>
  <c r="H387" i="58"/>
  <c r="H389" i="58"/>
  <c r="H388" i="58"/>
  <c r="I261" i="18"/>
  <c r="H261" i="18"/>
  <c r="J476" i="18"/>
  <c r="F476" i="18"/>
  <c r="F338" i="18"/>
  <c r="J338" i="18"/>
  <c r="H411" i="18"/>
  <c r="I411" i="18"/>
  <c r="J229" i="58"/>
  <c r="J232" i="58"/>
  <c r="J230" i="58"/>
  <c r="J231" i="58"/>
  <c r="J473" i="18"/>
  <c r="F473" i="18"/>
  <c r="I413" i="18"/>
  <c r="H413" i="18"/>
  <c r="H242" i="37"/>
  <c r="H242" i="41" s="1"/>
  <c r="H244" i="37"/>
  <c r="H244" i="41" s="1"/>
  <c r="H243" i="37"/>
  <c r="H243" i="41" s="1"/>
  <c r="H241" i="37"/>
  <c r="H241" i="41" s="1"/>
  <c r="J192" i="58"/>
  <c r="J193" i="58"/>
  <c r="J194" i="58"/>
  <c r="J390" i="58"/>
  <c r="J391" i="58"/>
  <c r="J392" i="58"/>
  <c r="J206" i="58"/>
  <c r="J205" i="58"/>
  <c r="J204" i="58"/>
  <c r="H499" i="18"/>
  <c r="I499" i="18"/>
  <c r="H497" i="18"/>
  <c r="I497" i="18"/>
  <c r="J470" i="18"/>
  <c r="F470" i="18"/>
  <c r="I299" i="18"/>
  <c r="H299" i="18"/>
  <c r="H155" i="58"/>
  <c r="H153" i="58"/>
  <c r="H154" i="58"/>
  <c r="H156" i="58"/>
  <c r="H296" i="58"/>
  <c r="H295" i="58"/>
  <c r="H294" i="58"/>
  <c r="H421" i="18"/>
  <c r="I421" i="18"/>
  <c r="H409" i="18"/>
  <c r="I409" i="18"/>
  <c r="G150" i="18" a="1"/>
  <c r="G150" i="18" s="1"/>
  <c r="G147" i="18" a="1"/>
  <c r="G147" i="18" s="1"/>
  <c r="H69" i="35" a="1"/>
  <c r="H69" i="35" s="1"/>
  <c r="H64" i="35" a="1"/>
  <c r="H64" i="35" s="1"/>
  <c r="G155" i="18" a="1"/>
  <c r="G155" i="18" s="1"/>
  <c r="G154" i="18" a="1"/>
  <c r="G154" i="18" s="1"/>
  <c r="G152" i="18" a="1"/>
  <c r="G152" i="18" s="1"/>
  <c r="H61" i="35" a="1"/>
  <c r="H61" i="35" s="1"/>
  <c r="G148" i="18" a="1"/>
  <c r="G148" i="18" s="1"/>
  <c r="G143" i="18" a="1"/>
  <c r="G143" i="18" s="1"/>
  <c r="H59" i="35" a="1"/>
  <c r="H59" i="35" s="1"/>
  <c r="G145" i="18" a="1"/>
  <c r="G145" i="18" s="1"/>
  <c r="H66" i="35" a="1"/>
  <c r="H66" i="35" s="1"/>
  <c r="G153" i="18" a="1"/>
  <c r="G153" i="18" s="1"/>
  <c r="G144" i="18" a="1"/>
  <c r="G144" i="18" s="1"/>
  <c r="P20" i="20"/>
  <c r="H72" i="35" a="1"/>
  <c r="H72" i="35" s="1"/>
  <c r="H71" i="35" a="1"/>
  <c r="H71" i="35" s="1"/>
  <c r="H63" i="35" a="1"/>
  <c r="H63" i="35" s="1"/>
  <c r="G146" i="18" a="1"/>
  <c r="G146" i="18" s="1"/>
  <c r="H70" i="35" a="1"/>
  <c r="H70" i="35" s="1"/>
  <c r="H65" i="35" a="1"/>
  <c r="H65" i="35" s="1"/>
  <c r="G142" i="18" a="1"/>
  <c r="G142" i="18" s="1"/>
  <c r="G151" i="18" a="1"/>
  <c r="G151" i="18" s="1"/>
  <c r="G149" i="18" a="1"/>
  <c r="G149" i="18" s="1"/>
  <c r="H68" i="35" a="1"/>
  <c r="H68" i="35" s="1"/>
  <c r="H60" i="35" a="1"/>
  <c r="H60" i="35" s="1"/>
  <c r="H62" i="35" a="1"/>
  <c r="H62" i="35" s="1"/>
  <c r="H67" i="35" a="1"/>
  <c r="H67" i="35" s="1"/>
  <c r="H146" i="37"/>
  <c r="H146" i="41" s="1"/>
  <c r="H145" i="37"/>
  <c r="H145" i="41" s="1"/>
  <c r="H148" i="37"/>
  <c r="H147" i="37"/>
  <c r="H147" i="41" s="1"/>
  <c r="H272" i="37"/>
  <c r="H272" i="41" s="1"/>
  <c r="H270" i="37"/>
  <c r="H270" i="41" s="1"/>
  <c r="H271" i="37"/>
  <c r="H271" i="41" s="1"/>
  <c r="H197" i="37"/>
  <c r="H197" i="41" s="1"/>
  <c r="H195" i="37"/>
  <c r="H195" i="41" s="1"/>
  <c r="H196" i="37"/>
  <c r="H196" i="41" s="1"/>
  <c r="I181" i="18"/>
  <c r="H181" i="18"/>
  <c r="H460" i="18"/>
  <c r="I460" i="18"/>
  <c r="H458" i="18"/>
  <c r="I458" i="18"/>
  <c r="J411" i="58"/>
  <c r="J412" i="58"/>
  <c r="J413" i="58"/>
  <c r="F429" i="18"/>
  <c r="J429" i="18"/>
  <c r="I83" i="35" a="1"/>
  <c r="I83" i="35" s="1"/>
  <c r="I86" i="35" a="1"/>
  <c r="I86" i="35" s="1"/>
  <c r="G248" i="18" a="1"/>
  <c r="G248" i="18" s="1"/>
  <c r="G247" i="18" a="1"/>
  <c r="G247" i="18" s="1"/>
  <c r="I82" i="35" a="1"/>
  <c r="I82" i="35" s="1"/>
  <c r="G241" i="18" a="1"/>
  <c r="G241" i="18" s="1"/>
  <c r="I81" i="35" a="1"/>
  <c r="I81" i="35" s="1"/>
  <c r="G244" i="18" a="1"/>
  <c r="G244" i="18" s="1"/>
  <c r="G246" i="18" a="1"/>
  <c r="G246" i="18" s="1"/>
  <c r="I75" i="35" a="1"/>
  <c r="I75" i="35" s="1"/>
  <c r="G253" i="18" a="1"/>
  <c r="G253" i="18" s="1"/>
  <c r="I77" i="35" a="1"/>
  <c r="I77" i="35" s="1"/>
  <c r="I74" i="35" a="1"/>
  <c r="I74" i="35" s="1"/>
  <c r="I73" i="35" a="1"/>
  <c r="I73" i="35" s="1"/>
  <c r="G242" i="18" a="1"/>
  <c r="G242" i="18" s="1"/>
  <c r="G249" i="18" a="1"/>
  <c r="G249" i="18" s="1"/>
  <c r="G243" i="18" a="1"/>
  <c r="G243" i="18" s="1"/>
  <c r="I79" i="35" a="1"/>
  <c r="I79" i="35" s="1"/>
  <c r="I85" i="35" a="1"/>
  <c r="I85" i="35" s="1"/>
  <c r="G245" i="18" a="1"/>
  <c r="G245" i="18" s="1"/>
  <c r="G252" i="18" a="1"/>
  <c r="G252" i="18" s="1"/>
  <c r="G250" i="18" a="1"/>
  <c r="G250" i="18" s="1"/>
  <c r="G251" i="18" a="1"/>
  <c r="G251" i="18" s="1"/>
  <c r="G240" i="18" a="1"/>
  <c r="G240" i="18" s="1"/>
  <c r="I76" i="35" a="1"/>
  <c r="I76" i="35" s="1"/>
  <c r="I84" i="35" a="1"/>
  <c r="I84" i="35" s="1"/>
  <c r="I78" i="35" a="1"/>
  <c r="I78" i="35" s="1"/>
  <c r="I80" i="35" a="1"/>
  <c r="I80" i="35" s="1"/>
  <c r="T20" i="20"/>
  <c r="I158" i="58"/>
  <c r="I157" i="58"/>
  <c r="I159" i="58"/>
  <c r="I160" i="58"/>
  <c r="I220" i="58"/>
  <c r="I221" i="58"/>
  <c r="I219" i="58"/>
  <c r="I282" i="58"/>
  <c r="I283" i="58"/>
  <c r="I284" i="58"/>
  <c r="I402" i="58"/>
  <c r="I404" i="58"/>
  <c r="I403" i="58"/>
  <c r="J381" i="18"/>
  <c r="F381" i="18"/>
  <c r="F477" i="18"/>
  <c r="J477" i="18"/>
  <c r="I393" i="58"/>
  <c r="I394" i="58"/>
  <c r="I395" i="58"/>
  <c r="I355" i="58"/>
  <c r="I356" i="58"/>
  <c r="I354" i="58"/>
  <c r="I353" i="58"/>
  <c r="I151" i="58"/>
  <c r="I150" i="58"/>
  <c r="I149" i="58"/>
  <c r="I152" i="58"/>
  <c r="F464" i="18"/>
  <c r="J464" i="18"/>
  <c r="J384" i="18"/>
  <c r="F384" i="18"/>
  <c r="F430" i="18"/>
  <c r="J430" i="18"/>
  <c r="H246" i="37"/>
  <c r="H246" i="41" s="1"/>
  <c r="H248" i="37"/>
  <c r="H248" i="41" s="1"/>
  <c r="H245" i="37"/>
  <c r="H245" i="41" s="1"/>
  <c r="H247" i="37"/>
  <c r="H247" i="41" s="1"/>
  <c r="I224" i="18"/>
  <c r="H224" i="18"/>
  <c r="I365" i="18"/>
  <c r="H365" i="18"/>
  <c r="I352" i="58"/>
  <c r="I349" i="58"/>
  <c r="I350" i="58"/>
  <c r="I351" i="58"/>
  <c r="I364" i="18"/>
  <c r="H364" i="18"/>
  <c r="J341" i="18"/>
  <c r="F341" i="18"/>
  <c r="H369" i="58"/>
  <c r="H371" i="58"/>
  <c r="H370" i="58"/>
  <c r="H207" i="58"/>
  <c r="H208" i="58"/>
  <c r="H209" i="58"/>
  <c r="H298" i="37"/>
  <c r="H298" i="41" s="1"/>
  <c r="H299" i="37"/>
  <c r="H299" i="41" s="1"/>
  <c r="H297" i="37"/>
  <c r="H297" i="41" s="1"/>
  <c r="H130" i="18"/>
  <c r="I130" i="18"/>
  <c r="H367" i="18"/>
  <c r="I367" i="18"/>
  <c r="J326" i="58"/>
  <c r="J328" i="58"/>
  <c r="J325" i="58"/>
  <c r="J327" i="58"/>
  <c r="H504" i="18"/>
  <c r="I504" i="18"/>
  <c r="H500" i="18"/>
  <c r="I500" i="18"/>
  <c r="J386" i="58"/>
  <c r="J384" i="58"/>
  <c r="J385" i="58"/>
  <c r="F472" i="18"/>
  <c r="J472" i="18"/>
  <c r="H312" i="58"/>
  <c r="H313" i="58"/>
  <c r="H314" i="58"/>
  <c r="H398" i="58"/>
  <c r="H396" i="58"/>
  <c r="H397" i="58"/>
  <c r="J279" i="58"/>
  <c r="J280" i="58"/>
  <c r="J281" i="58"/>
  <c r="H415" i="18"/>
  <c r="I415" i="18"/>
  <c r="J202" i="58"/>
  <c r="J203" i="58"/>
  <c r="J201" i="58"/>
  <c r="H23" i="35" a="1"/>
  <c r="H23" i="35" s="1"/>
  <c r="G109" i="18" a="1"/>
  <c r="G109" i="18" s="1"/>
  <c r="H17" i="35" a="1"/>
  <c r="H17" i="35" s="1"/>
  <c r="H19" i="35" a="1"/>
  <c r="H19" i="35" s="1"/>
  <c r="G104" i="18" a="1"/>
  <c r="G104" i="18" s="1"/>
  <c r="G102" i="18" a="1"/>
  <c r="G102" i="18" s="1"/>
  <c r="H21" i="35" a="1"/>
  <c r="H21" i="35" s="1"/>
  <c r="G108" i="18" a="1"/>
  <c r="G108" i="18" s="1"/>
  <c r="G101" i="18" a="1"/>
  <c r="G101" i="18" s="1"/>
  <c r="H29" i="35" a="1"/>
  <c r="H29" i="35" s="1"/>
  <c r="H24" i="35" a="1"/>
  <c r="H24" i="35" s="1"/>
  <c r="G113" i="18" a="1"/>
  <c r="G113" i="18" s="1"/>
  <c r="G105" i="18" a="1"/>
  <c r="G105" i="18" s="1"/>
  <c r="H22" i="35" a="1"/>
  <c r="H22" i="35" s="1"/>
  <c r="G110" i="18" a="1"/>
  <c r="G110" i="18" s="1"/>
  <c r="H18" i="35" a="1"/>
  <c r="H18" i="35" s="1"/>
  <c r="H25" i="35" a="1"/>
  <c r="H25" i="35" s="1"/>
  <c r="G106" i="18" a="1"/>
  <c r="G106" i="18" s="1"/>
  <c r="G103" i="18" a="1"/>
  <c r="G103" i="18" s="1"/>
  <c r="H28" i="35" a="1"/>
  <c r="H28" i="35" s="1"/>
  <c r="G112" i="18" a="1"/>
  <c r="G112" i="18" s="1"/>
  <c r="H26" i="35" a="1"/>
  <c r="H26" i="35" s="1"/>
  <c r="H20" i="35" a="1"/>
  <c r="H20" i="35" s="1"/>
  <c r="G20" i="20"/>
  <c r="G100" i="18" a="1"/>
  <c r="G100" i="18" s="1"/>
  <c r="H30" i="35" a="1"/>
  <c r="H30" i="35" s="1"/>
  <c r="G107" i="18" a="1"/>
  <c r="G107" i="18" s="1"/>
  <c r="G111" i="18" a="1"/>
  <c r="G111" i="18" s="1"/>
  <c r="H27" i="35" a="1"/>
  <c r="H27" i="35" s="1"/>
  <c r="I96" i="18"/>
  <c r="H96" i="18"/>
  <c r="H350" i="37"/>
  <c r="H350" i="41" s="1"/>
  <c r="H349" i="37"/>
  <c r="H349" i="41" s="1"/>
  <c r="H352" i="37"/>
  <c r="H352" i="41" s="1"/>
  <c r="H351" i="37"/>
  <c r="H351" i="41" s="1"/>
  <c r="H274" i="37"/>
  <c r="H274" i="41" s="1"/>
  <c r="H273" i="37"/>
  <c r="H273" i="41" s="1"/>
  <c r="H275" i="37"/>
  <c r="H275" i="41" s="1"/>
  <c r="H171" i="18"/>
  <c r="I171" i="18"/>
  <c r="J195" i="58"/>
  <c r="J196" i="58"/>
  <c r="J197" i="58"/>
  <c r="J356" i="58"/>
  <c r="J354" i="58"/>
  <c r="J355" i="58"/>
  <c r="J353" i="58"/>
  <c r="J256" i="58"/>
  <c r="J257" i="58"/>
  <c r="J255" i="58"/>
  <c r="I397" i="18"/>
  <c r="H397" i="18"/>
  <c r="H394" i="18"/>
  <c r="I394" i="18"/>
  <c r="H396" i="18"/>
  <c r="I396" i="18"/>
  <c r="F343" i="18"/>
  <c r="J343" i="18"/>
  <c r="I487" i="18"/>
  <c r="H487" i="18"/>
  <c r="I483" i="18"/>
  <c r="H483" i="18"/>
  <c r="H444" i="18"/>
  <c r="I444" i="18"/>
  <c r="H447" i="18"/>
  <c r="I447" i="18"/>
  <c r="I220" i="18"/>
  <c r="H220" i="18"/>
  <c r="I225" i="18"/>
  <c r="H225" i="18"/>
  <c r="I213" i="18"/>
  <c r="H213" i="18"/>
  <c r="I358" i="18"/>
  <c r="H358" i="18"/>
  <c r="I270" i="58"/>
  <c r="I271" i="58"/>
  <c r="I272" i="58"/>
  <c r="I308" i="58"/>
  <c r="I306" i="58"/>
  <c r="I307" i="58"/>
  <c r="F351" i="18"/>
  <c r="J351" i="18"/>
  <c r="H255" i="18"/>
  <c r="I255" i="18"/>
  <c r="H285" i="58"/>
  <c r="H287" i="58"/>
  <c r="H286" i="58"/>
  <c r="F475" i="18"/>
  <c r="J475" i="18"/>
  <c r="I90" i="18"/>
  <c r="H90" i="18"/>
  <c r="H98" i="18"/>
  <c r="I98" i="18"/>
  <c r="H182" i="18"/>
  <c r="I182" i="18"/>
  <c r="H172" i="37"/>
  <c r="H172" i="41" s="1"/>
  <c r="H171" i="37"/>
  <c r="H171" i="41" s="1"/>
  <c r="H173" i="37"/>
  <c r="H173" i="41" s="1"/>
  <c r="H462" i="18"/>
  <c r="I462" i="18"/>
  <c r="H463" i="18"/>
  <c r="I463" i="18"/>
  <c r="I456" i="18"/>
  <c r="H456" i="18"/>
  <c r="H398" i="18"/>
  <c r="I398" i="18"/>
  <c r="I400" i="58"/>
  <c r="I399" i="58"/>
  <c r="I401" i="58"/>
  <c r="H406" i="18"/>
  <c r="I406" i="18"/>
  <c r="I163" i="58"/>
  <c r="I162" i="58"/>
  <c r="I161" i="58"/>
  <c r="I164" i="58"/>
  <c r="H490" i="18"/>
  <c r="I490" i="18"/>
  <c r="I448" i="18"/>
  <c r="H448" i="18"/>
  <c r="I256" i="58"/>
  <c r="I257" i="58"/>
  <c r="I255" i="58"/>
  <c r="J393" i="18"/>
  <c r="F393" i="18"/>
  <c r="H221" i="18"/>
  <c r="I221" i="18"/>
  <c r="H282" i="37"/>
  <c r="H282" i="41" s="1"/>
  <c r="H284" i="37"/>
  <c r="H284" i="41" s="1"/>
  <c r="H283" i="37"/>
  <c r="H283" i="41" s="1"/>
  <c r="H386" i="37"/>
  <c r="H386" i="41" s="1"/>
  <c r="H385" i="37"/>
  <c r="H385" i="41" s="1"/>
  <c r="H384" i="37"/>
  <c r="H384" i="41" s="1"/>
  <c r="H355" i="18"/>
  <c r="I355" i="18"/>
  <c r="I253" i="58"/>
  <c r="I252" i="58"/>
  <c r="I254" i="58"/>
  <c r="H357" i="18"/>
  <c r="I357" i="18"/>
  <c r="J339" i="18"/>
  <c r="F339" i="18"/>
  <c r="I259" i="18"/>
  <c r="H259" i="18"/>
  <c r="I257" i="18"/>
  <c r="H257" i="18"/>
  <c r="H128" i="18"/>
  <c r="I128" i="18"/>
  <c r="J373" i="58"/>
  <c r="J372" i="58"/>
  <c r="J374" i="58"/>
  <c r="H301" i="18"/>
  <c r="I301" i="18"/>
  <c r="J219" i="58"/>
  <c r="J221" i="58"/>
  <c r="J220" i="58"/>
  <c r="I366" i="18"/>
  <c r="H366" i="18"/>
  <c r="H377" i="18"/>
  <c r="I377" i="18"/>
  <c r="I374" i="18"/>
  <c r="H374" i="18"/>
  <c r="J344" i="58"/>
  <c r="J343" i="58"/>
  <c r="J341" i="58"/>
  <c r="J342" i="58"/>
  <c r="J422" i="58"/>
  <c r="J420" i="58"/>
  <c r="J421" i="58"/>
  <c r="I495" i="18"/>
  <c r="H495" i="18"/>
  <c r="H199" i="58"/>
  <c r="H200" i="58"/>
  <c r="H198" i="58"/>
  <c r="H216" i="58"/>
  <c r="H217" i="58"/>
  <c r="H218" i="58"/>
  <c r="J381" i="58"/>
  <c r="J383" i="58"/>
  <c r="J382" i="58"/>
  <c r="J340" i="58"/>
  <c r="J337" i="58"/>
  <c r="J339" i="58"/>
  <c r="J338" i="58"/>
  <c r="I95" i="18"/>
  <c r="H95" i="18"/>
  <c r="I86" i="18"/>
  <c r="H86" i="18"/>
  <c r="H174" i="18"/>
  <c r="I174" i="18"/>
  <c r="H178" i="18"/>
  <c r="I178" i="18"/>
  <c r="J394" i="58"/>
  <c r="J395" i="58"/>
  <c r="J393" i="58"/>
  <c r="I461" i="18"/>
  <c r="H461" i="18"/>
  <c r="I262" i="58"/>
  <c r="I263" i="58"/>
  <c r="I261" i="58"/>
  <c r="I201" i="58"/>
  <c r="I202" i="58"/>
  <c r="I203" i="58"/>
  <c r="I280" i="58"/>
  <c r="I281" i="58"/>
  <c r="I279" i="58"/>
  <c r="N10" i="9"/>
  <c r="I481" i="18"/>
  <c r="H481" i="18"/>
  <c r="I480" i="18"/>
  <c r="H480" i="18"/>
  <c r="F385" i="18"/>
  <c r="J385" i="18"/>
  <c r="I375" i="58"/>
  <c r="I376" i="58"/>
  <c r="I377" i="58"/>
  <c r="I438" i="18"/>
  <c r="H438" i="18"/>
  <c r="F435" i="18"/>
  <c r="J435" i="18"/>
  <c r="I217" i="18"/>
  <c r="H217" i="18"/>
  <c r="H421" i="37"/>
  <c r="H421" i="41" s="1"/>
  <c r="H422" i="37"/>
  <c r="H422" i="41" s="1"/>
  <c r="H420" i="37"/>
  <c r="H420" i="41" s="1"/>
  <c r="I218" i="18"/>
  <c r="H218" i="18"/>
  <c r="H361" i="18"/>
  <c r="I361" i="18"/>
  <c r="I212" i="58"/>
  <c r="I210" i="58"/>
  <c r="I211" i="58"/>
  <c r="I374" i="58"/>
  <c r="I373" i="58"/>
  <c r="I372" i="58"/>
  <c r="I258" i="18"/>
  <c r="H258" i="18"/>
  <c r="H267" i="58"/>
  <c r="H269" i="58"/>
  <c r="H268" i="58"/>
  <c r="H131" i="18"/>
  <c r="I131" i="18"/>
  <c r="J366" i="58"/>
  <c r="J368" i="58"/>
  <c r="J367" i="58"/>
  <c r="J365" i="58"/>
  <c r="H315" i="37"/>
  <c r="H315" i="41" s="1"/>
  <c r="H317" i="37"/>
  <c r="H317" i="41" s="1"/>
  <c r="H316" i="37"/>
  <c r="H316" i="41" s="1"/>
  <c r="H417" i="37"/>
  <c r="H417" i="41" s="1"/>
  <c r="H418" i="37"/>
  <c r="H418" i="41" s="1"/>
  <c r="H419" i="37"/>
  <c r="H419" i="41" s="1"/>
  <c r="F434" i="18"/>
  <c r="J434" i="18"/>
  <c r="G196" i="18" a="1"/>
  <c r="G196" i="18" s="1"/>
  <c r="G193" i="18" a="1"/>
  <c r="G193" i="18" s="1"/>
  <c r="H43" i="35" a="1"/>
  <c r="H43" i="35" s="1"/>
  <c r="H42" i="35" a="1"/>
  <c r="H42" i="35" s="1"/>
  <c r="H39" i="35" a="1"/>
  <c r="H39" i="35" s="1"/>
  <c r="H32" i="35" a="1"/>
  <c r="H32" i="35" s="1"/>
  <c r="G197" i="18" a="1"/>
  <c r="G197" i="18" s="1"/>
  <c r="G184" i="18" a="1"/>
  <c r="G184" i="18" s="1"/>
  <c r="H36" i="35" a="1"/>
  <c r="H36" i="35" s="1"/>
  <c r="G185" i="18" a="1"/>
  <c r="G185" i="18" s="1"/>
  <c r="H20" i="20"/>
  <c r="G186" i="18" a="1"/>
  <c r="G186" i="18" s="1"/>
  <c r="H41" i="35" a="1"/>
  <c r="H41" i="35" s="1"/>
  <c r="H33" i="35" a="1"/>
  <c r="H33" i="35" s="1"/>
  <c r="G192" i="18" a="1"/>
  <c r="G192" i="18" s="1"/>
  <c r="H35" i="35" a="1"/>
  <c r="H35" i="35" s="1"/>
  <c r="H40" i="35" a="1"/>
  <c r="H40" i="35" s="1"/>
  <c r="G189" i="18" a="1"/>
  <c r="G189" i="18" s="1"/>
  <c r="G191" i="18" a="1"/>
  <c r="G191" i="18" s="1"/>
  <c r="G190" i="18" a="1"/>
  <c r="G190" i="18" s="1"/>
  <c r="H37" i="35" a="1"/>
  <c r="H37" i="35" s="1"/>
  <c r="G187" i="18" a="1"/>
  <c r="G187" i="18" s="1"/>
  <c r="G195" i="18" a="1"/>
  <c r="G195" i="18" s="1"/>
  <c r="H34" i="35" a="1"/>
  <c r="H34" i="35" s="1"/>
  <c r="H38" i="35" a="1"/>
  <c r="H38" i="35" s="1"/>
  <c r="G188" i="18" a="1"/>
  <c r="G188" i="18" s="1"/>
  <c r="G194" i="18" a="1"/>
  <c r="G194" i="18" s="1"/>
  <c r="H44" i="35" a="1"/>
  <c r="H44" i="35" s="1"/>
  <c r="H31" i="35" a="1"/>
  <c r="H31" i="35" s="1"/>
  <c r="H383" i="37"/>
  <c r="H383" i="41" s="1"/>
  <c r="H382" i="37"/>
  <c r="H382" i="41" s="1"/>
  <c r="H381" i="37"/>
  <c r="H381" i="41" s="1"/>
  <c r="H133" i="18"/>
  <c r="I133" i="18"/>
  <c r="H135" i="18"/>
  <c r="I135" i="18"/>
  <c r="J270" i="58"/>
  <c r="J271" i="58"/>
  <c r="J272" i="58"/>
  <c r="H378" i="18"/>
  <c r="I378" i="18"/>
  <c r="H379" i="18"/>
  <c r="I379" i="18"/>
  <c r="H498" i="18"/>
  <c r="I498" i="18"/>
  <c r="H503" i="18"/>
  <c r="I503" i="18"/>
  <c r="J222" i="58"/>
  <c r="J224" i="58"/>
  <c r="J223" i="58"/>
  <c r="H379" i="58"/>
  <c r="H380" i="58"/>
  <c r="H378" i="58"/>
  <c r="H333" i="58"/>
  <c r="H335" i="58"/>
  <c r="H334" i="58"/>
  <c r="H336" i="58"/>
  <c r="I410" i="18"/>
  <c r="H410" i="18"/>
  <c r="J317" i="58"/>
  <c r="J316" i="58"/>
  <c r="J315" i="58"/>
  <c r="I414" i="18"/>
  <c r="H414" i="18"/>
  <c r="J350" i="18"/>
  <c r="F350" i="18"/>
  <c r="H88" i="18"/>
  <c r="I88" i="18"/>
  <c r="I93" i="18"/>
  <c r="H93" i="18"/>
  <c r="F466" i="18"/>
  <c r="J466" i="18"/>
  <c r="F425" i="18"/>
  <c r="J425" i="18"/>
  <c r="H172" i="18"/>
  <c r="I172" i="18"/>
  <c r="I183" i="18"/>
  <c r="H183" i="18"/>
  <c r="J375" i="58"/>
  <c r="J377" i="58"/>
  <c r="J376" i="58"/>
  <c r="J292" i="58"/>
  <c r="J293" i="58"/>
  <c r="J291" i="58"/>
  <c r="J432" i="18"/>
  <c r="F432" i="18"/>
  <c r="J340" i="18"/>
  <c r="F340" i="18"/>
  <c r="I39" i="35" a="1"/>
  <c r="I39" i="35" s="1"/>
  <c r="I31" i="35" a="1"/>
  <c r="I31" i="35" s="1"/>
  <c r="G206" i="18" a="1"/>
  <c r="G206" i="18" s="1"/>
  <c r="G201" i="18" a="1"/>
  <c r="G201" i="18" s="1"/>
  <c r="I44" i="35" a="1"/>
  <c r="I44" i="35" s="1"/>
  <c r="I35" i="35" a="1"/>
  <c r="I35" i="35" s="1"/>
  <c r="G209" i="18" a="1"/>
  <c r="G209" i="18" s="1"/>
  <c r="I33" i="35" a="1"/>
  <c r="I33" i="35" s="1"/>
  <c r="G204" i="18" a="1"/>
  <c r="G204" i="18" s="1"/>
  <c r="G202" i="18" a="1"/>
  <c r="G202" i="18" s="1"/>
  <c r="I37" i="35" a="1"/>
  <c r="I37" i="35" s="1"/>
  <c r="K20" i="20"/>
  <c r="I32" i="35" a="1"/>
  <c r="I32" i="35" s="1"/>
  <c r="I40" i="35" a="1"/>
  <c r="I40" i="35" s="1"/>
  <c r="G198" i="18" a="1"/>
  <c r="G198" i="18" s="1"/>
  <c r="G205" i="18" a="1"/>
  <c r="G205" i="18" s="1"/>
  <c r="G210" i="18" a="1"/>
  <c r="G210" i="18" s="1"/>
  <c r="I43" i="35" a="1"/>
  <c r="I43" i="35" s="1"/>
  <c r="I38" i="35" a="1"/>
  <c r="I38" i="35" s="1"/>
  <c r="G211" i="18" a="1"/>
  <c r="G211" i="18" s="1"/>
  <c r="I41" i="35" a="1"/>
  <c r="I41" i="35" s="1"/>
  <c r="G207" i="18" a="1"/>
  <c r="G207" i="18" s="1"/>
  <c r="I34" i="35" a="1"/>
  <c r="I34" i="35" s="1"/>
  <c r="G200" i="18" a="1"/>
  <c r="G200" i="18" s="1"/>
  <c r="G199" i="18" a="1"/>
  <c r="G199" i="18" s="1"/>
  <c r="I36" i="35" a="1"/>
  <c r="I36" i="35" s="1"/>
  <c r="G208" i="18" a="1"/>
  <c r="G208" i="18" s="1"/>
  <c r="I42" i="35" a="1"/>
  <c r="I42" i="35" s="1"/>
  <c r="G203" i="18" a="1"/>
  <c r="G203" i="18" s="1"/>
  <c r="H402" i="18"/>
  <c r="I402" i="18"/>
  <c r="I405" i="18"/>
  <c r="H405" i="18"/>
  <c r="I407" i="18"/>
  <c r="H407" i="18"/>
  <c r="I182" i="58"/>
  <c r="I181" i="58"/>
  <c r="I180" i="58"/>
  <c r="I246" i="58"/>
  <c r="I245" i="58"/>
  <c r="I247" i="58"/>
  <c r="I248" i="58"/>
  <c r="I265" i="58"/>
  <c r="I266" i="58"/>
  <c r="I264" i="58"/>
  <c r="J347" i="18"/>
  <c r="F347" i="18"/>
  <c r="H440" i="18"/>
  <c r="I440" i="18"/>
  <c r="H449" i="18"/>
  <c r="I449" i="18"/>
  <c r="I215" i="18"/>
  <c r="H215" i="18"/>
  <c r="H222" i="37"/>
  <c r="H222" i="41" s="1"/>
  <c r="H224" i="37"/>
  <c r="H224" i="41" s="1"/>
  <c r="H223" i="37"/>
  <c r="H223" i="41" s="1"/>
  <c r="I223" i="18"/>
  <c r="H223" i="18"/>
  <c r="I290" i="58"/>
  <c r="I289" i="58"/>
  <c r="I288" i="58"/>
  <c r="I353" i="18"/>
  <c r="H353" i="18"/>
  <c r="H359" i="18"/>
  <c r="I359" i="18"/>
  <c r="H184" i="58"/>
  <c r="H183" i="58"/>
  <c r="H167" i="58"/>
  <c r="H185" i="58"/>
  <c r="H165" i="58"/>
  <c r="H166" i="58"/>
  <c r="H265" i="18"/>
  <c r="I265" i="18"/>
  <c r="H228" i="58"/>
  <c r="H226" i="58"/>
  <c r="H227" i="58"/>
  <c r="H225" i="58"/>
  <c r="F392" i="18"/>
  <c r="J392" i="18"/>
  <c r="C46" i="63" l="1"/>
  <c r="C6" i="63"/>
  <c r="C56" i="63"/>
  <c r="C5" i="63"/>
  <c r="C45" i="63"/>
  <c r="C34" i="63"/>
  <c r="C55" i="63"/>
  <c r="E28" i="17"/>
  <c r="F148" i="66"/>
  <c r="N148" i="66" s="1"/>
  <c r="D42" i="57"/>
  <c r="H210" i="18"/>
  <c r="I210" i="18"/>
  <c r="H184" i="18"/>
  <c r="I184" i="18"/>
  <c r="F158" i="66"/>
  <c r="N158" i="66" s="1"/>
  <c r="D49" i="57"/>
  <c r="J259" i="18"/>
  <c r="F259" i="18"/>
  <c r="J255" i="18"/>
  <c r="F255" i="18"/>
  <c r="F358" i="18"/>
  <c r="J358" i="18"/>
  <c r="J397" i="18"/>
  <c r="F397" i="18"/>
  <c r="H107" i="18"/>
  <c r="I107" i="18"/>
  <c r="I110" i="18"/>
  <c r="H110" i="18"/>
  <c r="I146" i="37"/>
  <c r="I146" i="41" s="1"/>
  <c r="I145" i="37"/>
  <c r="I145" i="41" s="1"/>
  <c r="I148" i="37"/>
  <c r="I147" i="37"/>
  <c r="I147" i="41" s="1"/>
  <c r="J504" i="18"/>
  <c r="F504" i="18"/>
  <c r="J386" i="37"/>
  <c r="J386" i="41" s="1"/>
  <c r="J385" i="37"/>
  <c r="J385" i="41" s="1"/>
  <c r="J384" i="37"/>
  <c r="J384" i="41" s="1"/>
  <c r="J162" i="37"/>
  <c r="J162" i="41" s="1"/>
  <c r="J164" i="37"/>
  <c r="J164" i="41" s="1"/>
  <c r="J163" i="37"/>
  <c r="J163" i="41" s="1"/>
  <c r="J161" i="37"/>
  <c r="J161" i="41" s="1"/>
  <c r="J420" i="37"/>
  <c r="J420" i="41" s="1"/>
  <c r="J421" i="37"/>
  <c r="J421" i="41" s="1"/>
  <c r="J422" i="37"/>
  <c r="J422" i="41" s="1"/>
  <c r="I399" i="37"/>
  <c r="I399" i="41" s="1"/>
  <c r="I400" i="37"/>
  <c r="I400" i="41" s="1"/>
  <c r="I401" i="37"/>
  <c r="I401" i="41" s="1"/>
  <c r="I154" i="18"/>
  <c r="H154" i="18"/>
  <c r="H494" i="58"/>
  <c r="D43" i="57"/>
  <c r="H493" i="58"/>
  <c r="F183" i="66" s="1"/>
  <c r="N183" i="66" s="1"/>
  <c r="E395" i="38"/>
  <c r="M182" i="66" s="1"/>
  <c r="F182" i="66"/>
  <c r="H304" i="37"/>
  <c r="H304" i="41" s="1"/>
  <c r="H303" i="37"/>
  <c r="H305" i="37"/>
  <c r="H305" i="41" s="1"/>
  <c r="H322" i="37"/>
  <c r="H322" i="41" s="1"/>
  <c r="H323" i="37"/>
  <c r="H323" i="41" s="1"/>
  <c r="H324" i="37"/>
  <c r="H324" i="41" s="1"/>
  <c r="H321" i="37"/>
  <c r="F297" i="18"/>
  <c r="J297" i="18"/>
  <c r="F129" i="18"/>
  <c r="J129" i="18"/>
  <c r="D48" i="57"/>
  <c r="F173" i="66"/>
  <c r="J304" i="18"/>
  <c r="F304" i="18"/>
  <c r="J450" i="18"/>
  <c r="F450" i="18"/>
  <c r="J267" i="18"/>
  <c r="F267" i="18"/>
  <c r="F362" i="18"/>
  <c r="J362" i="18"/>
  <c r="H118" i="18"/>
  <c r="I118" i="18"/>
  <c r="J201" i="37"/>
  <c r="J201" i="41" s="1"/>
  <c r="J203" i="37"/>
  <c r="J203" i="41" s="1"/>
  <c r="J202" i="37"/>
  <c r="J202" i="41" s="1"/>
  <c r="H296" i="37"/>
  <c r="H296" i="41" s="1"/>
  <c r="H295" i="37"/>
  <c r="H295" i="41" s="1"/>
  <c r="H294" i="37"/>
  <c r="H294" i="41" s="1"/>
  <c r="I51" i="18"/>
  <c r="H51" i="18"/>
  <c r="F482" i="18"/>
  <c r="J482" i="18"/>
  <c r="J92" i="18"/>
  <c r="F92" i="18"/>
  <c r="J408" i="18"/>
  <c r="F408" i="18"/>
  <c r="H239" i="18"/>
  <c r="I239" i="18"/>
  <c r="I228" i="18"/>
  <c r="H228" i="18"/>
  <c r="I162" i="37"/>
  <c r="I162" i="41" s="1"/>
  <c r="I164" i="37"/>
  <c r="I164" i="41" s="1"/>
  <c r="I163" i="37"/>
  <c r="I163" i="41" s="1"/>
  <c r="I161" i="37"/>
  <c r="I161" i="41" s="1"/>
  <c r="F219" i="18"/>
  <c r="J219" i="18"/>
  <c r="J395" i="37"/>
  <c r="J395" i="41" s="1"/>
  <c r="J393" i="37"/>
  <c r="J393" i="41" s="1"/>
  <c r="J394" i="37"/>
  <c r="J394" i="41" s="1"/>
  <c r="I201" i="18"/>
  <c r="H201" i="18"/>
  <c r="F88" i="18"/>
  <c r="J88" i="18"/>
  <c r="J449" i="18"/>
  <c r="F449" i="18"/>
  <c r="H208" i="18"/>
  <c r="I208" i="18"/>
  <c r="F379" i="18"/>
  <c r="J379" i="18"/>
  <c r="H191" i="18"/>
  <c r="I191" i="18"/>
  <c r="H197" i="18"/>
  <c r="I197" i="18"/>
  <c r="J218" i="18"/>
  <c r="F218" i="18"/>
  <c r="F174" i="18"/>
  <c r="J174" i="18"/>
  <c r="J182" i="18"/>
  <c r="F182" i="18"/>
  <c r="I409" i="37"/>
  <c r="I409" i="41" s="1"/>
  <c r="I410" i="37"/>
  <c r="I410" i="41" s="1"/>
  <c r="I408" i="37"/>
  <c r="I408" i="41" s="1"/>
  <c r="I192" i="37"/>
  <c r="I192" i="41" s="1"/>
  <c r="I194" i="37"/>
  <c r="I194" i="41" s="1"/>
  <c r="I193" i="37"/>
  <c r="I193" i="41" s="1"/>
  <c r="I109" i="18"/>
  <c r="H109" i="18"/>
  <c r="J222" i="37"/>
  <c r="J222" i="41" s="1"/>
  <c r="J224" i="37"/>
  <c r="J224" i="41" s="1"/>
  <c r="J223" i="37"/>
  <c r="J223" i="41" s="1"/>
  <c r="J246" i="37"/>
  <c r="J246" i="41" s="1"/>
  <c r="J248" i="37"/>
  <c r="J248" i="41" s="1"/>
  <c r="J245" i="37"/>
  <c r="J245" i="41" s="1"/>
  <c r="J247" i="37"/>
  <c r="J247" i="41" s="1"/>
  <c r="J366" i="37"/>
  <c r="J366" i="41" s="1"/>
  <c r="J365" i="37"/>
  <c r="J365" i="41" s="1"/>
  <c r="J367" i="37"/>
  <c r="J367" i="41" s="1"/>
  <c r="J368" i="37"/>
  <c r="J368" i="41" s="1"/>
  <c r="I280" i="37"/>
  <c r="I280" i="41" s="1"/>
  <c r="I281" i="37"/>
  <c r="I281" i="41" s="1"/>
  <c r="I279" i="37"/>
  <c r="I279" i="41" s="1"/>
  <c r="I417" i="37"/>
  <c r="I417" i="41" s="1"/>
  <c r="I418" i="37"/>
  <c r="I418" i="41" s="1"/>
  <c r="I419" i="37"/>
  <c r="I419" i="41" s="1"/>
  <c r="H155" i="18"/>
  <c r="I155" i="18"/>
  <c r="J139" i="18"/>
  <c r="F139" i="18"/>
  <c r="F132" i="18"/>
  <c r="J132" i="18"/>
  <c r="H226" i="37"/>
  <c r="H226" i="41" s="1"/>
  <c r="H228" i="37"/>
  <c r="H228" i="41" s="1"/>
  <c r="H227" i="37"/>
  <c r="H227" i="41" s="1"/>
  <c r="H225" i="37"/>
  <c r="I14" i="18"/>
  <c r="H14" i="18"/>
  <c r="H405" i="37"/>
  <c r="H405" i="41" s="1"/>
  <c r="H407" i="37"/>
  <c r="H407" i="41" s="1"/>
  <c r="H406" i="37"/>
  <c r="H406" i="41" s="1"/>
  <c r="J296" i="18"/>
  <c r="F296" i="18"/>
  <c r="J478" i="18"/>
  <c r="F478" i="18"/>
  <c r="I114" i="18"/>
  <c r="H114" i="18"/>
  <c r="J146" i="37"/>
  <c r="J146" i="41" s="1"/>
  <c r="J147" i="37"/>
  <c r="J147" i="41" s="1"/>
  <c r="J145" i="37"/>
  <c r="J145" i="41" s="1"/>
  <c r="J148" i="37"/>
  <c r="J211" i="37"/>
  <c r="J211" i="41" s="1"/>
  <c r="J210" i="37"/>
  <c r="J210" i="41" s="1"/>
  <c r="J212" i="37"/>
  <c r="J212" i="41" s="1"/>
  <c r="H158" i="18"/>
  <c r="I158" i="18"/>
  <c r="I163" i="18"/>
  <c r="H163" i="18"/>
  <c r="H397" i="37"/>
  <c r="H397" i="41" s="1"/>
  <c r="H396" i="37"/>
  <c r="H396" i="41" s="1"/>
  <c r="H398" i="37"/>
  <c r="H398" i="41" s="1"/>
  <c r="I44" i="18"/>
  <c r="H44" i="18"/>
  <c r="F452" i="18"/>
  <c r="J452" i="18"/>
  <c r="F99" i="18"/>
  <c r="J99" i="18"/>
  <c r="H236" i="18"/>
  <c r="I236" i="18"/>
  <c r="H234" i="18"/>
  <c r="I234" i="18"/>
  <c r="I402" i="37"/>
  <c r="I402" i="41" s="1"/>
  <c r="I403" i="37"/>
  <c r="I403" i="41" s="1"/>
  <c r="I404" i="37"/>
  <c r="I404" i="41" s="1"/>
  <c r="F169" i="66"/>
  <c r="D41" i="57"/>
  <c r="F479" i="18"/>
  <c r="J479" i="18"/>
  <c r="F403" i="18"/>
  <c r="J403" i="18"/>
  <c r="J418" i="18"/>
  <c r="F418" i="18"/>
  <c r="F505" i="18"/>
  <c r="J505" i="18"/>
  <c r="J359" i="18"/>
  <c r="F359" i="18"/>
  <c r="H203" i="18"/>
  <c r="I203" i="18"/>
  <c r="J412" i="37"/>
  <c r="J412" i="41" s="1"/>
  <c r="J411" i="37"/>
  <c r="J411" i="41" s="1"/>
  <c r="J413" i="37"/>
  <c r="J413" i="41" s="1"/>
  <c r="F93" i="18"/>
  <c r="J93" i="18"/>
  <c r="F498" i="18"/>
  <c r="J498" i="18"/>
  <c r="I256" i="37"/>
  <c r="I256" i="41" s="1"/>
  <c r="I255" i="37"/>
  <c r="I255" i="41" s="1"/>
  <c r="I257" i="37"/>
  <c r="I257" i="41" s="1"/>
  <c r="I197" i="37"/>
  <c r="I197" i="41" s="1"/>
  <c r="I195" i="37"/>
  <c r="I195" i="41" s="1"/>
  <c r="I196" i="37"/>
  <c r="I196" i="41" s="1"/>
  <c r="H198" i="18"/>
  <c r="I198" i="18"/>
  <c r="I206" i="18"/>
  <c r="H206" i="18"/>
  <c r="J353" i="18"/>
  <c r="F353" i="18"/>
  <c r="J197" i="37"/>
  <c r="J197" i="41" s="1"/>
  <c r="J195" i="37"/>
  <c r="J195" i="41" s="1"/>
  <c r="J196" i="37"/>
  <c r="J196" i="41" s="1"/>
  <c r="J292" i="37"/>
  <c r="J292" i="41" s="1"/>
  <c r="J291" i="37"/>
  <c r="J291" i="41" s="1"/>
  <c r="J293" i="37"/>
  <c r="J293" i="41" s="1"/>
  <c r="J150" i="37"/>
  <c r="J150" i="41" s="1"/>
  <c r="J149" i="37"/>
  <c r="J149" i="41" s="1"/>
  <c r="J152" i="37"/>
  <c r="J151" i="37"/>
  <c r="J151" i="41" s="1"/>
  <c r="H189" i="18"/>
  <c r="I189" i="18"/>
  <c r="I234" i="37"/>
  <c r="I234" i="41" s="1"/>
  <c r="I233" i="37"/>
  <c r="I233" i="41" s="1"/>
  <c r="I236" i="37"/>
  <c r="I236" i="41" s="1"/>
  <c r="I235" i="37"/>
  <c r="I235" i="41" s="1"/>
  <c r="F258" i="18"/>
  <c r="J258" i="18"/>
  <c r="F301" i="18"/>
  <c r="J301" i="18"/>
  <c r="J448" i="18"/>
  <c r="F448" i="18"/>
  <c r="J398" i="18"/>
  <c r="F398" i="18"/>
  <c r="J213" i="18"/>
  <c r="F213" i="18"/>
  <c r="J483" i="18"/>
  <c r="F483" i="18"/>
  <c r="I100" i="18"/>
  <c r="H100" i="18"/>
  <c r="H105" i="18"/>
  <c r="I105" i="18"/>
  <c r="I253" i="37"/>
  <c r="I253" i="41" s="1"/>
  <c r="I252" i="37"/>
  <c r="I252" i="41" s="1"/>
  <c r="I254" i="37"/>
  <c r="I254" i="41" s="1"/>
  <c r="H240" i="18"/>
  <c r="I240" i="18"/>
  <c r="J180" i="37"/>
  <c r="J180" i="41" s="1"/>
  <c r="J182" i="37"/>
  <c r="J182" i="41" s="1"/>
  <c r="J181" i="37"/>
  <c r="J181" i="41" s="1"/>
  <c r="J181" i="18"/>
  <c r="F181" i="18"/>
  <c r="I220" i="37"/>
  <c r="I220" i="41" s="1"/>
  <c r="I219" i="37"/>
  <c r="I219" i="41" s="1"/>
  <c r="I221" i="37"/>
  <c r="I221" i="41" s="1"/>
  <c r="I201" i="37"/>
  <c r="I201" i="41" s="1"/>
  <c r="I203" i="37"/>
  <c r="I203" i="41" s="1"/>
  <c r="I202" i="37"/>
  <c r="I202" i="41" s="1"/>
  <c r="J354" i="18"/>
  <c r="F354" i="18"/>
  <c r="I12" i="18"/>
  <c r="H12" i="18"/>
  <c r="I7" i="18"/>
  <c r="H7" i="18"/>
  <c r="I4" i="18"/>
  <c r="H4" i="18"/>
  <c r="F443" i="18"/>
  <c r="J443" i="18"/>
  <c r="F417" i="18"/>
  <c r="J417" i="18"/>
  <c r="I116" i="18"/>
  <c r="H116" i="18"/>
  <c r="J326" i="37"/>
  <c r="J326" i="41" s="1"/>
  <c r="J327" i="37"/>
  <c r="J327" i="41" s="1"/>
  <c r="J328" i="37"/>
  <c r="J328" i="41" s="1"/>
  <c r="J325" i="37"/>
  <c r="J325" i="41" s="1"/>
  <c r="J410" i="37"/>
  <c r="J410" i="41" s="1"/>
  <c r="J409" i="37"/>
  <c r="J409" i="41" s="1"/>
  <c r="J408" i="37"/>
  <c r="J408" i="41" s="1"/>
  <c r="J338" i="37"/>
  <c r="J338" i="41" s="1"/>
  <c r="J337" i="37"/>
  <c r="J337" i="41" s="1"/>
  <c r="J339" i="37"/>
  <c r="J339" i="41" s="1"/>
  <c r="J340" i="37"/>
  <c r="J340" i="41" s="1"/>
  <c r="I160" i="18"/>
  <c r="H160" i="18"/>
  <c r="F298" i="18"/>
  <c r="J298" i="18"/>
  <c r="H49" i="18"/>
  <c r="I49" i="18"/>
  <c r="H358" i="37"/>
  <c r="H358" i="41" s="1"/>
  <c r="H357" i="37"/>
  <c r="H357" i="41" s="1"/>
  <c r="H360" i="37"/>
  <c r="H360" i="41" s="1"/>
  <c r="H359" i="37"/>
  <c r="H359" i="41" s="1"/>
  <c r="I222" i="37"/>
  <c r="I222" i="41" s="1"/>
  <c r="I224" i="37"/>
  <c r="I224" i="41" s="1"/>
  <c r="I223" i="37"/>
  <c r="I223" i="41" s="1"/>
  <c r="H238" i="18"/>
  <c r="I238" i="18"/>
  <c r="J488" i="18"/>
  <c r="F488" i="18"/>
  <c r="J175" i="18"/>
  <c r="F175" i="18"/>
  <c r="J493" i="18"/>
  <c r="F493" i="18"/>
  <c r="J376" i="37"/>
  <c r="J376" i="41" s="1"/>
  <c r="J375" i="37"/>
  <c r="J375" i="41" s="1"/>
  <c r="J377" i="37"/>
  <c r="J377" i="41" s="1"/>
  <c r="F265" i="18"/>
  <c r="J265" i="18"/>
  <c r="F440" i="18"/>
  <c r="J440" i="18"/>
  <c r="I199" i="18"/>
  <c r="H199" i="18"/>
  <c r="J234" i="37"/>
  <c r="J234" i="41" s="1"/>
  <c r="J233" i="37"/>
  <c r="J233" i="41" s="1"/>
  <c r="J236" i="37"/>
  <c r="J236" i="41" s="1"/>
  <c r="J235" i="37"/>
  <c r="J235" i="41" s="1"/>
  <c r="J275" i="37"/>
  <c r="J275" i="41" s="1"/>
  <c r="J274" i="37"/>
  <c r="J274" i="41" s="1"/>
  <c r="J273" i="37"/>
  <c r="J273" i="41" s="1"/>
  <c r="J183" i="18"/>
  <c r="F183" i="18"/>
  <c r="J378" i="18"/>
  <c r="F378" i="18"/>
  <c r="I150" i="37"/>
  <c r="I150" i="41" s="1"/>
  <c r="I151" i="37"/>
  <c r="I151" i="41" s="1"/>
  <c r="I149" i="37"/>
  <c r="I149" i="41" s="1"/>
  <c r="I152" i="37"/>
  <c r="I292" i="37"/>
  <c r="I292" i="41" s="1"/>
  <c r="I293" i="37"/>
  <c r="I293" i="41" s="1"/>
  <c r="I291" i="37"/>
  <c r="I291" i="41" s="1"/>
  <c r="I275" i="37"/>
  <c r="I275" i="41" s="1"/>
  <c r="I274" i="37"/>
  <c r="I274" i="41" s="1"/>
  <c r="I273" i="37"/>
  <c r="I273" i="41" s="1"/>
  <c r="J357" i="18"/>
  <c r="F357" i="18"/>
  <c r="J490" i="18"/>
  <c r="F490" i="18"/>
  <c r="F98" i="18"/>
  <c r="J98" i="18"/>
  <c r="H113" i="18"/>
  <c r="I113" i="18"/>
  <c r="D44" i="57"/>
  <c r="F160" i="66"/>
  <c r="I251" i="18"/>
  <c r="H251" i="18"/>
  <c r="H253" i="18"/>
  <c r="I253" i="18"/>
  <c r="I242" i="37"/>
  <c r="I242" i="41" s="1"/>
  <c r="I243" i="37"/>
  <c r="I243" i="41" s="1"/>
  <c r="I241" i="37"/>
  <c r="I241" i="41" s="1"/>
  <c r="I244" i="37"/>
  <c r="I244" i="41" s="1"/>
  <c r="H144" i="18"/>
  <c r="I144" i="18"/>
  <c r="I362" i="37"/>
  <c r="I362" i="41" s="1"/>
  <c r="I363" i="37"/>
  <c r="I363" i="41" s="1"/>
  <c r="I361" i="37"/>
  <c r="I361" i="41" s="1"/>
  <c r="I364" i="37"/>
  <c r="I364" i="41" s="1"/>
  <c r="F413" i="18"/>
  <c r="J413" i="18"/>
  <c r="J494" i="18"/>
  <c r="F494" i="18"/>
  <c r="J439" i="18"/>
  <c r="F439" i="18"/>
  <c r="J485" i="18"/>
  <c r="F485" i="18"/>
  <c r="J173" i="18"/>
  <c r="F173" i="18"/>
  <c r="H189" i="37"/>
  <c r="H190" i="37"/>
  <c r="H190" i="41" s="1"/>
  <c r="H191" i="37"/>
  <c r="H191" i="41" s="1"/>
  <c r="I9" i="18"/>
  <c r="H9" i="18"/>
  <c r="I13" i="18"/>
  <c r="H13" i="18"/>
  <c r="J437" i="18"/>
  <c r="F437" i="18"/>
  <c r="J486" i="18"/>
  <c r="F486" i="18"/>
  <c r="D51" i="57"/>
  <c r="F157" i="66"/>
  <c r="N157" i="66" s="1"/>
  <c r="I115" i="18"/>
  <c r="H115" i="18"/>
  <c r="J230" i="37"/>
  <c r="J230" i="41" s="1"/>
  <c r="J231" i="37"/>
  <c r="J231" i="41" s="1"/>
  <c r="J232" i="37"/>
  <c r="J232" i="41" s="1"/>
  <c r="J229" i="37"/>
  <c r="J229" i="41" s="1"/>
  <c r="J253" i="37"/>
  <c r="J253" i="41" s="1"/>
  <c r="J252" i="37"/>
  <c r="J252" i="41" s="1"/>
  <c r="J254" i="37"/>
  <c r="J254" i="41" s="1"/>
  <c r="J417" i="37"/>
  <c r="J417" i="41" s="1"/>
  <c r="J418" i="37"/>
  <c r="J418" i="41" s="1"/>
  <c r="J419" i="37"/>
  <c r="J419" i="41" s="1"/>
  <c r="H159" i="18"/>
  <c r="I159" i="18"/>
  <c r="J216" i="18"/>
  <c r="F216" i="18"/>
  <c r="J300" i="18"/>
  <c r="F300" i="18"/>
  <c r="H334" i="37"/>
  <c r="H334" i="41" s="1"/>
  <c r="H333" i="37"/>
  <c r="H333" i="41" s="1"/>
  <c r="H336" i="37"/>
  <c r="H336" i="41" s="1"/>
  <c r="H335" i="37"/>
  <c r="H335" i="41" s="1"/>
  <c r="H56" i="18"/>
  <c r="I56" i="18"/>
  <c r="J489" i="18"/>
  <c r="F489" i="18"/>
  <c r="J459" i="18"/>
  <c r="F459" i="18"/>
  <c r="F492" i="18"/>
  <c r="J492" i="18"/>
  <c r="I229" i="18"/>
  <c r="H229" i="18"/>
  <c r="I227" i="18"/>
  <c r="H227" i="18"/>
  <c r="J263" i="18"/>
  <c r="F263" i="18"/>
  <c r="I190" i="18"/>
  <c r="H190" i="18"/>
  <c r="H200" i="18"/>
  <c r="I200" i="18"/>
  <c r="F172" i="18"/>
  <c r="J172" i="18"/>
  <c r="I412" i="37"/>
  <c r="I412" i="41" s="1"/>
  <c r="I411" i="37"/>
  <c r="I411" i="41" s="1"/>
  <c r="I413" i="37"/>
  <c r="I413" i="41" s="1"/>
  <c r="I172" i="37"/>
  <c r="I172" i="41" s="1"/>
  <c r="I171" i="37"/>
  <c r="I171" i="41" s="1"/>
  <c r="I173" i="37"/>
  <c r="I173" i="41" s="1"/>
  <c r="I376" i="37"/>
  <c r="I376" i="41" s="1"/>
  <c r="I375" i="37"/>
  <c r="I375" i="41" s="1"/>
  <c r="I377" i="37"/>
  <c r="I377" i="41" s="1"/>
  <c r="F86" i="18"/>
  <c r="J86" i="18"/>
  <c r="F221" i="18"/>
  <c r="J221" i="18"/>
  <c r="F225" i="18"/>
  <c r="J225" i="18"/>
  <c r="F487" i="18"/>
  <c r="J487" i="18"/>
  <c r="I211" i="37"/>
  <c r="I211" i="41" s="1"/>
  <c r="I210" i="37"/>
  <c r="I210" i="41" s="1"/>
  <c r="I212" i="37"/>
  <c r="I212" i="41" s="1"/>
  <c r="I308" i="37"/>
  <c r="I308" i="41" s="1"/>
  <c r="I307" i="37"/>
  <c r="I307" i="41" s="1"/>
  <c r="I306" i="37"/>
  <c r="I306" i="41" s="1"/>
  <c r="F365" i="18"/>
  <c r="J365" i="18"/>
  <c r="I250" i="18"/>
  <c r="H250" i="18"/>
  <c r="J342" i="37"/>
  <c r="J342" i="41" s="1"/>
  <c r="J341" i="37"/>
  <c r="J341" i="41" s="1"/>
  <c r="J344" i="37"/>
  <c r="J344" i="41" s="1"/>
  <c r="J343" i="37"/>
  <c r="J343" i="41" s="1"/>
  <c r="I297" i="37"/>
  <c r="I297" i="41" s="1"/>
  <c r="I298" i="37"/>
  <c r="I298" i="41" s="1"/>
  <c r="I299" i="37"/>
  <c r="I299" i="41" s="1"/>
  <c r="H153" i="18"/>
  <c r="I153" i="18"/>
  <c r="H147" i="18"/>
  <c r="I147" i="18"/>
  <c r="J308" i="18"/>
  <c r="F308" i="18"/>
  <c r="F454" i="18"/>
  <c r="J454" i="18"/>
  <c r="H387" i="37"/>
  <c r="H389" i="37"/>
  <c r="H389" i="41" s="1"/>
  <c r="H388" i="37"/>
  <c r="H388" i="41" s="1"/>
  <c r="H250" i="37"/>
  <c r="H250" i="41" s="1"/>
  <c r="H249" i="37"/>
  <c r="H251" i="37"/>
  <c r="H251" i="41" s="1"/>
  <c r="H5" i="18"/>
  <c r="I5" i="18"/>
  <c r="D47" i="17" a="1"/>
  <c r="D47" i="17" s="1"/>
  <c r="D48" i="17"/>
  <c r="M10" i="9"/>
  <c r="F445" i="18"/>
  <c r="J445" i="18"/>
  <c r="J97" i="18"/>
  <c r="F97" i="18"/>
  <c r="J309" i="18"/>
  <c r="F309" i="18"/>
  <c r="J390" i="37"/>
  <c r="J390" i="41" s="1"/>
  <c r="J391" i="37"/>
  <c r="J391" i="41" s="1"/>
  <c r="J392" i="37"/>
  <c r="J392" i="41" s="1"/>
  <c r="I121" i="18"/>
  <c r="H121" i="18"/>
  <c r="J350" i="37"/>
  <c r="J350" i="41" s="1"/>
  <c r="J349" i="37"/>
  <c r="J349" i="41" s="1"/>
  <c r="J352" i="37"/>
  <c r="J352" i="41" s="1"/>
  <c r="J351" i="37"/>
  <c r="J351" i="41" s="1"/>
  <c r="J280" i="37"/>
  <c r="J280" i="41" s="1"/>
  <c r="J281" i="37"/>
  <c r="J281" i="41" s="1"/>
  <c r="J279" i="37"/>
  <c r="J279" i="41" s="1"/>
  <c r="H169" i="18"/>
  <c r="I169" i="18"/>
  <c r="H238" i="37"/>
  <c r="H238" i="41" s="1"/>
  <c r="H239" i="37"/>
  <c r="H239" i="41" s="1"/>
  <c r="H240" i="37"/>
  <c r="H240" i="41" s="1"/>
  <c r="H237" i="37"/>
  <c r="H237" i="41" s="1"/>
  <c r="I54" i="18"/>
  <c r="H54" i="18"/>
  <c r="F368" i="18"/>
  <c r="J368" i="18"/>
  <c r="J177" i="18"/>
  <c r="F177" i="18"/>
  <c r="F91" i="18"/>
  <c r="J91" i="18"/>
  <c r="I342" i="37"/>
  <c r="I342" i="41" s="1"/>
  <c r="I341" i="37"/>
  <c r="I341" i="41" s="1"/>
  <c r="I344" i="37"/>
  <c r="I344" i="41" s="1"/>
  <c r="I343" i="37"/>
  <c r="I343" i="41" s="1"/>
  <c r="I226" i="18"/>
  <c r="H226" i="18"/>
  <c r="F491" i="18"/>
  <c r="J491" i="18"/>
  <c r="J420" i="18"/>
  <c r="F420" i="18"/>
  <c r="J215" i="18"/>
  <c r="F215" i="18"/>
  <c r="H205" i="18"/>
  <c r="I205" i="18"/>
  <c r="J215" i="37"/>
  <c r="J215" i="41" s="1"/>
  <c r="J213" i="37"/>
  <c r="J213" i="41" s="1"/>
  <c r="J214" i="37"/>
  <c r="J214" i="41" s="1"/>
  <c r="J256" i="37"/>
  <c r="J256" i="41" s="1"/>
  <c r="J255" i="37"/>
  <c r="J255" i="41" s="1"/>
  <c r="J257" i="37"/>
  <c r="J257" i="41" s="1"/>
  <c r="F414" i="18"/>
  <c r="J414" i="18"/>
  <c r="I194" i="18"/>
  <c r="H194" i="18"/>
  <c r="H192" i="18"/>
  <c r="I192" i="18"/>
  <c r="I395" i="37"/>
  <c r="I395" i="41" s="1"/>
  <c r="I393" i="37"/>
  <c r="I393" i="41" s="1"/>
  <c r="I394" i="37"/>
  <c r="I394" i="41" s="1"/>
  <c r="J480" i="18"/>
  <c r="F480" i="18"/>
  <c r="F456" i="18"/>
  <c r="J456" i="18"/>
  <c r="I290" i="37"/>
  <c r="I290" i="41" s="1"/>
  <c r="I289" i="37"/>
  <c r="I289" i="41" s="1"/>
  <c r="I288" i="37"/>
  <c r="I288" i="41" s="1"/>
  <c r="I391" i="37"/>
  <c r="I391" i="41" s="1"/>
  <c r="I392" i="37"/>
  <c r="I392" i="41" s="1"/>
  <c r="I390" i="37"/>
  <c r="I390" i="41" s="1"/>
  <c r="I252" i="18"/>
  <c r="H252" i="18"/>
  <c r="I246" i="18"/>
  <c r="H246" i="18"/>
  <c r="I149" i="18"/>
  <c r="H149" i="18"/>
  <c r="I316" i="37"/>
  <c r="I316" i="41" s="1"/>
  <c r="I315" i="37"/>
  <c r="I315" i="41" s="1"/>
  <c r="I317" i="37"/>
  <c r="I317" i="41" s="1"/>
  <c r="I150" i="18"/>
  <c r="H150" i="18"/>
  <c r="J261" i="18"/>
  <c r="F261" i="18"/>
  <c r="J496" i="18"/>
  <c r="F496" i="18"/>
  <c r="F453" i="18"/>
  <c r="J453" i="18"/>
  <c r="J412" i="18"/>
  <c r="F412" i="18"/>
  <c r="I3" i="18"/>
  <c r="H3" i="18"/>
  <c r="H285" i="37"/>
  <c r="H286" i="37"/>
  <c r="H286" i="41" s="1"/>
  <c r="H287" i="37"/>
  <c r="H287" i="41" s="1"/>
  <c r="H184" i="37"/>
  <c r="H184" i="41" s="1"/>
  <c r="H185" i="37"/>
  <c r="H185" i="41" s="1"/>
  <c r="H183" i="37"/>
  <c r="H183" i="41" s="1"/>
  <c r="H165" i="37"/>
  <c r="H166" i="37"/>
  <c r="H166" i="41" s="1"/>
  <c r="H167" i="37"/>
  <c r="H167" i="41" s="1"/>
  <c r="J352" i="18"/>
  <c r="F352" i="18"/>
  <c r="J436" i="18"/>
  <c r="F436" i="18"/>
  <c r="E48" i="17"/>
  <c r="E47" i="17" a="1"/>
  <c r="E47" i="17" s="1"/>
  <c r="P10" i="9"/>
  <c r="F254" i="18"/>
  <c r="J254" i="18"/>
  <c r="J272" i="37"/>
  <c r="J272" i="41" s="1"/>
  <c r="J270" i="37"/>
  <c r="J270" i="41" s="1"/>
  <c r="J271" i="37"/>
  <c r="J271" i="41" s="1"/>
  <c r="J288" i="37"/>
  <c r="J288" i="41" s="1"/>
  <c r="J290" i="37"/>
  <c r="J290" i="41" s="1"/>
  <c r="J289" i="37"/>
  <c r="J289" i="41" s="1"/>
  <c r="I125" i="18"/>
  <c r="H125" i="18"/>
  <c r="H168" i="18"/>
  <c r="I168" i="18"/>
  <c r="H161" i="18"/>
  <c r="I161" i="18"/>
  <c r="F179" i="18"/>
  <c r="J179" i="18"/>
  <c r="H53" i="18"/>
  <c r="I53" i="18"/>
  <c r="H258" i="37"/>
  <c r="H258" i="41" s="1"/>
  <c r="H259" i="37"/>
  <c r="H259" i="41" s="1"/>
  <c r="H260" i="37"/>
  <c r="H260" i="41" s="1"/>
  <c r="J140" i="18"/>
  <c r="F140" i="18"/>
  <c r="I318" i="37"/>
  <c r="I318" i="41" s="1"/>
  <c r="I320" i="37"/>
  <c r="I320" i="41" s="1"/>
  <c r="I319" i="37"/>
  <c r="I319" i="41" s="1"/>
  <c r="I180" i="37"/>
  <c r="I180" i="41" s="1"/>
  <c r="I182" i="37"/>
  <c r="I182" i="41" s="1"/>
  <c r="I181" i="37"/>
  <c r="I181" i="41" s="1"/>
  <c r="F212" i="18"/>
  <c r="J212" i="18"/>
  <c r="J94" i="18"/>
  <c r="F94" i="18"/>
  <c r="J302" i="18"/>
  <c r="F302" i="18"/>
  <c r="J373" i="18"/>
  <c r="F373" i="18"/>
  <c r="J137" i="18"/>
  <c r="F137" i="18"/>
  <c r="D45" i="57"/>
  <c r="F162" i="66"/>
  <c r="N162" i="66" s="1"/>
  <c r="J407" i="18"/>
  <c r="F407" i="18"/>
  <c r="I207" i="18"/>
  <c r="H207" i="18"/>
  <c r="H202" i="18"/>
  <c r="I202" i="18"/>
  <c r="I188" i="18"/>
  <c r="H188" i="18"/>
  <c r="I330" i="37"/>
  <c r="I330" i="41" s="1"/>
  <c r="I332" i="37"/>
  <c r="I332" i="41" s="1"/>
  <c r="I331" i="37"/>
  <c r="I331" i="41" s="1"/>
  <c r="I329" i="37"/>
  <c r="I329" i="41" s="1"/>
  <c r="H193" i="18"/>
  <c r="I193" i="18"/>
  <c r="J217" i="18"/>
  <c r="F217" i="18"/>
  <c r="J95" i="18"/>
  <c r="F95" i="18"/>
  <c r="F374" i="18"/>
  <c r="J374" i="18"/>
  <c r="F463" i="18"/>
  <c r="J463" i="18"/>
  <c r="J90" i="18"/>
  <c r="F90" i="18"/>
  <c r="F220" i="18"/>
  <c r="J220" i="18"/>
  <c r="H112" i="18"/>
  <c r="I112" i="18"/>
  <c r="H101" i="18"/>
  <c r="I101" i="18"/>
  <c r="F415" i="18"/>
  <c r="J415" i="18"/>
  <c r="F367" i="18"/>
  <c r="J367" i="18"/>
  <c r="D52" i="57"/>
  <c r="F167" i="66"/>
  <c r="N167" i="66" s="1"/>
  <c r="J224" i="18"/>
  <c r="F224" i="18"/>
  <c r="I245" i="18"/>
  <c r="H245" i="18"/>
  <c r="I244" i="18"/>
  <c r="H244" i="18"/>
  <c r="I151" i="18"/>
  <c r="H151" i="18"/>
  <c r="H145" i="18"/>
  <c r="I145" i="18"/>
  <c r="F409" i="18"/>
  <c r="J409" i="18"/>
  <c r="J299" i="18"/>
  <c r="F299" i="18"/>
  <c r="F442" i="18"/>
  <c r="J442" i="18"/>
  <c r="F455" i="18"/>
  <c r="J455" i="18"/>
  <c r="H207" i="37"/>
  <c r="H208" i="37"/>
  <c r="H208" i="41" s="1"/>
  <c r="H209" i="37"/>
  <c r="H209" i="41" s="1"/>
  <c r="I6" i="18"/>
  <c r="H6" i="18"/>
  <c r="J305" i="18"/>
  <c r="F305" i="18"/>
  <c r="I122" i="18"/>
  <c r="H122" i="18"/>
  <c r="J372" i="37"/>
  <c r="J372" i="41" s="1"/>
  <c r="J374" i="37"/>
  <c r="J374" i="41" s="1"/>
  <c r="J373" i="37"/>
  <c r="J373" i="41" s="1"/>
  <c r="J221" i="37"/>
  <c r="J221" i="41" s="1"/>
  <c r="J220" i="37"/>
  <c r="J220" i="41" s="1"/>
  <c r="J219" i="37"/>
  <c r="J219" i="41" s="1"/>
  <c r="J242" i="37"/>
  <c r="J242" i="41" s="1"/>
  <c r="J241" i="37"/>
  <c r="J241" i="41" s="1"/>
  <c r="J244" i="37"/>
  <c r="J244" i="41" s="1"/>
  <c r="J243" i="37"/>
  <c r="J243" i="41" s="1"/>
  <c r="H156" i="18"/>
  <c r="I156" i="18"/>
  <c r="H154" i="37"/>
  <c r="H154" i="41" s="1"/>
  <c r="H153" i="37"/>
  <c r="H153" i="41" s="1"/>
  <c r="H156" i="37"/>
  <c r="H156" i="41" s="1"/>
  <c r="H155" i="37"/>
  <c r="H155" i="41" s="1"/>
  <c r="I47" i="18"/>
  <c r="H47" i="18"/>
  <c r="H313" i="37"/>
  <c r="H313" i="41" s="1"/>
  <c r="H312" i="37"/>
  <c r="H312" i="41" s="1"/>
  <c r="H314" i="37"/>
  <c r="H314" i="41" s="1"/>
  <c r="J376" i="18"/>
  <c r="F376" i="18"/>
  <c r="F264" i="18"/>
  <c r="J264" i="18"/>
  <c r="J441" i="18"/>
  <c r="F441" i="18"/>
  <c r="F369" i="18"/>
  <c r="J369" i="18"/>
  <c r="I282" i="37"/>
  <c r="I282" i="41" s="1"/>
  <c r="I284" i="37"/>
  <c r="I284" i="41" s="1"/>
  <c r="I283" i="37"/>
  <c r="I283" i="41" s="1"/>
  <c r="I265" i="37"/>
  <c r="I265" i="41" s="1"/>
  <c r="I264" i="37"/>
  <c r="I264" i="41" s="1"/>
  <c r="I266" i="37"/>
  <c r="I266" i="41" s="1"/>
  <c r="F371" i="18"/>
  <c r="J371" i="18"/>
  <c r="F400" i="18"/>
  <c r="J400" i="18"/>
  <c r="J354" i="37"/>
  <c r="J354" i="41" s="1"/>
  <c r="J353" i="37"/>
  <c r="J353" i="41" s="1"/>
  <c r="J356" i="37"/>
  <c r="J356" i="41" s="1"/>
  <c r="J355" i="37"/>
  <c r="J355" i="41" s="1"/>
  <c r="I204" i="18"/>
  <c r="H204" i="18"/>
  <c r="I311" i="37"/>
  <c r="I311" i="41" s="1"/>
  <c r="I309" i="37"/>
  <c r="I309" i="41" s="1"/>
  <c r="I310" i="37"/>
  <c r="I310" i="41" s="1"/>
  <c r="H196" i="18"/>
  <c r="I196" i="18"/>
  <c r="F481" i="18"/>
  <c r="J481" i="18"/>
  <c r="F461" i="18"/>
  <c r="J461" i="18"/>
  <c r="J377" i="18"/>
  <c r="F377" i="18"/>
  <c r="F128" i="18"/>
  <c r="J128" i="18"/>
  <c r="F396" i="18"/>
  <c r="J396" i="18"/>
  <c r="I372" i="37"/>
  <c r="I372" i="41" s="1"/>
  <c r="I374" i="37"/>
  <c r="I374" i="41" s="1"/>
  <c r="I373" i="37"/>
  <c r="I373" i="41" s="1"/>
  <c r="H108" i="18"/>
  <c r="I108" i="18"/>
  <c r="J402" i="37"/>
  <c r="J402" i="41" s="1"/>
  <c r="J403" i="37"/>
  <c r="J403" i="41" s="1"/>
  <c r="J404" i="37"/>
  <c r="J404" i="41" s="1"/>
  <c r="J282" i="37"/>
  <c r="J282" i="41" s="1"/>
  <c r="J284" i="37"/>
  <c r="J284" i="41" s="1"/>
  <c r="J283" i="37"/>
  <c r="J283" i="41" s="1"/>
  <c r="F458" i="18"/>
  <c r="J458" i="18"/>
  <c r="H142" i="18"/>
  <c r="I142" i="18"/>
  <c r="I158" i="37"/>
  <c r="I158" i="41" s="1"/>
  <c r="I157" i="37"/>
  <c r="I157" i="41" s="1"/>
  <c r="I160" i="37"/>
  <c r="I160" i="41" s="1"/>
  <c r="I159" i="37"/>
  <c r="I159" i="41" s="1"/>
  <c r="F446" i="18"/>
  <c r="J446" i="18"/>
  <c r="F262" i="18"/>
  <c r="J262" i="18"/>
  <c r="F416" i="18"/>
  <c r="J416" i="18"/>
  <c r="H8" i="18"/>
  <c r="I8" i="18"/>
  <c r="H370" i="37"/>
  <c r="H370" i="41" s="1"/>
  <c r="H371" i="37"/>
  <c r="H371" i="41" s="1"/>
  <c r="H369" i="37"/>
  <c r="F501" i="18"/>
  <c r="J501" i="18"/>
  <c r="J399" i="18"/>
  <c r="F399" i="18"/>
  <c r="J87" i="18"/>
  <c r="F87" i="18"/>
  <c r="F401" i="18"/>
  <c r="J401" i="18"/>
  <c r="F307" i="18"/>
  <c r="J307" i="18"/>
  <c r="F256" i="18"/>
  <c r="J256" i="18"/>
  <c r="H126" i="18"/>
  <c r="I126" i="18"/>
  <c r="J170" i="37"/>
  <c r="J170" i="41" s="1"/>
  <c r="J168" i="37"/>
  <c r="J168" i="41" s="1"/>
  <c r="J169" i="37"/>
  <c r="J169" i="41" s="1"/>
  <c r="I167" i="18"/>
  <c r="H167" i="18"/>
  <c r="H164" i="18"/>
  <c r="I164" i="18"/>
  <c r="J178" i="37"/>
  <c r="J178" i="41" s="1"/>
  <c r="J179" i="37"/>
  <c r="J179" i="41" s="1"/>
  <c r="J177" i="37"/>
  <c r="J177" i="41" s="1"/>
  <c r="H50" i="18"/>
  <c r="I50" i="18"/>
  <c r="H380" i="37"/>
  <c r="H380" i="41" s="1"/>
  <c r="H379" i="37"/>
  <c r="H379" i="41" s="1"/>
  <c r="H378" i="37"/>
  <c r="H378" i="41" s="1"/>
  <c r="H216" i="37"/>
  <c r="H216" i="41" s="1"/>
  <c r="H217" i="37"/>
  <c r="H217" i="41" s="1"/>
  <c r="H218" i="37"/>
  <c r="H218" i="41" s="1"/>
  <c r="J303" i="18"/>
  <c r="F303" i="18"/>
  <c r="J141" i="18"/>
  <c r="F141" i="18"/>
  <c r="H235" i="18"/>
  <c r="I235" i="18"/>
  <c r="H232" i="18"/>
  <c r="I232" i="18"/>
  <c r="J173" i="37"/>
  <c r="J173" i="41" s="1"/>
  <c r="J172" i="37"/>
  <c r="J172" i="41" s="1"/>
  <c r="J171" i="37"/>
  <c r="J171" i="41" s="1"/>
  <c r="J223" i="18"/>
  <c r="F223" i="18"/>
  <c r="I354" i="37"/>
  <c r="I354" i="41" s="1"/>
  <c r="I353" i="37"/>
  <c r="I353" i="41" s="1"/>
  <c r="I356" i="37"/>
  <c r="I356" i="41" s="1"/>
  <c r="I355" i="37"/>
  <c r="I355" i="41" s="1"/>
  <c r="J405" i="18"/>
  <c r="F405" i="18"/>
  <c r="H211" i="18"/>
  <c r="I211" i="18"/>
  <c r="J330" i="37"/>
  <c r="J330" i="41" s="1"/>
  <c r="J329" i="37"/>
  <c r="J329" i="41" s="1"/>
  <c r="J332" i="37"/>
  <c r="J332" i="41" s="1"/>
  <c r="J331" i="37"/>
  <c r="J331" i="41" s="1"/>
  <c r="J135" i="18"/>
  <c r="F135" i="18"/>
  <c r="I213" i="37"/>
  <c r="I213" i="41" s="1"/>
  <c r="I214" i="37"/>
  <c r="I214" i="41" s="1"/>
  <c r="I215" i="37"/>
  <c r="I215" i="41" s="1"/>
  <c r="I186" i="18"/>
  <c r="H186" i="18"/>
  <c r="J131" i="18"/>
  <c r="F131" i="18"/>
  <c r="J355" i="18"/>
  <c r="F355" i="18"/>
  <c r="F462" i="18"/>
  <c r="J462" i="18"/>
  <c r="F447" i="18"/>
  <c r="J447" i="18"/>
  <c r="H103" i="18"/>
  <c r="I103" i="18"/>
  <c r="I170" i="37"/>
  <c r="I170" i="41" s="1"/>
  <c r="I168" i="37"/>
  <c r="I168" i="41" s="1"/>
  <c r="I169" i="37"/>
  <c r="I169" i="41" s="1"/>
  <c r="F130" i="18"/>
  <c r="J130" i="18"/>
  <c r="J265" i="37"/>
  <c r="J265" i="41" s="1"/>
  <c r="J264" i="37"/>
  <c r="J264" i="41" s="1"/>
  <c r="J266" i="37"/>
  <c r="J266" i="41" s="1"/>
  <c r="H241" i="18"/>
  <c r="I241" i="18"/>
  <c r="I263" i="37"/>
  <c r="I263" i="41" s="1"/>
  <c r="I262" i="37"/>
  <c r="I262" i="41" s="1"/>
  <c r="I261" i="37"/>
  <c r="I261" i="41" s="1"/>
  <c r="I143" i="18"/>
  <c r="H143" i="18"/>
  <c r="J421" i="18"/>
  <c r="F421" i="18"/>
  <c r="D53" i="57"/>
  <c r="E10" i="53"/>
  <c r="F10" i="53" s="1"/>
  <c r="F178" i="66"/>
  <c r="H15" i="18"/>
  <c r="I15" i="18"/>
  <c r="F370" i="18"/>
  <c r="J370" i="18"/>
  <c r="J222" i="18"/>
  <c r="F222" i="18"/>
  <c r="F457" i="18"/>
  <c r="J457" i="18"/>
  <c r="F170" i="18"/>
  <c r="J170" i="18"/>
  <c r="D46" i="57"/>
  <c r="F168" i="66"/>
  <c r="N168" i="66" s="1"/>
  <c r="I120" i="18"/>
  <c r="H120" i="18"/>
  <c r="H124" i="18"/>
  <c r="I124" i="18"/>
  <c r="J263" i="37"/>
  <c r="J263" i="41" s="1"/>
  <c r="J262" i="37"/>
  <c r="J262" i="41" s="1"/>
  <c r="J261" i="37"/>
  <c r="J261" i="41" s="1"/>
  <c r="J316" i="37"/>
  <c r="J316" i="41" s="1"/>
  <c r="J315" i="37"/>
  <c r="J315" i="41" s="1"/>
  <c r="J317" i="37"/>
  <c r="J317" i="41" s="1"/>
  <c r="J399" i="37"/>
  <c r="J399" i="41" s="1"/>
  <c r="J400" i="37"/>
  <c r="J400" i="41" s="1"/>
  <c r="J401" i="37"/>
  <c r="J401" i="41" s="1"/>
  <c r="H46" i="18"/>
  <c r="I46" i="18"/>
  <c r="I52" i="18"/>
  <c r="H52" i="18"/>
  <c r="I55" i="18"/>
  <c r="H55" i="18"/>
  <c r="F260" i="18"/>
  <c r="J260" i="18"/>
  <c r="J404" i="18"/>
  <c r="F404" i="18"/>
  <c r="I233" i="18"/>
  <c r="H233" i="18"/>
  <c r="I300" i="37"/>
  <c r="I300" i="41" s="1"/>
  <c r="I302" i="37"/>
  <c r="I302" i="41" s="1"/>
  <c r="I301" i="37"/>
  <c r="I301" i="41" s="1"/>
  <c r="J138" i="18"/>
  <c r="F138" i="18"/>
  <c r="F402" i="18"/>
  <c r="J402" i="18"/>
  <c r="J310" i="37"/>
  <c r="J310" i="41" s="1"/>
  <c r="J311" i="37"/>
  <c r="J311" i="41" s="1"/>
  <c r="J309" i="37"/>
  <c r="J309" i="41" s="1"/>
  <c r="I209" i="18"/>
  <c r="H209" i="18"/>
  <c r="F503" i="18"/>
  <c r="J503" i="18"/>
  <c r="I195" i="18"/>
  <c r="H195" i="18"/>
  <c r="F495" i="18"/>
  <c r="J495" i="18"/>
  <c r="F406" i="18"/>
  <c r="J406" i="18"/>
  <c r="J394" i="18"/>
  <c r="F394" i="18"/>
  <c r="F96" i="18"/>
  <c r="J96" i="18"/>
  <c r="I106" i="18"/>
  <c r="H106" i="18"/>
  <c r="H102" i="18"/>
  <c r="I102" i="18"/>
  <c r="I243" i="18"/>
  <c r="H243" i="18"/>
  <c r="J300" i="37"/>
  <c r="J300" i="41" s="1"/>
  <c r="J302" i="37"/>
  <c r="J302" i="41" s="1"/>
  <c r="J301" i="37"/>
  <c r="J301" i="41" s="1"/>
  <c r="J460" i="18"/>
  <c r="F460" i="18"/>
  <c r="I383" i="37"/>
  <c r="I383" i="41" s="1"/>
  <c r="I382" i="37"/>
  <c r="I382" i="41" s="1"/>
  <c r="I381" i="37"/>
  <c r="I381" i="41" s="1"/>
  <c r="H148" i="18"/>
  <c r="I148" i="18"/>
  <c r="F497" i="18"/>
  <c r="J497" i="18"/>
  <c r="F395" i="18"/>
  <c r="J395" i="18"/>
  <c r="J372" i="18"/>
  <c r="F372" i="18"/>
  <c r="F306" i="18"/>
  <c r="J306" i="18"/>
  <c r="H346" i="37"/>
  <c r="H346" i="41" s="1"/>
  <c r="H345" i="37"/>
  <c r="H348" i="37"/>
  <c r="H348" i="41" s="1"/>
  <c r="H347" i="37"/>
  <c r="H347" i="41" s="1"/>
  <c r="I2" i="18"/>
  <c r="H2" i="18"/>
  <c r="F266" i="18"/>
  <c r="J266" i="18"/>
  <c r="J214" i="18"/>
  <c r="F214" i="18"/>
  <c r="F451" i="18"/>
  <c r="J451" i="18"/>
  <c r="J363" i="18"/>
  <c r="F363" i="18"/>
  <c r="H119" i="18"/>
  <c r="I119" i="18"/>
  <c r="I123" i="18"/>
  <c r="H123" i="18"/>
  <c r="J362" i="37"/>
  <c r="J362" i="41" s="1"/>
  <c r="J363" i="37"/>
  <c r="J363" i="41" s="1"/>
  <c r="J361" i="37"/>
  <c r="J361" i="41" s="1"/>
  <c r="J364" i="37"/>
  <c r="J364" i="41" s="1"/>
  <c r="H166" i="18"/>
  <c r="I166" i="18"/>
  <c r="J297" i="37"/>
  <c r="J297" i="41" s="1"/>
  <c r="J298" i="37"/>
  <c r="J298" i="41" s="1"/>
  <c r="J299" i="37"/>
  <c r="J299" i="41" s="1"/>
  <c r="H416" i="37"/>
  <c r="H416" i="41" s="1"/>
  <c r="H414" i="37"/>
  <c r="H414" i="41" s="1"/>
  <c r="H415" i="37"/>
  <c r="H415" i="41" s="1"/>
  <c r="H57" i="18"/>
  <c r="I57" i="18"/>
  <c r="I45" i="18"/>
  <c r="H45" i="18"/>
  <c r="F136" i="18"/>
  <c r="J136" i="18"/>
  <c r="I231" i="18"/>
  <c r="H231" i="18"/>
  <c r="I366" i="37"/>
  <c r="I366" i="41" s="1"/>
  <c r="I367" i="37"/>
  <c r="I367" i="41" s="1"/>
  <c r="I365" i="37"/>
  <c r="I365" i="41" s="1"/>
  <c r="I368" i="37"/>
  <c r="I368" i="41" s="1"/>
  <c r="F360" i="18"/>
  <c r="J360" i="18"/>
  <c r="F410" i="18"/>
  <c r="J410" i="18"/>
  <c r="J133" i="18"/>
  <c r="F133" i="18"/>
  <c r="H187" i="18"/>
  <c r="I187" i="18"/>
  <c r="H185" i="18"/>
  <c r="I185" i="18"/>
  <c r="F361" i="18"/>
  <c r="J361" i="18"/>
  <c r="F438" i="18"/>
  <c r="J438" i="18"/>
  <c r="J366" i="18"/>
  <c r="F366" i="18"/>
  <c r="J257" i="18"/>
  <c r="F257" i="18"/>
  <c r="J444" i="18"/>
  <c r="F444" i="18"/>
  <c r="I350" i="37"/>
  <c r="I350" i="41" s="1"/>
  <c r="I349" i="37"/>
  <c r="I349" i="41" s="1"/>
  <c r="I352" i="37"/>
  <c r="I352" i="41" s="1"/>
  <c r="I351" i="37"/>
  <c r="I351" i="41" s="1"/>
  <c r="I272" i="37"/>
  <c r="I272" i="41" s="1"/>
  <c r="I270" i="37"/>
  <c r="I270" i="41" s="1"/>
  <c r="I271" i="37"/>
  <c r="I271" i="41" s="1"/>
  <c r="H104" i="18"/>
  <c r="I104" i="18"/>
  <c r="F500" i="18"/>
  <c r="J500" i="18"/>
  <c r="F364" i="18"/>
  <c r="J364" i="18"/>
  <c r="J318" i="37"/>
  <c r="J318" i="41" s="1"/>
  <c r="J320" i="37"/>
  <c r="J320" i="41" s="1"/>
  <c r="J319" i="37"/>
  <c r="J319" i="41" s="1"/>
  <c r="H249" i="18"/>
  <c r="I249" i="18"/>
  <c r="H247" i="18"/>
  <c r="I247" i="18"/>
  <c r="H148" i="41"/>
  <c r="H146" i="18"/>
  <c r="I146" i="18"/>
  <c r="I338" i="37"/>
  <c r="I338" i="41" s="1"/>
  <c r="I340" i="37"/>
  <c r="I340" i="41" s="1"/>
  <c r="I337" i="37"/>
  <c r="I337" i="41" s="1"/>
  <c r="I339" i="37"/>
  <c r="I339" i="41" s="1"/>
  <c r="J411" i="18"/>
  <c r="F411" i="18"/>
  <c r="J419" i="18"/>
  <c r="F419" i="18"/>
  <c r="I11" i="18"/>
  <c r="H11" i="18"/>
  <c r="H267" i="37"/>
  <c r="H269" i="37"/>
  <c r="H269" i="41" s="1"/>
  <c r="H268" i="37"/>
  <c r="H268" i="41" s="1"/>
  <c r="J180" i="18"/>
  <c r="F180" i="18"/>
  <c r="J484" i="18"/>
  <c r="F484" i="18"/>
  <c r="J306" i="37"/>
  <c r="J306" i="41" s="1"/>
  <c r="J307" i="37"/>
  <c r="J307" i="41" s="1"/>
  <c r="J308" i="37"/>
  <c r="J308" i="41" s="1"/>
  <c r="H117" i="18"/>
  <c r="I117" i="18"/>
  <c r="H165" i="18"/>
  <c r="I165" i="18"/>
  <c r="H157" i="18"/>
  <c r="I157" i="18"/>
  <c r="J383" i="37"/>
  <c r="J383" i="41" s="1"/>
  <c r="J381" i="37"/>
  <c r="J381" i="41" s="1"/>
  <c r="J382" i="37"/>
  <c r="J382" i="41" s="1"/>
  <c r="H200" i="37"/>
  <c r="H200" i="41" s="1"/>
  <c r="H199" i="37"/>
  <c r="H199" i="41" s="1"/>
  <c r="H198" i="37"/>
  <c r="H198" i="41" s="1"/>
  <c r="H278" i="37"/>
  <c r="H278" i="41" s="1"/>
  <c r="H277" i="37"/>
  <c r="H277" i="41" s="1"/>
  <c r="H276" i="37"/>
  <c r="H276" i="41" s="1"/>
  <c r="J502" i="18"/>
  <c r="F502" i="18"/>
  <c r="J176" i="18"/>
  <c r="F176" i="18"/>
  <c r="H230" i="18"/>
  <c r="I230" i="18"/>
  <c r="I386" i="37"/>
  <c r="I386" i="41" s="1"/>
  <c r="I385" i="37"/>
  <c r="I385" i="41" s="1"/>
  <c r="I384" i="37"/>
  <c r="I384" i="41" s="1"/>
  <c r="I421" i="37"/>
  <c r="I421" i="41" s="1"/>
  <c r="I422" i="37"/>
  <c r="I422" i="41" s="1"/>
  <c r="I420" i="37"/>
  <c r="I420" i="41" s="1"/>
  <c r="J356" i="18"/>
  <c r="F356" i="18"/>
  <c r="F134" i="18"/>
  <c r="J134" i="18"/>
  <c r="J178" i="18"/>
  <c r="F178" i="18"/>
  <c r="F177" i="66"/>
  <c r="N177" i="66" s="1"/>
  <c r="D50" i="57"/>
  <c r="J171" i="18"/>
  <c r="F171" i="18"/>
  <c r="I111" i="18"/>
  <c r="H111" i="18"/>
  <c r="I230" i="37"/>
  <c r="I230" i="41" s="1"/>
  <c r="I231" i="37"/>
  <c r="I231" i="41" s="1"/>
  <c r="I232" i="37"/>
  <c r="I232" i="41" s="1"/>
  <c r="I229" i="37"/>
  <c r="I229" i="41" s="1"/>
  <c r="I326" i="37"/>
  <c r="I326" i="41" s="1"/>
  <c r="I327" i="37"/>
  <c r="I327" i="41" s="1"/>
  <c r="I328" i="37"/>
  <c r="I328" i="41" s="1"/>
  <c r="I325" i="37"/>
  <c r="I325" i="41" s="1"/>
  <c r="J206" i="37"/>
  <c r="J206" i="41" s="1"/>
  <c r="J204" i="37"/>
  <c r="J204" i="41" s="1"/>
  <c r="J205" i="37"/>
  <c r="J205" i="41" s="1"/>
  <c r="I242" i="18"/>
  <c r="H242" i="18"/>
  <c r="H248" i="18"/>
  <c r="I248" i="18"/>
  <c r="I178" i="37"/>
  <c r="I178" i="41" s="1"/>
  <c r="I179" i="37"/>
  <c r="I179" i="41" s="1"/>
  <c r="I177" i="37"/>
  <c r="I177" i="41" s="1"/>
  <c r="H152" i="18"/>
  <c r="I152" i="18"/>
  <c r="J499" i="18"/>
  <c r="F499" i="18"/>
  <c r="H152" i="41"/>
  <c r="J375" i="18"/>
  <c r="F375" i="18"/>
  <c r="J89" i="18"/>
  <c r="F89" i="18"/>
  <c r="H142" i="37"/>
  <c r="H141" i="37"/>
  <c r="H144" i="37"/>
  <c r="H143" i="37"/>
  <c r="H143" i="41" s="1"/>
  <c r="H10" i="18"/>
  <c r="I10" i="18"/>
  <c r="F185" i="66"/>
  <c r="D47" i="57"/>
  <c r="M3" i="58"/>
  <c r="H127" i="18"/>
  <c r="I127" i="18"/>
  <c r="J193" i="37"/>
  <c r="J193" i="41" s="1"/>
  <c r="J192" i="37"/>
  <c r="J192" i="41" s="1"/>
  <c r="J194" i="37"/>
  <c r="J194" i="41" s="1"/>
  <c r="I162" i="18"/>
  <c r="H162" i="18"/>
  <c r="J158" i="37"/>
  <c r="J158" i="41" s="1"/>
  <c r="J157" i="37"/>
  <c r="J157" i="41" s="1"/>
  <c r="J160" i="37"/>
  <c r="J160" i="41" s="1"/>
  <c r="J159" i="37"/>
  <c r="J159" i="41" s="1"/>
  <c r="I48" i="18"/>
  <c r="H48" i="18"/>
  <c r="H188" i="37"/>
  <c r="H188" i="41" s="1"/>
  <c r="H187" i="37"/>
  <c r="H187" i="41" s="1"/>
  <c r="H186" i="37"/>
  <c r="H186" i="41" s="1"/>
  <c r="H174" i="37"/>
  <c r="H174" i="41" s="1"/>
  <c r="H175" i="37"/>
  <c r="H175" i="41" s="1"/>
  <c r="H176" i="37"/>
  <c r="H176" i="41" s="1"/>
  <c r="I206" i="37"/>
  <c r="I206" i="41" s="1"/>
  <c r="I204" i="37"/>
  <c r="I204" i="41" s="1"/>
  <c r="I205" i="37"/>
  <c r="I205" i="41" s="1"/>
  <c r="H237" i="18"/>
  <c r="I237" i="18"/>
  <c r="I246" i="37"/>
  <c r="I246" i="41" s="1"/>
  <c r="I248" i="37"/>
  <c r="I248" i="41" s="1"/>
  <c r="I245" i="37"/>
  <c r="I245" i="41" s="1"/>
  <c r="I247" i="37"/>
  <c r="I247" i="41" s="1"/>
  <c r="H163" i="66"/>
  <c r="E8" i="53"/>
  <c r="F163" i="66"/>
  <c r="H259" i="66"/>
  <c r="H211" i="66"/>
  <c r="C16" i="63" l="1"/>
  <c r="C26" i="63"/>
  <c r="C15" i="63"/>
  <c r="C25" i="63"/>
  <c r="C4" i="63"/>
  <c r="M8" i="41"/>
  <c r="J149" i="18"/>
  <c r="F149" i="18"/>
  <c r="J200" i="18"/>
  <c r="F200" i="18"/>
  <c r="F105" i="18"/>
  <c r="J105" i="18"/>
  <c r="F114" i="18"/>
  <c r="J114" i="18"/>
  <c r="N182" i="66"/>
  <c r="F152" i="18"/>
  <c r="J152" i="18"/>
  <c r="F123" i="18"/>
  <c r="J123" i="18"/>
  <c r="H4" i="53"/>
  <c r="F164" i="18"/>
  <c r="J164" i="18"/>
  <c r="F8" i="18"/>
  <c r="J8" i="18"/>
  <c r="F142" i="18"/>
  <c r="J142" i="18"/>
  <c r="F47" i="18"/>
  <c r="J47" i="18"/>
  <c r="F18" i="66"/>
  <c r="N18" i="66" s="1"/>
  <c r="D6" i="57"/>
  <c r="H165" i="41"/>
  <c r="F9" i="18"/>
  <c r="J9" i="18"/>
  <c r="F253" i="18"/>
  <c r="J253" i="18"/>
  <c r="F49" i="18"/>
  <c r="J49" i="18"/>
  <c r="J4" i="18"/>
  <c r="F4" i="18"/>
  <c r="J152" i="41"/>
  <c r="O9" i="41" s="1"/>
  <c r="F206" i="18"/>
  <c r="J206" i="18"/>
  <c r="F236" i="18"/>
  <c r="J236" i="18"/>
  <c r="J163" i="18"/>
  <c r="F163" i="18"/>
  <c r="F237" i="18"/>
  <c r="J237" i="18"/>
  <c r="F48" i="18"/>
  <c r="J48" i="18"/>
  <c r="J248" i="18"/>
  <c r="F248" i="18"/>
  <c r="F157" i="18"/>
  <c r="J157" i="18"/>
  <c r="J185" i="18"/>
  <c r="F185" i="18"/>
  <c r="J119" i="18"/>
  <c r="F119" i="18"/>
  <c r="J2" i="18"/>
  <c r="F2" i="18"/>
  <c r="J243" i="18"/>
  <c r="F243" i="18"/>
  <c r="J55" i="18"/>
  <c r="F55" i="18"/>
  <c r="H207" i="41"/>
  <c r="K49" i="39" s="1"/>
  <c r="E147" i="38" s="1"/>
  <c r="D5" i="57"/>
  <c r="F16" i="66"/>
  <c r="F151" i="18"/>
  <c r="J151" i="18"/>
  <c r="J161" i="18"/>
  <c r="F161" i="18"/>
  <c r="F246" i="18"/>
  <c r="J246" i="18"/>
  <c r="J159" i="18"/>
  <c r="F159" i="18"/>
  <c r="J199" i="18"/>
  <c r="F199" i="18"/>
  <c r="F198" i="18"/>
  <c r="J198" i="18"/>
  <c r="F158" i="18"/>
  <c r="J158" i="18"/>
  <c r="H141" i="41"/>
  <c r="K48" i="39" s="1"/>
  <c r="F25" i="66"/>
  <c r="D2" i="57"/>
  <c r="M9" i="41"/>
  <c r="F148" i="18"/>
  <c r="J148" i="18"/>
  <c r="J102" i="18"/>
  <c r="F102" i="18"/>
  <c r="J101" i="18"/>
  <c r="F101" i="18"/>
  <c r="F188" i="18"/>
  <c r="J188" i="18"/>
  <c r="M7" i="41"/>
  <c r="F34" i="66"/>
  <c r="H387" i="41"/>
  <c r="D14" i="57"/>
  <c r="E4" i="53"/>
  <c r="F4" i="53" s="1"/>
  <c r="H10" i="53" s="1"/>
  <c r="G10" i="53" s="1"/>
  <c r="F190" i="18"/>
  <c r="J190" i="18"/>
  <c r="J115" i="18"/>
  <c r="F115" i="18"/>
  <c r="J7" i="18"/>
  <c r="F7" i="18"/>
  <c r="F100" i="18"/>
  <c r="J100" i="18"/>
  <c r="F51" i="18"/>
  <c r="J51" i="18"/>
  <c r="J110" i="18"/>
  <c r="F110" i="18"/>
  <c r="F111" i="18"/>
  <c r="J111" i="18"/>
  <c r="F19" i="66"/>
  <c r="H67" i="66"/>
  <c r="H115" i="66"/>
  <c r="E2" i="53"/>
  <c r="H19" i="66"/>
  <c r="H142" i="41"/>
  <c r="C47" i="39" s="1"/>
  <c r="F165" i="18"/>
  <c r="J165" i="18"/>
  <c r="J146" i="18"/>
  <c r="F146" i="18"/>
  <c r="F187" i="18"/>
  <c r="J187" i="18"/>
  <c r="J195" i="18"/>
  <c r="F195" i="18"/>
  <c r="J52" i="18"/>
  <c r="F52" i="18"/>
  <c r="J124" i="18"/>
  <c r="F124" i="18"/>
  <c r="J167" i="18"/>
  <c r="F167" i="18"/>
  <c r="J196" i="18"/>
  <c r="F196" i="18"/>
  <c r="F244" i="18"/>
  <c r="J244" i="18"/>
  <c r="F202" i="18"/>
  <c r="J202" i="18"/>
  <c r="F168" i="18"/>
  <c r="J168" i="18"/>
  <c r="F252" i="18"/>
  <c r="J252" i="18"/>
  <c r="J226" i="18"/>
  <c r="F226" i="18"/>
  <c r="J54" i="18"/>
  <c r="F54" i="18"/>
  <c r="F56" i="18"/>
  <c r="J56" i="18"/>
  <c r="H189" i="41"/>
  <c r="D7" i="57"/>
  <c r="F24" i="66"/>
  <c r="N24" i="66" s="1"/>
  <c r="F251" i="18"/>
  <c r="J251" i="18"/>
  <c r="F238" i="18"/>
  <c r="J238" i="18"/>
  <c r="F109" i="18"/>
  <c r="J109" i="18"/>
  <c r="E9" i="53"/>
  <c r="F9" i="53" s="1"/>
  <c r="F184" i="66"/>
  <c r="F107" i="18"/>
  <c r="J107" i="18"/>
  <c r="J10" i="18"/>
  <c r="F10" i="18"/>
  <c r="F242" i="18"/>
  <c r="J242" i="18"/>
  <c r="D10" i="57"/>
  <c r="F14" i="66"/>
  <c r="N14" i="66" s="1"/>
  <c r="H267" i="41"/>
  <c r="J231" i="18"/>
  <c r="F231" i="18"/>
  <c r="D12" i="57"/>
  <c r="H345" i="41"/>
  <c r="F13" i="66"/>
  <c r="N13" i="66" s="1"/>
  <c r="J46" i="18"/>
  <c r="F46" i="18"/>
  <c r="F211" i="18"/>
  <c r="J211" i="18"/>
  <c r="F112" i="18"/>
  <c r="J112" i="18"/>
  <c r="R7" i="20"/>
  <c r="R9" i="20"/>
  <c r="I19" i="20"/>
  <c r="R34" i="20"/>
  <c r="I12" i="20"/>
  <c r="R19" i="20"/>
  <c r="I17" i="20"/>
  <c r="R44" i="20"/>
  <c r="R46" i="20"/>
  <c r="R37" i="20"/>
  <c r="I15" i="20"/>
  <c r="R42" i="20"/>
  <c r="I40" i="20"/>
  <c r="I42" i="20"/>
  <c r="R17" i="20"/>
  <c r="R40" i="20"/>
  <c r="I38" i="20"/>
  <c r="I44" i="20"/>
  <c r="R14" i="20"/>
  <c r="I13" i="20"/>
  <c r="I36" i="20"/>
  <c r="I35" i="20"/>
  <c r="I45" i="20"/>
  <c r="I10" i="20"/>
  <c r="R38" i="20"/>
  <c r="R8" i="20"/>
  <c r="R10" i="20"/>
  <c r="R12" i="20"/>
  <c r="R35" i="20"/>
  <c r="I34" i="20"/>
  <c r="R6" i="20"/>
  <c r="I18" i="20"/>
  <c r="I8" i="20"/>
  <c r="R33" i="20"/>
  <c r="I46" i="20"/>
  <c r="R15" i="20"/>
  <c r="I14" i="20"/>
  <c r="I11" i="20"/>
  <c r="R11" i="20"/>
  <c r="R36" i="20"/>
  <c r="I16" i="20"/>
  <c r="R43" i="20"/>
  <c r="I6" i="20"/>
  <c r="I43" i="20"/>
  <c r="R18" i="20"/>
  <c r="I37" i="20"/>
  <c r="R41" i="20"/>
  <c r="I39" i="20"/>
  <c r="R45" i="20"/>
  <c r="I41" i="20"/>
  <c r="R39" i="20"/>
  <c r="R13" i="20"/>
  <c r="I33" i="20"/>
  <c r="I7" i="20"/>
  <c r="I9" i="20"/>
  <c r="R16" i="20"/>
  <c r="J12" i="18"/>
  <c r="F12" i="18"/>
  <c r="J203" i="18"/>
  <c r="F203" i="18"/>
  <c r="F197" i="18"/>
  <c r="J197" i="18"/>
  <c r="F228" i="18"/>
  <c r="J228" i="18"/>
  <c r="H321" i="41"/>
  <c r="F38" i="66"/>
  <c r="H493" i="37"/>
  <c r="D4" i="57"/>
  <c r="E392" i="38"/>
  <c r="M38" i="66" s="1"/>
  <c r="H494" i="37"/>
  <c r="F117" i="18"/>
  <c r="J117" i="18"/>
  <c r="F166" i="18"/>
  <c r="J166" i="18"/>
  <c r="J106" i="18"/>
  <c r="F106" i="18"/>
  <c r="F143" i="18"/>
  <c r="J143" i="18"/>
  <c r="F232" i="18"/>
  <c r="J232" i="18"/>
  <c r="J156" i="18"/>
  <c r="F156" i="18"/>
  <c r="F245" i="18"/>
  <c r="J245" i="18"/>
  <c r="J160" i="18"/>
  <c r="F160" i="18"/>
  <c r="F201" i="18"/>
  <c r="J201" i="18"/>
  <c r="F239" i="18"/>
  <c r="J239" i="18"/>
  <c r="J154" i="18"/>
  <c r="F154" i="18"/>
  <c r="J184" i="18"/>
  <c r="F184" i="18"/>
  <c r="J120" i="18"/>
  <c r="F120" i="18"/>
  <c r="F186" i="18"/>
  <c r="J186" i="18"/>
  <c r="J122" i="18"/>
  <c r="F122" i="18"/>
  <c r="F207" i="18"/>
  <c r="J207" i="18"/>
  <c r="J125" i="18"/>
  <c r="F125" i="18"/>
  <c r="F33" i="66"/>
  <c r="N33" i="66" s="1"/>
  <c r="H285" i="41"/>
  <c r="D11" i="57"/>
  <c r="J150" i="18"/>
  <c r="F150" i="18"/>
  <c r="F192" i="18"/>
  <c r="J192" i="18"/>
  <c r="J205" i="18"/>
  <c r="F205" i="18"/>
  <c r="F121" i="18"/>
  <c r="J121" i="18"/>
  <c r="O10" i="20"/>
  <c r="O19" i="20"/>
  <c r="F10" i="20"/>
  <c r="F9" i="20"/>
  <c r="F17" i="20"/>
  <c r="O45" i="20"/>
  <c r="O11" i="20"/>
  <c r="F38" i="20"/>
  <c r="O42" i="20"/>
  <c r="F40" i="20"/>
  <c r="F39" i="20"/>
  <c r="O7" i="20"/>
  <c r="F11" i="20"/>
  <c r="O12" i="20"/>
  <c r="O37" i="20"/>
  <c r="F35" i="20"/>
  <c r="O15" i="20"/>
  <c r="O40" i="20"/>
  <c r="F43" i="20"/>
  <c r="O34" i="20"/>
  <c r="O33" i="20"/>
  <c r="F36" i="20"/>
  <c r="F12" i="20"/>
  <c r="O14" i="20"/>
  <c r="O39" i="20"/>
  <c r="F19" i="20"/>
  <c r="F13" i="20"/>
  <c r="O43" i="20"/>
  <c r="F6" i="20"/>
  <c r="F18" i="20"/>
  <c r="F42" i="20"/>
  <c r="O8" i="20"/>
  <c r="O9" i="20"/>
  <c r="F41" i="20"/>
  <c r="O17" i="20"/>
  <c r="F34" i="20"/>
  <c r="O41" i="20"/>
  <c r="O13" i="20"/>
  <c r="O46" i="20"/>
  <c r="F45" i="20"/>
  <c r="F8" i="20"/>
  <c r="F46" i="20"/>
  <c r="O18" i="20"/>
  <c r="O38" i="20"/>
  <c r="O44" i="20"/>
  <c r="O35" i="20"/>
  <c r="F33" i="20"/>
  <c r="F14" i="20"/>
  <c r="O36" i="20"/>
  <c r="F7" i="20"/>
  <c r="F44" i="20"/>
  <c r="F16" i="20"/>
  <c r="F15" i="20"/>
  <c r="O16" i="20"/>
  <c r="F37" i="20"/>
  <c r="O6" i="20"/>
  <c r="F227" i="18"/>
  <c r="J227" i="18"/>
  <c r="F144" i="18"/>
  <c r="J144" i="18"/>
  <c r="F116" i="18"/>
  <c r="J116" i="18"/>
  <c r="F240" i="18"/>
  <c r="J240" i="18"/>
  <c r="J148" i="41"/>
  <c r="O8" i="41" s="1"/>
  <c r="J191" i="18"/>
  <c r="F191" i="18"/>
  <c r="J11" i="18"/>
  <c r="F11" i="18"/>
  <c r="J104" i="18"/>
  <c r="F104" i="18"/>
  <c r="H144" i="41"/>
  <c r="F247" i="18"/>
  <c r="J247" i="18"/>
  <c r="J209" i="18"/>
  <c r="F209" i="18"/>
  <c r="F233" i="18"/>
  <c r="J233" i="18"/>
  <c r="J15" i="18"/>
  <c r="F15" i="18"/>
  <c r="J103" i="18"/>
  <c r="F103" i="18"/>
  <c r="J235" i="18"/>
  <c r="F235" i="18"/>
  <c r="J50" i="18"/>
  <c r="F50" i="18"/>
  <c r="F126" i="18"/>
  <c r="J126" i="18"/>
  <c r="F193" i="18"/>
  <c r="J193" i="18"/>
  <c r="J5" i="18"/>
  <c r="F5" i="18"/>
  <c r="F147" i="18"/>
  <c r="J147" i="18"/>
  <c r="J250" i="18"/>
  <c r="F250" i="18"/>
  <c r="J113" i="18"/>
  <c r="F113" i="18"/>
  <c r="J44" i="18"/>
  <c r="F44" i="18"/>
  <c r="J155" i="18"/>
  <c r="F155" i="18"/>
  <c r="F210" i="18"/>
  <c r="J210" i="18"/>
  <c r="J162" i="18"/>
  <c r="F162" i="18"/>
  <c r="F45" i="18"/>
  <c r="J45" i="18"/>
  <c r="J53" i="18"/>
  <c r="F53" i="18"/>
  <c r="J3" i="18"/>
  <c r="F3" i="18"/>
  <c r="F169" i="18"/>
  <c r="J169" i="18"/>
  <c r="J229" i="18"/>
  <c r="F229" i="18"/>
  <c r="J14" i="18"/>
  <c r="F14" i="18"/>
  <c r="J57" i="18"/>
  <c r="F57" i="18"/>
  <c r="J241" i="18"/>
  <c r="F241" i="18"/>
  <c r="H369" i="41"/>
  <c r="D13" i="57"/>
  <c r="F23" i="66"/>
  <c r="N23" i="66" s="1"/>
  <c r="J204" i="18"/>
  <c r="F204" i="18"/>
  <c r="J194" i="18"/>
  <c r="F194" i="18"/>
  <c r="F153" i="18"/>
  <c r="J153" i="18"/>
  <c r="I152" i="41"/>
  <c r="J189" i="18"/>
  <c r="F189" i="18"/>
  <c r="D3" i="57"/>
  <c r="F4" i="66"/>
  <c r="N4" i="66" s="1"/>
  <c r="H225" i="41"/>
  <c r="F118" i="18"/>
  <c r="J118" i="18"/>
  <c r="H303" i="41"/>
  <c r="K50" i="39" s="1"/>
  <c r="E148" i="38" s="1"/>
  <c r="F29" i="66"/>
  <c r="D9" i="57"/>
  <c r="J249" i="18"/>
  <c r="F249" i="18"/>
  <c r="F127" i="18"/>
  <c r="J127" i="18"/>
  <c r="J230" i="18"/>
  <c r="F230" i="18"/>
  <c r="F108" i="18"/>
  <c r="J108" i="18"/>
  <c r="J6" i="18"/>
  <c r="F6" i="18"/>
  <c r="F145" i="18"/>
  <c r="J145" i="18"/>
  <c r="D8" i="57"/>
  <c r="M3" i="37"/>
  <c r="H249" i="41"/>
  <c r="K51" i="39" s="1"/>
  <c r="E149" i="38" s="1"/>
  <c r="F41" i="66"/>
  <c r="J13" i="18"/>
  <c r="F13" i="18"/>
  <c r="J234" i="18"/>
  <c r="F234" i="18"/>
  <c r="J208" i="18"/>
  <c r="F208" i="18"/>
  <c r="I148" i="41"/>
  <c r="C48" i="39" l="1"/>
  <c r="E95" i="38" s="1"/>
  <c r="E398" i="38"/>
  <c r="H496" i="37" s="1"/>
  <c r="C49" i="39"/>
  <c r="E96" i="38" s="1"/>
  <c r="J16" i="66" s="1"/>
  <c r="C50" i="39"/>
  <c r="E97" i="38" s="1"/>
  <c r="J29" i="66" s="1"/>
  <c r="N29" i="66" s="1"/>
  <c r="E292" i="38"/>
  <c r="E298" i="38"/>
  <c r="M178" i="66" s="1"/>
  <c r="H136" i="35" a="1"/>
  <c r="H136" i="35" s="1"/>
  <c r="G314" i="18" a="1"/>
  <c r="G314" i="18" s="1"/>
  <c r="G315" i="18" a="1"/>
  <c r="G315" i="18" s="1"/>
  <c r="H137" i="35" a="1"/>
  <c r="H137" i="35" s="1"/>
  <c r="H138" i="35" a="1"/>
  <c r="H138" i="35" s="1"/>
  <c r="G321" i="18" a="1"/>
  <c r="G321" i="18" s="1"/>
  <c r="G317" i="18" a="1"/>
  <c r="G317" i="18" s="1"/>
  <c r="G310" i="18" a="1"/>
  <c r="G310" i="18" s="1"/>
  <c r="G313" i="18" a="1"/>
  <c r="G313" i="18" s="1"/>
  <c r="G319" i="18" a="1"/>
  <c r="G319" i="18" s="1"/>
  <c r="G312" i="18" a="1"/>
  <c r="G312" i="18" s="1"/>
  <c r="G320" i="18" a="1"/>
  <c r="G320" i="18" s="1"/>
  <c r="H129" i="35" a="1"/>
  <c r="H129" i="35" s="1"/>
  <c r="H133" i="35" a="1"/>
  <c r="H133" i="35" s="1"/>
  <c r="H135" i="35" a="1"/>
  <c r="H135" i="35" s="1"/>
  <c r="H140" i="35" a="1"/>
  <c r="H140" i="35" s="1"/>
  <c r="G311" i="18" a="1"/>
  <c r="G311" i="18" s="1"/>
  <c r="H141" i="35" a="1"/>
  <c r="H141" i="35" s="1"/>
  <c r="G318" i="18" a="1"/>
  <c r="G318" i="18" s="1"/>
  <c r="G322" i="18" a="1"/>
  <c r="G322" i="18" s="1"/>
  <c r="G323" i="18" a="1"/>
  <c r="G323" i="18" s="1"/>
  <c r="H132" i="35" a="1"/>
  <c r="H132" i="35" s="1"/>
  <c r="H131" i="35" a="1"/>
  <c r="H131" i="35" s="1"/>
  <c r="O47" i="20"/>
  <c r="H134" i="35" a="1"/>
  <c r="H134" i="35" s="1"/>
  <c r="H142" i="35" a="1"/>
  <c r="H142" i="35" s="1"/>
  <c r="G316" i="18" a="1"/>
  <c r="G316" i="18" s="1"/>
  <c r="H130" i="35" a="1"/>
  <c r="H130" i="35" s="1"/>
  <c r="H139" i="35" a="1"/>
  <c r="H139" i="35" s="1"/>
  <c r="F39" i="66"/>
  <c r="N39" i="66" s="1"/>
  <c r="H493" i="41"/>
  <c r="I7" i="35" a="1"/>
  <c r="I7" i="35" s="1"/>
  <c r="I6" i="35" a="1"/>
  <c r="I6" i="35" s="1"/>
  <c r="I9" i="35" a="1"/>
  <c r="I9" i="35" s="1"/>
  <c r="G30" i="18" a="1"/>
  <c r="G30" i="18" s="1"/>
  <c r="G36" i="18" a="1"/>
  <c r="G36" i="18" s="1"/>
  <c r="I11" i="35" a="1"/>
  <c r="I11" i="35" s="1"/>
  <c r="I20" i="20"/>
  <c r="G38" i="18" a="1"/>
  <c r="G38" i="18" s="1"/>
  <c r="I3" i="35" a="1"/>
  <c r="I3" i="35" s="1"/>
  <c r="G32" i="18" a="1"/>
  <c r="G32" i="18" s="1"/>
  <c r="G41" i="18" a="1"/>
  <c r="G41" i="18" s="1"/>
  <c r="I10" i="35" a="1"/>
  <c r="I10" i="35" s="1"/>
  <c r="G34" i="18" a="1"/>
  <c r="G34" i="18" s="1"/>
  <c r="G37" i="18" a="1"/>
  <c r="G37" i="18" s="1"/>
  <c r="I14" i="35" a="1"/>
  <c r="I14" i="35" s="1"/>
  <c r="I16" i="35" a="1"/>
  <c r="I16" i="35" s="1"/>
  <c r="G35" i="18" a="1"/>
  <c r="G35" i="18" s="1"/>
  <c r="G33" i="18" a="1"/>
  <c r="G33" i="18" s="1"/>
  <c r="I5" i="35" a="1"/>
  <c r="I5" i="35" s="1"/>
  <c r="I8" i="35" a="1"/>
  <c r="I8" i="35" s="1"/>
  <c r="I12" i="35" a="1"/>
  <c r="I12" i="35" s="1"/>
  <c r="I4" i="35" a="1"/>
  <c r="I4" i="35" s="1"/>
  <c r="G43" i="18" a="1"/>
  <c r="G43" i="18" s="1"/>
  <c r="I13" i="35" a="1"/>
  <c r="I13" i="35" s="1"/>
  <c r="I15" i="35" a="1"/>
  <c r="I15" i="35" s="1"/>
  <c r="G40" i="18" a="1"/>
  <c r="G40" i="18" s="1"/>
  <c r="G42" i="18" a="1"/>
  <c r="G42" i="18" s="1"/>
  <c r="G31" i="18" a="1"/>
  <c r="G31" i="18" s="1"/>
  <c r="G39" i="18" a="1"/>
  <c r="G39" i="18" s="1"/>
  <c r="G82" i="18" a="1"/>
  <c r="G82" i="18" s="1"/>
  <c r="I45" i="35" a="1"/>
  <c r="I45" i="35" s="1"/>
  <c r="I47" i="35" a="1"/>
  <c r="I47" i="35" s="1"/>
  <c r="I57" i="35" a="1"/>
  <c r="I57" i="35" s="1"/>
  <c r="I52" i="35" a="1"/>
  <c r="I52" i="35" s="1"/>
  <c r="G72" i="18" a="1"/>
  <c r="G72" i="18" s="1"/>
  <c r="G74" i="18" a="1"/>
  <c r="G74" i="18" s="1"/>
  <c r="G80" i="18" a="1"/>
  <c r="G80" i="18" s="1"/>
  <c r="I58" i="35" a="1"/>
  <c r="I58" i="35" s="1"/>
  <c r="G78" i="18" a="1"/>
  <c r="G78" i="18" s="1"/>
  <c r="G85" i="18" a="1"/>
  <c r="G85" i="18" s="1"/>
  <c r="G75" i="18" a="1"/>
  <c r="G75" i="18" s="1"/>
  <c r="I50" i="35" a="1"/>
  <c r="I50" i="35" s="1"/>
  <c r="I48" i="35" a="1"/>
  <c r="I48" i="35" s="1"/>
  <c r="G77" i="18" a="1"/>
  <c r="G77" i="18" s="1"/>
  <c r="G73" i="18" a="1"/>
  <c r="G73" i="18" s="1"/>
  <c r="G76" i="18" a="1"/>
  <c r="G76" i="18" s="1"/>
  <c r="G79" i="18" a="1"/>
  <c r="G79" i="18" s="1"/>
  <c r="I55" i="35" a="1"/>
  <c r="I55" i="35" s="1"/>
  <c r="G83" i="18" a="1"/>
  <c r="G83" i="18" s="1"/>
  <c r="I54" i="35" a="1"/>
  <c r="I54" i="35" s="1"/>
  <c r="I51" i="35" a="1"/>
  <c r="I51" i="35" s="1"/>
  <c r="I49" i="35" a="1"/>
  <c r="I49" i="35" s="1"/>
  <c r="G84" i="18" a="1"/>
  <c r="G84" i="18" s="1"/>
  <c r="R20" i="20"/>
  <c r="I46" i="35" a="1"/>
  <c r="I46" i="35" s="1"/>
  <c r="I56" i="35" a="1"/>
  <c r="I56" i="35" s="1"/>
  <c r="I53" i="35" a="1"/>
  <c r="I53" i="35" s="1"/>
  <c r="G81" i="18" a="1"/>
  <c r="G81" i="18" s="1"/>
  <c r="E146" i="38"/>
  <c r="Z158" i="66"/>
  <c r="Y158" i="66"/>
  <c r="Z14" i="66"/>
  <c r="Y14" i="66"/>
  <c r="H51" i="35" a="1"/>
  <c r="H51" i="35" s="1"/>
  <c r="H55" i="35" a="1"/>
  <c r="H55" i="35" s="1"/>
  <c r="G64" i="18" a="1"/>
  <c r="G64" i="18" s="1"/>
  <c r="G63" i="18" a="1"/>
  <c r="G63" i="18" s="1"/>
  <c r="G62" i="18" a="1"/>
  <c r="G62" i="18" s="1"/>
  <c r="G68" i="18" a="1"/>
  <c r="G68" i="18" s="1"/>
  <c r="G60" i="18" a="1"/>
  <c r="G60" i="18" s="1"/>
  <c r="G70" i="18" a="1"/>
  <c r="G70" i="18" s="1"/>
  <c r="G58" i="18" a="1"/>
  <c r="G58" i="18" s="1"/>
  <c r="H56" i="35" a="1"/>
  <c r="H56" i="35" s="1"/>
  <c r="O20" i="20"/>
  <c r="G66" i="18" a="1"/>
  <c r="G66" i="18" s="1"/>
  <c r="H49" i="35" a="1"/>
  <c r="H49" i="35" s="1"/>
  <c r="H47" i="35" a="1"/>
  <c r="H47" i="35" s="1"/>
  <c r="H50" i="35" a="1"/>
  <c r="H50" i="35" s="1"/>
  <c r="H52" i="35" a="1"/>
  <c r="H52" i="35" s="1"/>
  <c r="G65" i="18" a="1"/>
  <c r="G65" i="18" s="1"/>
  <c r="G61" i="18" a="1"/>
  <c r="G61" i="18" s="1"/>
  <c r="G59" i="18" a="1"/>
  <c r="G59" i="18" s="1"/>
  <c r="H46" i="35" a="1"/>
  <c r="H46" i="35" s="1"/>
  <c r="H57" i="35" a="1"/>
  <c r="H57" i="35" s="1"/>
  <c r="H54" i="35" a="1"/>
  <c r="H54" i="35" s="1"/>
  <c r="G69" i="18" a="1"/>
  <c r="G69" i="18" s="1"/>
  <c r="G71" i="18" a="1"/>
  <c r="G71" i="18" s="1"/>
  <c r="H53" i="35" a="1"/>
  <c r="H53" i="35" s="1"/>
  <c r="H58" i="35" a="1"/>
  <c r="H58" i="35" s="1"/>
  <c r="G67" i="18" a="1"/>
  <c r="G67" i="18" s="1"/>
  <c r="H48" i="35" a="1"/>
  <c r="H48" i="35" s="1"/>
  <c r="H45" i="35" a="1"/>
  <c r="H45" i="35" s="1"/>
  <c r="N38" i="66"/>
  <c r="Z13" i="66"/>
  <c r="Y157" i="66"/>
  <c r="Z157" i="66"/>
  <c r="Y13" i="66"/>
  <c r="Z4" i="66"/>
  <c r="Z148" i="66"/>
  <c r="Y4" i="66"/>
  <c r="Y148" i="66"/>
  <c r="H5" i="6"/>
  <c r="I95" i="35" a="1"/>
  <c r="I95" i="35" s="1"/>
  <c r="I88" i="35" a="1"/>
  <c r="I88" i="35" s="1"/>
  <c r="G293" i="18" a="1"/>
  <c r="G293" i="18" s="1"/>
  <c r="G283" i="18" a="1"/>
  <c r="G283" i="18" s="1"/>
  <c r="G295" i="18" a="1"/>
  <c r="G295" i="18" s="1"/>
  <c r="I89" i="35" a="1"/>
  <c r="I89" i="35" s="1"/>
  <c r="I93" i="35" a="1"/>
  <c r="I93" i="35" s="1"/>
  <c r="I47" i="20"/>
  <c r="G285" i="18" a="1"/>
  <c r="G285" i="18" s="1"/>
  <c r="G286" i="18" a="1"/>
  <c r="G286" i="18" s="1"/>
  <c r="G294" i="18" a="1"/>
  <c r="G294" i="18" s="1"/>
  <c r="I91" i="35" a="1"/>
  <c r="I91" i="35" s="1"/>
  <c r="I90" i="35" a="1"/>
  <c r="I90" i="35" s="1"/>
  <c r="I99" i="35" a="1"/>
  <c r="I99" i="35" s="1"/>
  <c r="G284" i="18" a="1"/>
  <c r="G284" i="18" s="1"/>
  <c r="I87" i="35" a="1"/>
  <c r="I87" i="35" s="1"/>
  <c r="I98" i="35" a="1"/>
  <c r="I98" i="35" s="1"/>
  <c r="G290" i="18" a="1"/>
  <c r="G290" i="18" s="1"/>
  <c r="G287" i="18" a="1"/>
  <c r="G287" i="18" s="1"/>
  <c r="G291" i="18" a="1"/>
  <c r="G291" i="18" s="1"/>
  <c r="I92" i="35" a="1"/>
  <c r="I92" i="35" s="1"/>
  <c r="G289" i="18" a="1"/>
  <c r="G289" i="18" s="1"/>
  <c r="G282" i="18" a="1"/>
  <c r="G282" i="18" s="1"/>
  <c r="I97" i="35" a="1"/>
  <c r="I97" i="35" s="1"/>
  <c r="I100" i="35" a="1"/>
  <c r="I100" i="35" s="1"/>
  <c r="G292" i="18" a="1"/>
  <c r="G292" i="18" s="1"/>
  <c r="I96" i="35" a="1"/>
  <c r="I96" i="35" s="1"/>
  <c r="G288" i="18" a="1"/>
  <c r="G288" i="18" s="1"/>
  <c r="I94" i="35" a="1"/>
  <c r="I94" i="35" s="1"/>
  <c r="H464" i="58"/>
  <c r="J173" i="66"/>
  <c r="H457" i="37"/>
  <c r="J185" i="66"/>
  <c r="H465" i="58"/>
  <c r="H9" i="35" a="1"/>
  <c r="H9" i="35" s="1"/>
  <c r="H10" i="35" a="1"/>
  <c r="H10" i="35" s="1"/>
  <c r="G29" i="18" a="1"/>
  <c r="G29" i="18" s="1"/>
  <c r="H12" i="35" a="1"/>
  <c r="H12" i="35" s="1"/>
  <c r="H16" i="35" a="1"/>
  <c r="H16" i="35" s="1"/>
  <c r="H7" i="35" a="1"/>
  <c r="H7" i="35" s="1"/>
  <c r="G26" i="18" a="1"/>
  <c r="G26" i="18" s="1"/>
  <c r="G23" i="18" a="1"/>
  <c r="G23" i="18" s="1"/>
  <c r="H4" i="35" a="1"/>
  <c r="H4" i="35" s="1"/>
  <c r="G16" i="18" a="1"/>
  <c r="G16" i="18" s="1"/>
  <c r="G28" i="18" a="1"/>
  <c r="G28" i="18" s="1"/>
  <c r="G25" i="18" a="1"/>
  <c r="G25" i="18" s="1"/>
  <c r="H3" i="35" a="1"/>
  <c r="H3" i="35" s="1"/>
  <c r="H5" i="35" a="1"/>
  <c r="H5" i="35" s="1"/>
  <c r="H14" i="35" a="1"/>
  <c r="H14" i="35" s="1"/>
  <c r="H8" i="35" a="1"/>
  <c r="H8" i="35" s="1"/>
  <c r="H13" i="35" a="1"/>
  <c r="H13" i="35" s="1"/>
  <c r="G20" i="18" a="1"/>
  <c r="G20" i="18" s="1"/>
  <c r="G27" i="18" a="1"/>
  <c r="G27" i="18" s="1"/>
  <c r="G21" i="18" a="1"/>
  <c r="G21" i="18" s="1"/>
  <c r="G18" i="18" a="1"/>
  <c r="G18" i="18" s="1"/>
  <c r="H15" i="35" a="1"/>
  <c r="H15" i="35" s="1"/>
  <c r="G24" i="18" a="1"/>
  <c r="G24" i="18" s="1"/>
  <c r="F20" i="20"/>
  <c r="G19" i="18" a="1"/>
  <c r="G19" i="18" s="1"/>
  <c r="H6" i="35" a="1"/>
  <c r="H6" i="35" s="1"/>
  <c r="G17" i="18" a="1"/>
  <c r="G17" i="18" s="1"/>
  <c r="G22" i="18" a="1"/>
  <c r="G22" i="18" s="1"/>
  <c r="H11" i="35" a="1"/>
  <c r="H11" i="35" s="1"/>
  <c r="H3" i="53"/>
  <c r="C51" i="39"/>
  <c r="E98" i="38" s="1"/>
  <c r="J160" i="66"/>
  <c r="H457" i="58"/>
  <c r="Y18" i="66"/>
  <c r="Z162" i="66"/>
  <c r="Z18" i="66"/>
  <c r="Y162" i="66"/>
  <c r="G4" i="53"/>
  <c r="E94" i="38"/>
  <c r="E3" i="53"/>
  <c r="F3" i="53" s="1"/>
  <c r="H9" i="53" s="1"/>
  <c r="G9" i="53" s="1"/>
  <c r="F40" i="66"/>
  <c r="H494" i="41"/>
  <c r="G335" i="18" a="1"/>
  <c r="G335" i="18" s="1"/>
  <c r="I138" i="35" a="1"/>
  <c r="I138" i="35" s="1"/>
  <c r="I133" i="35" a="1"/>
  <c r="I133" i="35" s="1"/>
  <c r="I141" i="35" a="1"/>
  <c r="I141" i="35" s="1"/>
  <c r="I132" i="35" a="1"/>
  <c r="I132" i="35" s="1"/>
  <c r="G336" i="18" a="1"/>
  <c r="G336" i="18" s="1"/>
  <c r="I142" i="35" a="1"/>
  <c r="I142" i="35" s="1"/>
  <c r="G334" i="18" a="1"/>
  <c r="G334" i="18" s="1"/>
  <c r="I135" i="35" a="1"/>
  <c r="I135" i="35" s="1"/>
  <c r="R47" i="20"/>
  <c r="G333" i="18" a="1"/>
  <c r="G333" i="18" s="1"/>
  <c r="I139" i="35" a="1"/>
  <c r="I139" i="35" s="1"/>
  <c r="G329" i="18" a="1"/>
  <c r="G329" i="18" s="1"/>
  <c r="G337" i="18" a="1"/>
  <c r="G337" i="18" s="1"/>
  <c r="G326" i="18" a="1"/>
  <c r="G326" i="18" s="1"/>
  <c r="G328" i="18" a="1"/>
  <c r="G328" i="18" s="1"/>
  <c r="I136" i="35" a="1"/>
  <c r="I136" i="35" s="1"/>
  <c r="I140" i="35" a="1"/>
  <c r="I140" i="35" s="1"/>
  <c r="G325" i="18" a="1"/>
  <c r="G325" i="18" s="1"/>
  <c r="G324" i="18" a="1"/>
  <c r="G324" i="18" s="1"/>
  <c r="I131" i="35" a="1"/>
  <c r="I131" i="35" s="1"/>
  <c r="I134" i="35" a="1"/>
  <c r="I134" i="35" s="1"/>
  <c r="G327" i="18" a="1"/>
  <c r="G327" i="18" s="1"/>
  <c r="G331" i="18" a="1"/>
  <c r="G331" i="18" s="1"/>
  <c r="I137" i="35" a="1"/>
  <c r="I137" i="35" s="1"/>
  <c r="G332" i="18" a="1"/>
  <c r="G332" i="18" s="1"/>
  <c r="I129" i="35" a="1"/>
  <c r="I129" i="35" s="1"/>
  <c r="G330" i="18" a="1"/>
  <c r="G330" i="18" s="1"/>
  <c r="I130" i="35" a="1"/>
  <c r="I130" i="35" s="1"/>
  <c r="H497" i="37"/>
  <c r="H495" i="37"/>
  <c r="Z177" i="66"/>
  <c r="Y177" i="66"/>
  <c r="Z33" i="66"/>
  <c r="Y33" i="66"/>
  <c r="H99" i="35" a="1"/>
  <c r="H99" i="35" s="1"/>
  <c r="H92" i="35" a="1"/>
  <c r="H92" i="35" s="1"/>
  <c r="G272" i="18" a="1"/>
  <c r="G272" i="18" s="1"/>
  <c r="G278" i="18" a="1"/>
  <c r="G278" i="18" s="1"/>
  <c r="H95" i="35" a="1"/>
  <c r="H95" i="35" s="1"/>
  <c r="G269" i="18" a="1"/>
  <c r="G269" i="18" s="1"/>
  <c r="H93" i="35" a="1"/>
  <c r="H93" i="35" s="1"/>
  <c r="H88" i="35" a="1"/>
  <c r="H88" i="35" s="1"/>
  <c r="H94" i="35" a="1"/>
  <c r="H94" i="35" s="1"/>
  <c r="H87" i="35" a="1"/>
  <c r="H87" i="35" s="1"/>
  <c r="G270" i="18" a="1"/>
  <c r="G270" i="18" s="1"/>
  <c r="G273" i="18" a="1"/>
  <c r="G273" i="18" s="1"/>
  <c r="H97" i="35" a="1"/>
  <c r="H97" i="35" s="1"/>
  <c r="H89" i="35" a="1"/>
  <c r="H89" i="35" s="1"/>
  <c r="G276" i="18" a="1"/>
  <c r="G276" i="18" s="1"/>
  <c r="G268" i="18" a="1"/>
  <c r="G268" i="18" s="1"/>
  <c r="H98" i="35" a="1"/>
  <c r="H98" i="35" s="1"/>
  <c r="G279" i="18" a="1"/>
  <c r="G279" i="18" s="1"/>
  <c r="G274" i="18" a="1"/>
  <c r="G274" i="18" s="1"/>
  <c r="H90" i="35" a="1"/>
  <c r="H90" i="35" s="1"/>
  <c r="G281" i="18" a="1"/>
  <c r="G281" i="18" s="1"/>
  <c r="H100" i="35" a="1"/>
  <c r="H100" i="35" s="1"/>
  <c r="H91" i="35" a="1"/>
  <c r="H91" i="35" s="1"/>
  <c r="F47" i="20"/>
  <c r="G277" i="18" a="1"/>
  <c r="G277" i="18" s="1"/>
  <c r="G271" i="18" a="1"/>
  <c r="G271" i="18" s="1"/>
  <c r="H96" i="35" a="1"/>
  <c r="H96" i="35" s="1"/>
  <c r="G280" i="18" a="1"/>
  <c r="G280" i="18" s="1"/>
  <c r="G275" i="18" a="1"/>
  <c r="G275" i="18" s="1"/>
  <c r="E401" i="38"/>
  <c r="K47" i="39"/>
  <c r="Z23" i="66"/>
  <c r="Y167" i="66"/>
  <c r="Y23" i="66"/>
  <c r="Z167" i="66"/>
  <c r="Y24" i="66"/>
  <c r="Y168" i="66"/>
  <c r="Z24" i="66"/>
  <c r="Z168" i="66"/>
  <c r="H464" i="37" l="1"/>
  <c r="G3" i="53"/>
  <c r="E291" i="38"/>
  <c r="E297" i="38"/>
  <c r="M184" i="66" s="1"/>
  <c r="I209" i="58"/>
  <c r="I208" i="58"/>
  <c r="I207" i="58"/>
  <c r="J294" i="58"/>
  <c r="J296" i="58"/>
  <c r="J295" i="58"/>
  <c r="H327" i="18"/>
  <c r="I327" i="18"/>
  <c r="I286" i="58"/>
  <c r="I287" i="58"/>
  <c r="I285" i="58"/>
  <c r="H276" i="18"/>
  <c r="I276" i="18"/>
  <c r="H272" i="18"/>
  <c r="I272" i="18"/>
  <c r="J336" i="58"/>
  <c r="J334" i="58"/>
  <c r="J335" i="58"/>
  <c r="J333" i="58"/>
  <c r="J258" i="58"/>
  <c r="J260" i="58"/>
  <c r="J259" i="58"/>
  <c r="H24" i="18"/>
  <c r="I24" i="18"/>
  <c r="H28" i="18"/>
  <c r="I28" i="18"/>
  <c r="J405" i="58"/>
  <c r="J407" i="58"/>
  <c r="J406" i="58"/>
  <c r="J209" i="58"/>
  <c r="J207" i="58"/>
  <c r="J208" i="58"/>
  <c r="J267" i="58"/>
  <c r="J268" i="58"/>
  <c r="J269" i="58"/>
  <c r="I154" i="37"/>
  <c r="I155" i="37"/>
  <c r="I153" i="37"/>
  <c r="I156" i="37"/>
  <c r="I65" i="18"/>
  <c r="F65" i="18" s="1"/>
  <c r="H65" i="18"/>
  <c r="H62" i="18"/>
  <c r="I62" i="18"/>
  <c r="J169" i="66"/>
  <c r="H456" i="58"/>
  <c r="I79" i="18"/>
  <c r="H79" i="18"/>
  <c r="H72" i="18"/>
  <c r="I72" i="18"/>
  <c r="I43" i="18"/>
  <c r="H43" i="18"/>
  <c r="H41" i="18"/>
  <c r="I41" i="18"/>
  <c r="Z183" i="66"/>
  <c r="Y39" i="66"/>
  <c r="Y183" i="66"/>
  <c r="Z39" i="66"/>
  <c r="I398" i="58"/>
  <c r="I397" i="58"/>
  <c r="I396" i="58"/>
  <c r="I321" i="18"/>
  <c r="H321" i="18"/>
  <c r="J346" i="58"/>
  <c r="J348" i="58"/>
  <c r="J347" i="58"/>
  <c r="J345" i="58"/>
  <c r="J184" i="58"/>
  <c r="J183" i="58"/>
  <c r="J167" i="58"/>
  <c r="J185" i="58"/>
  <c r="J166" i="58"/>
  <c r="J165" i="58"/>
  <c r="I216" i="37"/>
  <c r="I217" i="37"/>
  <c r="I218" i="37"/>
  <c r="I313" i="37"/>
  <c r="I312" i="37"/>
  <c r="I314" i="37"/>
  <c r="H63" i="18"/>
  <c r="I63" i="18"/>
  <c r="H81" i="18"/>
  <c r="I81" i="18"/>
  <c r="I76" i="18"/>
  <c r="H76" i="18"/>
  <c r="J312" i="37"/>
  <c r="J313" i="37"/>
  <c r="J314" i="37"/>
  <c r="J226" i="37"/>
  <c r="J225" i="37"/>
  <c r="J228" i="37"/>
  <c r="J227" i="37"/>
  <c r="H32" i="18"/>
  <c r="I32" i="18"/>
  <c r="I358" i="58"/>
  <c r="I357" i="58"/>
  <c r="I359" i="58"/>
  <c r="I360" i="58"/>
  <c r="H311" i="18"/>
  <c r="I311" i="18"/>
  <c r="I295" i="58"/>
  <c r="I294" i="58"/>
  <c r="I296" i="58"/>
  <c r="I16" i="18"/>
  <c r="H16" i="18"/>
  <c r="H277" i="18"/>
  <c r="I277" i="18"/>
  <c r="N185" i="66"/>
  <c r="R185" i="66"/>
  <c r="P185" i="66"/>
  <c r="V185" i="66" s="1"/>
  <c r="S185" i="66"/>
  <c r="W185" i="66"/>
  <c r="H282" i="18"/>
  <c r="I282" i="18"/>
  <c r="I294" i="18"/>
  <c r="H294" i="18"/>
  <c r="I67" i="18"/>
  <c r="F67" i="18" s="1"/>
  <c r="H67" i="18"/>
  <c r="I198" i="37"/>
  <c r="I200" i="37"/>
  <c r="I199" i="37"/>
  <c r="H64" i="18"/>
  <c r="I64" i="18"/>
  <c r="J278" i="37"/>
  <c r="J276" i="37"/>
  <c r="J277" i="37"/>
  <c r="H73" i="18"/>
  <c r="I73" i="18"/>
  <c r="J397" i="37"/>
  <c r="J398" i="37"/>
  <c r="J396" i="37"/>
  <c r="J285" i="37"/>
  <c r="J286" i="37"/>
  <c r="J287" i="37"/>
  <c r="J142" i="37"/>
  <c r="J144" i="37"/>
  <c r="J143" i="37"/>
  <c r="J141" i="37"/>
  <c r="I240" i="58"/>
  <c r="I238" i="58"/>
  <c r="I237" i="58"/>
  <c r="I239" i="58"/>
  <c r="I378" i="58"/>
  <c r="I379" i="58"/>
  <c r="I380" i="58"/>
  <c r="I277" i="58"/>
  <c r="I278" i="58"/>
  <c r="I276" i="58"/>
  <c r="I191" i="58"/>
  <c r="I189" i="58"/>
  <c r="I190" i="58"/>
  <c r="I345" i="58"/>
  <c r="I346" i="58"/>
  <c r="I348" i="58"/>
  <c r="I347" i="58"/>
  <c r="I389" i="58"/>
  <c r="I387" i="58"/>
  <c r="I388" i="58"/>
  <c r="I325" i="18"/>
  <c r="H325" i="18"/>
  <c r="H273" i="18"/>
  <c r="I273" i="18"/>
  <c r="E5" i="53"/>
  <c r="J379" i="58"/>
  <c r="J380" i="58"/>
  <c r="J378" i="58"/>
  <c r="H336" i="18"/>
  <c r="I336" i="18"/>
  <c r="H465" i="37"/>
  <c r="H465" i="41" s="1"/>
  <c r="J41" i="66"/>
  <c r="I21" i="18"/>
  <c r="H21" i="18"/>
  <c r="H23" i="18"/>
  <c r="I23" i="18"/>
  <c r="H457" i="41"/>
  <c r="I289" i="18"/>
  <c r="F289" i="18" s="1"/>
  <c r="H289" i="18"/>
  <c r="I286" i="18"/>
  <c r="H286" i="18"/>
  <c r="I416" i="37"/>
  <c r="I414" i="37"/>
  <c r="I415" i="37"/>
  <c r="I334" i="37"/>
  <c r="I335" i="37"/>
  <c r="I333" i="37"/>
  <c r="I336" i="37"/>
  <c r="I358" i="37"/>
  <c r="I358" i="41" s="1"/>
  <c r="I357" i="37"/>
  <c r="I357" i="41" s="1"/>
  <c r="I360" i="37"/>
  <c r="I359" i="37"/>
  <c r="J380" i="37"/>
  <c r="J378" i="37"/>
  <c r="J379" i="37"/>
  <c r="I77" i="18"/>
  <c r="H77" i="18"/>
  <c r="J334" i="37"/>
  <c r="J335" i="37"/>
  <c r="J336" i="37"/>
  <c r="J336" i="41" s="1"/>
  <c r="J333" i="37"/>
  <c r="J190" i="37"/>
  <c r="J191" i="37"/>
  <c r="J189" i="37"/>
  <c r="I38" i="18"/>
  <c r="F38" i="18" s="1"/>
  <c r="H38" i="18"/>
  <c r="I316" i="18"/>
  <c r="H316" i="18"/>
  <c r="I258" i="58"/>
  <c r="I259" i="58"/>
  <c r="I260" i="58"/>
  <c r="H315" i="18"/>
  <c r="I315" i="18"/>
  <c r="J414" i="58"/>
  <c r="J416" i="58"/>
  <c r="J415" i="58"/>
  <c r="H18" i="18"/>
  <c r="I18" i="18"/>
  <c r="E145" i="38"/>
  <c r="I184" i="58"/>
  <c r="I183" i="58"/>
  <c r="I166" i="58"/>
  <c r="I165" i="58"/>
  <c r="I185" i="58"/>
  <c r="I167" i="58"/>
  <c r="I270" i="18"/>
  <c r="H270" i="18"/>
  <c r="J240" i="58"/>
  <c r="J238" i="58"/>
  <c r="J237" i="58"/>
  <c r="J239" i="58"/>
  <c r="J313" i="58"/>
  <c r="J314" i="58"/>
  <c r="J312" i="58"/>
  <c r="J217" i="58"/>
  <c r="J216" i="58"/>
  <c r="J218" i="58"/>
  <c r="E285" i="38"/>
  <c r="E279" i="38"/>
  <c r="H27" i="18"/>
  <c r="I27" i="18"/>
  <c r="I26" i="18"/>
  <c r="H26" i="18"/>
  <c r="N16" i="66"/>
  <c r="P16" i="66"/>
  <c r="V16" i="66" s="1"/>
  <c r="R16" i="66"/>
  <c r="S16" i="66"/>
  <c r="W16" i="66"/>
  <c r="J190" i="58"/>
  <c r="J189" i="58"/>
  <c r="J191" i="58"/>
  <c r="H285" i="18"/>
  <c r="I285" i="18"/>
  <c r="I278" i="37"/>
  <c r="I278" i="41" s="1"/>
  <c r="I277" i="37"/>
  <c r="I277" i="41" s="1"/>
  <c r="I276" i="37"/>
  <c r="I187" i="37"/>
  <c r="I186" i="37"/>
  <c r="I188" i="37"/>
  <c r="I176" i="37"/>
  <c r="I174" i="37"/>
  <c r="I175" i="37"/>
  <c r="I260" i="37"/>
  <c r="I258" i="37"/>
  <c r="I259" i="37"/>
  <c r="J238" i="37"/>
  <c r="J237" i="37"/>
  <c r="J239" i="37"/>
  <c r="J240" i="37"/>
  <c r="J218" i="37"/>
  <c r="J216" i="37"/>
  <c r="J217" i="37"/>
  <c r="J154" i="37"/>
  <c r="J155" i="37"/>
  <c r="J153" i="37"/>
  <c r="J156" i="37"/>
  <c r="J322" i="37"/>
  <c r="J323" i="37"/>
  <c r="J324" i="37"/>
  <c r="J321" i="37"/>
  <c r="I416" i="58"/>
  <c r="I415" i="58"/>
  <c r="I414" i="58"/>
  <c r="I174" i="58"/>
  <c r="I186" i="58"/>
  <c r="I187" i="58"/>
  <c r="I176" i="58"/>
  <c r="I175" i="58"/>
  <c r="I188" i="58"/>
  <c r="I314" i="18"/>
  <c r="H314" i="18"/>
  <c r="I321" i="58"/>
  <c r="I322" i="58"/>
  <c r="I323" i="58"/>
  <c r="I324" i="58"/>
  <c r="I334" i="18"/>
  <c r="H334" i="18"/>
  <c r="S160" i="66"/>
  <c r="P160" i="66"/>
  <c r="V160" i="66" s="1"/>
  <c r="R160" i="66"/>
  <c r="W160" i="66"/>
  <c r="N160" i="66"/>
  <c r="I226" i="37"/>
  <c r="I228" i="37"/>
  <c r="I227" i="37"/>
  <c r="I225" i="37"/>
  <c r="I406" i="58"/>
  <c r="I405" i="58"/>
  <c r="I407" i="58"/>
  <c r="I142" i="58"/>
  <c r="I141" i="58"/>
  <c r="I143" i="58"/>
  <c r="I144" i="58"/>
  <c r="H330" i="18"/>
  <c r="I330" i="18"/>
  <c r="H328" i="18"/>
  <c r="I328" i="18"/>
  <c r="J398" i="58"/>
  <c r="J397" i="58"/>
  <c r="J396" i="58"/>
  <c r="J19" i="66"/>
  <c r="D2" i="53"/>
  <c r="F2" i="53" s="1"/>
  <c r="H455" i="37"/>
  <c r="H20" i="18"/>
  <c r="I20" i="18"/>
  <c r="I183" i="37"/>
  <c r="I184" i="37"/>
  <c r="I185" i="37"/>
  <c r="I185" i="41" s="1"/>
  <c r="I165" i="37"/>
  <c r="I166" i="37"/>
  <c r="I167" i="37"/>
  <c r="I291" i="18"/>
  <c r="H291" i="18"/>
  <c r="H71" i="18"/>
  <c r="I71" i="18"/>
  <c r="I66" i="18"/>
  <c r="F66" i="18" s="1"/>
  <c r="H66" i="18"/>
  <c r="J200" i="37"/>
  <c r="J198" i="37"/>
  <c r="J199" i="37"/>
  <c r="I82" i="18"/>
  <c r="H82" i="18"/>
  <c r="I33" i="18"/>
  <c r="H33" i="18"/>
  <c r="J267" i="37"/>
  <c r="J268" i="37"/>
  <c r="J268" i="41" s="1"/>
  <c r="J269" i="37"/>
  <c r="J269" i="41" s="1"/>
  <c r="I200" i="58"/>
  <c r="I198" i="58"/>
  <c r="I199" i="58"/>
  <c r="I154" i="58"/>
  <c r="I153" i="58"/>
  <c r="I155" i="58"/>
  <c r="I156" i="58"/>
  <c r="I314" i="58"/>
  <c r="I313" i="58"/>
  <c r="I312" i="58"/>
  <c r="H324" i="18"/>
  <c r="I324" i="18"/>
  <c r="H281" i="18"/>
  <c r="I281" i="18"/>
  <c r="I304" i="58"/>
  <c r="I303" i="58"/>
  <c r="I305" i="58"/>
  <c r="J154" i="58"/>
  <c r="J155" i="58"/>
  <c r="J153" i="58"/>
  <c r="J156" i="58"/>
  <c r="I326" i="18"/>
  <c r="H326" i="18"/>
  <c r="J176" i="58"/>
  <c r="J174" i="58"/>
  <c r="J175" i="58"/>
  <c r="J187" i="58"/>
  <c r="J186" i="58"/>
  <c r="J188" i="58"/>
  <c r="I267" i="37"/>
  <c r="I269" i="37"/>
  <c r="I268" i="37"/>
  <c r="I346" i="37"/>
  <c r="I345" i="37"/>
  <c r="I348" i="37"/>
  <c r="I347" i="37"/>
  <c r="I405" i="37"/>
  <c r="I407" i="37"/>
  <c r="I406" i="37"/>
  <c r="N173" i="66"/>
  <c r="O173" i="66" s="1"/>
  <c r="P173" i="66"/>
  <c r="V173" i="66" s="1"/>
  <c r="S173" i="66"/>
  <c r="R173" i="66"/>
  <c r="W173" i="66"/>
  <c r="H287" i="18"/>
  <c r="I287" i="18"/>
  <c r="J251" i="58"/>
  <c r="J249" i="58"/>
  <c r="J250" i="58"/>
  <c r="H69" i="18"/>
  <c r="I69" i="18"/>
  <c r="I84" i="18"/>
  <c r="H84" i="18"/>
  <c r="I75" i="18"/>
  <c r="H75" i="18"/>
  <c r="I39" i="18"/>
  <c r="H39" i="18"/>
  <c r="I35" i="18"/>
  <c r="H35" i="18"/>
  <c r="I36" i="18"/>
  <c r="H36" i="18"/>
  <c r="H320" i="18"/>
  <c r="I320" i="18"/>
  <c r="H22" i="18"/>
  <c r="I22" i="18"/>
  <c r="I189" i="37"/>
  <c r="I190" i="37"/>
  <c r="I190" i="41" s="1"/>
  <c r="I191" i="37"/>
  <c r="I285" i="37"/>
  <c r="I286" i="37"/>
  <c r="I286" i="41" s="1"/>
  <c r="I287" i="37"/>
  <c r="I287" i="41" s="1"/>
  <c r="H290" i="18"/>
  <c r="I290" i="18"/>
  <c r="J324" i="58"/>
  <c r="J322" i="58"/>
  <c r="J323" i="58"/>
  <c r="J321" i="58"/>
  <c r="I296" i="37"/>
  <c r="I295" i="37"/>
  <c r="I295" i="41" s="1"/>
  <c r="I294" i="37"/>
  <c r="I380" i="37"/>
  <c r="I379" i="37"/>
  <c r="I378" i="37"/>
  <c r="I378" i="41" s="1"/>
  <c r="J186" i="37"/>
  <c r="J187" i="37"/>
  <c r="J188" i="37"/>
  <c r="J176" i="37"/>
  <c r="J175" i="37"/>
  <c r="J174" i="37"/>
  <c r="I85" i="18"/>
  <c r="H85" i="18"/>
  <c r="I31" i="18"/>
  <c r="H31" i="18"/>
  <c r="J407" i="37"/>
  <c r="J407" i="41" s="1"/>
  <c r="J406" i="37"/>
  <c r="J405" i="37"/>
  <c r="J405" i="41" s="1"/>
  <c r="I30" i="18"/>
  <c r="H30" i="18"/>
  <c r="I334" i="58"/>
  <c r="I333" i="58"/>
  <c r="I336" i="58"/>
  <c r="I335" i="58"/>
  <c r="I312" i="18"/>
  <c r="H312" i="18"/>
  <c r="I226" i="58"/>
  <c r="I227" i="58"/>
  <c r="I228" i="58"/>
  <c r="I225" i="58"/>
  <c r="H337" i="18"/>
  <c r="I337" i="18"/>
  <c r="J278" i="58"/>
  <c r="J276" i="58"/>
  <c r="J277" i="58"/>
  <c r="I329" i="18"/>
  <c r="H329" i="18"/>
  <c r="I335" i="18"/>
  <c r="H335" i="18"/>
  <c r="E280" i="38"/>
  <c r="E286" i="38"/>
  <c r="H17" i="18"/>
  <c r="I17" i="18"/>
  <c r="I370" i="37"/>
  <c r="I371" i="37"/>
  <c r="I369" i="37"/>
  <c r="H29" i="18"/>
  <c r="I29" i="18"/>
  <c r="J303" i="58"/>
  <c r="J304" i="58"/>
  <c r="J305" i="58"/>
  <c r="J370" i="58"/>
  <c r="J371" i="58"/>
  <c r="J369" i="58"/>
  <c r="H295" i="18"/>
  <c r="I295" i="18"/>
  <c r="I397" i="37"/>
  <c r="I397" i="41" s="1"/>
  <c r="I396" i="37"/>
  <c r="I396" i="41" s="1"/>
  <c r="I398" i="37"/>
  <c r="I398" i="41" s="1"/>
  <c r="H58" i="18"/>
  <c r="I58" i="18"/>
  <c r="J259" i="37"/>
  <c r="J259" i="41" s="1"/>
  <c r="J258" i="37"/>
  <c r="J258" i="41" s="1"/>
  <c r="J260" i="37"/>
  <c r="J260" i="41" s="1"/>
  <c r="H78" i="18"/>
  <c r="I78" i="18"/>
  <c r="H42" i="18"/>
  <c r="I42" i="18"/>
  <c r="J370" i="37"/>
  <c r="J371" i="37"/>
  <c r="J369" i="37"/>
  <c r="J249" i="37"/>
  <c r="J250" i="37"/>
  <c r="J251" i="37"/>
  <c r="I217" i="58"/>
  <c r="I216" i="58"/>
  <c r="I218" i="58"/>
  <c r="H319" i="18"/>
  <c r="I319" i="18"/>
  <c r="H464" i="41"/>
  <c r="H271" i="18"/>
  <c r="I271" i="18"/>
  <c r="I387" i="37"/>
  <c r="I389" i="37"/>
  <c r="I388" i="37"/>
  <c r="I274" i="18"/>
  <c r="F274" i="18" s="1"/>
  <c r="H274" i="18"/>
  <c r="I251" i="58"/>
  <c r="I249" i="58"/>
  <c r="I250" i="58"/>
  <c r="I279" i="18"/>
  <c r="F279" i="18" s="1"/>
  <c r="H279" i="18"/>
  <c r="H331" i="18"/>
  <c r="I331" i="18"/>
  <c r="I322" i="37"/>
  <c r="I323" i="37"/>
  <c r="I324" i="37"/>
  <c r="I324" i="41" s="1"/>
  <c r="I321" i="37"/>
  <c r="J144" i="58"/>
  <c r="J141" i="58"/>
  <c r="J143" i="58"/>
  <c r="J142" i="58"/>
  <c r="I238" i="37"/>
  <c r="I239" i="37"/>
  <c r="I240" i="37"/>
  <c r="I240" i="41" s="1"/>
  <c r="I237" i="37"/>
  <c r="I237" i="41" s="1"/>
  <c r="H70" i="18"/>
  <c r="I70" i="18"/>
  <c r="J294" i="37"/>
  <c r="J294" i="41" s="1"/>
  <c r="J295" i="37"/>
  <c r="J296" i="37"/>
  <c r="J296" i="41" s="1"/>
  <c r="J414" i="37"/>
  <c r="J415" i="37"/>
  <c r="J415" i="41" s="1"/>
  <c r="J416" i="37"/>
  <c r="J416" i="41" s="1"/>
  <c r="I40" i="18"/>
  <c r="H40" i="18"/>
  <c r="I37" i="18"/>
  <c r="H37" i="18"/>
  <c r="J208" i="37"/>
  <c r="J208" i="41" s="1"/>
  <c r="J207" i="37"/>
  <c r="J209" i="37"/>
  <c r="J209" i="41" s="1"/>
  <c r="I323" i="18"/>
  <c r="F323" i="18" s="1"/>
  <c r="H323" i="18"/>
  <c r="I313" i="18"/>
  <c r="H313" i="18"/>
  <c r="R29" i="66"/>
  <c r="P29" i="66"/>
  <c r="V29" i="66" s="1"/>
  <c r="S29" i="66"/>
  <c r="W29" i="66"/>
  <c r="H332" i="18"/>
  <c r="I332" i="18"/>
  <c r="I303" i="37"/>
  <c r="I305" i="37"/>
  <c r="I304" i="37"/>
  <c r="H275" i="18"/>
  <c r="I275" i="18"/>
  <c r="I268" i="58"/>
  <c r="I267" i="58"/>
  <c r="I269" i="58"/>
  <c r="I333" i="18"/>
  <c r="H333" i="18"/>
  <c r="I19" i="18"/>
  <c r="H19" i="18"/>
  <c r="I142" i="37"/>
  <c r="I141" i="37"/>
  <c r="I144" i="37"/>
  <c r="I143" i="37"/>
  <c r="I251" i="37"/>
  <c r="I250" i="37"/>
  <c r="I249" i="37"/>
  <c r="J287" i="58"/>
  <c r="J285" i="58"/>
  <c r="J286" i="58"/>
  <c r="I284" i="18"/>
  <c r="H284" i="18"/>
  <c r="H293" i="18"/>
  <c r="I293" i="18"/>
  <c r="H59" i="18"/>
  <c r="I59" i="18"/>
  <c r="H60" i="18"/>
  <c r="I60" i="18"/>
  <c r="I83" i="18"/>
  <c r="H83" i="18"/>
  <c r="H80" i="18"/>
  <c r="I80" i="18"/>
  <c r="J387" i="37"/>
  <c r="J389" i="37"/>
  <c r="J388" i="37"/>
  <c r="I34" i="18"/>
  <c r="H34" i="18"/>
  <c r="J185" i="37"/>
  <c r="J185" i="41" s="1"/>
  <c r="J184" i="37"/>
  <c r="J183" i="37"/>
  <c r="J183" i="41" s="1"/>
  <c r="J165" i="37"/>
  <c r="J166" i="37"/>
  <c r="J166" i="41" s="1"/>
  <c r="J167" i="37"/>
  <c r="J167" i="41" s="1"/>
  <c r="H322" i="18"/>
  <c r="I322" i="18"/>
  <c r="H310" i="18"/>
  <c r="I310" i="18"/>
  <c r="I269" i="18"/>
  <c r="H269" i="18"/>
  <c r="J359" i="58"/>
  <c r="J357" i="58"/>
  <c r="J360" i="58"/>
  <c r="J358" i="58"/>
  <c r="I208" i="37"/>
  <c r="I209" i="37"/>
  <c r="I207" i="37"/>
  <c r="H288" i="18"/>
  <c r="I288" i="18"/>
  <c r="H283" i="18"/>
  <c r="I283" i="18"/>
  <c r="I369" i="58"/>
  <c r="I370" i="58"/>
  <c r="I371" i="58"/>
  <c r="I280" i="18"/>
  <c r="F280" i="18" s="1"/>
  <c r="H280" i="18"/>
  <c r="H268" i="18"/>
  <c r="I268" i="18"/>
  <c r="I278" i="18"/>
  <c r="H278" i="18"/>
  <c r="J25" i="66"/>
  <c r="H456" i="37"/>
  <c r="H456" i="41" s="1"/>
  <c r="J198" i="58"/>
  <c r="J200" i="58"/>
  <c r="J199" i="58"/>
  <c r="H25" i="18"/>
  <c r="I25" i="18"/>
  <c r="I292" i="18"/>
  <c r="H292" i="18"/>
  <c r="J388" i="58"/>
  <c r="J387" i="58"/>
  <c r="J389" i="58"/>
  <c r="J225" i="58"/>
  <c r="J227" i="58"/>
  <c r="J226" i="58"/>
  <c r="J228" i="58"/>
  <c r="Z38" i="66"/>
  <c r="Y182" i="66"/>
  <c r="Z182" i="66"/>
  <c r="Y38" i="66"/>
  <c r="I61" i="18"/>
  <c r="F61" i="18" s="1"/>
  <c r="H61" i="18"/>
  <c r="H68" i="18"/>
  <c r="I68" i="18"/>
  <c r="J358" i="37"/>
  <c r="J357" i="37"/>
  <c r="J360" i="37"/>
  <c r="J359" i="37"/>
  <c r="H74" i="18"/>
  <c r="I74" i="18"/>
  <c r="J346" i="37"/>
  <c r="J346" i="41" s="1"/>
  <c r="J347" i="37"/>
  <c r="J345" i="37"/>
  <c r="J348" i="37"/>
  <c r="J348" i="41" s="1"/>
  <c r="J304" i="37"/>
  <c r="J303" i="37"/>
  <c r="J305" i="37"/>
  <c r="H318" i="18"/>
  <c r="I318" i="18"/>
  <c r="H317" i="18"/>
  <c r="I317" i="18"/>
  <c r="L178" i="66"/>
  <c r="H483" i="58"/>
  <c r="I239" i="41" l="1"/>
  <c r="J333" i="41"/>
  <c r="J240" i="41"/>
  <c r="J184" i="41"/>
  <c r="I238" i="41"/>
  <c r="I407" i="41"/>
  <c r="J216" i="41"/>
  <c r="I346" i="41"/>
  <c r="I191" i="41"/>
  <c r="I167" i="41"/>
  <c r="I296" i="41"/>
  <c r="C44" i="63"/>
  <c r="C24" i="63"/>
  <c r="I259" i="41"/>
  <c r="C54" i="63"/>
  <c r="C14" i="63"/>
  <c r="C33" i="63"/>
  <c r="I184" i="41"/>
  <c r="J334" i="41"/>
  <c r="I209" i="41"/>
  <c r="I405" i="41"/>
  <c r="I348" i="41"/>
  <c r="I305" i="41"/>
  <c r="J188" i="41"/>
  <c r="O7" i="41" s="1"/>
  <c r="I406" i="41"/>
  <c r="I359" i="41"/>
  <c r="I389" i="41"/>
  <c r="J250" i="41"/>
  <c r="J237" i="41"/>
  <c r="J238" i="41"/>
  <c r="J360" i="41"/>
  <c r="J239" i="41"/>
  <c r="I260" i="41"/>
  <c r="I304" i="41"/>
  <c r="J65" i="18"/>
  <c r="I379" i="41"/>
  <c r="I360" i="41"/>
  <c r="J388" i="41"/>
  <c r="I322" i="41"/>
  <c r="I166" i="41"/>
  <c r="I208" i="41"/>
  <c r="J358" i="41"/>
  <c r="J357" i="41"/>
  <c r="T29" i="66"/>
  <c r="J186" i="41"/>
  <c r="I380" i="41"/>
  <c r="J289" i="18"/>
  <c r="J304" i="41"/>
  <c r="J174" i="41"/>
  <c r="J175" i="41"/>
  <c r="I258" i="41"/>
  <c r="J280" i="18"/>
  <c r="J38" i="18"/>
  <c r="I347" i="41"/>
  <c r="I183" i="41"/>
  <c r="T16" i="66"/>
  <c r="J295" i="41"/>
  <c r="I323" i="41"/>
  <c r="J251" i="41"/>
  <c r="I294" i="41"/>
  <c r="J305" i="41"/>
  <c r="I388" i="41"/>
  <c r="I276" i="41"/>
  <c r="J190" i="41"/>
  <c r="X185" i="66"/>
  <c r="T173" i="66"/>
  <c r="O160" i="66"/>
  <c r="J371" i="41"/>
  <c r="J335" i="41"/>
  <c r="J347" i="41"/>
  <c r="J370" i="41"/>
  <c r="J176" i="41"/>
  <c r="T160" i="66"/>
  <c r="I250" i="41"/>
  <c r="J414" i="41"/>
  <c r="J323" i="18"/>
  <c r="J274" i="18"/>
  <c r="J406" i="41"/>
  <c r="J217" i="41"/>
  <c r="J378" i="41"/>
  <c r="F268" i="18"/>
  <c r="J268" i="18"/>
  <c r="F333" i="18"/>
  <c r="J333" i="18"/>
  <c r="J279" i="18"/>
  <c r="F271" i="18"/>
  <c r="J271" i="18"/>
  <c r="F71" i="66"/>
  <c r="N71" i="66" s="1"/>
  <c r="I369" i="41"/>
  <c r="D26" i="57"/>
  <c r="J75" i="18"/>
  <c r="F75" i="18"/>
  <c r="I267" i="41"/>
  <c r="D23" i="57"/>
  <c r="F62" i="66"/>
  <c r="N62" i="66" s="1"/>
  <c r="F33" i="18"/>
  <c r="J33" i="18"/>
  <c r="J291" i="18"/>
  <c r="F291" i="18"/>
  <c r="S19" i="66"/>
  <c r="W19" i="66"/>
  <c r="J322" i="41"/>
  <c r="J285" i="18"/>
  <c r="F285" i="18"/>
  <c r="F27" i="18"/>
  <c r="J27" i="18"/>
  <c r="I336" i="41"/>
  <c r="F23" i="18"/>
  <c r="J23" i="18"/>
  <c r="J286" i="41"/>
  <c r="I199" i="41"/>
  <c r="T185" i="66"/>
  <c r="J311" i="18"/>
  <c r="F311" i="18"/>
  <c r="J314" i="41"/>
  <c r="I218" i="41"/>
  <c r="D75" i="57"/>
  <c r="F254" i="66"/>
  <c r="N254" i="66" s="1"/>
  <c r="R178" i="66"/>
  <c r="T178" i="66" s="1"/>
  <c r="P178" i="66"/>
  <c r="V178" i="66" s="1"/>
  <c r="X178" i="66" s="1"/>
  <c r="N178" i="66"/>
  <c r="F74" i="18"/>
  <c r="J74" i="18"/>
  <c r="J165" i="41"/>
  <c r="F114" i="66"/>
  <c r="N114" i="66" s="1"/>
  <c r="D32" i="57"/>
  <c r="J83" i="18"/>
  <c r="F83" i="18"/>
  <c r="D21" i="57"/>
  <c r="I249" i="41"/>
  <c r="N3" i="37"/>
  <c r="F89" i="66"/>
  <c r="X29" i="66"/>
  <c r="F40" i="18"/>
  <c r="J40" i="18"/>
  <c r="I371" i="41"/>
  <c r="X173" i="66"/>
  <c r="J156" i="41"/>
  <c r="I333" i="41"/>
  <c r="F129" i="66"/>
  <c r="N129" i="66" s="1"/>
  <c r="J285" i="41"/>
  <c r="D37" i="57"/>
  <c r="I200" i="41"/>
  <c r="J313" i="41"/>
  <c r="I217" i="41"/>
  <c r="N169" i="66"/>
  <c r="S169" i="66"/>
  <c r="R169" i="66"/>
  <c r="P169" i="66"/>
  <c r="V169" i="66" s="1"/>
  <c r="W169" i="66"/>
  <c r="F292" i="18"/>
  <c r="J292" i="18"/>
  <c r="J317" i="18"/>
  <c r="F317" i="18"/>
  <c r="J25" i="18"/>
  <c r="F25" i="18"/>
  <c r="F60" i="18"/>
  <c r="J60" i="18"/>
  <c r="F206" i="66"/>
  <c r="N206" i="66" s="1"/>
  <c r="D62" i="57"/>
  <c r="E32" i="53"/>
  <c r="F259" i="66"/>
  <c r="F42" i="18"/>
  <c r="J42" i="18"/>
  <c r="J295" i="18"/>
  <c r="F295" i="18"/>
  <c r="I370" i="41"/>
  <c r="J337" i="18"/>
  <c r="F337" i="18"/>
  <c r="F84" i="18"/>
  <c r="J84" i="18"/>
  <c r="Q173" i="66"/>
  <c r="U173" i="66"/>
  <c r="J82" i="18"/>
  <c r="F82" i="18"/>
  <c r="X160" i="66"/>
  <c r="J153" i="41"/>
  <c r="L40" i="66"/>
  <c r="H482" i="37"/>
  <c r="H455" i="58"/>
  <c r="H455" i="41" s="1"/>
  <c r="J163" i="66"/>
  <c r="I335" i="41"/>
  <c r="J396" i="41"/>
  <c r="I198" i="41"/>
  <c r="J277" i="18"/>
  <c r="F277" i="18"/>
  <c r="J312" i="41"/>
  <c r="I216" i="41"/>
  <c r="D77" i="57"/>
  <c r="F253" i="66"/>
  <c r="N253" i="66" s="1"/>
  <c r="J62" i="18"/>
  <c r="F62" i="18"/>
  <c r="F256" i="66"/>
  <c r="D70" i="57"/>
  <c r="J327" i="18"/>
  <c r="F327" i="18"/>
  <c r="J359" i="41"/>
  <c r="I251" i="41"/>
  <c r="D60" i="57"/>
  <c r="F233" i="66"/>
  <c r="N3" i="58"/>
  <c r="J319" i="18"/>
  <c r="F319" i="18"/>
  <c r="J17" i="18"/>
  <c r="F17" i="18"/>
  <c r="F30" i="18"/>
  <c r="J30" i="18"/>
  <c r="J187" i="41"/>
  <c r="J290" i="18"/>
  <c r="F290" i="18"/>
  <c r="J320" i="18"/>
  <c r="F320" i="18"/>
  <c r="J69" i="18"/>
  <c r="F69" i="18"/>
  <c r="D61" i="57"/>
  <c r="F221" i="66"/>
  <c r="J199" i="41"/>
  <c r="I165" i="41"/>
  <c r="F66" i="66"/>
  <c r="N66" i="66" s="1"/>
  <c r="D19" i="57"/>
  <c r="J155" i="41"/>
  <c r="I175" i="41"/>
  <c r="D72" i="57"/>
  <c r="F264" i="66"/>
  <c r="N264" i="66" s="1"/>
  <c r="M40" i="66"/>
  <c r="B17" i="8"/>
  <c r="J18" i="18"/>
  <c r="F18" i="18"/>
  <c r="I334" i="41"/>
  <c r="F21" i="18"/>
  <c r="J21" i="18"/>
  <c r="F205" i="66"/>
  <c r="N205" i="66" s="1"/>
  <c r="D64" i="57"/>
  <c r="J398" i="41"/>
  <c r="J67" i="18"/>
  <c r="O29" i="66"/>
  <c r="F59" i="18"/>
  <c r="J59" i="18"/>
  <c r="I143" i="41"/>
  <c r="J275" i="18"/>
  <c r="F275" i="18"/>
  <c r="F313" i="18"/>
  <c r="J313" i="18"/>
  <c r="F265" i="66"/>
  <c r="D67" i="57"/>
  <c r="J78" i="18"/>
  <c r="F78" i="18"/>
  <c r="D78" i="57"/>
  <c r="F263" i="66"/>
  <c r="N263" i="66" s="1"/>
  <c r="F196" i="66"/>
  <c r="N196" i="66" s="1"/>
  <c r="D55" i="57"/>
  <c r="J198" i="41"/>
  <c r="F328" i="18"/>
  <c r="J328" i="18"/>
  <c r="J154" i="41"/>
  <c r="I174" i="41"/>
  <c r="J270" i="18"/>
  <c r="F270" i="18"/>
  <c r="F77" i="18"/>
  <c r="J77" i="18"/>
  <c r="I415" i="41"/>
  <c r="N41" i="66"/>
  <c r="R41" i="66"/>
  <c r="S41" i="66"/>
  <c r="P41" i="66"/>
  <c r="V41" i="66" s="1"/>
  <c r="W41" i="66"/>
  <c r="J397" i="41"/>
  <c r="F76" i="18"/>
  <c r="J76" i="18"/>
  <c r="Z173" i="66"/>
  <c r="J41" i="18"/>
  <c r="F41" i="18"/>
  <c r="F215" i="66"/>
  <c r="N215" i="66" s="1"/>
  <c r="D65" i="57"/>
  <c r="I144" i="41"/>
  <c r="B18" i="8"/>
  <c r="M34" i="66"/>
  <c r="F281" i="18"/>
  <c r="J281" i="18"/>
  <c r="J200" i="41"/>
  <c r="J334" i="18"/>
  <c r="F334" i="18"/>
  <c r="I176" i="41"/>
  <c r="F316" i="18"/>
  <c r="J316" i="18"/>
  <c r="J379" i="41"/>
  <c r="I414" i="41"/>
  <c r="J273" i="18"/>
  <c r="F273" i="18"/>
  <c r="J73" i="18"/>
  <c r="F73" i="18"/>
  <c r="J16" i="18"/>
  <c r="F16" i="18"/>
  <c r="F81" i="18"/>
  <c r="J81" i="18"/>
  <c r="Z29" i="66"/>
  <c r="D68" i="57"/>
  <c r="F244" i="66"/>
  <c r="N244" i="66" s="1"/>
  <c r="J283" i="18"/>
  <c r="F283" i="18"/>
  <c r="F269" i="18"/>
  <c r="J269" i="18"/>
  <c r="F34" i="18"/>
  <c r="J34" i="18"/>
  <c r="J293" i="18"/>
  <c r="F293" i="18"/>
  <c r="I141" i="41"/>
  <c r="F73" i="66"/>
  <c r="D15" i="57"/>
  <c r="I493" i="37"/>
  <c r="I494" i="37"/>
  <c r="I321" i="41"/>
  <c r="D17" i="57"/>
  <c r="E393" i="38"/>
  <c r="M86" i="66" s="1"/>
  <c r="F86" i="66"/>
  <c r="L34" i="66"/>
  <c r="H483" i="37"/>
  <c r="H483" i="41" s="1"/>
  <c r="J36" i="18"/>
  <c r="F36" i="18"/>
  <c r="F281" i="66"/>
  <c r="O3" i="58"/>
  <c r="D73" i="57"/>
  <c r="J330" i="18"/>
  <c r="F330" i="18"/>
  <c r="I188" i="41"/>
  <c r="N7" i="41" s="1"/>
  <c r="I416" i="41"/>
  <c r="J336" i="18"/>
  <c r="F336" i="18"/>
  <c r="J294" i="18"/>
  <c r="F294" i="18"/>
  <c r="J32" i="18"/>
  <c r="F32" i="18"/>
  <c r="Y173" i="66"/>
  <c r="I156" i="41"/>
  <c r="F125" i="66"/>
  <c r="J303" i="41"/>
  <c r="D35" i="57"/>
  <c r="F68" i="18"/>
  <c r="J68" i="18"/>
  <c r="F310" i="18"/>
  <c r="J310" i="18"/>
  <c r="I142" i="41"/>
  <c r="F67" i="66"/>
  <c r="E14" i="53"/>
  <c r="I285" i="41"/>
  <c r="F81" i="66"/>
  <c r="N81" i="66" s="1"/>
  <c r="D24" i="57"/>
  <c r="J66" i="18"/>
  <c r="F20" i="18"/>
  <c r="J20" i="18"/>
  <c r="D16" i="57"/>
  <c r="F52" i="66"/>
  <c r="N52" i="66" s="1"/>
  <c r="I225" i="41"/>
  <c r="J218" i="41"/>
  <c r="I186" i="41"/>
  <c r="F210" i="66"/>
  <c r="N210" i="66" s="1"/>
  <c r="D58" i="57"/>
  <c r="J380" i="41"/>
  <c r="F216" i="66"/>
  <c r="N216" i="66" s="1"/>
  <c r="D59" i="57"/>
  <c r="J141" i="41"/>
  <c r="M48" i="39" s="1"/>
  <c r="F121" i="66"/>
  <c r="D28" i="57"/>
  <c r="J277" i="41"/>
  <c r="J282" i="18"/>
  <c r="F282" i="18"/>
  <c r="F63" i="18"/>
  <c r="J63" i="18"/>
  <c r="Y29" i="66"/>
  <c r="F43" i="18"/>
  <c r="J43" i="18"/>
  <c r="I153" i="41"/>
  <c r="F28" i="18"/>
  <c r="J28" i="18"/>
  <c r="F272" i="18"/>
  <c r="J272" i="18"/>
  <c r="F208" i="66"/>
  <c r="D57" i="57"/>
  <c r="F274" i="66"/>
  <c r="E34" i="53"/>
  <c r="F34" i="53" s="1"/>
  <c r="D79" i="57"/>
  <c r="P25" i="66"/>
  <c r="V25" i="66" s="1"/>
  <c r="R25" i="66"/>
  <c r="S25" i="66"/>
  <c r="W25" i="66"/>
  <c r="N25" i="66"/>
  <c r="J288" i="18"/>
  <c r="F288" i="18"/>
  <c r="J389" i="41"/>
  <c r="F77" i="66"/>
  <c r="I303" i="41"/>
  <c r="D22" i="57"/>
  <c r="D31" i="57"/>
  <c r="F112" i="66"/>
  <c r="J207" i="41"/>
  <c r="M49" i="39" s="1"/>
  <c r="E181" i="38" s="1"/>
  <c r="J70" i="18"/>
  <c r="F70" i="18"/>
  <c r="J335" i="18"/>
  <c r="F335" i="18"/>
  <c r="F31" i="18"/>
  <c r="J31" i="18"/>
  <c r="F35" i="18"/>
  <c r="J35" i="18"/>
  <c r="J287" i="18"/>
  <c r="F287" i="18"/>
  <c r="F61" i="66"/>
  <c r="N61" i="66" s="1"/>
  <c r="I345" i="41"/>
  <c r="D25" i="57"/>
  <c r="F324" i="18"/>
  <c r="J324" i="18"/>
  <c r="I227" i="41"/>
  <c r="I187" i="41"/>
  <c r="X16" i="66"/>
  <c r="J189" i="41"/>
  <c r="D33" i="57"/>
  <c r="F120" i="66"/>
  <c r="N120" i="66" s="1"/>
  <c r="F286" i="18"/>
  <c r="J286" i="18"/>
  <c r="F325" i="18"/>
  <c r="J325" i="18"/>
  <c r="J143" i="41"/>
  <c r="J276" i="41"/>
  <c r="J227" i="41"/>
  <c r="D71" i="57"/>
  <c r="F258" i="66"/>
  <c r="N258" i="66" s="1"/>
  <c r="J321" i="18"/>
  <c r="F321" i="18"/>
  <c r="F72" i="18"/>
  <c r="J72" i="18"/>
  <c r="I155" i="41"/>
  <c r="J61" i="18"/>
  <c r="F322" i="18"/>
  <c r="J322" i="18"/>
  <c r="E28" i="53"/>
  <c r="F28" i="53" s="1"/>
  <c r="H34" i="53" s="1"/>
  <c r="J387" i="41"/>
  <c r="F130" i="66"/>
  <c r="D40" i="57"/>
  <c r="F284" i="18"/>
  <c r="J284" i="18"/>
  <c r="J19" i="18"/>
  <c r="F19" i="18"/>
  <c r="F332" i="18"/>
  <c r="J332" i="18"/>
  <c r="J58" i="18"/>
  <c r="F58" i="18"/>
  <c r="D74" i="57"/>
  <c r="F269" i="66"/>
  <c r="J312" i="18"/>
  <c r="F312" i="18"/>
  <c r="J326" i="18"/>
  <c r="F326" i="18"/>
  <c r="J71" i="18"/>
  <c r="F71" i="18"/>
  <c r="I228" i="41"/>
  <c r="I494" i="58"/>
  <c r="F230" i="66"/>
  <c r="E396" i="38"/>
  <c r="M230" i="66" s="1"/>
  <c r="I493" i="58"/>
  <c r="F231" i="66" s="1"/>
  <c r="N231" i="66" s="1"/>
  <c r="D56" i="57"/>
  <c r="J493" i="37"/>
  <c r="F134" i="66"/>
  <c r="J494" i="37"/>
  <c r="J321" i="41"/>
  <c r="E394" i="38"/>
  <c r="M134" i="66" s="1"/>
  <c r="D30" i="57"/>
  <c r="Y16" i="66"/>
  <c r="Z16" i="66"/>
  <c r="O16" i="66"/>
  <c r="Z160" i="66"/>
  <c r="Y160" i="66"/>
  <c r="J191" i="41"/>
  <c r="J144" i="41"/>
  <c r="J278" i="41"/>
  <c r="J228" i="41"/>
  <c r="I314" i="41"/>
  <c r="I154" i="41"/>
  <c r="F24" i="18"/>
  <c r="J24" i="18"/>
  <c r="J276" i="18"/>
  <c r="F276" i="18"/>
  <c r="J345" i="41"/>
  <c r="F109" i="66"/>
  <c r="N109" i="66" s="1"/>
  <c r="D38" i="57"/>
  <c r="J278" i="18"/>
  <c r="F278" i="18"/>
  <c r="F64" i="66"/>
  <c r="D18" i="57"/>
  <c r="I207" i="41"/>
  <c r="L49" i="39" s="1"/>
  <c r="E164" i="38" s="1"/>
  <c r="J80" i="18"/>
  <c r="F80" i="18"/>
  <c r="F331" i="18"/>
  <c r="J331" i="18"/>
  <c r="F137" i="66"/>
  <c r="O3" i="37"/>
  <c r="D34" i="57"/>
  <c r="J249" i="41"/>
  <c r="M51" i="39" s="1"/>
  <c r="E183" i="38" s="1"/>
  <c r="J29" i="18"/>
  <c r="F29" i="18"/>
  <c r="J329" i="18"/>
  <c r="F329" i="18"/>
  <c r="F85" i="18"/>
  <c r="J85" i="18"/>
  <c r="I189" i="41"/>
  <c r="F72" i="66"/>
  <c r="N72" i="66" s="1"/>
  <c r="D20" i="57"/>
  <c r="F39" i="18"/>
  <c r="J39" i="18"/>
  <c r="I268" i="41"/>
  <c r="J267" i="41"/>
  <c r="D36" i="57"/>
  <c r="F110" i="66"/>
  <c r="N110" i="66" s="1"/>
  <c r="D54" i="57"/>
  <c r="F217" i="66"/>
  <c r="I226" i="41"/>
  <c r="J324" i="41"/>
  <c r="F226" i="66"/>
  <c r="E22" i="53"/>
  <c r="F22" i="53" s="1"/>
  <c r="D66" i="57"/>
  <c r="J142" i="41"/>
  <c r="F115" i="66"/>
  <c r="E26" i="53"/>
  <c r="F64" i="18"/>
  <c r="J64" i="18"/>
  <c r="F100" i="66"/>
  <c r="N100" i="66" s="1"/>
  <c r="D29" i="57"/>
  <c r="J225" i="41"/>
  <c r="I312" i="41"/>
  <c r="J318" i="18"/>
  <c r="F318" i="18"/>
  <c r="D76" i="57"/>
  <c r="F273" i="66"/>
  <c r="N273" i="66" s="1"/>
  <c r="F37" i="18"/>
  <c r="J37" i="18"/>
  <c r="I387" i="41"/>
  <c r="D27" i="57"/>
  <c r="E16" i="53"/>
  <c r="F16" i="53" s="1"/>
  <c r="F82" i="66"/>
  <c r="J369" i="41"/>
  <c r="D39" i="57"/>
  <c r="F119" i="66"/>
  <c r="N119" i="66" s="1"/>
  <c r="J494" i="58"/>
  <c r="E397" i="38"/>
  <c r="M278" i="66" s="1"/>
  <c r="D69" i="57"/>
  <c r="J493" i="58"/>
  <c r="F279" i="66" s="1"/>
  <c r="N279" i="66" s="1"/>
  <c r="F278" i="66"/>
  <c r="F22" i="18"/>
  <c r="J22" i="18"/>
  <c r="I269" i="41"/>
  <c r="H8" i="53"/>
  <c r="E20" i="53"/>
  <c r="F211" i="66"/>
  <c r="Q160" i="66"/>
  <c r="U160" i="66"/>
  <c r="J314" i="18"/>
  <c r="F314" i="18"/>
  <c r="J323" i="41"/>
  <c r="F26" i="18"/>
  <c r="J26" i="18"/>
  <c r="J315" i="18"/>
  <c r="F315" i="18"/>
  <c r="J287" i="41"/>
  <c r="J226" i="41"/>
  <c r="I313" i="41"/>
  <c r="F79" i="18"/>
  <c r="J79" i="18"/>
  <c r="F225" i="66"/>
  <c r="N225" i="66" s="1"/>
  <c r="D63" i="57"/>
  <c r="L184" i="66"/>
  <c r="H482" i="58"/>
  <c r="E50" i="39" l="1"/>
  <c r="E131" i="38" s="1"/>
  <c r="J464" i="37" s="1"/>
  <c r="L48" i="39"/>
  <c r="E399" i="38"/>
  <c r="N86" i="66"/>
  <c r="L47" i="39"/>
  <c r="L51" i="39"/>
  <c r="E166" i="38" s="1"/>
  <c r="D51" i="39"/>
  <c r="E115" i="38" s="1"/>
  <c r="I465" i="37" s="1"/>
  <c r="D49" i="39"/>
  <c r="E113" i="38" s="1"/>
  <c r="T25" i="66"/>
  <c r="E48" i="39"/>
  <c r="M47" i="39"/>
  <c r="E179" i="38" s="1"/>
  <c r="N9" i="41"/>
  <c r="M50" i="39"/>
  <c r="E182" i="38" s="1"/>
  <c r="J464" i="58" s="1"/>
  <c r="X41" i="66"/>
  <c r="E400" i="38"/>
  <c r="E402" i="38"/>
  <c r="N134" i="66"/>
  <c r="Z278" i="66" s="1"/>
  <c r="E49" i="39"/>
  <c r="E130" i="38" s="1"/>
  <c r="J112" i="66" s="1"/>
  <c r="D48" i="39"/>
  <c r="E112" i="38" s="1"/>
  <c r="T41" i="66"/>
  <c r="N278" i="66"/>
  <c r="E47" i="39"/>
  <c r="X169" i="66"/>
  <c r="L50" i="39"/>
  <c r="E165" i="38" s="1"/>
  <c r="I464" i="58" s="1"/>
  <c r="E51" i="39"/>
  <c r="E132" i="38" s="1"/>
  <c r="J137" i="66" s="1"/>
  <c r="G24" i="39" s="1"/>
  <c r="D47" i="39"/>
  <c r="E111" i="38" s="1"/>
  <c r="J281" i="66"/>
  <c r="J465" i="58"/>
  <c r="E180" i="38"/>
  <c r="J256" i="66"/>
  <c r="J457" i="58"/>
  <c r="J208" i="66"/>
  <c r="N208" i="66" s="1"/>
  <c r="I457" i="58"/>
  <c r="E403" i="38"/>
  <c r="Z129" i="66"/>
  <c r="Z273" i="66"/>
  <c r="Y273" i="66"/>
  <c r="Y129" i="66"/>
  <c r="H22" i="53"/>
  <c r="G22" i="53" s="1"/>
  <c r="Z100" i="66"/>
  <c r="Z244" i="66"/>
  <c r="Y100" i="66"/>
  <c r="J5" i="6"/>
  <c r="Y244" i="66"/>
  <c r="Z225" i="66"/>
  <c r="Z81" i="66"/>
  <c r="Y225" i="66"/>
  <c r="Y81" i="66"/>
  <c r="E163" i="38"/>
  <c r="J494" i="41"/>
  <c r="F136" i="66"/>
  <c r="E27" i="53"/>
  <c r="F27" i="53" s="1"/>
  <c r="H33" i="53" s="1"/>
  <c r="R34" i="66"/>
  <c r="T34" i="66" s="1"/>
  <c r="P34" i="66"/>
  <c r="V34" i="66" s="1"/>
  <c r="X34" i="66" s="1"/>
  <c r="N34" i="66"/>
  <c r="O178" i="66" s="1"/>
  <c r="O185" i="66"/>
  <c r="Z41" i="66"/>
  <c r="Y185" i="66"/>
  <c r="Y41" i="66"/>
  <c r="O41" i="66"/>
  <c r="Z185" i="66"/>
  <c r="N8" i="41"/>
  <c r="Y278" i="66"/>
  <c r="Y134" i="66"/>
  <c r="Z134" i="66"/>
  <c r="J233" i="66"/>
  <c r="N233" i="66" s="1"/>
  <c r="I465" i="58"/>
  <c r="J89" i="66"/>
  <c r="N89" i="66" s="1"/>
  <c r="Y71" i="66"/>
  <c r="Y215" i="66"/>
  <c r="Z215" i="66"/>
  <c r="Z71" i="66"/>
  <c r="R184" i="66"/>
  <c r="T184" i="66" s="1"/>
  <c r="P184" i="66"/>
  <c r="V184" i="66" s="1"/>
  <c r="X184" i="66" s="1"/>
  <c r="N184" i="66"/>
  <c r="E128" i="38"/>
  <c r="Z216" i="66"/>
  <c r="Z72" i="66"/>
  <c r="Y72" i="66"/>
  <c r="Y216" i="66"/>
  <c r="Z253" i="66"/>
  <c r="Y253" i="66"/>
  <c r="Z109" i="66"/>
  <c r="Y109" i="66"/>
  <c r="J493" i="41"/>
  <c r="F135" i="66"/>
  <c r="N135" i="66" s="1"/>
  <c r="O25" i="66"/>
  <c r="Z25" i="66"/>
  <c r="Y25" i="66"/>
  <c r="Y169" i="66"/>
  <c r="Z169" i="66"/>
  <c r="S163" i="66"/>
  <c r="W163" i="66"/>
  <c r="T169" i="66"/>
  <c r="E129" i="38"/>
  <c r="Y52" i="66"/>
  <c r="Z52" i="66"/>
  <c r="Z196" i="66"/>
  <c r="Y196" i="66"/>
  <c r="I5" i="6"/>
  <c r="Z61" i="66"/>
  <c r="Y61" i="66"/>
  <c r="Y205" i="66"/>
  <c r="Z205" i="66"/>
  <c r="O169" i="66"/>
  <c r="I494" i="41"/>
  <c r="E15" i="53"/>
  <c r="F15" i="53" s="1"/>
  <c r="F88" i="66"/>
  <c r="H482" i="41"/>
  <c r="E33" i="53"/>
  <c r="F33" i="53" s="1"/>
  <c r="F280" i="66"/>
  <c r="Y110" i="66"/>
  <c r="Z110" i="66"/>
  <c r="Z254" i="66"/>
  <c r="Y254" i="66"/>
  <c r="Q16" i="66"/>
  <c r="U16" i="66"/>
  <c r="N230" i="66"/>
  <c r="Y230" i="66" s="1"/>
  <c r="Y120" i="66"/>
  <c r="Y264" i="66"/>
  <c r="Z120" i="66"/>
  <c r="Z264" i="66"/>
  <c r="X25" i="66"/>
  <c r="I493" i="41"/>
  <c r="F87" i="66"/>
  <c r="N87" i="66" s="1"/>
  <c r="Y210" i="66"/>
  <c r="Y66" i="66"/>
  <c r="Z66" i="66"/>
  <c r="Z210" i="66"/>
  <c r="P40" i="66"/>
  <c r="V40" i="66" s="1"/>
  <c r="X40" i="66" s="1"/>
  <c r="R40" i="66"/>
  <c r="T40" i="66" s="1"/>
  <c r="N40" i="66"/>
  <c r="Z206" i="66"/>
  <c r="Y206" i="66"/>
  <c r="Y62" i="66"/>
  <c r="Z62" i="66"/>
  <c r="E162" i="38"/>
  <c r="Y263" i="66"/>
  <c r="Z263" i="66"/>
  <c r="Z119" i="66"/>
  <c r="Y119" i="66"/>
  <c r="I457" i="37"/>
  <c r="I457" i="41" s="1"/>
  <c r="J64" i="66"/>
  <c r="F232" i="66"/>
  <c r="E21" i="53"/>
  <c r="F21" i="53" s="1"/>
  <c r="D50" i="39"/>
  <c r="E114" i="38" s="1"/>
  <c r="H16" i="53"/>
  <c r="G16" i="53" s="1"/>
  <c r="H28" i="53"/>
  <c r="G28" i="53" s="1"/>
  <c r="G34" i="53"/>
  <c r="N281" i="66"/>
  <c r="Q29" i="66"/>
  <c r="U29" i="66"/>
  <c r="Y114" i="66"/>
  <c r="Z258" i="66"/>
  <c r="Y258" i="66"/>
  <c r="Z114" i="66"/>
  <c r="J269" i="66" l="1"/>
  <c r="W269" i="66" s="1"/>
  <c r="J125" i="66"/>
  <c r="N125" i="66" s="1"/>
  <c r="J457" i="37"/>
  <c r="G22" i="39"/>
  <c r="O233" i="66"/>
  <c r="Q233" i="66" s="1"/>
  <c r="R233" i="66" s="1"/>
  <c r="I465" i="41"/>
  <c r="J221" i="66"/>
  <c r="N221" i="66" s="1"/>
  <c r="J465" i="37"/>
  <c r="J465" i="41" s="1"/>
  <c r="N112" i="66"/>
  <c r="E304" i="38"/>
  <c r="E310" i="38"/>
  <c r="Q178" i="66"/>
  <c r="U178" i="66"/>
  <c r="I455" i="58"/>
  <c r="J211" i="66"/>
  <c r="H15" i="53"/>
  <c r="G15" i="53" s="1"/>
  <c r="S208" i="66"/>
  <c r="P208" i="66"/>
  <c r="W208" i="66"/>
  <c r="J456" i="58"/>
  <c r="J265" i="66"/>
  <c r="E328" i="38"/>
  <c r="E334" i="38"/>
  <c r="F22" i="39"/>
  <c r="S64" i="66"/>
  <c r="P64" i="66"/>
  <c r="W64" i="66"/>
  <c r="G33" i="53"/>
  <c r="H27" i="53"/>
  <c r="G27" i="53" s="1"/>
  <c r="Y135" i="66"/>
  <c r="Y279" i="66"/>
  <c r="Z135" i="66"/>
  <c r="Z279" i="66"/>
  <c r="F24" i="39"/>
  <c r="S89" i="66"/>
  <c r="P89" i="66"/>
  <c r="W89" i="66"/>
  <c r="I456" i="37"/>
  <c r="J73" i="66"/>
  <c r="N269" i="66"/>
  <c r="O269" i="66" s="1"/>
  <c r="P269" i="66"/>
  <c r="E316" i="38"/>
  <c r="E322" i="38"/>
  <c r="M226" i="66" s="1"/>
  <c r="Q25" i="66"/>
  <c r="U25" i="66"/>
  <c r="Q41" i="66"/>
  <c r="U41" i="66"/>
  <c r="Q169" i="66"/>
  <c r="U169" i="66"/>
  <c r="J115" i="66"/>
  <c r="J455" i="37"/>
  <c r="J217" i="66"/>
  <c r="I456" i="58"/>
  <c r="J455" i="58"/>
  <c r="J259" i="66"/>
  <c r="Y184" i="66"/>
  <c r="O40" i="66"/>
  <c r="Z40" i="66"/>
  <c r="Z184" i="66"/>
  <c r="Y40" i="66"/>
  <c r="J456" i="37"/>
  <c r="J121" i="66"/>
  <c r="O184" i="66"/>
  <c r="S112" i="66"/>
  <c r="P112" i="66"/>
  <c r="W112" i="66"/>
  <c r="S233" i="66"/>
  <c r="P233" i="66"/>
  <c r="W233" i="66"/>
  <c r="P221" i="66"/>
  <c r="S221" i="66"/>
  <c r="W221" i="66"/>
  <c r="Z86" i="66"/>
  <c r="Q185" i="66"/>
  <c r="U185" i="66"/>
  <c r="N64" i="66"/>
  <c r="O208" i="66" s="1"/>
  <c r="S125" i="66"/>
  <c r="P125" i="66"/>
  <c r="W125" i="66"/>
  <c r="S281" i="66"/>
  <c r="P281" i="66"/>
  <c r="W281" i="66"/>
  <c r="H21" i="53"/>
  <c r="G21" i="53" s="1"/>
  <c r="Y86" i="66"/>
  <c r="Z178" i="66"/>
  <c r="Z34" i="66"/>
  <c r="Y34" i="66"/>
  <c r="Y178" i="66"/>
  <c r="O34" i="66"/>
  <c r="J464" i="41"/>
  <c r="Z230" i="66"/>
  <c r="N137" i="66"/>
  <c r="P137" i="66"/>
  <c r="S137" i="66"/>
  <c r="W137" i="66"/>
  <c r="J457" i="41"/>
  <c r="E346" i="38"/>
  <c r="M274" i="66" s="1"/>
  <c r="E340" i="38"/>
  <c r="N256" i="66"/>
  <c r="O256" i="66" s="1"/>
  <c r="S256" i="66"/>
  <c r="P256" i="66"/>
  <c r="W256" i="66"/>
  <c r="J77" i="66"/>
  <c r="I464" i="37"/>
  <c r="I464" i="41" s="1"/>
  <c r="Z87" i="66"/>
  <c r="Y231" i="66"/>
  <c r="Y87" i="66"/>
  <c r="Z231" i="66"/>
  <c r="O89" i="66"/>
  <c r="Z89" i="66"/>
  <c r="Y89" i="66"/>
  <c r="Y233" i="66"/>
  <c r="Z233" i="66"/>
  <c r="G23" i="39"/>
  <c r="I455" i="37"/>
  <c r="J67" i="66"/>
  <c r="S269" i="66" l="1"/>
  <c r="V233" i="66"/>
  <c r="X233" i="66" s="1"/>
  <c r="U233" i="66"/>
  <c r="J456" i="41"/>
  <c r="T233" i="66"/>
  <c r="I456" i="41"/>
  <c r="Q256" i="66"/>
  <c r="R256" i="66" s="1"/>
  <c r="T256" i="66" s="1"/>
  <c r="U256" i="66"/>
  <c r="V256" i="66"/>
  <c r="X256" i="66" s="1"/>
  <c r="E315" i="38"/>
  <c r="E321" i="38"/>
  <c r="M232" i="66" s="1"/>
  <c r="Q34" i="66"/>
  <c r="U34" i="66"/>
  <c r="J455" i="41"/>
  <c r="Q269" i="66"/>
  <c r="R269" i="66" s="1"/>
  <c r="T269" i="66" s="1"/>
  <c r="V269" i="66"/>
  <c r="X269" i="66" s="1"/>
  <c r="U269" i="66"/>
  <c r="Z125" i="66"/>
  <c r="S115" i="66"/>
  <c r="W115" i="66"/>
  <c r="M130" i="66"/>
  <c r="D18" i="8"/>
  <c r="L130" i="66"/>
  <c r="J483" i="37"/>
  <c r="Q89" i="66"/>
  <c r="R89" i="66" s="1"/>
  <c r="T89" i="66" s="1"/>
  <c r="V89" i="66"/>
  <c r="X89" i="66" s="1"/>
  <c r="U89" i="66"/>
  <c r="N265" i="66"/>
  <c r="P265" i="66"/>
  <c r="S265" i="66"/>
  <c r="W265" i="66"/>
  <c r="Q208" i="66"/>
  <c r="R208" i="66" s="1"/>
  <c r="T208" i="66" s="1"/>
  <c r="U208" i="66"/>
  <c r="V208" i="66"/>
  <c r="X208" i="66" s="1"/>
  <c r="Z137" i="66"/>
  <c r="O137" i="66"/>
  <c r="Y137" i="66"/>
  <c r="Z281" i="66"/>
  <c r="Y281" i="66"/>
  <c r="S259" i="66"/>
  <c r="W259" i="66"/>
  <c r="F21" i="39"/>
  <c r="S73" i="66"/>
  <c r="P73" i="66"/>
  <c r="W73" i="66"/>
  <c r="N73" i="66"/>
  <c r="S211" i="66"/>
  <c r="W211" i="66"/>
  <c r="Y256" i="66"/>
  <c r="I455" i="41"/>
  <c r="L274" i="66"/>
  <c r="J483" i="58"/>
  <c r="Z64" i="66"/>
  <c r="O64" i="66"/>
  <c r="Y64" i="66"/>
  <c r="Z208" i="66"/>
  <c r="Y208" i="66"/>
  <c r="P217" i="66"/>
  <c r="S217" i="66"/>
  <c r="W217" i="66"/>
  <c r="N217" i="66"/>
  <c r="E327" i="38"/>
  <c r="E333" i="38"/>
  <c r="Y112" i="66"/>
  <c r="L226" i="66"/>
  <c r="I483" i="58"/>
  <c r="E339" i="38"/>
  <c r="E345" i="38"/>
  <c r="M280" i="66" s="1"/>
  <c r="O112" i="66"/>
  <c r="Y269" i="66"/>
  <c r="Z112" i="66"/>
  <c r="O125" i="66"/>
  <c r="C18" i="8"/>
  <c r="M82" i="66"/>
  <c r="P121" i="66"/>
  <c r="S121" i="66"/>
  <c r="W121" i="66"/>
  <c r="N121" i="66"/>
  <c r="G21" i="39"/>
  <c r="Z256" i="66"/>
  <c r="Z269" i="66"/>
  <c r="L82" i="66"/>
  <c r="I483" i="37"/>
  <c r="P77" i="66"/>
  <c r="S77" i="66"/>
  <c r="W77" i="66"/>
  <c r="F23" i="39"/>
  <c r="N77" i="66"/>
  <c r="Q184" i="66"/>
  <c r="U184" i="66"/>
  <c r="Q40" i="66"/>
  <c r="U40" i="66"/>
  <c r="O281" i="66"/>
  <c r="S67" i="66"/>
  <c r="W67" i="66"/>
  <c r="E303" i="38"/>
  <c r="E309" i="38"/>
  <c r="Y125" i="66"/>
  <c r="O217" i="66" l="1"/>
  <c r="V217" i="66" s="1"/>
  <c r="X217" i="66" s="1"/>
  <c r="I483" i="41"/>
  <c r="Q125" i="66"/>
  <c r="R125" i="66" s="1"/>
  <c r="T125" i="66" s="1"/>
  <c r="V125" i="66"/>
  <c r="X125" i="66" s="1"/>
  <c r="U125" i="66"/>
  <c r="P226" i="66"/>
  <c r="N226" i="66"/>
  <c r="J483" i="41"/>
  <c r="M88" i="66"/>
  <c r="C17" i="8"/>
  <c r="P130" i="66"/>
  <c r="N130" i="66"/>
  <c r="L280" i="66"/>
  <c r="J482" i="58"/>
  <c r="Q64" i="66"/>
  <c r="R64" i="66" s="1"/>
  <c r="T64" i="66" s="1"/>
  <c r="V64" i="66"/>
  <c r="X64" i="66" s="1"/>
  <c r="U64" i="66"/>
  <c r="O73" i="66"/>
  <c r="Z217" i="66"/>
  <c r="Z73" i="66"/>
  <c r="Y73" i="66"/>
  <c r="Y217" i="66"/>
  <c r="L88" i="66"/>
  <c r="I482" i="37"/>
  <c r="O77" i="66"/>
  <c r="Z221" i="66"/>
  <c r="Y221" i="66"/>
  <c r="Y77" i="66"/>
  <c r="Z77" i="66"/>
  <c r="O221" i="66"/>
  <c r="D17" i="8"/>
  <c r="M136" i="66"/>
  <c r="L136" i="66"/>
  <c r="J482" i="37"/>
  <c r="O265" i="66"/>
  <c r="Z121" i="66"/>
  <c r="O121" i="66"/>
  <c r="Y121" i="66"/>
  <c r="Z265" i="66"/>
  <c r="Y265" i="66"/>
  <c r="Q112" i="66"/>
  <c r="R112" i="66" s="1"/>
  <c r="T112" i="66" s="1"/>
  <c r="U112" i="66"/>
  <c r="V112" i="66"/>
  <c r="X112" i="66" s="1"/>
  <c r="P274" i="66"/>
  <c r="N274" i="66"/>
  <c r="L232" i="66"/>
  <c r="I482" i="58"/>
  <c r="Q281" i="66"/>
  <c r="R281" i="66" s="1"/>
  <c r="T281" i="66" s="1"/>
  <c r="V281" i="66"/>
  <c r="X281" i="66" s="1"/>
  <c r="U281" i="66"/>
  <c r="P82" i="66"/>
  <c r="N82" i="66"/>
  <c r="Q137" i="66"/>
  <c r="R137" i="66" s="1"/>
  <c r="T137" i="66" s="1"/>
  <c r="V137" i="66"/>
  <c r="X137" i="66" s="1"/>
  <c r="U137" i="66"/>
  <c r="U217" i="66" l="1"/>
  <c r="Q217" i="66"/>
  <c r="R217" i="66" s="1"/>
  <c r="T217" i="66" s="1"/>
  <c r="J482" i="41"/>
  <c r="I482" i="41"/>
  <c r="Q221" i="66"/>
  <c r="R221" i="66" s="1"/>
  <c r="T221" i="66" s="1"/>
  <c r="V221" i="66"/>
  <c r="X221" i="66" s="1"/>
  <c r="U221" i="66"/>
  <c r="O226" i="66"/>
  <c r="Q73" i="66"/>
  <c r="R73" i="66" s="1"/>
  <c r="T73" i="66" s="1"/>
  <c r="V73" i="66"/>
  <c r="X73" i="66" s="1"/>
  <c r="U73" i="66"/>
  <c r="P136" i="66"/>
  <c r="N136" i="66"/>
  <c r="P280" i="66"/>
  <c r="N280" i="66"/>
  <c r="P232" i="66"/>
  <c r="N232" i="66"/>
  <c r="Q77" i="66"/>
  <c r="R77" i="66" s="1"/>
  <c r="T77" i="66" s="1"/>
  <c r="V77" i="66"/>
  <c r="X77" i="66" s="1"/>
  <c r="U77" i="66"/>
  <c r="Z82" i="66"/>
  <c r="Y226" i="66"/>
  <c r="Z226" i="66"/>
  <c r="O82" i="66"/>
  <c r="Y82" i="66"/>
  <c r="Z130" i="66"/>
  <c r="Y130" i="66"/>
  <c r="Z274" i="66"/>
  <c r="O130" i="66"/>
  <c r="Y274" i="66"/>
  <c r="P88" i="66"/>
  <c r="N88" i="66"/>
  <c r="Q265" i="66"/>
  <c r="R265" i="66" s="1"/>
  <c r="T265" i="66" s="1"/>
  <c r="U265" i="66"/>
  <c r="V265" i="66"/>
  <c r="X265" i="66" s="1"/>
  <c r="Q121" i="66"/>
  <c r="R121" i="66" s="1"/>
  <c r="T121" i="66" s="1"/>
  <c r="U121" i="66"/>
  <c r="V121" i="66"/>
  <c r="X121" i="66" s="1"/>
  <c r="O274" i="66"/>
  <c r="O280" i="66" l="1"/>
  <c r="Q280" i="66" s="1"/>
  <c r="R280" i="66" s="1"/>
  <c r="T280" i="66" s="1"/>
  <c r="Z136" i="66"/>
  <c r="Y280" i="66"/>
  <c r="Y136" i="66"/>
  <c r="O136" i="66"/>
  <c r="Z280" i="66"/>
  <c r="Q82" i="66"/>
  <c r="R82" i="66" s="1"/>
  <c r="T82" i="66" s="1"/>
  <c r="U82" i="66"/>
  <c r="V82" i="66"/>
  <c r="X82" i="66" s="1"/>
  <c r="Q274" i="66"/>
  <c r="R274" i="66" s="1"/>
  <c r="T274" i="66" s="1"/>
  <c r="U274" i="66"/>
  <c r="V274" i="66"/>
  <c r="X274" i="66" s="1"/>
  <c r="Q130" i="66"/>
  <c r="R130" i="66" s="1"/>
  <c r="T130" i="66" s="1"/>
  <c r="V130" i="66"/>
  <c r="X130" i="66" s="1"/>
  <c r="U130" i="66"/>
  <c r="Q226" i="66"/>
  <c r="R226" i="66" s="1"/>
  <c r="T226" i="66" s="1"/>
  <c r="U226" i="66"/>
  <c r="V226" i="66"/>
  <c r="X226" i="66" s="1"/>
  <c r="O232" i="66"/>
  <c r="Z88" i="66"/>
  <c r="O88" i="66"/>
  <c r="Y232" i="66"/>
  <c r="Y88" i="66"/>
  <c r="Z232" i="66"/>
  <c r="U280" i="66" l="1"/>
  <c r="V280" i="66"/>
  <c r="X280" i="66" s="1"/>
  <c r="V136" i="66"/>
  <c r="X136" i="66" s="1"/>
  <c r="Q136" i="66"/>
  <c r="R136" i="66" s="1"/>
  <c r="T136" i="66" s="1"/>
  <c r="U136" i="66"/>
  <c r="Q88" i="66"/>
  <c r="R88" i="66" s="1"/>
  <c r="T88" i="66" s="1"/>
  <c r="V88" i="66"/>
  <c r="X88" i="66" s="1"/>
  <c r="U88" i="66"/>
  <c r="U232" i="66"/>
  <c r="Q232" i="66"/>
  <c r="R232" i="66" s="1"/>
  <c r="T232" i="66" s="1"/>
  <c r="V232" i="66"/>
  <c r="X232" i="66" s="1"/>
  <c r="D14" i="53" l="1"/>
  <c r="F14" i="53" s="1"/>
  <c r="D32" i="53"/>
  <c r="F32" i="53" s="1"/>
  <c r="D26" i="53"/>
  <c r="F26" i="53" s="1"/>
  <c r="J496" i="37"/>
  <c r="J496" i="58"/>
  <c r="J497" i="37"/>
  <c r="J497" i="58"/>
  <c r="I496" i="37"/>
  <c r="D8" i="53"/>
  <c r="F8" i="53" s="1"/>
  <c r="I497" i="37"/>
  <c r="I497" i="58"/>
  <c r="H496" i="58"/>
  <c r="H497" i="58"/>
  <c r="I497" i="41" l="1"/>
  <c r="J496" i="41"/>
  <c r="G8" i="53"/>
  <c r="E290" i="38" s="1"/>
  <c r="H2" i="53"/>
  <c r="G2" i="53" s="1"/>
  <c r="E278" i="38" s="1"/>
  <c r="D20" i="53"/>
  <c r="F20" i="53" s="1"/>
  <c r="H14" i="53" s="1"/>
  <c r="G14" i="53" s="1"/>
  <c r="I495" i="37"/>
  <c r="J495" i="58"/>
  <c r="J495" i="37"/>
  <c r="H495" i="58"/>
  <c r="H495" i="41" s="1"/>
  <c r="H496" i="41"/>
  <c r="H497" i="41"/>
  <c r="H32" i="53"/>
  <c r="G32" i="53" s="1"/>
  <c r="H26" i="53"/>
  <c r="G26" i="53" s="1"/>
  <c r="E296" i="38"/>
  <c r="M163" i="66" s="1"/>
  <c r="H20" i="53"/>
  <c r="I495" i="58"/>
  <c r="I496" i="58"/>
  <c r="J497" i="41"/>
  <c r="E284" i="38" l="1"/>
  <c r="I495" i="41"/>
  <c r="G20" i="53"/>
  <c r="E320" i="38" s="1"/>
  <c r="M211" i="66" s="1"/>
  <c r="J495" i="41"/>
  <c r="E344" i="38"/>
  <c r="M259" i="66" s="1"/>
  <c r="E338" i="38"/>
  <c r="E326" i="38"/>
  <c r="E332" i="38"/>
  <c r="I496" i="41"/>
  <c r="E302" i="38"/>
  <c r="E308" i="38"/>
  <c r="L163" i="66"/>
  <c r="H481" i="58"/>
  <c r="B16" i="8"/>
  <c r="M19" i="66"/>
  <c r="L19" i="66"/>
  <c r="H481" i="37"/>
  <c r="E314" i="38" l="1"/>
  <c r="D16" i="8"/>
  <c r="M115" i="66"/>
  <c r="G20" i="39" s="1"/>
  <c r="H481" i="41"/>
  <c r="J481" i="37"/>
  <c r="L115" i="66"/>
  <c r="R19" i="66"/>
  <c r="T19" i="66" s="1"/>
  <c r="P19" i="66"/>
  <c r="V19" i="66" s="1"/>
  <c r="X19" i="66" s="1"/>
  <c r="N19" i="66"/>
  <c r="P163" i="66"/>
  <c r="V163" i="66" s="1"/>
  <c r="X163" i="66" s="1"/>
  <c r="R163" i="66"/>
  <c r="T163" i="66" s="1"/>
  <c r="N163" i="66"/>
  <c r="M67" i="66"/>
  <c r="F20" i="39" s="1"/>
  <c r="C16" i="8"/>
  <c r="L67" i="66"/>
  <c r="I481" i="37"/>
  <c r="L259" i="66"/>
  <c r="J481" i="58"/>
  <c r="I481" i="58"/>
  <c r="L211" i="66"/>
  <c r="I481" i="41" l="1"/>
  <c r="J481" i="41"/>
  <c r="P259" i="66"/>
  <c r="N259" i="66"/>
  <c r="O19" i="66"/>
  <c r="Z19" i="66"/>
  <c r="Y163" i="66"/>
  <c r="Y19" i="66"/>
  <c r="Z163" i="66"/>
  <c r="N67" i="66"/>
  <c r="P67" i="66"/>
  <c r="O163" i="66"/>
  <c r="N211" i="66"/>
  <c r="P211" i="66"/>
  <c r="P115" i="66"/>
  <c r="N115" i="66"/>
  <c r="O211" i="66" l="1"/>
  <c r="U211" i="66" s="1"/>
  <c r="Q163" i="66"/>
  <c r="U163" i="66"/>
  <c r="Z67" i="66"/>
  <c r="O67" i="66"/>
  <c r="Z211" i="66"/>
  <c r="Y67" i="66"/>
  <c r="Y211" i="66"/>
  <c r="O259" i="66"/>
  <c r="Z115" i="66"/>
  <c r="Y259" i="66"/>
  <c r="O115" i="66"/>
  <c r="Y115" i="66"/>
  <c r="Z259" i="66"/>
  <c r="U19" i="66"/>
  <c r="Q19" i="66"/>
  <c r="Q211" i="66" l="1"/>
  <c r="R211" i="66" s="1"/>
  <c r="T211" i="66" s="1"/>
  <c r="V211" i="66"/>
  <c r="X211" i="66" s="1"/>
  <c r="V115" i="66"/>
  <c r="X115" i="66" s="1"/>
  <c r="U115" i="66"/>
  <c r="Q115" i="66"/>
  <c r="R115" i="66" s="1"/>
  <c r="T115" i="66" s="1"/>
  <c r="U259" i="66"/>
  <c r="V259" i="66"/>
  <c r="X259" i="66" s="1"/>
  <c r="Q259" i="66"/>
  <c r="R259" i="66" s="1"/>
  <c r="T259" i="66" s="1"/>
  <c r="Q67" i="66"/>
  <c r="R67" i="66" s="1"/>
  <c r="T67" i="66" s="1"/>
  <c r="U67" i="66"/>
  <c r="V67" i="66"/>
  <c r="X67" i="66" s="1"/>
  <c r="J4" i="58" l="1"/>
  <c r="J4" i="37"/>
  <c r="G158" i="72"/>
  <c r="G127" i="72"/>
  <c r="G96" i="72"/>
  <c r="G65" i="72"/>
  <c r="I4" i="58"/>
  <c r="I4" i="37"/>
  <c r="G189" i="72"/>
  <c r="G220" i="72"/>
  <c r="G251" i="72"/>
  <c r="G282" i="72"/>
  <c r="G3" i="72"/>
  <c r="G34" i="72"/>
  <c r="H4" i="72" l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F53" i="66"/>
  <c r="E19" i="53"/>
  <c r="I4" i="41"/>
  <c r="D45" i="39" s="1"/>
  <c r="E25" i="53"/>
  <c r="N4" i="58"/>
  <c r="F197" i="66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4" i="37"/>
  <c r="H4" i="58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J4" i="41"/>
  <c r="E45" i="39" s="1"/>
  <c r="F101" i="66"/>
  <c r="E31" i="53"/>
  <c r="O4" i="58"/>
  <c r="F245" i="66"/>
  <c r="E37" i="53"/>
  <c r="M45" i="39" l="1"/>
  <c r="M56" i="39" s="1"/>
  <c r="L45" i="39"/>
  <c r="L59" i="39" s="1"/>
  <c r="L60" i="39" s="1"/>
  <c r="H4" i="41"/>
  <c r="K45" i="39" s="1"/>
  <c r="F5" i="66"/>
  <c r="E7" i="53"/>
  <c r="E13" i="53"/>
  <c r="M4" i="58"/>
  <c r="F149" i="66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107" i="38"/>
  <c r="D56" i="39"/>
  <c r="D59" i="39"/>
  <c r="D60" i="39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56" i="39"/>
  <c r="E124" i="38"/>
  <c r="E59" i="39"/>
  <c r="E60" i="39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58" i="38" l="1"/>
  <c r="J197" i="66" s="1"/>
  <c r="L56" i="39"/>
  <c r="L58" i="39" s="1"/>
  <c r="M59" i="39"/>
  <c r="M60" i="39" s="1"/>
  <c r="E175" i="38"/>
  <c r="C45" i="39"/>
  <c r="C59" i="39" s="1"/>
  <c r="C60" i="39" s="1"/>
  <c r="E159" i="72"/>
  <c r="F159" i="72" s="1"/>
  <c r="E221" i="72"/>
  <c r="F221" i="72" s="1"/>
  <c r="E4" i="72"/>
  <c r="F4" i="72" s="1"/>
  <c r="G5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L57" i="39"/>
  <c r="E128" i="72"/>
  <c r="F128" i="72" s="1"/>
  <c r="D31" i="53"/>
  <c r="F31" i="53" s="1"/>
  <c r="H37" i="53" s="1"/>
  <c r="J101" i="66"/>
  <c r="J466" i="37"/>
  <c r="J474" i="37"/>
  <c r="E57" i="39"/>
  <c r="E58" i="39"/>
  <c r="E283" i="72"/>
  <c r="F283" i="72" s="1"/>
  <c r="I466" i="58"/>
  <c r="D25" i="53"/>
  <c r="F25" i="53" s="1"/>
  <c r="I474" i="58"/>
  <c r="E97" i="72"/>
  <c r="F97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K56" i="39"/>
  <c r="K59" i="39"/>
  <c r="K60" i="39" s="1"/>
  <c r="E141" i="38"/>
  <c r="E190" i="72"/>
  <c r="F190" i="72" s="1"/>
  <c r="D58" i="39"/>
  <c r="D57" i="39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I474" i="37"/>
  <c r="I466" i="37"/>
  <c r="D19" i="53"/>
  <c r="F19" i="53" s="1"/>
  <c r="H25" i="53" s="1"/>
  <c r="J53" i="66"/>
  <c r="J474" i="58"/>
  <c r="J245" i="66"/>
  <c r="D37" i="53"/>
  <c r="F37" i="53" s="1"/>
  <c r="J466" i="5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M58" i="39"/>
  <c r="M57" i="39"/>
  <c r="H6" i="72" l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C56" i="39"/>
  <c r="E90" i="38"/>
  <c r="E253" i="72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F55" i="66"/>
  <c r="I479" i="37"/>
  <c r="I474" i="41"/>
  <c r="E36" i="72"/>
  <c r="F36" i="72" s="1"/>
  <c r="E67" i="72"/>
  <c r="F67" i="72" s="1"/>
  <c r="J479" i="37"/>
  <c r="F103" i="66"/>
  <c r="J474" i="41"/>
  <c r="W53" i="66"/>
  <c r="S53" i="66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K57" i="39"/>
  <c r="K58" i="39"/>
  <c r="F54" i="66"/>
  <c r="I489" i="37"/>
  <c r="E222" i="72"/>
  <c r="F222" i="72" s="1"/>
  <c r="E160" i="72"/>
  <c r="F160" i="72" s="1"/>
  <c r="J489" i="37"/>
  <c r="F102" i="66"/>
  <c r="S101" i="66"/>
  <c r="W101" i="66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I479" i="58"/>
  <c r="F199" i="66"/>
  <c r="H19" i="53"/>
  <c r="G19" i="53" s="1"/>
  <c r="G25" i="53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C57" i="39"/>
  <c r="C58" i="39"/>
  <c r="I466" i="41"/>
  <c r="I489" i="58"/>
  <c r="F198" i="66"/>
  <c r="J466" i="41"/>
  <c r="J489" i="58"/>
  <c r="F246" i="66"/>
  <c r="G37" i="53"/>
  <c r="H31" i="53"/>
  <c r="G31" i="53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H466" i="37"/>
  <c r="D7" i="53"/>
  <c r="F7" i="53" s="1"/>
  <c r="J5" i="66"/>
  <c r="H474" i="37"/>
  <c r="W197" i="66"/>
  <c r="S197" i="66"/>
  <c r="S245" i="66"/>
  <c r="W245" i="66"/>
  <c r="J479" i="58"/>
  <c r="F247" i="66"/>
  <c r="H466" i="58"/>
  <c r="H474" i="58"/>
  <c r="J149" i="66"/>
  <c r="D13" i="53"/>
  <c r="F13" i="53" s="1"/>
  <c r="H7" i="53" s="1"/>
  <c r="E254" i="72" l="1"/>
  <c r="F254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91" i="72"/>
  <c r="F191" i="72" s="1"/>
  <c r="J489" i="41"/>
  <c r="E284" i="72"/>
  <c r="F284" i="72" s="1"/>
  <c r="G285" i="72" s="1"/>
  <c r="E337" i="38"/>
  <c r="E331" i="38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60" i="38"/>
  <c r="K55" i="66" s="1"/>
  <c r="N55" i="66" s="1"/>
  <c r="I480" i="37"/>
  <c r="E343" i="38"/>
  <c r="E349" i="38"/>
  <c r="M245" i="66" s="1"/>
  <c r="L246" i="66"/>
  <c r="P246" i="66" s="1"/>
  <c r="E325" i="38"/>
  <c r="M197" i="66" s="1"/>
  <c r="E319" i="38"/>
  <c r="L102" i="66"/>
  <c r="P102" i="66" s="1"/>
  <c r="E313" i="38"/>
  <c r="E307" i="38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92" i="72"/>
  <c r="F192" i="72" s="1"/>
  <c r="H489" i="58"/>
  <c r="F150" i="66"/>
  <c r="W5" i="66"/>
  <c r="S5" i="66"/>
  <c r="E98" i="72"/>
  <c r="F98" i="72" s="1"/>
  <c r="L54" i="66"/>
  <c r="P54" i="66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6" i="72"/>
  <c r="F6" i="72" s="1"/>
  <c r="W149" i="66"/>
  <c r="S149" i="66"/>
  <c r="L198" i="66"/>
  <c r="P198" i="66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H479" i="58"/>
  <c r="F151" i="66"/>
  <c r="F7" i="66"/>
  <c r="H479" i="37"/>
  <c r="H474" i="41"/>
  <c r="I479" i="41"/>
  <c r="I480" i="58"/>
  <c r="E379" i="38" s="1"/>
  <c r="K218" i="66" s="1"/>
  <c r="N218" i="66" s="1"/>
  <c r="E378" i="38"/>
  <c r="K199" i="66" s="1"/>
  <c r="N199" i="66" s="1"/>
  <c r="I489" i="41"/>
  <c r="H13" i="53"/>
  <c r="G13" i="53" s="1"/>
  <c r="G7" i="53"/>
  <c r="J480" i="37"/>
  <c r="E366" i="38"/>
  <c r="K103" i="66" s="1"/>
  <c r="N103" i="66" s="1"/>
  <c r="J479" i="41"/>
  <c r="E384" i="38"/>
  <c r="K247" i="66" s="1"/>
  <c r="N247" i="66" s="1"/>
  <c r="J480" i="58"/>
  <c r="E385" i="38" s="1"/>
  <c r="K266" i="66" s="1"/>
  <c r="N266" i="66" s="1"/>
  <c r="H466" i="41"/>
  <c r="H489" i="37"/>
  <c r="F6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68" i="72" l="1"/>
  <c r="F68" i="72" s="1"/>
  <c r="H286" i="72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Z199" i="66"/>
  <c r="Z103" i="66"/>
  <c r="E37" i="72"/>
  <c r="F37" i="72" s="1"/>
  <c r="L150" i="66"/>
  <c r="P150" i="66" s="1"/>
  <c r="V150" i="66" s="1"/>
  <c r="X150" i="66" s="1"/>
  <c r="N246" i="66"/>
  <c r="E367" i="38"/>
  <c r="K122" i="66" s="1"/>
  <c r="N122" i="66" s="1"/>
  <c r="J480" i="41"/>
  <c r="E223" i="72"/>
  <c r="F223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83" i="38"/>
  <c r="E289" i="38"/>
  <c r="J486" i="58"/>
  <c r="L245" i="66"/>
  <c r="E301" i="38"/>
  <c r="M149" i="66" s="1"/>
  <c r="E295" i="38"/>
  <c r="N198" i="66"/>
  <c r="N54" i="66"/>
  <c r="E161" i="72"/>
  <c r="F161" i="72" s="1"/>
  <c r="E361" i="38"/>
  <c r="K74" i="66" s="1"/>
  <c r="N74" i="66" s="1"/>
  <c r="I480" i="41"/>
  <c r="Z55" i="66"/>
  <c r="Y199" i="66"/>
  <c r="Y55" i="66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I486" i="37"/>
  <c r="L53" i="66"/>
  <c r="E255" i="72"/>
  <c r="F255" i="72" s="1"/>
  <c r="L6" i="66"/>
  <c r="P6" i="66" s="1"/>
  <c r="V6" i="66" s="1"/>
  <c r="X6" i="66" s="1"/>
  <c r="C20" i="8"/>
  <c r="M53" i="66"/>
  <c r="F18" i="39" s="1"/>
  <c r="H489" i="41"/>
  <c r="N102" i="66"/>
  <c r="E130" i="72"/>
  <c r="F130" i="72" s="1"/>
  <c r="H479" i="41"/>
  <c r="E354" i="38"/>
  <c r="K7" i="66" s="1"/>
  <c r="N7" i="66" s="1"/>
  <c r="H480" i="37"/>
  <c r="I486" i="58"/>
  <c r="L197" i="66"/>
  <c r="J486" i="37"/>
  <c r="L101" i="66"/>
  <c r="Z247" i="66"/>
  <c r="Y103" i="66"/>
  <c r="Y247" i="66"/>
  <c r="H480" i="58"/>
  <c r="E373" i="38" s="1"/>
  <c r="K170" i="66" s="1"/>
  <c r="N170" i="66" s="1"/>
  <c r="E372" i="38"/>
  <c r="K151" i="66" s="1"/>
  <c r="N151" i="66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D20" i="8"/>
  <c r="M101" i="66"/>
  <c r="G18" i="39" s="1"/>
  <c r="E69" i="72" l="1"/>
  <c r="F69" i="72" s="1"/>
  <c r="J486" i="41"/>
  <c r="N150" i="66"/>
  <c r="Z6" i="66" s="1"/>
  <c r="N6" i="66"/>
  <c r="O198" i="66"/>
  <c r="U198" i="66" s="1"/>
  <c r="E7" i="72"/>
  <c r="F7" i="72" s="1"/>
  <c r="E99" i="72"/>
  <c r="F99" i="72" s="1"/>
  <c r="E193" i="72"/>
  <c r="F193" i="72" s="1"/>
  <c r="Z74" i="66"/>
  <c r="Y74" i="66"/>
  <c r="Z218" i="66"/>
  <c r="Y218" i="66"/>
  <c r="E286" i="72"/>
  <c r="F286" i="72" s="1"/>
  <c r="N101" i="66"/>
  <c r="P101" i="66"/>
  <c r="Y150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Y198" i="66"/>
  <c r="Y54" i="66"/>
  <c r="Z198" i="66"/>
  <c r="O54" i="66"/>
  <c r="Z54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P197" i="66"/>
  <c r="N197" i="66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P53" i="66"/>
  <c r="N53" i="66"/>
  <c r="H486" i="58"/>
  <c r="L149" i="66"/>
  <c r="Z122" i="66"/>
  <c r="Y266" i="66"/>
  <c r="Z266" i="66"/>
  <c r="Y122" i="66"/>
  <c r="H480" i="41"/>
  <c r="E355" i="38"/>
  <c r="K26" i="66" s="1"/>
  <c r="N26" i="66" s="1"/>
  <c r="I486" i="41"/>
  <c r="O246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Y7" i="66"/>
  <c r="Z151" i="66"/>
  <c r="Y151" i="66"/>
  <c r="Z7" i="66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P245" i="66"/>
  <c r="N245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M5" i="66"/>
  <c r="B20" i="8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Y102" i="66"/>
  <c r="Z246" i="66"/>
  <c r="O102" i="66"/>
  <c r="Y246" i="66"/>
  <c r="Z102" i="66"/>
  <c r="H486" i="37"/>
  <c r="L5" i="66"/>
  <c r="O6" i="66" l="1"/>
  <c r="Q6" i="66" s="1"/>
  <c r="E224" i="72"/>
  <c r="F224" i="72" s="1"/>
  <c r="O150" i="66"/>
  <c r="U150" i="66" s="1"/>
  <c r="V198" i="66"/>
  <c r="X198" i="66" s="1"/>
  <c r="Q198" i="66"/>
  <c r="Y6" i="66"/>
  <c r="O245" i="66"/>
  <c r="V245" i="66" s="1"/>
  <c r="X245" i="66" s="1"/>
  <c r="Z150" i="66"/>
  <c r="H486" i="4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31" i="72"/>
  <c r="F131" i="72" s="1"/>
  <c r="E8" i="72"/>
  <c r="F8" i="72" s="1"/>
  <c r="O53" i="66"/>
  <c r="Y53" i="66"/>
  <c r="Z197" i="66"/>
  <c r="Z53" i="66"/>
  <c r="Y197" i="66"/>
  <c r="V246" i="66"/>
  <c r="X246" i="66" s="1"/>
  <c r="Q246" i="66"/>
  <c r="U246" i="66"/>
  <c r="Z170" i="66"/>
  <c r="Y170" i="66"/>
  <c r="Y26" i="66"/>
  <c r="Z26" i="66"/>
  <c r="Y245" i="66"/>
  <c r="Y101" i="66"/>
  <c r="Z101" i="66"/>
  <c r="Z245" i="66"/>
  <c r="O101" i="66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V54" i="66"/>
  <c r="X54" i="66" s="1"/>
  <c r="U54" i="66"/>
  <c r="Q54" i="66"/>
  <c r="E256" i="72"/>
  <c r="F256" i="72" s="1"/>
  <c r="E162" i="72"/>
  <c r="F162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U102" i="66"/>
  <c r="Q102" i="66"/>
  <c r="V102" i="66"/>
  <c r="X102" i="66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O197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R5" i="66"/>
  <c r="T5" i="66" s="1"/>
  <c r="P5" i="66"/>
  <c r="V5" i="66" s="1"/>
  <c r="X5" i="66" s="1"/>
  <c r="N5" i="66"/>
  <c r="E70" i="72"/>
  <c r="F70" i="72" s="1"/>
  <c r="R149" i="66"/>
  <c r="T149" i="66" s="1"/>
  <c r="P149" i="66"/>
  <c r="V149" i="66" s="1"/>
  <c r="X149" i="66" s="1"/>
  <c r="N149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U6" i="66" l="1"/>
  <c r="Q150" i="66"/>
  <c r="U245" i="66"/>
  <c r="Q245" i="66"/>
  <c r="R245" i="66" s="1"/>
  <c r="T245" i="66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O149" i="66"/>
  <c r="U149" i="66" s="1"/>
  <c r="Q101" i="66"/>
  <c r="R101" i="66" s="1"/>
  <c r="T101" i="66" s="1"/>
  <c r="U101" i="66"/>
  <c r="V101" i="66"/>
  <c r="X101" i="66" s="1"/>
  <c r="E225" i="72"/>
  <c r="F22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O5" i="66"/>
  <c r="Y149" i="66"/>
  <c r="Z149" i="66"/>
  <c r="Z5" i="66"/>
  <c r="Y5" i="66"/>
  <c r="E39" i="72"/>
  <c r="F39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01" i="72"/>
  <c r="F101" i="72" s="1"/>
  <c r="E194" i="72"/>
  <c r="F194" i="72" s="1"/>
  <c r="V197" i="66"/>
  <c r="X197" i="66" s="1"/>
  <c r="U197" i="66"/>
  <c r="Q197" i="66"/>
  <c r="R197" i="66" s="1"/>
  <c r="T197" i="66" s="1"/>
  <c r="E132" i="72"/>
  <c r="F132" i="72" s="1"/>
  <c r="E287" i="72"/>
  <c r="F287" i="72" s="1"/>
  <c r="V53" i="66"/>
  <c r="X53" i="66" s="1"/>
  <c r="Q53" i="66"/>
  <c r="R53" i="66" s="1"/>
  <c r="T53" i="66" s="1"/>
  <c r="U53" i="66"/>
  <c r="E71" i="72" l="1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Q149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0" i="72"/>
  <c r="F10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Q5" i="66"/>
  <c r="U5" i="66"/>
  <c r="E195" i="72" l="1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3" i="72"/>
  <c r="F133" i="72" s="1"/>
  <c r="E258" i="72"/>
  <c r="F258" i="72" s="1"/>
  <c r="E164" i="72"/>
  <c r="F164" i="72" s="1"/>
  <c r="E72" i="72"/>
  <c r="F72" i="72" s="1"/>
  <c r="E41" i="72" l="1"/>
  <c r="F41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1" i="72"/>
  <c r="F11" i="72" s="1"/>
  <c r="E289" i="72"/>
  <c r="F289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03" i="72"/>
  <c r="F103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42" i="72" l="1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59" i="72"/>
  <c r="F259" i="72" s="1"/>
  <c r="E165" i="72"/>
  <c r="F165" i="72" s="1"/>
  <c r="E73" i="72"/>
  <c r="F73" i="72" s="1"/>
  <c r="E228" i="72"/>
  <c r="F22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4" i="72"/>
  <c r="F134" i="72" s="1"/>
  <c r="E197" i="72"/>
  <c r="F197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04" i="72" l="1"/>
  <c r="F104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90" i="72"/>
  <c r="F290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12" i="72"/>
  <c r="F12" i="72" s="1"/>
  <c r="E43" i="72"/>
  <c r="F43" i="72" s="1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35" i="72"/>
  <c r="F135" i="72" s="1"/>
  <c r="E229" i="72"/>
  <c r="F229" i="72" s="1"/>
  <c r="E198" i="72"/>
  <c r="F198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291" i="72" l="1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3" i="72"/>
  <c r="F13" i="72" s="1"/>
  <c r="E167" i="72"/>
  <c r="F167" i="72" s="1"/>
  <c r="E44" i="72"/>
  <c r="F44" i="72" s="1"/>
  <c r="E75" i="72"/>
  <c r="F75" i="72" s="1"/>
  <c r="G45" i="72" l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2" i="72"/>
  <c r="F262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6" i="72"/>
  <c r="F106" i="72" s="1"/>
  <c r="E136" i="72"/>
  <c r="F136" i="72" s="1"/>
  <c r="E292" i="72"/>
  <c r="F292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230" i="72"/>
  <c r="F230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99" i="72"/>
  <c r="F199" i="72" s="1"/>
  <c r="E168" i="72" l="1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6" i="72"/>
  <c r="F76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4" i="72"/>
  <c r="F14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45" i="72"/>
  <c r="F45" i="72" s="1"/>
  <c r="G15" i="72" l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07" i="72"/>
  <c r="F107" i="72" s="1"/>
  <c r="E137" i="72"/>
  <c r="F137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31" i="72"/>
  <c r="F23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00" i="72"/>
  <c r="F200" i="72" s="1"/>
  <c r="E169" i="72"/>
  <c r="F169" i="72" s="1"/>
  <c r="E263" i="72"/>
  <c r="F263" i="72" s="1"/>
  <c r="E293" i="72"/>
  <c r="F293" i="72" s="1"/>
  <c r="G264" i="72" l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46" i="72"/>
  <c r="F46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77" i="72"/>
  <c r="F77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5" i="72"/>
  <c r="F15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38" i="72"/>
  <c r="F138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32" i="72"/>
  <c r="F232" i="72" s="1"/>
  <c r="E201" i="72"/>
  <c r="F201" i="72" s="1"/>
  <c r="E170" i="72"/>
  <c r="F170" i="72" s="1"/>
  <c r="E264" i="72"/>
  <c r="F264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47" i="72"/>
  <c r="F47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6" i="72"/>
  <c r="F16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6" i="72"/>
  <c r="F296" i="72" s="1"/>
  <c r="E265" i="72"/>
  <c r="F265" i="72" s="1"/>
  <c r="E233" i="72"/>
  <c r="F233" i="72" s="1"/>
  <c r="E171" i="72"/>
  <c r="F171" i="72" s="1"/>
  <c r="E110" i="72"/>
  <c r="F110" i="72" s="1"/>
  <c r="E139" i="72"/>
  <c r="F139" i="72" s="1"/>
  <c r="E202" i="72"/>
  <c r="F202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" i="72"/>
  <c r="F1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80" i="72"/>
  <c r="F80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49" i="72"/>
  <c r="F49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7" i="72"/>
  <c r="F297" i="72" s="1"/>
  <c r="E140" i="72"/>
  <c r="F140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66" i="72"/>
  <c r="F266" i="72" s="1"/>
  <c r="E234" i="72"/>
  <c r="F234" i="72" s="1"/>
  <c r="E203" i="72"/>
  <c r="F203" i="72" s="1"/>
  <c r="E81" i="72" l="1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8" i="72"/>
  <c r="F18" i="72" s="1"/>
  <c r="E112" i="72"/>
  <c r="F112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73" i="72"/>
  <c r="F173" i="72" s="1"/>
  <c r="G19" i="72" l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98" i="72"/>
  <c r="F298" i="72" s="1"/>
  <c r="E141" i="72"/>
  <c r="F141" i="72" s="1"/>
  <c r="E82" i="72"/>
  <c r="F82" i="72" s="1"/>
  <c r="E267" i="72"/>
  <c r="F267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50" i="72"/>
  <c r="F50" i="72" s="1"/>
  <c r="E235" i="72"/>
  <c r="F235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204" i="72"/>
  <c r="F204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13" i="72"/>
  <c r="F113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9" i="72"/>
  <c r="F19" i="72" s="1"/>
  <c r="E83" i="72" l="1"/>
  <c r="F83" i="72" s="1"/>
  <c r="E268" i="72"/>
  <c r="F268" i="72" s="1"/>
  <c r="E175" i="72"/>
  <c r="F17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4" i="72"/>
  <c r="F114" i="72" s="1"/>
  <c r="E51" i="72"/>
  <c r="F51" i="72" s="1"/>
  <c r="E142" i="72"/>
  <c r="F142" i="72" s="1"/>
  <c r="E236" i="72"/>
  <c r="F236" i="72" s="1"/>
  <c r="E205" i="72"/>
  <c r="F205" i="72" s="1"/>
  <c r="E299" i="72"/>
  <c r="F299" i="72" s="1"/>
  <c r="G300" i="72" l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" i="72"/>
  <c r="F20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115" i="72"/>
  <c r="F115" i="72" s="1"/>
  <c r="E52" i="72"/>
  <c r="F52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3" i="72"/>
  <c r="F143" i="72" s="1"/>
  <c r="E237" i="72"/>
  <c r="F237" i="72" s="1"/>
  <c r="E206" i="72"/>
  <c r="F206" i="72" s="1"/>
  <c r="E300" i="72"/>
  <c r="F300" i="72" s="1"/>
  <c r="E21" i="72" l="1"/>
  <c r="F21" i="72" s="1"/>
  <c r="E85" i="72"/>
  <c r="F85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77" i="72"/>
  <c r="F177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70" i="72"/>
  <c r="F270" i="72" s="1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8" i="72"/>
  <c r="F238" i="72" s="1"/>
  <c r="E53" i="72"/>
  <c r="F53" i="72" s="1"/>
  <c r="E207" i="72"/>
  <c r="F207" i="72" s="1"/>
  <c r="E116" i="72"/>
  <c r="F11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301" i="72"/>
  <c r="F301" i="72" s="1"/>
  <c r="G86" i="72"/>
  <c r="H87" i="72" s="1"/>
  <c r="I88" i="72" s="1"/>
  <c r="J89" i="72" s="1"/>
  <c r="K90" i="72" s="1"/>
  <c r="L91" i="72" s="1"/>
  <c r="M92" i="72" s="1"/>
  <c r="N93" i="72" s="1"/>
  <c r="O94" i="72" s="1"/>
  <c r="E144" i="72"/>
  <c r="F144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86" i="72" l="1"/>
  <c r="F86" i="72" s="1"/>
  <c r="G87" i="72" s="1"/>
  <c r="H88" i="72" s="1"/>
  <c r="I89" i="72" s="1"/>
  <c r="J90" i="72" s="1"/>
  <c r="K91" i="72" s="1"/>
  <c r="L92" i="72" s="1"/>
  <c r="M93" i="72" s="1"/>
  <c r="N9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71" i="72"/>
  <c r="F27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8" i="72"/>
  <c r="F178" i="72" s="1"/>
  <c r="E22" i="72"/>
  <c r="F22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54" i="72"/>
  <c r="F54" i="72" s="1"/>
  <c r="E208" i="72"/>
  <c r="F20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17" i="72"/>
  <c r="F117" i="72" s="1"/>
  <c r="E302" i="72"/>
  <c r="F302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87" i="72"/>
  <c r="F87" i="72" s="1"/>
  <c r="E145" i="72"/>
  <c r="F145" i="72" s="1"/>
  <c r="E272" i="72" l="1"/>
  <c r="F272" i="72" s="1"/>
  <c r="G273" i="72" s="1"/>
  <c r="H274" i="72" s="1"/>
  <c r="I275" i="72" s="1"/>
  <c r="J276" i="72" s="1"/>
  <c r="K277" i="72" s="1"/>
  <c r="L278" i="72" s="1"/>
  <c r="M279" i="72" s="1"/>
  <c r="N280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88" i="72"/>
  <c r="H89" i="72" s="1"/>
  <c r="I90" i="72" s="1"/>
  <c r="J91" i="72" s="1"/>
  <c r="K92" i="72" s="1"/>
  <c r="L93" i="72" s="1"/>
  <c r="M94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118" i="72"/>
  <c r="H119" i="72" s="1"/>
  <c r="I120" i="72" s="1"/>
  <c r="J121" i="72" s="1"/>
  <c r="K122" i="72" s="1"/>
  <c r="L123" i="72" s="1"/>
  <c r="M124" i="72" s="1"/>
  <c r="N125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55" i="72"/>
  <c r="H56" i="72" s="1"/>
  <c r="I57" i="72" s="1"/>
  <c r="J58" i="72" s="1"/>
  <c r="K59" i="72" s="1"/>
  <c r="L60" i="72" s="1"/>
  <c r="M61" i="72" s="1"/>
  <c r="N62" i="72" s="1"/>
  <c r="O63" i="72" s="1"/>
  <c r="E23" i="72"/>
  <c r="F23" i="72" s="1"/>
  <c r="E240" i="72"/>
  <c r="F240" i="72" s="1"/>
  <c r="E273" i="72" l="1"/>
  <c r="F273" i="72" s="1"/>
  <c r="E118" i="72"/>
  <c r="F118" i="72" s="1"/>
  <c r="E303" i="72"/>
  <c r="F303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80" i="72"/>
  <c r="F180" i="72" s="1"/>
  <c r="G24" i="72"/>
  <c r="H25" i="72" s="1"/>
  <c r="I26" i="72" s="1"/>
  <c r="J27" i="72" s="1"/>
  <c r="K28" i="72" s="1"/>
  <c r="L29" i="72" s="1"/>
  <c r="M30" i="72" s="1"/>
  <c r="N31" i="72" s="1"/>
  <c r="O32" i="72" s="1"/>
  <c r="E55" i="72"/>
  <c r="F55" i="72" s="1"/>
  <c r="E88" i="72"/>
  <c r="F88" i="72" s="1"/>
  <c r="E209" i="72"/>
  <c r="F209" i="72" s="1"/>
  <c r="E146" i="72"/>
  <c r="F146" i="72" s="1"/>
  <c r="E24" i="72" l="1"/>
  <c r="F24" i="72" s="1"/>
  <c r="G181" i="72"/>
  <c r="H182" i="72" s="1"/>
  <c r="I183" i="72" s="1"/>
  <c r="J184" i="72" s="1"/>
  <c r="K185" i="72" s="1"/>
  <c r="L186" i="72" s="1"/>
  <c r="M187" i="72" s="1"/>
  <c r="E241" i="72"/>
  <c r="F241" i="72" s="1"/>
  <c r="G304" i="72"/>
  <c r="H305" i="72" s="1"/>
  <c r="I306" i="72" s="1"/>
  <c r="J307" i="72" s="1"/>
  <c r="K308" i="72" s="1"/>
  <c r="L309" i="72" s="1"/>
  <c r="M310" i="72" s="1"/>
  <c r="N311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89" i="72"/>
  <c r="H90" i="72" s="1"/>
  <c r="I91" i="72" s="1"/>
  <c r="J92" i="72" s="1"/>
  <c r="K93" i="72" s="1"/>
  <c r="L94" i="72" s="1"/>
  <c r="G119" i="72"/>
  <c r="H120" i="72" s="1"/>
  <c r="I121" i="72" s="1"/>
  <c r="J122" i="72" s="1"/>
  <c r="K123" i="72" s="1"/>
  <c r="L124" i="72" s="1"/>
  <c r="M125" i="72" s="1"/>
  <c r="G56" i="72"/>
  <c r="H57" i="72" s="1"/>
  <c r="I58" i="72" s="1"/>
  <c r="J59" i="72" s="1"/>
  <c r="K60" i="72" s="1"/>
  <c r="L61" i="72" s="1"/>
  <c r="M62" i="72" s="1"/>
  <c r="N63" i="72" s="1"/>
  <c r="G274" i="72"/>
  <c r="H275" i="72" s="1"/>
  <c r="I276" i="72" s="1"/>
  <c r="J277" i="72" s="1"/>
  <c r="K278" i="72" s="1"/>
  <c r="L279" i="72" s="1"/>
  <c r="M280" i="72" s="1"/>
  <c r="E56" i="72" l="1"/>
  <c r="F56" i="72" s="1"/>
  <c r="G57" i="72" s="1"/>
  <c r="H58" i="72" s="1"/>
  <c r="I59" i="72" s="1"/>
  <c r="J60" i="72" s="1"/>
  <c r="K61" i="72" s="1"/>
  <c r="L62" i="72" s="1"/>
  <c r="M63" i="72" s="1"/>
  <c r="E119" i="72"/>
  <c r="F119" i="72" s="1"/>
  <c r="E89" i="72"/>
  <c r="F89" i="72" s="1"/>
  <c r="E147" i="72"/>
  <c r="F147" i="72" s="1"/>
  <c r="E210" i="72"/>
  <c r="F210" i="72" s="1"/>
  <c r="E274" i="72"/>
  <c r="F274" i="72" s="1"/>
  <c r="E304" i="72"/>
  <c r="F304" i="72" s="1"/>
  <c r="G242" i="72"/>
  <c r="H243" i="72" s="1"/>
  <c r="I244" i="72" s="1"/>
  <c r="J245" i="72" s="1"/>
  <c r="K246" i="72" s="1"/>
  <c r="L247" i="72" s="1"/>
  <c r="M248" i="72" s="1"/>
  <c r="N249" i="72" s="1"/>
  <c r="E181" i="72"/>
  <c r="F181" i="72" s="1"/>
  <c r="G25" i="72"/>
  <c r="H26" i="72" s="1"/>
  <c r="I27" i="72" s="1"/>
  <c r="J28" i="72" s="1"/>
  <c r="K29" i="72" s="1"/>
  <c r="L30" i="72" s="1"/>
  <c r="M31" i="72" s="1"/>
  <c r="N32" i="72" s="1"/>
  <c r="G305" i="72" l="1"/>
  <c r="H306" i="72" s="1"/>
  <c r="I307" i="72" s="1"/>
  <c r="J308" i="72" s="1"/>
  <c r="K309" i="72" s="1"/>
  <c r="L310" i="72" s="1"/>
  <c r="M311" i="72" s="1"/>
  <c r="E25" i="72"/>
  <c r="F25" i="72" s="1"/>
  <c r="G275" i="72"/>
  <c r="H276" i="72" s="1"/>
  <c r="I277" i="72" s="1"/>
  <c r="J278" i="72" s="1"/>
  <c r="K279" i="72" s="1"/>
  <c r="L280" i="72" s="1"/>
  <c r="G211" i="72"/>
  <c r="H212" i="72" s="1"/>
  <c r="I213" i="72" s="1"/>
  <c r="J214" i="72" s="1"/>
  <c r="K215" i="72" s="1"/>
  <c r="L216" i="72" s="1"/>
  <c r="M217" i="72" s="1"/>
  <c r="N218" i="72" s="1"/>
  <c r="G182" i="72"/>
  <c r="H183" i="72" s="1"/>
  <c r="I184" i="72" s="1"/>
  <c r="J185" i="72" s="1"/>
  <c r="K186" i="72" s="1"/>
  <c r="L187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42" i="72"/>
  <c r="F242" i="72" s="1"/>
  <c r="G90" i="72"/>
  <c r="H91" i="72" s="1"/>
  <c r="I92" i="72" s="1"/>
  <c r="J93" i="72" s="1"/>
  <c r="K94" i="72" s="1"/>
  <c r="G120" i="72"/>
  <c r="H121" i="72" s="1"/>
  <c r="I122" i="72" s="1"/>
  <c r="J123" i="72" s="1"/>
  <c r="K124" i="72" s="1"/>
  <c r="L125" i="72" s="1"/>
  <c r="E57" i="72"/>
  <c r="F57" i="72" s="1"/>
  <c r="E120" i="72" l="1"/>
  <c r="F120" i="72" s="1"/>
  <c r="G243" i="72"/>
  <c r="H244" i="72" s="1"/>
  <c r="I245" i="72" s="1"/>
  <c r="J246" i="72" s="1"/>
  <c r="K247" i="72" s="1"/>
  <c r="L248" i="72" s="1"/>
  <c r="M249" i="72" s="1"/>
  <c r="E148" i="72"/>
  <c r="F148" i="72" s="1"/>
  <c r="E182" i="72"/>
  <c r="F182" i="72" s="1"/>
  <c r="E211" i="72"/>
  <c r="F211" i="72" s="1"/>
  <c r="G58" i="72"/>
  <c r="H59" i="72" s="1"/>
  <c r="I60" i="72" s="1"/>
  <c r="J61" i="72" s="1"/>
  <c r="K62" i="72" s="1"/>
  <c r="L63" i="72" s="1"/>
  <c r="E275" i="72"/>
  <c r="F275" i="72" s="1"/>
  <c r="G26" i="72"/>
  <c r="H27" i="72" s="1"/>
  <c r="I28" i="72" s="1"/>
  <c r="J29" i="72" s="1"/>
  <c r="K30" i="72" s="1"/>
  <c r="L31" i="72" s="1"/>
  <c r="M32" i="72" s="1"/>
  <c r="E90" i="72"/>
  <c r="F90" i="72" s="1"/>
  <c r="E305" i="72"/>
  <c r="F305" i="72" s="1"/>
  <c r="E26" i="72" l="1"/>
  <c r="F26" i="72" s="1"/>
  <c r="G276" i="72"/>
  <c r="H277" i="72" s="1"/>
  <c r="I278" i="72" s="1"/>
  <c r="J279" i="72" s="1"/>
  <c r="K280" i="72" s="1"/>
  <c r="E58" i="72"/>
  <c r="F58" i="72" s="1"/>
  <c r="G306" i="72"/>
  <c r="H307" i="72" s="1"/>
  <c r="I308" i="72" s="1"/>
  <c r="J309" i="72" s="1"/>
  <c r="K310" i="72" s="1"/>
  <c r="L311" i="72" s="1"/>
  <c r="G212" i="72"/>
  <c r="H213" i="72" s="1"/>
  <c r="I214" i="72" s="1"/>
  <c r="J215" i="72" s="1"/>
  <c r="K216" i="72" s="1"/>
  <c r="L217" i="72" s="1"/>
  <c r="M218" i="72" s="1"/>
  <c r="G91" i="72"/>
  <c r="H92" i="72" s="1"/>
  <c r="I93" i="72" s="1"/>
  <c r="J94" i="72" s="1"/>
  <c r="G183" i="72"/>
  <c r="H184" i="72" s="1"/>
  <c r="I185" i="72" s="1"/>
  <c r="J186" i="72" s="1"/>
  <c r="K187" i="72" s="1"/>
  <c r="G149" i="72"/>
  <c r="H150" i="72" s="1"/>
  <c r="I151" i="72" s="1"/>
  <c r="J152" i="72" s="1"/>
  <c r="K153" i="72" s="1"/>
  <c r="L154" i="72" s="1"/>
  <c r="M155" i="72" s="1"/>
  <c r="N156" i="72" s="1"/>
  <c r="E243" i="72"/>
  <c r="F243" i="72" s="1"/>
  <c r="G121" i="72"/>
  <c r="H122" i="72" s="1"/>
  <c r="I123" i="72" s="1"/>
  <c r="J124" i="72" s="1"/>
  <c r="K125" i="72" s="1"/>
  <c r="E149" i="72" l="1"/>
  <c r="F149" i="72" s="1"/>
  <c r="E121" i="72"/>
  <c r="F121" i="72" s="1"/>
  <c r="E183" i="72"/>
  <c r="F183" i="72" s="1"/>
  <c r="E91" i="72"/>
  <c r="F91" i="72" s="1"/>
  <c r="E212" i="72"/>
  <c r="F212" i="72" s="1"/>
  <c r="E306" i="72"/>
  <c r="F306" i="72" s="1"/>
  <c r="G59" i="72"/>
  <c r="H60" i="72" s="1"/>
  <c r="I61" i="72" s="1"/>
  <c r="J62" i="72" s="1"/>
  <c r="K63" i="72" s="1"/>
  <c r="G244" i="72"/>
  <c r="H245" i="72" s="1"/>
  <c r="I246" i="72" s="1"/>
  <c r="J247" i="72" s="1"/>
  <c r="K248" i="72" s="1"/>
  <c r="L249" i="72" s="1"/>
  <c r="E276" i="72"/>
  <c r="F276" i="72" s="1"/>
  <c r="G27" i="72"/>
  <c r="H28" i="72" s="1"/>
  <c r="I29" i="72" s="1"/>
  <c r="J30" i="72" s="1"/>
  <c r="K31" i="72" s="1"/>
  <c r="L32" i="72" s="1"/>
  <c r="E59" i="72" l="1"/>
  <c r="F59" i="72" s="1"/>
  <c r="G60" i="72" s="1"/>
  <c r="H61" i="72" s="1"/>
  <c r="I62" i="72" s="1"/>
  <c r="J63" i="72" s="1"/>
  <c r="E27" i="72"/>
  <c r="F27" i="72" s="1"/>
  <c r="G277" i="72"/>
  <c r="H278" i="72" s="1"/>
  <c r="I279" i="72" s="1"/>
  <c r="J280" i="72" s="1"/>
  <c r="E244" i="72"/>
  <c r="F244" i="72" s="1"/>
  <c r="G307" i="72"/>
  <c r="H308" i="72" s="1"/>
  <c r="I309" i="72" s="1"/>
  <c r="J310" i="72" s="1"/>
  <c r="K311" i="72" s="1"/>
  <c r="G213" i="72"/>
  <c r="H214" i="72" s="1"/>
  <c r="I215" i="72" s="1"/>
  <c r="J216" i="72" s="1"/>
  <c r="K217" i="72" s="1"/>
  <c r="L218" i="72" s="1"/>
  <c r="G92" i="72"/>
  <c r="H93" i="72" s="1"/>
  <c r="I94" i="72" s="1"/>
  <c r="G184" i="72"/>
  <c r="H185" i="72" s="1"/>
  <c r="I186" i="72" s="1"/>
  <c r="J187" i="72" s="1"/>
  <c r="G122" i="72"/>
  <c r="H123" i="72" s="1"/>
  <c r="I124" i="72" s="1"/>
  <c r="J125" i="72" s="1"/>
  <c r="G150" i="72"/>
  <c r="H151" i="72" s="1"/>
  <c r="I152" i="72" s="1"/>
  <c r="J153" i="72" s="1"/>
  <c r="K154" i="72" s="1"/>
  <c r="L155" i="72" s="1"/>
  <c r="M156" i="72" s="1"/>
  <c r="E122" i="72" l="1"/>
  <c r="F122" i="72" s="1"/>
  <c r="E184" i="72"/>
  <c r="F184" i="72" s="1"/>
  <c r="E307" i="72"/>
  <c r="F307" i="72" s="1"/>
  <c r="E92" i="72"/>
  <c r="F92" i="72" s="1"/>
  <c r="E213" i="72"/>
  <c r="F213" i="72" s="1"/>
  <c r="E150" i="72"/>
  <c r="F150" i="72" s="1"/>
  <c r="E60" i="72"/>
  <c r="F60" i="72" s="1"/>
  <c r="G245" i="72"/>
  <c r="H246" i="72" s="1"/>
  <c r="I247" i="72" s="1"/>
  <c r="J248" i="72" s="1"/>
  <c r="K249" i="72" s="1"/>
  <c r="E277" i="72"/>
  <c r="F277" i="72" s="1"/>
  <c r="G28" i="72"/>
  <c r="H29" i="72" s="1"/>
  <c r="I30" i="72" s="1"/>
  <c r="J31" i="72" s="1"/>
  <c r="K32" i="72" s="1"/>
  <c r="E28" i="72" l="1"/>
  <c r="F28" i="72" s="1"/>
  <c r="G278" i="72"/>
  <c r="H279" i="72" s="1"/>
  <c r="I280" i="72" s="1"/>
  <c r="E245" i="72"/>
  <c r="F245" i="72" s="1"/>
  <c r="G61" i="72"/>
  <c r="H62" i="72" s="1"/>
  <c r="I63" i="72" s="1"/>
  <c r="G151" i="72"/>
  <c r="H152" i="72" s="1"/>
  <c r="I153" i="72" s="1"/>
  <c r="J154" i="72" s="1"/>
  <c r="K155" i="72" s="1"/>
  <c r="L156" i="72" s="1"/>
  <c r="G214" i="72"/>
  <c r="H215" i="72" s="1"/>
  <c r="I216" i="72" s="1"/>
  <c r="J217" i="72" s="1"/>
  <c r="K218" i="72" s="1"/>
  <c r="G93" i="72"/>
  <c r="H94" i="72" s="1"/>
  <c r="G308" i="72"/>
  <c r="H309" i="72" s="1"/>
  <c r="I310" i="72" s="1"/>
  <c r="J311" i="72" s="1"/>
  <c r="G185" i="72"/>
  <c r="H186" i="72" s="1"/>
  <c r="I187" i="72" s="1"/>
  <c r="G123" i="72"/>
  <c r="H124" i="72" s="1"/>
  <c r="I125" i="72" s="1"/>
  <c r="E185" i="72" l="1"/>
  <c r="F185" i="72" s="1"/>
  <c r="G186" i="72" s="1"/>
  <c r="H187" i="72" s="1"/>
  <c r="E308" i="72"/>
  <c r="F308" i="72" s="1"/>
  <c r="E93" i="72"/>
  <c r="F93" i="72" s="1"/>
  <c r="G94" i="72" s="1"/>
  <c r="E94" i="72" s="1"/>
  <c r="F94" i="72" s="1"/>
  <c r="AL94" i="72" s="1"/>
  <c r="E214" i="72"/>
  <c r="F214" i="72" s="1"/>
  <c r="E151" i="72"/>
  <c r="F151" i="72" s="1"/>
  <c r="E123" i="72"/>
  <c r="F123" i="72" s="1"/>
  <c r="E61" i="72"/>
  <c r="F61" i="72" s="1"/>
  <c r="G246" i="72"/>
  <c r="H247" i="72" s="1"/>
  <c r="I248" i="72" s="1"/>
  <c r="J249" i="72" s="1"/>
  <c r="E278" i="72"/>
  <c r="F278" i="72" s="1"/>
  <c r="G29" i="72"/>
  <c r="H30" i="72" s="1"/>
  <c r="I31" i="72" s="1"/>
  <c r="J32" i="72" s="1"/>
  <c r="G279" i="72" l="1"/>
  <c r="H280" i="72" s="1"/>
  <c r="E246" i="72"/>
  <c r="F246" i="72" s="1"/>
  <c r="G62" i="72"/>
  <c r="H63" i="72" s="1"/>
  <c r="G124" i="72"/>
  <c r="H125" i="72" s="1"/>
  <c r="G152" i="72"/>
  <c r="H153" i="72" s="1"/>
  <c r="I154" i="72" s="1"/>
  <c r="J155" i="72" s="1"/>
  <c r="K156" i="72" s="1"/>
  <c r="G215" i="72"/>
  <c r="H216" i="72" s="1"/>
  <c r="I217" i="72" s="1"/>
  <c r="J218" i="72" s="1"/>
  <c r="G309" i="72"/>
  <c r="H310" i="72" s="1"/>
  <c r="I311" i="72" s="1"/>
  <c r="E186" i="72"/>
  <c r="F186" i="72" s="1"/>
  <c r="G187" i="72" s="1"/>
  <c r="E187" i="72" s="1"/>
  <c r="F187" i="72" s="1"/>
  <c r="E29" i="72"/>
  <c r="F29" i="72" s="1"/>
  <c r="E152" i="72" l="1"/>
  <c r="F152" i="72" s="1"/>
  <c r="G30" i="72"/>
  <c r="H31" i="72" s="1"/>
  <c r="I32" i="72" s="1"/>
  <c r="E215" i="72"/>
  <c r="F215" i="72" s="1"/>
  <c r="E124" i="72"/>
  <c r="F124" i="72" s="1"/>
  <c r="E62" i="72"/>
  <c r="F62" i="72" s="1"/>
  <c r="G63" i="72" s="1"/>
  <c r="E63" i="72" s="1"/>
  <c r="F63" i="72" s="1"/>
  <c r="AL63" i="72" s="1"/>
  <c r="G247" i="72"/>
  <c r="H248" i="72" s="1"/>
  <c r="I249" i="72" s="1"/>
  <c r="E309" i="72"/>
  <c r="F309" i="72" s="1"/>
  <c r="E279" i="72"/>
  <c r="F279" i="72" s="1"/>
  <c r="G280" i="72" s="1"/>
  <c r="E280" i="72" s="1"/>
  <c r="F280" i="72" s="1"/>
  <c r="E247" i="72" l="1"/>
  <c r="F247" i="72" s="1"/>
  <c r="E30" i="72"/>
  <c r="F30" i="72" s="1"/>
  <c r="G125" i="72"/>
  <c r="E125" i="72" s="1"/>
  <c r="F125" i="72" s="1"/>
  <c r="AL125" i="72" s="1"/>
  <c r="AL127" i="72" s="1"/>
  <c r="G216" i="72"/>
  <c r="H217" i="72" s="1"/>
  <c r="I218" i="72" s="1"/>
  <c r="G310" i="72"/>
  <c r="H311" i="72" s="1"/>
  <c r="G153" i="72"/>
  <c r="H154" i="72" s="1"/>
  <c r="I155" i="72" s="1"/>
  <c r="J156" i="72" s="1"/>
  <c r="E216" i="72" l="1"/>
  <c r="F216" i="72" s="1"/>
  <c r="E153" i="72"/>
  <c r="F153" i="72" s="1"/>
  <c r="E310" i="72"/>
  <c r="F310" i="72" s="1"/>
  <c r="G311" i="72" s="1"/>
  <c r="E311" i="72" s="1"/>
  <c r="F311" i="72" s="1"/>
  <c r="G31" i="72"/>
  <c r="H32" i="72" s="1"/>
  <c r="G248" i="72"/>
  <c r="H249" i="72" s="1"/>
  <c r="E248" i="72" l="1"/>
  <c r="F248" i="72" s="1"/>
  <c r="G249" i="72" s="1"/>
  <c r="E249" i="72" s="1"/>
  <c r="F249" i="72" s="1"/>
  <c r="E31" i="72"/>
  <c r="F31" i="72" s="1"/>
  <c r="G32" i="72" s="1"/>
  <c r="E32" i="72" s="1"/>
  <c r="F32" i="72" s="1"/>
  <c r="AL32" i="72" s="1"/>
  <c r="G217" i="72"/>
  <c r="H218" i="72" s="1"/>
  <c r="G154" i="72"/>
  <c r="H155" i="72" s="1"/>
  <c r="I156" i="72" s="1"/>
  <c r="E217" i="72" l="1"/>
  <c r="F217" i="72" s="1"/>
  <c r="G218" i="72" s="1"/>
  <c r="E218" i="72" s="1"/>
  <c r="F218" i="72" s="1"/>
  <c r="E154" i="72"/>
  <c r="F154" i="72" s="1"/>
  <c r="G155" i="72" l="1"/>
  <c r="H156" i="72" s="1"/>
  <c r="E155" i="72" l="1"/>
  <c r="F155" i="72" s="1"/>
  <c r="G156" i="72" l="1"/>
  <c r="E156" i="72" s="1"/>
  <c r="F156" i="72" s="1"/>
  <c r="G31" i="26" a="1"/>
  <c r="G31" i="26" s="1"/>
  <c r="G27" i="26" a="1"/>
  <c r="G27" i="26" s="1"/>
  <c r="F24" i="26" a="1"/>
  <c r="F24" i="26" s="1"/>
  <c r="G208" i="35" s="1"/>
  <c r="D40" i="26" a="1"/>
  <c r="D40" i="26" s="1"/>
  <c r="H203" i="35" s="1"/>
  <c r="G40" i="26" a="1"/>
  <c r="G40" i="26" s="1"/>
  <c r="H224" i="35" s="1"/>
  <c r="H35" i="26" a="1"/>
  <c r="H35" i="26" s="1"/>
  <c r="D27" i="26" a="1"/>
  <c r="D27" i="26" s="1"/>
  <c r="G36" i="26" a="1"/>
  <c r="G36" i="26" s="1"/>
  <c r="H220" i="35" s="1"/>
  <c r="F32" i="26" a="1"/>
  <c r="F32" i="26" s="1"/>
  <c r="G216" i="35" s="1"/>
  <c r="F38" i="26" a="1"/>
  <c r="F38" i="26" s="1"/>
  <c r="G222" i="35" s="1"/>
  <c r="G26" i="26" a="1"/>
  <c r="G26" i="26" s="1"/>
  <c r="H210" i="35" s="1"/>
  <c r="H33" i="26" a="1"/>
  <c r="H33" i="26" s="1"/>
  <c r="I217" i="35" s="1"/>
  <c r="G39" i="26" a="1"/>
  <c r="G39" i="26" s="1"/>
  <c r="H36" i="26" a="1"/>
  <c r="H36" i="26" s="1"/>
  <c r="I220" i="35" s="1"/>
  <c r="G23" i="26" a="1"/>
  <c r="G23" i="26" s="1"/>
  <c r="H38" i="26" a="1"/>
  <c r="H38" i="26" s="1"/>
  <c r="I222" i="35" s="1"/>
  <c r="D32" i="26" a="1"/>
  <c r="D32" i="26" s="1"/>
  <c r="H195" i="35" s="1"/>
  <c r="F29" i="26" a="1"/>
  <c r="F29" i="26" s="1"/>
  <c r="G213" i="35" s="1"/>
  <c r="D28" i="26" a="1"/>
  <c r="D28" i="26" s="1"/>
  <c r="H191" i="35" s="1"/>
  <c r="H34" i="26" a="1"/>
  <c r="H34" i="26" s="1"/>
  <c r="I218" i="35" s="1"/>
  <c r="G25" i="26" a="1"/>
  <c r="G25" i="26" s="1"/>
  <c r="H209" i="35" s="1"/>
  <c r="G38" i="26" a="1"/>
  <c r="G38" i="26" s="1"/>
  <c r="H222" i="35" s="1"/>
  <c r="G30" i="26" a="1"/>
  <c r="G30" i="26" s="1"/>
  <c r="H214" i="35" s="1"/>
  <c r="G35" i="26" a="1"/>
  <c r="G35" i="26" s="1"/>
  <c r="F42" i="26" a="1"/>
  <c r="F42" i="26" s="1"/>
  <c r="G226" i="35" s="1"/>
  <c r="E26" i="26" a="1"/>
  <c r="E26" i="26" s="1"/>
  <c r="I189" i="35" s="1"/>
  <c r="D34" i="26" a="1"/>
  <c r="D34" i="26" s="1"/>
  <c r="H197" i="35" s="1"/>
  <c r="H40" i="26" a="1"/>
  <c r="H40" i="26" s="1"/>
  <c r="I224" i="35" s="1"/>
  <c r="D29" i="26" a="1"/>
  <c r="D29" i="26" s="1"/>
  <c r="H192" i="35" s="1"/>
  <c r="H24" i="26" a="1"/>
  <c r="H24" i="26" s="1"/>
  <c r="I208" i="35" s="1"/>
  <c r="F40" i="26" a="1"/>
  <c r="F40" i="26" s="1"/>
  <c r="G224" i="35" s="1"/>
  <c r="F31" i="26" a="1"/>
  <c r="F31" i="26" s="1"/>
  <c r="E35" i="26" a="1"/>
  <c r="E35" i="26" s="1"/>
  <c r="E28" i="26" a="1"/>
  <c r="E28" i="26" s="1"/>
  <c r="I191" i="35" s="1"/>
  <c r="H28" i="26" a="1"/>
  <c r="H28" i="26" s="1"/>
  <c r="I212" i="35" s="1"/>
  <c r="G29" i="26" a="1"/>
  <c r="G29" i="26" s="1"/>
  <c r="H213" i="35" s="1"/>
  <c r="H31" i="26" a="1"/>
  <c r="H31" i="26" s="1"/>
  <c r="D38" i="26" a="1"/>
  <c r="D38" i="26" s="1"/>
  <c r="H201" i="35" s="1"/>
  <c r="D35" i="26" a="1"/>
  <c r="D35" i="26" s="1"/>
  <c r="G41" i="26" a="1"/>
  <c r="G41" i="26" s="1"/>
  <c r="H225" i="35" s="1"/>
  <c r="E23" i="26" a="1"/>
  <c r="E23" i="26" s="1"/>
  <c r="F23" i="26" a="1"/>
  <c r="F23" i="26" s="1"/>
  <c r="D31" i="26" a="1"/>
  <c r="D31" i="26" s="1"/>
  <c r="H30" i="26" a="1"/>
  <c r="H30" i="26" s="1"/>
  <c r="I214" i="35" s="1"/>
  <c r="D24" i="26" a="1"/>
  <c r="D24" i="26" s="1"/>
  <c r="H187" i="35" s="1"/>
  <c r="H41" i="26" a="1"/>
  <c r="H41" i="26" s="1"/>
  <c r="I225" i="35" s="1"/>
  <c r="E34" i="26" a="1"/>
  <c r="E34" i="26" s="1"/>
  <c r="I197" i="35" s="1"/>
  <c r="F26" i="26" a="1"/>
  <c r="F26" i="26" s="1"/>
  <c r="G210" i="35" s="1"/>
  <c r="F30" i="26" a="1"/>
  <c r="F30" i="26" s="1"/>
  <c r="G214" i="35" s="1"/>
  <c r="E36" i="26" a="1"/>
  <c r="E36" i="26" s="1"/>
  <c r="I199" i="35" s="1"/>
  <c r="D41" i="26" a="1"/>
  <c r="D41" i="26" s="1"/>
  <c r="H204" i="35" s="1"/>
  <c r="D30" i="26" a="1"/>
  <c r="D30" i="26" s="1"/>
  <c r="H193" i="35" s="1"/>
  <c r="D25" i="26" a="1"/>
  <c r="D25" i="26" s="1"/>
  <c r="H188" i="35" s="1"/>
  <c r="E24" i="26" a="1"/>
  <c r="E24" i="26" s="1"/>
  <c r="I187" i="35" s="1"/>
  <c r="F39" i="26" a="1"/>
  <c r="F39" i="26" s="1"/>
  <c r="H25" i="26" a="1"/>
  <c r="H25" i="26" s="1"/>
  <c r="I209" i="35" s="1"/>
  <c r="F35" i="26" a="1"/>
  <c r="F35" i="26" s="1"/>
  <c r="G34" i="26" a="1"/>
  <c r="G34" i="26" s="1"/>
  <c r="H218" i="35" s="1"/>
  <c r="G42" i="26" a="1"/>
  <c r="G42" i="26" s="1"/>
  <c r="H226" i="35" s="1"/>
  <c r="G33" i="26" a="1"/>
  <c r="G33" i="26" s="1"/>
  <c r="H217" i="35" s="1"/>
  <c r="H26" i="26" a="1"/>
  <c r="H26" i="26" s="1"/>
  <c r="I210" i="35" s="1"/>
  <c r="D39" i="26" a="1"/>
  <c r="D39" i="26" s="1"/>
  <c r="E32" i="26" a="1"/>
  <c r="E32" i="26" s="1"/>
  <c r="I195" i="35" s="1"/>
  <c r="H37" i="26" a="1"/>
  <c r="H37" i="26" s="1"/>
  <c r="I221" i="35" s="1"/>
  <c r="H29" i="26" a="1"/>
  <c r="H29" i="26" s="1"/>
  <c r="I213" i="35" s="1"/>
  <c r="E41" i="26" a="1"/>
  <c r="E41" i="26" s="1"/>
  <c r="I204" i="35" s="1"/>
  <c r="E27" i="26" a="1"/>
  <c r="E27" i="26" s="1"/>
  <c r="H23" i="26" a="1"/>
  <c r="H23" i="26" s="1"/>
  <c r="D42" i="26" a="1"/>
  <c r="D42" i="26" s="1"/>
  <c r="H205" i="35" s="1"/>
  <c r="F36" i="26" a="1"/>
  <c r="F36" i="26" s="1"/>
  <c r="G220" i="35" s="1"/>
  <c r="F37" i="26" a="1"/>
  <c r="F37" i="26" s="1"/>
  <c r="G221" i="35" s="1"/>
  <c r="F27" i="26" a="1"/>
  <c r="F27" i="26" s="1"/>
  <c r="H27" i="26" a="1"/>
  <c r="H27" i="26" s="1"/>
  <c r="G32" i="26" a="1"/>
  <c r="G32" i="26" s="1"/>
  <c r="H216" i="35" s="1"/>
  <c r="E38" i="26" a="1"/>
  <c r="E38" i="26" s="1"/>
  <c r="I201" i="35" s="1"/>
  <c r="F25" i="26" a="1"/>
  <c r="F25" i="26" s="1"/>
  <c r="G209" i="35" s="1"/>
  <c r="D37" i="26" a="1"/>
  <c r="D37" i="26" s="1"/>
  <c r="H200" i="35" s="1"/>
  <c r="H42" i="26" a="1"/>
  <c r="H42" i="26" s="1"/>
  <c r="I226" i="35" s="1"/>
  <c r="E37" i="26" a="1"/>
  <c r="E37" i="26" s="1"/>
  <c r="I200" i="35" s="1"/>
  <c r="E40" i="26" a="1"/>
  <c r="E40" i="26" s="1"/>
  <c r="I203" i="35" s="1"/>
  <c r="H39" i="26" a="1"/>
  <c r="H39" i="26" s="1"/>
  <c r="G37" i="26" a="1"/>
  <c r="G37" i="26" s="1"/>
  <c r="H221" i="35" s="1"/>
  <c r="E29" i="26" a="1"/>
  <c r="E29" i="26" s="1"/>
  <c r="I192" i="35" s="1"/>
  <c r="E42" i="26" a="1"/>
  <c r="E42" i="26" s="1"/>
  <c r="I205" i="35" s="1"/>
  <c r="E31" i="26" a="1"/>
  <c r="E31" i="26" s="1"/>
  <c r="F41" i="26" a="1"/>
  <c r="F41" i="26" s="1"/>
  <c r="G225" i="35" s="1"/>
  <c r="E25" i="26" a="1"/>
  <c r="E25" i="26" s="1"/>
  <c r="I188" i="35" s="1"/>
  <c r="F33" i="26" a="1"/>
  <c r="F33" i="26" s="1"/>
  <c r="G217" i="35" s="1"/>
  <c r="D36" i="26" a="1"/>
  <c r="D36" i="26" s="1"/>
  <c r="H199" i="35" s="1"/>
  <c r="D23" i="26" a="1"/>
  <c r="D23" i="26" s="1"/>
  <c r="E39" i="26" a="1"/>
  <c r="E39" i="26" s="1"/>
  <c r="F28" i="26" a="1"/>
  <c r="F28" i="26" s="1"/>
  <c r="G212" i="35" s="1"/>
  <c r="D26" i="26" a="1"/>
  <c r="D26" i="26" s="1"/>
  <c r="H189" i="35" s="1"/>
  <c r="D33" i="26" a="1"/>
  <c r="D33" i="26" s="1"/>
  <c r="H196" i="35" s="1"/>
  <c r="E33" i="26" a="1"/>
  <c r="E33" i="26" s="1"/>
  <c r="I196" i="35" s="1"/>
  <c r="G28" i="26" a="1"/>
  <c r="G28" i="26" s="1"/>
  <c r="H212" i="35" s="1"/>
  <c r="F34" i="26" a="1"/>
  <c r="F34" i="26" s="1"/>
  <c r="G218" i="35" s="1"/>
  <c r="H32" i="26" a="1"/>
  <c r="H32" i="26" s="1"/>
  <c r="I216" i="35" s="1"/>
  <c r="E30" i="26" a="1"/>
  <c r="E30" i="26" s="1"/>
  <c r="I193" i="35" s="1"/>
  <c r="G24" i="26" a="1"/>
  <c r="G24" i="26" s="1"/>
  <c r="H208" i="35" s="1"/>
  <c r="J56" i="37" l="1"/>
  <c r="J55" i="37"/>
  <c r="J58" i="37"/>
  <c r="J57" i="37"/>
  <c r="J39" i="37"/>
  <c r="J41" i="37"/>
  <c r="J42" i="37"/>
  <c r="J40" i="37"/>
  <c r="H74" i="58"/>
  <c r="H74" i="41" s="1"/>
  <c r="H73" i="58"/>
  <c r="H73" i="41" s="1"/>
  <c r="H71" i="58"/>
  <c r="H71" i="41" s="1"/>
  <c r="H72" i="58"/>
  <c r="H72" i="41" s="1"/>
  <c r="I92" i="58"/>
  <c r="I93" i="58"/>
  <c r="I94" i="58"/>
  <c r="I91" i="58"/>
  <c r="J60" i="37"/>
  <c r="J62" i="37"/>
  <c r="J61" i="37"/>
  <c r="J59" i="37"/>
  <c r="J37" i="58"/>
  <c r="J36" i="58"/>
  <c r="J38" i="58"/>
  <c r="J35" i="58"/>
  <c r="I43" i="58"/>
  <c r="I46" i="58"/>
  <c r="I45" i="58"/>
  <c r="I44" i="58"/>
  <c r="I30" i="58"/>
  <c r="I28" i="58"/>
  <c r="I27" i="58"/>
  <c r="I29" i="58"/>
  <c r="I57" i="37"/>
  <c r="I55" i="37"/>
  <c r="I58" i="37"/>
  <c r="I56" i="37"/>
  <c r="I73" i="58"/>
  <c r="I71" i="58"/>
  <c r="I72" i="58"/>
  <c r="I74" i="58"/>
  <c r="H70" i="58"/>
  <c r="H70" i="41" s="1"/>
  <c r="H69" i="58"/>
  <c r="H69" i="41" s="1"/>
  <c r="H68" i="58"/>
  <c r="H68" i="41" s="1"/>
  <c r="H67" i="58"/>
  <c r="H67" i="41" s="1"/>
  <c r="I61" i="58"/>
  <c r="I59" i="58"/>
  <c r="I60" i="58"/>
  <c r="I62" i="58"/>
  <c r="J88" i="58"/>
  <c r="J90" i="58"/>
  <c r="J89" i="58"/>
  <c r="J87" i="58"/>
  <c r="J38" i="37"/>
  <c r="J37" i="37"/>
  <c r="J35" i="37"/>
  <c r="J36" i="37"/>
  <c r="I76" i="58"/>
  <c r="I75" i="58"/>
  <c r="I78" i="58"/>
  <c r="I77" i="58"/>
  <c r="H78" i="58"/>
  <c r="H78" i="41" s="1"/>
  <c r="H75" i="58"/>
  <c r="H75" i="41" s="1"/>
  <c r="H77" i="58"/>
  <c r="H77" i="41" s="1"/>
  <c r="H76" i="58"/>
  <c r="H76" i="41" s="1"/>
  <c r="J43" i="37"/>
  <c r="J45" i="37"/>
  <c r="J46" i="37"/>
  <c r="J44" i="37"/>
  <c r="I27" i="37"/>
  <c r="I27" i="41" s="1"/>
  <c r="I28" i="37"/>
  <c r="I28" i="41" s="1"/>
  <c r="I30" i="37"/>
  <c r="I30" i="41" s="1"/>
  <c r="I29" i="37"/>
  <c r="I223" i="35"/>
  <c r="G54" i="26"/>
  <c r="I93" i="37"/>
  <c r="I93" i="41" s="1"/>
  <c r="I92" i="37"/>
  <c r="I92" i="41" s="1"/>
  <c r="I91" i="37"/>
  <c r="I94" i="37"/>
  <c r="E53" i="26"/>
  <c r="H53" i="26" s="1"/>
  <c r="G219" i="35"/>
  <c r="I21" i="37"/>
  <c r="I22" i="37"/>
  <c r="I19" i="37"/>
  <c r="I20" i="37"/>
  <c r="I198" i="35"/>
  <c r="D53" i="26"/>
  <c r="I26" i="58"/>
  <c r="I24" i="58"/>
  <c r="I25" i="58"/>
  <c r="I23" i="58"/>
  <c r="H54" i="58"/>
  <c r="H54" i="41" s="1"/>
  <c r="H53" i="58"/>
  <c r="H53" i="41" s="1"/>
  <c r="H51" i="58"/>
  <c r="H51" i="41" s="1"/>
  <c r="H52" i="58"/>
  <c r="H52" i="41" s="1"/>
  <c r="H37" i="58"/>
  <c r="H37" i="41" s="1"/>
  <c r="H35" i="58"/>
  <c r="H35" i="41" s="1"/>
  <c r="H38" i="58"/>
  <c r="H38" i="41" s="1"/>
  <c r="H36" i="58"/>
  <c r="H36" i="41" s="1"/>
  <c r="J83" i="37"/>
  <c r="J84" i="37"/>
  <c r="J85" i="37"/>
  <c r="J86" i="37"/>
  <c r="I207" i="35"/>
  <c r="G50" i="26"/>
  <c r="J25" i="58"/>
  <c r="J23" i="58"/>
  <c r="J24" i="58"/>
  <c r="J26" i="58"/>
  <c r="J46" i="58"/>
  <c r="J45" i="58"/>
  <c r="J44" i="58"/>
  <c r="J43" i="58"/>
  <c r="G215" i="35"/>
  <c r="E52" i="26"/>
  <c r="H52" i="26" s="1"/>
  <c r="J61" i="58"/>
  <c r="J59" i="58"/>
  <c r="J62" i="58"/>
  <c r="J60" i="58"/>
  <c r="I70" i="58"/>
  <c r="I69" i="58"/>
  <c r="I68" i="58"/>
  <c r="I67" i="58"/>
  <c r="H61" i="58"/>
  <c r="H61" i="41" s="1"/>
  <c r="H59" i="58"/>
  <c r="H59" i="41" s="1"/>
  <c r="H60" i="58"/>
  <c r="H60" i="41" s="1"/>
  <c r="H62" i="58"/>
  <c r="H62" i="41" s="1"/>
  <c r="I202" i="35"/>
  <c r="D54" i="26"/>
  <c r="J74" i="37"/>
  <c r="J72" i="37"/>
  <c r="J73" i="37"/>
  <c r="J71" i="37"/>
  <c r="I190" i="35"/>
  <c r="D51" i="26"/>
  <c r="G223" i="35"/>
  <c r="E54" i="26"/>
  <c r="H54" i="26" s="1"/>
  <c r="H194" i="35"/>
  <c r="C52" i="26"/>
  <c r="H86" i="58"/>
  <c r="H86" i="41" s="1"/>
  <c r="H84" i="58"/>
  <c r="H84" i="41" s="1"/>
  <c r="H83" i="58"/>
  <c r="H83" i="41" s="1"/>
  <c r="H85" i="58"/>
  <c r="H85" i="41" s="1"/>
  <c r="I38" i="37"/>
  <c r="I35" i="37"/>
  <c r="I37" i="37"/>
  <c r="I36" i="37"/>
  <c r="H190" i="35"/>
  <c r="C51" i="26"/>
  <c r="I20" i="58"/>
  <c r="I22" i="58"/>
  <c r="I19" i="58"/>
  <c r="I21" i="58"/>
  <c r="H186" i="35"/>
  <c r="C50" i="26"/>
  <c r="J94" i="58"/>
  <c r="J93" i="58"/>
  <c r="J91" i="58"/>
  <c r="J92" i="58"/>
  <c r="J88" i="37"/>
  <c r="J90" i="37"/>
  <c r="J87" i="37"/>
  <c r="J89" i="37"/>
  <c r="J89" i="41" s="1"/>
  <c r="J20" i="37"/>
  <c r="J19" i="37"/>
  <c r="J22" i="37"/>
  <c r="J21" i="37"/>
  <c r="G207" i="35"/>
  <c r="E50" i="26"/>
  <c r="H50" i="26" s="1"/>
  <c r="J22" i="58"/>
  <c r="J19" i="58"/>
  <c r="J21" i="58"/>
  <c r="J20" i="58"/>
  <c r="H41" i="58"/>
  <c r="H41" i="41" s="1"/>
  <c r="H42" i="58"/>
  <c r="H42" i="41" s="1"/>
  <c r="H40" i="58"/>
  <c r="H40" i="41" s="1"/>
  <c r="H39" i="58"/>
  <c r="H39" i="41" s="1"/>
  <c r="I219" i="35"/>
  <c r="G53" i="26"/>
  <c r="I67" i="37"/>
  <c r="I67" i="41" s="1"/>
  <c r="I70" i="37"/>
  <c r="I68" i="37"/>
  <c r="I68" i="41" s="1"/>
  <c r="I69" i="37"/>
  <c r="I72" i="37"/>
  <c r="I72" i="41" s="1"/>
  <c r="I71" i="37"/>
  <c r="I71" i="41" s="1"/>
  <c r="I74" i="37"/>
  <c r="I74" i="41" s="1"/>
  <c r="I73" i="37"/>
  <c r="I73" i="41" s="1"/>
  <c r="J41" i="58"/>
  <c r="J40" i="58"/>
  <c r="J39" i="58"/>
  <c r="J42" i="58"/>
  <c r="I24" i="37"/>
  <c r="I24" i="41" s="1"/>
  <c r="I26" i="37"/>
  <c r="I26" i="41" s="1"/>
  <c r="I25" i="37"/>
  <c r="I25" i="41" s="1"/>
  <c r="I23" i="37"/>
  <c r="I23" i="41" s="1"/>
  <c r="I186" i="35"/>
  <c r="D50" i="26"/>
  <c r="J50" i="26" s="1"/>
  <c r="I40" i="37"/>
  <c r="I39" i="37"/>
  <c r="I42" i="37"/>
  <c r="I41" i="37"/>
  <c r="I52" i="37"/>
  <c r="I54" i="37"/>
  <c r="I53" i="37"/>
  <c r="I51" i="37"/>
  <c r="I86" i="58"/>
  <c r="I85" i="58"/>
  <c r="I83" i="58"/>
  <c r="I84" i="58"/>
  <c r="H57" i="58"/>
  <c r="H57" i="41" s="1"/>
  <c r="H56" i="58"/>
  <c r="H56" i="41" s="1"/>
  <c r="H58" i="58"/>
  <c r="H58" i="41" s="1"/>
  <c r="H55" i="58"/>
  <c r="H55" i="41" s="1"/>
  <c r="H23" i="58"/>
  <c r="H23" i="41" s="1"/>
  <c r="H26" i="58"/>
  <c r="H26" i="41" s="1"/>
  <c r="H25" i="58"/>
  <c r="H25" i="41" s="1"/>
  <c r="H24" i="58"/>
  <c r="H24" i="41" s="1"/>
  <c r="J73" i="58"/>
  <c r="J72" i="58"/>
  <c r="J74" i="58"/>
  <c r="J71" i="58"/>
  <c r="I46" i="37"/>
  <c r="I46" i="41" s="1"/>
  <c r="I43" i="37"/>
  <c r="I43" i="41" s="1"/>
  <c r="I45" i="37"/>
  <c r="I45" i="41" s="1"/>
  <c r="I44" i="37"/>
  <c r="I44" i="41" s="1"/>
  <c r="I87" i="58"/>
  <c r="I88" i="58"/>
  <c r="I89" i="58"/>
  <c r="I90" i="58"/>
  <c r="J85" i="58"/>
  <c r="J86" i="58"/>
  <c r="J84" i="58"/>
  <c r="J83" i="58"/>
  <c r="J76" i="58"/>
  <c r="J78" i="58"/>
  <c r="J77" i="58"/>
  <c r="J75" i="58"/>
  <c r="I86" i="37"/>
  <c r="I86" i="41" s="1"/>
  <c r="I84" i="37"/>
  <c r="I85" i="37"/>
  <c r="I85" i="41" s="1"/>
  <c r="I83" i="37"/>
  <c r="J23" i="37"/>
  <c r="J23" i="41" s="1"/>
  <c r="J24" i="37"/>
  <c r="J26" i="37"/>
  <c r="J25" i="37"/>
  <c r="J25" i="41" s="1"/>
  <c r="J76" i="37"/>
  <c r="J76" i="41" s="1"/>
  <c r="J77" i="37"/>
  <c r="J78" i="37"/>
  <c r="J75" i="37"/>
  <c r="J75" i="41" s="1"/>
  <c r="J53" i="37"/>
  <c r="J54" i="37"/>
  <c r="J51" i="37"/>
  <c r="J52" i="37"/>
  <c r="I89" i="37"/>
  <c r="I90" i="37"/>
  <c r="I88" i="37"/>
  <c r="I87" i="37"/>
  <c r="H198" i="35"/>
  <c r="C53" i="26"/>
  <c r="I59" i="37"/>
  <c r="I59" i="41" s="1"/>
  <c r="I60" i="37"/>
  <c r="I62" i="37"/>
  <c r="I61" i="37"/>
  <c r="I61" i="41" s="1"/>
  <c r="H207" i="35"/>
  <c r="F50" i="26"/>
  <c r="H21" i="58"/>
  <c r="H21" i="41" s="1"/>
  <c r="H20" i="58"/>
  <c r="H20" i="41" s="1"/>
  <c r="H22" i="58"/>
  <c r="H22" i="41" s="1"/>
  <c r="H19" i="58"/>
  <c r="H19" i="41" s="1"/>
  <c r="H88" i="58"/>
  <c r="H88" i="41" s="1"/>
  <c r="H90" i="58"/>
  <c r="H90" i="41" s="1"/>
  <c r="H89" i="58"/>
  <c r="H89" i="41" s="1"/>
  <c r="H87" i="58"/>
  <c r="H87" i="41" s="1"/>
  <c r="I54" i="58"/>
  <c r="I51" i="58"/>
  <c r="I52" i="58"/>
  <c r="I53" i="58"/>
  <c r="H202" i="35"/>
  <c r="C54" i="26"/>
  <c r="J68" i="37"/>
  <c r="J67" i="37"/>
  <c r="J70" i="37"/>
  <c r="J69" i="37"/>
  <c r="I78" i="37"/>
  <c r="I77" i="37"/>
  <c r="I75" i="37"/>
  <c r="I75" i="41" s="1"/>
  <c r="I76" i="37"/>
  <c r="I76" i="41" s="1"/>
  <c r="J28" i="37"/>
  <c r="J29" i="37"/>
  <c r="J30" i="37"/>
  <c r="J27" i="37"/>
  <c r="J67" i="58"/>
  <c r="J70" i="58"/>
  <c r="J68" i="58"/>
  <c r="J69" i="58"/>
  <c r="F51" i="26"/>
  <c r="I51" i="26" s="1"/>
  <c r="H211" i="35"/>
  <c r="J54" i="58"/>
  <c r="J51" i="58"/>
  <c r="J53" i="58"/>
  <c r="J52" i="58"/>
  <c r="I194" i="35"/>
  <c r="D52" i="26"/>
  <c r="I211" i="35"/>
  <c r="G51" i="26"/>
  <c r="J30" i="58"/>
  <c r="J28" i="58"/>
  <c r="J29" i="58"/>
  <c r="J27" i="58"/>
  <c r="H43" i="58"/>
  <c r="H43" i="41" s="1"/>
  <c r="H45" i="58"/>
  <c r="H45" i="41" s="1"/>
  <c r="H46" i="58"/>
  <c r="H46" i="41" s="1"/>
  <c r="H44" i="58"/>
  <c r="H44" i="41" s="1"/>
  <c r="G52" i="26"/>
  <c r="I215" i="35"/>
  <c r="H93" i="58"/>
  <c r="H93" i="41" s="1"/>
  <c r="H94" i="58"/>
  <c r="H94" i="41" s="1"/>
  <c r="H91" i="58"/>
  <c r="H91" i="41" s="1"/>
  <c r="H92" i="58"/>
  <c r="H92" i="41" s="1"/>
  <c r="H223" i="35"/>
  <c r="F54" i="26"/>
  <c r="H215" i="35"/>
  <c r="F52" i="26"/>
  <c r="I38" i="58"/>
  <c r="I35" i="58"/>
  <c r="I36" i="58"/>
  <c r="I37" i="58"/>
  <c r="J92" i="37"/>
  <c r="J91" i="37"/>
  <c r="J94" i="37"/>
  <c r="J93" i="37"/>
  <c r="E51" i="26"/>
  <c r="H51" i="26" s="1"/>
  <c r="G211" i="35"/>
  <c r="I58" i="58"/>
  <c r="I57" i="58"/>
  <c r="I56" i="58"/>
  <c r="I55" i="58"/>
  <c r="H28" i="58"/>
  <c r="H28" i="41" s="1"/>
  <c r="H29" i="58"/>
  <c r="H29" i="41" s="1"/>
  <c r="H30" i="58"/>
  <c r="H30" i="41" s="1"/>
  <c r="H27" i="58"/>
  <c r="H27" i="41" s="1"/>
  <c r="I39" i="58"/>
  <c r="I40" i="58"/>
  <c r="I41" i="58"/>
  <c r="I42" i="58"/>
  <c r="H219" i="35"/>
  <c r="F53" i="26"/>
  <c r="J57" i="58"/>
  <c r="J56" i="58"/>
  <c r="J55" i="58"/>
  <c r="J58" i="58"/>
  <c r="I56" i="41" l="1"/>
  <c r="I77" i="41"/>
  <c r="J35" i="41"/>
  <c r="I62" i="41"/>
  <c r="I87" i="41"/>
  <c r="J26" i="41"/>
  <c r="I29" i="41"/>
  <c r="I58" i="41"/>
  <c r="I78" i="41"/>
  <c r="I60" i="41"/>
  <c r="J24" i="41"/>
  <c r="J69" i="41"/>
  <c r="I88" i="41"/>
  <c r="I69" i="41"/>
  <c r="I83" i="41"/>
  <c r="I84" i="41"/>
  <c r="J54" i="26"/>
  <c r="J36" i="41"/>
  <c r="J77" i="41"/>
  <c r="I94" i="41"/>
  <c r="J37" i="41"/>
  <c r="J68" i="41"/>
  <c r="I91" i="41"/>
  <c r="J67" i="41"/>
  <c r="I70" i="41"/>
  <c r="J38" i="41"/>
  <c r="J21" i="41"/>
  <c r="J22" i="41"/>
  <c r="J29" i="41"/>
  <c r="J52" i="41"/>
  <c r="I90" i="41"/>
  <c r="I51" i="41"/>
  <c r="J93" i="41"/>
  <c r="I35" i="41"/>
  <c r="J71" i="41"/>
  <c r="I20" i="41"/>
  <c r="J28" i="41"/>
  <c r="I17" i="58"/>
  <c r="I15" i="58"/>
  <c r="I18" i="58"/>
  <c r="I16" i="58"/>
  <c r="J51" i="41"/>
  <c r="I89" i="41"/>
  <c r="I53" i="41"/>
  <c r="H17" i="58"/>
  <c r="H18" i="58"/>
  <c r="H18" i="41" s="1"/>
  <c r="H15" i="58"/>
  <c r="H16" i="58"/>
  <c r="J94" i="41"/>
  <c r="I38" i="41"/>
  <c r="J73" i="41"/>
  <c r="I19" i="41"/>
  <c r="J54" i="41"/>
  <c r="I54" i="41"/>
  <c r="I50" i="26"/>
  <c r="J72" i="41"/>
  <c r="I22" i="41"/>
  <c r="I55" i="41"/>
  <c r="J53" i="41"/>
  <c r="I52" i="41"/>
  <c r="J63" i="58"/>
  <c r="J64" i="58"/>
  <c r="J65" i="58"/>
  <c r="J66" i="58"/>
  <c r="I15" i="37"/>
  <c r="I17" i="37"/>
  <c r="I16" i="37"/>
  <c r="I18" i="37"/>
  <c r="J74" i="41"/>
  <c r="I21" i="41"/>
  <c r="I57" i="41"/>
  <c r="I47" i="58"/>
  <c r="I49" i="58"/>
  <c r="I50" i="58"/>
  <c r="I48" i="58"/>
  <c r="H31" i="58"/>
  <c r="H31" i="41" s="1"/>
  <c r="H34" i="58"/>
  <c r="H34" i="41" s="1"/>
  <c r="H32" i="58"/>
  <c r="H32" i="41" s="1"/>
  <c r="H33" i="58"/>
  <c r="H33" i="41" s="1"/>
  <c r="I31" i="58"/>
  <c r="I32" i="58"/>
  <c r="I33" i="58"/>
  <c r="I34" i="58"/>
  <c r="I41" i="41"/>
  <c r="J19" i="41"/>
  <c r="H66" i="58"/>
  <c r="H66" i="41" s="1"/>
  <c r="H64" i="58"/>
  <c r="H64" i="41" s="1"/>
  <c r="H63" i="58"/>
  <c r="H63" i="41" s="1"/>
  <c r="H65" i="58"/>
  <c r="H65" i="41" s="1"/>
  <c r="J44" i="41"/>
  <c r="J59" i="41"/>
  <c r="J40" i="41"/>
  <c r="I63" i="58"/>
  <c r="I64" i="58"/>
  <c r="I66" i="58"/>
  <c r="I65" i="58"/>
  <c r="I82" i="58"/>
  <c r="I80" i="58"/>
  <c r="I81" i="58"/>
  <c r="I79" i="58"/>
  <c r="J78" i="41"/>
  <c r="I42" i="41"/>
  <c r="J20" i="41"/>
  <c r="J82" i="37"/>
  <c r="J79" i="37"/>
  <c r="J80" i="37"/>
  <c r="J81" i="37"/>
  <c r="J15" i="58"/>
  <c r="J17" i="58"/>
  <c r="J16" i="58"/>
  <c r="J18" i="58"/>
  <c r="J46" i="41"/>
  <c r="J61" i="41"/>
  <c r="J42" i="41"/>
  <c r="I53" i="26"/>
  <c r="I39" i="41"/>
  <c r="I52" i="26"/>
  <c r="J86" i="41"/>
  <c r="J45" i="41"/>
  <c r="J62" i="41"/>
  <c r="J41" i="41"/>
  <c r="I64" i="37"/>
  <c r="I64" i="41" s="1"/>
  <c r="I65" i="37"/>
  <c r="I66" i="37"/>
  <c r="I63" i="37"/>
  <c r="I63" i="41" s="1"/>
  <c r="I40" i="41"/>
  <c r="I48" i="37"/>
  <c r="I47" i="37"/>
  <c r="I50" i="37"/>
  <c r="I49" i="37"/>
  <c r="H50" i="58"/>
  <c r="H50" i="41" s="1"/>
  <c r="H48" i="58"/>
  <c r="H48" i="41" s="1"/>
  <c r="H49" i="58"/>
  <c r="H49" i="41" s="1"/>
  <c r="H47" i="58"/>
  <c r="H47" i="41" s="1"/>
  <c r="J85" i="41"/>
  <c r="J43" i="41"/>
  <c r="J60" i="41"/>
  <c r="J39" i="41"/>
  <c r="J70" i="41"/>
  <c r="J84" i="41"/>
  <c r="J87" i="41"/>
  <c r="J57" i="41"/>
  <c r="J34" i="58"/>
  <c r="J32" i="58"/>
  <c r="J31" i="58"/>
  <c r="J33" i="58"/>
  <c r="J16" i="37"/>
  <c r="J15" i="37"/>
  <c r="J17" i="37"/>
  <c r="J18" i="37"/>
  <c r="I31" i="37"/>
  <c r="I33" i="37"/>
  <c r="I33" i="41" s="1"/>
  <c r="I32" i="37"/>
  <c r="I32" i="41" s="1"/>
  <c r="I34" i="37"/>
  <c r="H82" i="58"/>
  <c r="H82" i="41" s="1"/>
  <c r="H81" i="58"/>
  <c r="H81" i="41" s="1"/>
  <c r="H79" i="58"/>
  <c r="H79" i="41" s="1"/>
  <c r="H80" i="58"/>
  <c r="H80" i="41" s="1"/>
  <c r="J83" i="41"/>
  <c r="J58" i="41"/>
  <c r="J48" i="58"/>
  <c r="J50" i="58"/>
  <c r="J47" i="58"/>
  <c r="J49" i="58"/>
  <c r="J52" i="26"/>
  <c r="J27" i="41"/>
  <c r="I54" i="26"/>
  <c r="J92" i="41"/>
  <c r="I36" i="41"/>
  <c r="J51" i="26"/>
  <c r="J53" i="26"/>
  <c r="J90" i="41"/>
  <c r="J55" i="41"/>
  <c r="J47" i="37"/>
  <c r="J49" i="37"/>
  <c r="J48" i="37"/>
  <c r="J50" i="37"/>
  <c r="J30" i="41"/>
  <c r="I79" i="37"/>
  <c r="I82" i="37"/>
  <c r="I81" i="37"/>
  <c r="I81" i="41" s="1"/>
  <c r="I80" i="37"/>
  <c r="I80" i="41" s="1"/>
  <c r="J91" i="41"/>
  <c r="I37" i="41"/>
  <c r="J31" i="37"/>
  <c r="J33" i="37"/>
  <c r="J32" i="37"/>
  <c r="J34" i="37"/>
  <c r="J65" i="37"/>
  <c r="J66" i="37"/>
  <c r="J64" i="37"/>
  <c r="J63" i="37"/>
  <c r="J79" i="58"/>
  <c r="J82" i="58"/>
  <c r="J81" i="58"/>
  <c r="J80" i="58"/>
  <c r="J88" i="41"/>
  <c r="J56" i="41"/>
  <c r="I47" i="41" l="1"/>
  <c r="I79" i="41"/>
  <c r="I50" i="41"/>
  <c r="J32" i="41"/>
  <c r="I82" i="41"/>
  <c r="J66" i="41"/>
  <c r="I49" i="41"/>
  <c r="J50" i="41"/>
  <c r="I31" i="41"/>
  <c r="J31" i="41"/>
  <c r="I65" i="41"/>
  <c r="I34" i="41"/>
  <c r="J34" i="41"/>
  <c r="I66" i="41"/>
  <c r="J48" i="41"/>
  <c r="J15" i="41"/>
  <c r="J423" i="37"/>
  <c r="J424" i="37"/>
  <c r="J16" i="41"/>
  <c r="J65" i="41"/>
  <c r="I423" i="58"/>
  <c r="I424" i="58"/>
  <c r="F241" i="66" s="1"/>
  <c r="J64" i="41"/>
  <c r="C48" i="63"/>
  <c r="C58" i="63"/>
  <c r="J63" i="41"/>
  <c r="J423" i="58"/>
  <c r="J424" i="58"/>
  <c r="F289" i="66" s="1"/>
  <c r="H16" i="41"/>
  <c r="E404" i="38" s="1"/>
  <c r="E11" i="53"/>
  <c r="J81" i="41"/>
  <c r="H424" i="58"/>
  <c r="H424" i="41" s="1"/>
  <c r="H15" i="41"/>
  <c r="H423" i="58"/>
  <c r="J80" i="41"/>
  <c r="J79" i="41"/>
  <c r="C38" i="63"/>
  <c r="H17" i="41"/>
  <c r="J82" i="41"/>
  <c r="I18" i="41"/>
  <c r="J49" i="41"/>
  <c r="I48" i="41"/>
  <c r="I16" i="41"/>
  <c r="J33" i="41"/>
  <c r="J47" i="41"/>
  <c r="J18" i="41"/>
  <c r="I17" i="41"/>
  <c r="C18" i="63"/>
  <c r="C28" i="63"/>
  <c r="J17" i="41"/>
  <c r="I423" i="37"/>
  <c r="I15" i="41"/>
  <c r="I424" i="37"/>
  <c r="I424" i="41" s="1"/>
  <c r="E408" i="38" s="1"/>
  <c r="E23" i="53"/>
  <c r="J424" i="41" l="1"/>
  <c r="M241" i="66"/>
  <c r="I500" i="58"/>
  <c r="I498" i="58"/>
  <c r="C51" i="63" s="1"/>
  <c r="I499" i="58"/>
  <c r="D23" i="53"/>
  <c r="F23" i="53" s="1"/>
  <c r="F193" i="66"/>
  <c r="E35" i="53"/>
  <c r="E407" i="38"/>
  <c r="E409" i="38"/>
  <c r="H500" i="37"/>
  <c r="H498" i="37"/>
  <c r="D5" i="53"/>
  <c r="F5" i="53" s="1"/>
  <c r="M49" i="66"/>
  <c r="H499" i="37"/>
  <c r="I425" i="58"/>
  <c r="E323" i="38"/>
  <c r="M242" i="66" s="1"/>
  <c r="F242" i="66"/>
  <c r="J425" i="58"/>
  <c r="E347" i="38"/>
  <c r="M290" i="66" s="1"/>
  <c r="F290" i="66"/>
  <c r="F145" i="66"/>
  <c r="E29" i="53"/>
  <c r="F97" i="66"/>
  <c r="E406" i="38"/>
  <c r="E17" i="53"/>
  <c r="H425" i="58"/>
  <c r="H423" i="41"/>
  <c r="E299" i="38"/>
  <c r="M194" i="66" s="1"/>
  <c r="F194" i="66"/>
  <c r="F98" i="66"/>
  <c r="I423" i="41"/>
  <c r="I425" i="37"/>
  <c r="E311" i="38"/>
  <c r="M98" i="66" s="1"/>
  <c r="E405" i="38"/>
  <c r="E335" i="38"/>
  <c r="M146" i="66" s="1"/>
  <c r="J423" i="41"/>
  <c r="J425" i="37"/>
  <c r="F146" i="66"/>
  <c r="C2" i="63" l="1"/>
  <c r="C11" i="63"/>
  <c r="F35" i="66"/>
  <c r="E410" i="38"/>
  <c r="I425" i="41"/>
  <c r="C19" i="63"/>
  <c r="N290" i="66"/>
  <c r="M289" i="66"/>
  <c r="J500" i="58"/>
  <c r="J498" i="58"/>
  <c r="C61" i="63" s="1"/>
  <c r="J499" i="58"/>
  <c r="D35" i="53"/>
  <c r="F35" i="53" s="1"/>
  <c r="H29" i="53" s="1"/>
  <c r="C59" i="63"/>
  <c r="H500" i="58"/>
  <c r="H498" i="58"/>
  <c r="C41" i="63" s="1"/>
  <c r="M193" i="66"/>
  <c r="H499" i="58"/>
  <c r="D11" i="53"/>
  <c r="F11" i="53" s="1"/>
  <c r="H5" i="53" s="1"/>
  <c r="G5" i="53" s="1"/>
  <c r="E281" i="38" s="1"/>
  <c r="N98" i="66"/>
  <c r="N194" i="66"/>
  <c r="N242" i="66"/>
  <c r="H17" i="53"/>
  <c r="N146" i="66"/>
  <c r="C29" i="63"/>
  <c r="J425" i="41"/>
  <c r="H425" i="41"/>
  <c r="C39" i="63"/>
  <c r="C49" i="63"/>
  <c r="C42" i="63"/>
  <c r="F228" i="66"/>
  <c r="E419" i="38"/>
  <c r="E411" i="38"/>
  <c r="F36" i="66"/>
  <c r="J498" i="37"/>
  <c r="C22" i="63" s="1"/>
  <c r="J499" i="37"/>
  <c r="D29" i="53"/>
  <c r="F29" i="53" s="1"/>
  <c r="M145" i="66"/>
  <c r="J500" i="37"/>
  <c r="F227" i="66"/>
  <c r="E418" i="38"/>
  <c r="I498" i="37"/>
  <c r="C12" i="63" s="1"/>
  <c r="I499" i="37"/>
  <c r="D17" i="53"/>
  <c r="F17" i="53" s="1"/>
  <c r="H23" i="53" s="1"/>
  <c r="G23" i="53" s="1"/>
  <c r="E317" i="38" s="1"/>
  <c r="M97" i="66"/>
  <c r="I500" i="37"/>
  <c r="H11" i="53"/>
  <c r="C32" i="63" l="1"/>
  <c r="G11" i="53"/>
  <c r="E293" i="38" s="1"/>
  <c r="H484" i="58" s="1"/>
  <c r="I484" i="58"/>
  <c r="L241" i="66"/>
  <c r="H35" i="53"/>
  <c r="G35" i="53" s="1"/>
  <c r="E341" i="38" s="1"/>
  <c r="G29" i="53"/>
  <c r="E329" i="38" s="1"/>
  <c r="E417" i="38"/>
  <c r="F180" i="66"/>
  <c r="L49" i="66"/>
  <c r="H484" i="37"/>
  <c r="L193" i="66"/>
  <c r="C31" i="63"/>
  <c r="J498" i="41"/>
  <c r="E416" i="38"/>
  <c r="F179" i="66"/>
  <c r="E415" i="38"/>
  <c r="F132" i="66"/>
  <c r="J499" i="41"/>
  <c r="I500" i="41"/>
  <c r="E412" i="38"/>
  <c r="F83" i="66"/>
  <c r="H499" i="41"/>
  <c r="Y290" i="66"/>
  <c r="Y146" i="66"/>
  <c r="Z146" i="66"/>
  <c r="Z290" i="66"/>
  <c r="C52" i="63"/>
  <c r="H488" i="37"/>
  <c r="L35" i="66"/>
  <c r="N35" i="66" s="1"/>
  <c r="H487" i="37"/>
  <c r="L36" i="66"/>
  <c r="O3" i="41"/>
  <c r="E413" i="38"/>
  <c r="F84" i="66"/>
  <c r="I499" i="41"/>
  <c r="G17" i="53"/>
  <c r="E305" i="38" s="1"/>
  <c r="H500" i="41"/>
  <c r="I487" i="58"/>
  <c r="L228" i="66"/>
  <c r="C21" i="63"/>
  <c r="I498" i="41"/>
  <c r="N3" i="41" s="1"/>
  <c r="F276" i="66"/>
  <c r="E421" i="38"/>
  <c r="L227" i="66"/>
  <c r="P227" i="66" s="1"/>
  <c r="I488" i="58"/>
  <c r="Y50" i="66"/>
  <c r="Y194" i="66"/>
  <c r="Z194" i="66"/>
  <c r="Z50" i="66"/>
  <c r="F275" i="66"/>
  <c r="E420" i="38"/>
  <c r="H498" i="41"/>
  <c r="M3" i="41" s="1"/>
  <c r="E414" i="38"/>
  <c r="F131" i="66"/>
  <c r="J500" i="41"/>
  <c r="Z242" i="66"/>
  <c r="Y242" i="66"/>
  <c r="Y98" i="66"/>
  <c r="Z98" i="66"/>
  <c r="J488" i="58" l="1"/>
  <c r="L275" i="66"/>
  <c r="I487" i="37"/>
  <c r="I487" i="41" s="1"/>
  <c r="L84" i="66"/>
  <c r="P84" i="66" s="1"/>
  <c r="P193" i="66"/>
  <c r="V193" i="66" s="1"/>
  <c r="X193" i="66" s="1"/>
  <c r="R193" i="66"/>
  <c r="T193" i="66" s="1"/>
  <c r="N193" i="66"/>
  <c r="N227" i="66"/>
  <c r="L276" i="66"/>
  <c r="P276" i="66" s="1"/>
  <c r="J487" i="58"/>
  <c r="L83" i="66"/>
  <c r="P83" i="66" s="1"/>
  <c r="I488" i="37"/>
  <c r="I488" i="41" s="1"/>
  <c r="H484" i="41"/>
  <c r="L131" i="66"/>
  <c r="P131" i="66" s="1"/>
  <c r="J488" i="37"/>
  <c r="J488" i="41" s="1"/>
  <c r="N36" i="66"/>
  <c r="P36" i="66"/>
  <c r="V36" i="66" s="1"/>
  <c r="X36" i="66" s="1"/>
  <c r="R36" i="66"/>
  <c r="T36" i="66" s="1"/>
  <c r="P49" i="66"/>
  <c r="V49" i="66" s="1"/>
  <c r="X49" i="66" s="1"/>
  <c r="N49" i="66"/>
  <c r="R49" i="66"/>
  <c r="T49" i="66" s="1"/>
  <c r="R35" i="66"/>
  <c r="T35" i="66" s="1"/>
  <c r="P35" i="66"/>
  <c r="V35" i="66" s="1"/>
  <c r="X35" i="66" s="1"/>
  <c r="H487" i="58"/>
  <c r="H487" i="41" s="1"/>
  <c r="L180" i="66"/>
  <c r="N180" i="66" s="1"/>
  <c r="O180" i="66" s="1"/>
  <c r="N228" i="66"/>
  <c r="P228" i="66"/>
  <c r="L132" i="66"/>
  <c r="J487" i="37"/>
  <c r="L145" i="66"/>
  <c r="J484" i="37"/>
  <c r="L289" i="66"/>
  <c r="J484" i="58"/>
  <c r="H488" i="58"/>
  <c r="H488" i="41" s="1"/>
  <c r="L179" i="66"/>
  <c r="N179" i="66" s="1"/>
  <c r="P241" i="66"/>
  <c r="N241" i="66"/>
  <c r="I484" i="37"/>
  <c r="I484" i="41" s="1"/>
  <c r="L97" i="66"/>
  <c r="J487" i="41" l="1"/>
  <c r="O179" i="66"/>
  <c r="Y179" i="66"/>
  <c r="Z35" i="66"/>
  <c r="Z179" i="66"/>
  <c r="Y35" i="66"/>
  <c r="O35" i="66"/>
  <c r="R180" i="66"/>
  <c r="T180" i="66" s="1"/>
  <c r="P180" i="66"/>
  <c r="V180" i="66" s="1"/>
  <c r="X180" i="66" s="1"/>
  <c r="N276" i="66"/>
  <c r="O276" i="66" s="1"/>
  <c r="N83" i="66"/>
  <c r="O227" i="66" s="1"/>
  <c r="P289" i="66"/>
  <c r="N289" i="66"/>
  <c r="N275" i="66"/>
  <c r="P275" i="66"/>
  <c r="P145" i="66"/>
  <c r="N145" i="66"/>
  <c r="N84" i="66"/>
  <c r="O228" i="66" s="1"/>
  <c r="P97" i="66"/>
  <c r="N97" i="66"/>
  <c r="J484" i="41"/>
  <c r="N132" i="66"/>
  <c r="P132" i="66"/>
  <c r="N131" i="66"/>
  <c r="Z49" i="66"/>
  <c r="Y193" i="66"/>
  <c r="Z193" i="66"/>
  <c r="Y49" i="66"/>
  <c r="O49" i="66"/>
  <c r="O241" i="66"/>
  <c r="O193" i="66"/>
  <c r="U180" i="66"/>
  <c r="Q180" i="66"/>
  <c r="P179" i="66"/>
  <c r="V179" i="66" s="1"/>
  <c r="X179" i="66" s="1"/>
  <c r="R179" i="66"/>
  <c r="T179" i="66" s="1"/>
  <c r="Z36" i="66"/>
  <c r="Y180" i="66"/>
  <c r="O36" i="66"/>
  <c r="Y36" i="66"/>
  <c r="Z180" i="66"/>
  <c r="O275" i="66" l="1"/>
  <c r="U275" i="66" s="1"/>
  <c r="O289" i="66"/>
  <c r="U289" i="66" s="1"/>
  <c r="U228" i="66"/>
  <c r="V228" i="66"/>
  <c r="X228" i="66" s="1"/>
  <c r="Q228" i="66"/>
  <c r="R228" i="66" s="1"/>
  <c r="T228" i="66" s="1"/>
  <c r="O83" i="66"/>
  <c r="Y83" i="66"/>
  <c r="Z227" i="66"/>
  <c r="Z83" i="66"/>
  <c r="Y227" i="66"/>
  <c r="V276" i="66"/>
  <c r="X276" i="66" s="1"/>
  <c r="U276" i="66"/>
  <c r="Q276" i="66"/>
  <c r="R276" i="66" s="1"/>
  <c r="T276" i="66" s="1"/>
  <c r="U227" i="66"/>
  <c r="Q227" i="66"/>
  <c r="R227" i="66" s="1"/>
  <c r="T227" i="66" s="1"/>
  <c r="V227" i="66"/>
  <c r="X227" i="66" s="1"/>
  <c r="Z131" i="66"/>
  <c r="O131" i="66"/>
  <c r="Z275" i="66"/>
  <c r="Y275" i="66"/>
  <c r="Y131" i="66"/>
  <c r="Y132" i="66"/>
  <c r="Y276" i="66"/>
  <c r="Z276" i="66"/>
  <c r="O132" i="66"/>
  <c r="Z132" i="66"/>
  <c r="Q193" i="66"/>
  <c r="U193" i="66"/>
  <c r="O97" i="66"/>
  <c r="Y241" i="66"/>
  <c r="Z241" i="66"/>
  <c r="Z97" i="66"/>
  <c r="Y97" i="66"/>
  <c r="V241" i="66"/>
  <c r="X241" i="66" s="1"/>
  <c r="Q241" i="66"/>
  <c r="R241" i="66" s="1"/>
  <c r="T241" i="66" s="1"/>
  <c r="U241" i="66"/>
  <c r="U35" i="66"/>
  <c r="Q35" i="66"/>
  <c r="U49" i="66"/>
  <c r="Q49" i="66"/>
  <c r="Y84" i="66"/>
  <c r="Z228" i="66"/>
  <c r="Y228" i="66"/>
  <c r="Z84" i="66"/>
  <c r="O84" i="66"/>
  <c r="Y145" i="66"/>
  <c r="Z289" i="66"/>
  <c r="O145" i="66"/>
  <c r="Z145" i="66"/>
  <c r="Y289" i="66"/>
  <c r="Q36" i="66"/>
  <c r="U36" i="66"/>
  <c r="V275" i="66"/>
  <c r="X275" i="66" s="1"/>
  <c r="U179" i="66"/>
  <c r="Q179" i="66"/>
  <c r="Q275" i="66" l="1"/>
  <c r="R275" i="66" s="1"/>
  <c r="T275" i="66" s="1"/>
  <c r="Q289" i="66"/>
  <c r="R289" i="66" s="1"/>
  <c r="T289" i="66" s="1"/>
  <c r="V289" i="66"/>
  <c r="X289" i="66" s="1"/>
  <c r="Q84" i="66"/>
  <c r="R84" i="66" s="1"/>
  <c r="T84" i="66" s="1"/>
  <c r="V84" i="66"/>
  <c r="X84" i="66" s="1"/>
  <c r="U84" i="66"/>
  <c r="Q131" i="66"/>
  <c r="R131" i="66" s="1"/>
  <c r="T131" i="66" s="1"/>
  <c r="U131" i="66"/>
  <c r="V131" i="66"/>
  <c r="X131" i="66" s="1"/>
  <c r="Q83" i="66"/>
  <c r="R83" i="66" s="1"/>
  <c r="T83" i="66" s="1"/>
  <c r="U83" i="66"/>
  <c r="V83" i="66"/>
  <c r="X83" i="66" s="1"/>
  <c r="Q97" i="66"/>
  <c r="R97" i="66" s="1"/>
  <c r="T97" i="66" s="1"/>
  <c r="U97" i="66"/>
  <c r="V97" i="66"/>
  <c r="X97" i="66" s="1"/>
  <c r="U132" i="66"/>
  <c r="V132" i="66"/>
  <c r="X132" i="66" s="1"/>
  <c r="Q132" i="66"/>
  <c r="R132" i="66" s="1"/>
  <c r="T132" i="66" s="1"/>
  <c r="U145" i="66"/>
  <c r="Q145" i="66"/>
  <c r="R145" i="66" s="1"/>
  <c r="T145" i="66" s="1"/>
  <c r="V145" i="66"/>
  <c r="X1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<sst xmlns="http://schemas.openxmlformats.org/spreadsheetml/2006/main" count="4765" uniqueCount="341">
  <si>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</si>
  <si>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</si>
  <si>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</si>
  <si>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</si>
  <si>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</si>
  <si>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</si>
  <si>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</si>
  <si>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</si>
  <si>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</si>
  <si>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</si>
  <si>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</si>
  <si>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</si>
  <si>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</si>
  <si>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</si>
  <si>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</si>
  <si>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</si>
  <si>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</si>
  <si>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</si>
  <si>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</si>
  <si>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</si>
  <si>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</si>
  <si>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</si>
  <si>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</si>
  <si>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</si>
  <si>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</si>
  <si>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</si>
  <si>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</si>
  <si>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</si>
  <si>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</si>
  <si>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</si>
  <si>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</si>
  <si>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</si>
  <si>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</si>
  <si>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</si>
  <si>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</si>
  <si>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</si>
  <si>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</si>
  <si>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</si>
  <si>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</si>
  <si>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</si>
  <si>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</si>
  <si>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</si>
  <si>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</si>
  <si>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</si>
  <si>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</si>
  <si>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</si>
  <si>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</si>
  <si>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</si>
  <si>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</si>
  <si>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</si>
  <si>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</si>
  <si>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</si>
  <si>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</si>
  <si>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</si>
  <si>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</si>
  <si>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</si>
  <si>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</si>
  <si>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</si>
  <si>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</si>
  <si>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</si>
  <si>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</si>
  <si>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</si>
  <si>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</si>
  <si>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</si>
  <si>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</si>
  <si>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</si>
  <si>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</si>
  <si>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</si>
  <si>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</si>
  <si>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</si>
  <si>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</si>
  <si>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</si>
  <si>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</si>
  <si>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</si>
  <si>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</si>
  <si>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</si>
  <si>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</si>
  <si>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</si>
  <si>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</si>
  <si>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</si>
  <si>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</si>
  <si>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</si>
  <si>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</si>
  <si>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</si>
  <si>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</si>
  <si>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</si>
  <si>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</si>
  <si>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</si>
  <si>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</si>
  <si>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</si>
  <si>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</si>
  <si>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</si>
  <si>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</si>
  <si>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</si>
  <si>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</si>
  <si>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</si>
  <si>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</si>
  <si>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</si>
  <si>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</si>
  <si>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</si>
  <si>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</si>
  <si>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</si>
  <si>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</si>
  <si>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</si>
  <si>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</si>
  <si>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</si>
  <si>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</si>
  <si>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</si>
  <si>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</si>
  <si>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</si>
  <si>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</si>
  <si>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</si>
  <si>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</si>
  <si>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</si>
  <si>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</si>
  <si>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</si>
  <si>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</si>
  <si>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</si>
  <si>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</si>
  <si>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</si>
  <si>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</si>
  <si>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</si>
  <si>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</si>
  <si>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</si>
  <si>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</si>
  <si>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</si>
  <si>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</si>
  <si>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</si>
  <si>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</si>
  <si>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</si>
  <si>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</si>
  <si>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</si>
  <si>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</si>
  <si>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</si>
  <si>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</si>
  <si>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</si>
  <si>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</si>
  <si>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</si>
  <si>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</si>
  <si>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</si>
  <si>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</si>
  <si>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</si>
  <si>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</si>
  <si>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</si>
  <si>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</si>
  <si>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</si>
  <si>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</si>
  <si>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</si>
  <si>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</si>
  <si>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</si>
  <si>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</si>
  <si>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</si>
  <si>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</si>
  <si>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</si>
  <si>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</si>
  <si>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</si>
  <si>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</si>
  <si>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</si>
  <si>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</si>
  <si>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</si>
  <si>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</si>
  <si>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</si>
  <si>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</si>
  <si>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</si>
  <si>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</si>
  <si>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</si>
  <si>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</si>
  <si>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</si>
  <si>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</si>
  <si>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</si>
  <si>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</si>
  <si>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</si>
  <si>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</si>
  <si>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</si>
  <si>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</si>
  <si>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</si>
  <si>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</si>
  <si>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</si>
  <si>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</si>
  <si>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</si>
  <si>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</si>
  <si>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</si>
  <si>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</si>
  <si>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</si>
  <si>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</si>
  <si>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</si>
  <si>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</si>
  <si>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</si>
  <si>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</si>
  <si>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</si>
  <si>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</si>
  <si>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</si>
  <si>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</si>
  <si>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</si>
  <si>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</si>
  <si>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</si>
  <si>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</si>
  <si>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</si>
  <si>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</si>
  <si>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</si>
  <si>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</si>
  <si>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</si>
  <si>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</si>
  <si>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</si>
  <si>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</si>
  <si>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</si>
  <si>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</si>
  <si>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</si>
  <si>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</si>
  <si>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</si>
  <si>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</si>
  <si>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</si>
  <si>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</si>
  <si>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</si>
  <si>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</si>
  <si>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</si>
  <si>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</si>
  <si>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</si>
  <si>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</si>
  <si>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</si>
  <si>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</si>
  <si>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</si>
  <si>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</si>
  <si>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</si>
  <si>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</si>
  <si>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</si>
  <si>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</si>
  <si>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</si>
  <si>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</si>
  <si>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</si>
  <si>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</si>
  <si>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</si>
  <si>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</si>
  <si>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</si>
  <si>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</si>
  <si>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</si>
  <si>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</si>
  <si>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</si>
  <si>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</si>
  <si>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</si>
  <si>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</si>
  <si>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</si>
  <si>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</si>
  <si>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</si>
  <si>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</si>
  <si>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</si>
  <si>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</si>
  <si>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</si>
  <si>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</si>
  <si>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</si>
  <si>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</si>
  <si>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</si>
  <si>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</si>
  <si>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</si>
  <si>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</si>
  <si>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</si>
  <si>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</si>
  <si>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</si>
  <si>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</si>
  <si>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</si>
  <si>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</si>
  <si>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</si>
  <si>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</si>
  <si>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</si>
  <si>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</si>
  <si>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</si>
  <si>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</si>
  <si>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</si>
  <si>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</si>
  <si>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</si>
  <si>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</si>
  <si>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</si>
  <si>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</si>
  <si>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</si>
  <si>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</si>
  <si>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</si>
  <si>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</si>
  <si>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</si>
  <si>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</si>
  <si>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</si>
  <si>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</si>
  <si>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</si>
  <si>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</si>
  <si>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</si>
  <si>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</si>
  <si>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</si>
  <si>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</si>
  <si>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</si>
  <si>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</si>
  <si>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</si>
  <si>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</si>
  <si>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</si>
  <si>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</si>
  <si>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</si>
  <si>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</si>
  <si>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</si>
  <si>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</si>
  <si>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</si>
  <si>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</si>
  <si>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</si>
  <si>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</si>
  <si>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</si>
  <si>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</si>
  <si>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</si>
  <si>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</si>
  <si>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</si>
  <si>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</si>
  <si>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</si>
  <si>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</si>
  <si>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</si>
  <si>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</si>
  <si>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</si>
  <si>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</si>
  <si>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</si>
  <si>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</si>
  <si>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</si>
  <si>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</si>
  <si>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</si>
  <si>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</si>
  <si>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</si>
  <si>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</si>
  <si>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</si>
  <si>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</si>
  <si>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</si>
  <si>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</si>
  <si>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</si>
  <si>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</si>
  <si>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</si>
  <si>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</si>
  <si>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</si>
  <si>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</si>
  <si>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</si>
  <si>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</si>
  <si>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</si>
  <si>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</si>
  <si>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</si>
  <si>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</si>
  <si>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</si>
  <si>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</si>
  <si>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ton input (træ i m3)</t>
  </si>
  <si>
    <t>Input til pyrolyseanlæg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</si>
</sst>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76936.491003913645</c:v>
                </c:pt>
                <c:pt idx="1">
                  <c:v>75999.941100745782</c:v>
                </c:pt>
                <c:pt idx="2">
                  <c:v>74747.65047190334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5112.5796318426765</c:v>
                </c:pt>
                <c:pt idx="1">
                  <c:v>5057.7123759490005</c:v>
                </c:pt>
                <c:pt idx="2">
                  <c:v>4986.5199069780456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288510.97448626079</c:v>
                </c:pt>
                <c:pt idx="1">
                  <c:v>282303.19920321304</c:v>
                </c:pt>
                <c:pt idx="2">
                  <c:v>278245.65551293752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12737.861407364735</c:v>
                </c:pt>
                <c:pt idx="1">
                  <c:v>12622.363778384954</c:v>
                </c:pt>
                <c:pt idx="2">
                  <c:v>12435.670296574637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18955.494408534123</c:v>
                </c:pt>
                <c:pt idx="1">
                  <c:v>18726.185656826969</c:v>
                </c:pt>
                <c:pt idx="2">
                  <c:v>18428.760173514249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55123.467536910946</c:v>
                </c:pt>
                <c:pt idx="1">
                  <c:v>54370.001667143173</c:v>
                </c:pt>
                <c:pt idx="2">
                  <c:v>53467.321077190099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1338020.0537015593</c:v>
                </c:pt>
                <c:pt idx="1">
                  <c:v>1323233.9318603247</c:v>
                </c:pt>
                <c:pt idx="2">
                  <c:v>1303059.1976291048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180387.32565123856</c:v>
                </c:pt>
                <c:pt idx="1">
                  <c:v>178138.55471061173</c:v>
                </c:pt>
                <c:pt idx="2">
                  <c:v>175131.08586607355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69972.60108508839</c:v>
                </c:pt>
                <c:pt idx="1">
                  <c:v>69142.523121272709</c:v>
                </c:pt>
                <c:pt idx="2">
                  <c:v>68065.805596326551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161391.51776080468</c:v>
                </c:pt>
                <c:pt idx="1">
                  <c:v>159742.65489319249</c:v>
                </c:pt>
                <c:pt idx="2">
                  <c:v>157332.54079645898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33713.005264576917</c:v>
                </c:pt>
                <c:pt idx="1">
                  <c:v>33502.54794358011</c:v>
                </c:pt>
                <c:pt idx="2">
                  <c:v>33154.09341997833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221142.47330260737</c:v>
                </c:pt>
                <c:pt idx="1">
                  <c:v>215019.08701274509</c:v>
                </c:pt>
                <c:pt idx="2">
                  <c:v>212301.51768454045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8583.1535453348897</c:v>
                </c:pt>
                <c:pt idx="1">
                  <c:v>8390.4731787653982</c:v>
                </c:pt>
                <c:pt idx="2">
                  <c:v>8278.157020658904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108083.00121396239</c:v>
                </c:pt>
                <c:pt idx="1">
                  <c:v>106520.82349724456</c:v>
                </c:pt>
                <c:pt idx="2">
                  <c:v>105136.02454776008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26.951318314092838</c:v>
                </c:pt>
                <c:pt idx="2">
                  <c:v>27.191814061446927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45.283266580589313</c:v>
                </c:pt>
                <c:pt idx="2">
                  <c:v>41.638804553094857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2350899.1931052115</c:v>
                </c:pt>
                <c:pt idx="2">
                  <c:v>2381402.9500708361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1499051.4006548331</c:v>
                </c:pt>
                <c:pt idx="2">
                  <c:v>1372849.6818176161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1803882.2275068527</c:v>
                </c:pt>
                <c:pt idx="11">
                  <c:v>1701764.1912565762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2848803.6821181462</c:v>
                </c:pt>
                <c:pt idx="11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2578669.9999999995</c:v>
                </c:pt>
                <c:pt idx="1">
                  <c:v>2542769.9999999995</c:v>
                </c:pt>
                <c:pt idx="2">
                  <c:v>2504770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505590.00000000006</c:v>
                </c:pt>
                <c:pt idx="1">
                  <c:v>520590.00000000006</c:v>
                </c:pt>
                <c:pt idx="2">
                  <c:v>520590.00000000006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562410</c:v>
                </c:pt>
                <c:pt idx="1">
                  <c:v>583310</c:v>
                </c:pt>
                <c:pt idx="2">
                  <c:v>621310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9725344.026449265</c:v>
                </c:pt>
                <c:pt idx="1">
                  <c:v>9297443.8869206961</c:v>
                </c:pt>
                <c:pt idx="2">
                  <c:v>9211943.7432317268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-562410</c:v>
                </c:pt>
                <c:pt idx="1">
                  <c:v>-674052.23115068232</c:v>
                </c:pt>
                <c:pt idx="2">
                  <c:v>-1555617.3187058116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-606450.26032409817</c:v>
                </c:pt>
                <c:pt idx="1">
                  <c:v>-573916.98128676519</c:v>
                </c:pt>
                <c:pt idx="2">
                  <c:v>-542123.43798862817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13910380.018766819</c:v>
                </c:pt>
                <c:pt idx="1">
                  <c:v>13079093.844208205</c:v>
                </c:pt>
                <c:pt idx="2">
                  <c:v>12132641.200173628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3010292.0648196544</c:v>
                </c:pt>
                <c:pt idx="1">
                  <c:v>2848803.6821181462</c:v>
                </c:pt>
                <c:pt idx="2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827707.93518034508</c:v>
                </c:pt>
                <c:pt idx="1">
                  <c:v>783305.19520584797</c:v>
                </c:pt>
                <c:pt idx="2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226608.1620709057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237367.39124487917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85676.999999999956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75933.999999999971</c:v>
                </c:pt>
                <c:pt idx="1">
                  <c:v>75933.999999999985</c:v>
                </c:pt>
                <c:pt idx="2">
                  <c:v>75933.999999999985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1895494.5192748301</c:v>
                </c:pt>
                <c:pt idx="10">
                  <c:v>1803882.2275068527</c:v>
                </c:pt>
                <c:pt idx="11">
                  <c:v>1701764.1912565762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3786</c:v>
                </c:pt>
                <c:pt idx="1">
                  <c:v>3786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330026.00000000006</c:v>
                </c:pt>
                <c:pt idx="1">
                  <c:v>330026.00000000006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678325.22851124685</c:v>
                </c:pt>
                <c:pt idx="19">
                  <c:v>712017.98187856667</c:v>
                </c:pt>
                <c:pt idx="20">
                  <c:v>737952.33278772887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28644.999999999993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209867.13867694439</c:v>
                </c:pt>
                <c:pt idx="10">
                  <c:v>217061.63744714856</c:v>
                </c:pt>
                <c:pt idx="11">
                  <c:v>225690.0964570264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3010292.0648196544</c:v>
                </c:pt>
                <c:pt idx="10">
                  <c:v>2848803.6821181462</c:v>
                </c:pt>
                <c:pt idx="11">
                  <c:v>2586395.8721913062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112873.31802427149</c:v>
                </c:pt>
                <c:pt idx="10">
                  <c:v>227845.75420114136</c:v>
                </c:pt>
                <c:pt idx="11">
                  <c:v>236144.74649207323</c:v>
                </c:pt>
                <c:pt idx="12">
                  <c:v>104190.75509932752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20758258.546328574</c:v>
                </c:pt>
                <c:pt idx="17">
                  <c:v>20250396.100444589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944817.29105430027</c:v>
                </c:pt>
                <c:pt idx="16">
                  <c:v>936027.48295724555</c:v>
                </c:pt>
                <c:pt idx="17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827707.93518034508</c:v>
                </c:pt>
                <c:pt idx="13">
                  <c:v>783305.19520584797</c:v>
                </c:pt>
                <c:pt idx="14">
                  <c:v>712886.15579109383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203936.60569913458</c:v>
                </c:pt>
                <c:pt idx="1">
                  <c:v>211333.73237290821</c:v>
                </c:pt>
                <c:pt idx="2">
                  <c:v>223869.89948633421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944817.29105430027</c:v>
                </c:pt>
                <c:pt idx="1">
                  <c:v>936027.48295724555</c:v>
                </c:pt>
                <c:pt idx="2">
                  <c:v>903973.13096093771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420628.93071698514</c:v>
                </c:pt>
                <c:pt idx="1">
                  <c:v>437459.51024953742</c:v>
                </c:pt>
                <c:pt idx="2">
                  <c:v>456300.68536625744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212954.7645341866</c:v>
                </c:pt>
                <c:pt idx="1">
                  <c:v>226608.1620709057</c:v>
                </c:pt>
                <c:pt idx="2">
                  <c:v>237367.39124487917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3230529.0722415126</c:v>
                </c:pt>
                <c:pt idx="1">
                  <c:v>2921356.2946739928</c:v>
                </c:pt>
                <c:pt idx="2">
                  <c:v>3060146.2519406485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1508282.669250763</c:v>
                </c:pt>
                <c:pt idx="1">
                  <c:v>1575140.9144092035</c:v>
                </c:pt>
                <c:pt idx="2">
                  <c:v>1637852.2802766147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4087571.5535632996</c:v>
                </c:pt>
                <c:pt idx="1">
                  <c:v>4803676.4207574027</c:v>
                </c:pt>
                <c:pt idx="2">
                  <c:v>5745150.9184609577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2041731.0676095125</c:v>
                </c:pt>
                <c:pt idx="1">
                  <c:v>2136240.5627093278</c:v>
                </c:pt>
                <c:pt idx="2">
                  <c:v>2211483.9818469798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1976968.2090253732</c:v>
                </c:pt>
                <c:pt idx="1">
                  <c:v>2425424.9668528601</c:v>
                </c:pt>
                <c:pt idx="2">
                  <c:v>2803825.2500088587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1274488.0820395502</c:v>
                </c:pt>
                <c:pt idx="1">
                  <c:v>1703274.5214405721</c:v>
                </c:pt>
                <c:pt idx="2">
                  <c:v>2101392.556871023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1637775.5474174484</c:v>
                </c:pt>
                <c:pt idx="1">
                  <c:v>1780727.3487029388</c:v>
                </c:pt>
                <c:pt idx="2">
                  <c:v>1897043.1952891902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912099.45136908058</c:v>
                </c:pt>
                <c:pt idx="1">
                  <c:v>955691.08666845679</c:v>
                </c:pt>
                <c:pt idx="2">
                  <c:v>990692.60751106648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2006067.2488276002</c:v>
                </c:pt>
                <c:pt idx="1">
                  <c:v>2102473.6734901322</c:v>
                </c:pt>
                <c:pt idx="2">
                  <c:v>2180149.8218526607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98784.738662362797</c:v>
                </c:pt>
                <c:pt idx="1">
                  <c:v>115631.11534602272</c:v>
                </c:pt>
                <c:pt idx="2">
                  <c:v>128598.29080060381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19.785884940086405</c:v>
                </c:pt>
                <c:pt idx="2">
                  <c:v>23.263009939013003</c:v>
                </c:pt>
                <c:pt idx="3">
                  <c:v>1.420171986175</c:v>
                </c:pt>
                <c:pt idx="4">
                  <c:v>1.4201719861750004</c:v>
                </c:pt>
                <c:pt idx="5">
                  <c:v>1.4201719861750004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19.591464268115235</c:v>
                </c:pt>
                <c:pt idx="1">
                  <c:v>26.951318314092838</c:v>
                </c:pt>
                <c:pt idx="2">
                  <c:v>27.191814061446927</c:v>
                </c:pt>
                <c:pt idx="3">
                  <c:v>0.45076703431999982</c:v>
                </c:pt>
                <c:pt idx="4">
                  <c:v>0.45076703431999998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3.9505661308495017</c:v>
                </c:pt>
                <c:pt idx="1">
                  <c:v>7.9746013970399474</c:v>
                </c:pt>
                <c:pt idx="2">
                  <c:v>8.2650661272225623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47.491430804576645</c:v>
                </c:pt>
                <c:pt idx="1">
                  <c:v>45.283266580589313</c:v>
                </c:pt>
                <c:pt idx="2">
                  <c:v>41.638804553094857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[Scenarie_BAU.xlsm]Resultat-Tørstof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2340883.5839848323</c:v>
                </c:pt>
                <c:pt idx="2">
                  <c:v>2747195.0232882132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1676887.9013836056</c:v>
                </c:pt>
                <c:pt idx="1">
                  <c:v>2350899.1931052115</c:v>
                </c:pt>
                <c:pt idx="2">
                  <c:v>2381402.9500708361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1575935.1462763192</c:v>
                </c:pt>
                <c:pt idx="1">
                  <c:v>1499051.4006548331</c:v>
                </c:pt>
                <c:pt idx="2">
                  <c:v>1372849.6818176161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699407"/>
          <a:ext cx="1467757" cy="40186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160270" y="182880"/>
          <a:ext cx="1425303" cy="72326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226423" y="3659841"/>
          <a:ext cx="1485901" cy="34514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7355541" y="179294"/>
          <a:ext cx="1284194" cy="36979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7048500" y="192405"/>
          <a:ext cx="1305709" cy="36004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4070649" y="205292"/>
          <a:ext cx="131467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9364980" y="403860"/>
          <a:ext cx="1319044" cy="36576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860524" y="129466"/>
          <a:ext cx="1250815" cy="36435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664824" y="1636059"/>
          <a:ext cx="1257299" cy="372034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231005" y="161925"/>
          <a:ext cx="1199029" cy="371475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198</v>
          </cell>
          <cell r="I452">
            <v>198</v>
          </cell>
          <cell r="J452">
            <v>198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  <row r="498">
          <cell r="A498" t="str">
            <v>Pyrolyseproces</v>
          </cell>
          <cell r="D498" t="str">
            <v>Træ til energi</v>
          </cell>
          <cell r="E498" t="str">
            <v>m3</v>
          </cell>
          <cell r="F498" t="str">
            <v>CO2 - atmosfære</v>
          </cell>
          <cell r="G498" t="str">
            <v>t CO2-ækvivalenter</v>
          </cell>
          <cell r="H498">
            <v>-0.19579999999999997</v>
          </cell>
          <cell r="I498">
            <v>-0.19579999999999997</v>
          </cell>
          <cell r="J498">
            <v>-0.19579999999999997</v>
          </cell>
        </row>
        <row r="499">
          <cell r="A499" t="str">
            <v>Pyrolyseproces</v>
          </cell>
          <cell r="D499" t="str">
            <v>Træ til energi</v>
          </cell>
          <cell r="E499" t="str">
            <v>m3</v>
          </cell>
          <cell r="F499" t="str">
            <v>Pyrolyseolie</v>
          </cell>
          <cell r="G499" t="str">
            <v>Ton</v>
          </cell>
          <cell r="H499">
            <v>4.2000000000000003E-2</v>
          </cell>
          <cell r="I499">
            <v>4.2000000000000003E-2</v>
          </cell>
          <cell r="J499">
            <v>4.2000000000000003E-2</v>
          </cell>
        </row>
        <row r="500">
          <cell r="A500" t="str">
            <v>Pyrolyseproces</v>
          </cell>
          <cell r="D500" t="str">
            <v>Træ til energi</v>
          </cell>
          <cell r="E500" t="str">
            <v>m3</v>
          </cell>
          <cell r="F500" t="str">
            <v>Pyrolysegas</v>
          </cell>
          <cell r="G500" t="str">
            <v>Ton</v>
          </cell>
          <cell r="H500">
            <v>0.16800000000000001</v>
          </cell>
          <cell r="I500">
            <v>0.16800000000000001</v>
          </cell>
          <cell r="J500">
            <v>0.16800000000000001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198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555552" createdVersion="7" refreshedVersion="7" minRefreshableVersion="3" recordCount="421" xr:uid="{36C76FB9-81B2-490E-BBB1-DC6F97FF2F43}">
  <cacheSource type="worksheet">
    <worksheetSource ref="A1:E422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161.8104246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78703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090277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780.226177538038" maxValue="17187397.545226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13426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94377915324045725" maxValue="856024.05830682674"/>
    </cacheField>
    <cacheField name="Udbytte, hovedafgrøde" numFmtId="0">
      <sharedItems containsSemiMixedTypes="0" containsString="0" containsNumber="1" minValue="15.627567108932107" maxValue="9409787.8886368591"/>
    </cacheField>
    <cacheField name="Halmudbytte" numFmtId="0">
      <sharedItems containsSemiMixedTypes="0" containsString="0" containsNumber="1" minValue="0" maxValue="1958622.8291241296"/>
    </cacheField>
    <cacheField name="Potentielt til bioenergi" numFmtId="1">
      <sharedItems containsSemiMixedTypes="0" containsString="0" containsNumber="1" minValue="5.1084006447812618" maxValue="9409787.88863685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365737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71296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194444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45513.080947733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545.520882175922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49498.8227040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161.810424652"/>
    </cacheField>
    <cacheField name="Energi" numFmtId="3">
      <sharedItems containsSemiMixedTypes="0" containsString="0" containsNumber="1" minValue="0" maxValue="500549498.82270408"/>
    </cacheField>
    <cacheField name="Materialer og processer" numFmtId="3">
      <sharedItems containsSemiMixedTypes="0" containsString="0" containsNumber="1" minValue="0" maxValue="640291.52551137318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874463.8662249763"/>
    </cacheField>
    <cacheField name="Forbrug energi [ton/m3]" numFmtId="3">
      <sharedItems containsSemiMixedTypes="0" containsString="0" containsNumber="1" minValue="0" maxValue="500549498.82270408"/>
    </cacheField>
    <cacheField name="Potentiale til energi [PJ]" numFmtId="0">
      <sharedItems containsSemiMixedTypes="0" containsString="0" containsNumber="1" minValue="0" maxValue="8.9684042058706783"/>
    </cacheField>
    <cacheField name="Forbrug/potentiale [PJ]" numFmtId="0">
      <sharedItems containsSemiMixedTypes="0" containsString="0" containsNumber="1" minValue="0" maxValue="33.750841721162331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841721162331"/>
    </cacheField>
    <cacheField name="Potentiale til energi [Ton TS]" numFmtId="0">
      <sharedItems containsSemiMixedTypes="0" containsString="0" containsNumber="1" minValue="0" maxValue="1364849.8825429934"/>
    </cacheField>
    <cacheField name="Forbrug/potentiale [Ton TS]" numFmtId="0">
      <sharedItems containsSemiMixedTypes="0" containsString="0" containsNumber="1" minValue="0" maxValue="1385918.1380711256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364849.88254299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1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94.904606816119"/>
  </r>
  <r>
    <x v="1"/>
    <s v="Vestdanmark"/>
    <x v="0"/>
    <x v="0"/>
    <n v="2843.3935258054057"/>
  </r>
  <r>
    <x v="1"/>
    <s v="Vestdanmark"/>
    <x v="23"/>
    <x v="0"/>
    <n v="75399.16825098735"/>
  </r>
  <r>
    <x v="1"/>
    <s v="Vestdanmark"/>
    <x v="24"/>
    <x v="0"/>
    <n v="314874.94627501385"/>
  </r>
  <r>
    <x v="1"/>
    <s v="Vestdanmark"/>
    <x v="25"/>
    <x v="0"/>
    <n v="4141.9679702877811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973.141962340742"/>
  </r>
  <r>
    <x v="1"/>
    <s v="Vestdanmark"/>
    <x v="0"/>
    <x v="1"/>
    <n v="2838.8656563257464"/>
  </r>
  <r>
    <x v="1"/>
    <s v="Vestdanmark"/>
    <x v="23"/>
    <x v="1"/>
    <n v="75311.342010026739"/>
  </r>
  <r>
    <x v="1"/>
    <s v="Vestdanmark"/>
    <x v="24"/>
    <x v="1"/>
    <n v="314782.00911940058"/>
  </r>
  <r>
    <x v="1"/>
    <s v="Vestdanmark"/>
    <x v="25"/>
    <x v="1"/>
    <n v="4123.4286638275544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709.156061702248"/>
  </r>
  <r>
    <x v="1"/>
    <s v="Vestdanmark"/>
    <x v="0"/>
    <x v="2"/>
    <n v="2832.9524091506291"/>
  </r>
  <r>
    <x v="1"/>
    <s v="Vestdanmark"/>
    <x v="23"/>
    <x v="2"/>
    <n v="75243.769743329321"/>
  </r>
  <r>
    <x v="1"/>
    <s v="Vestdanmark"/>
    <x v="24"/>
    <x v="2"/>
    <n v="314661.48085110582"/>
  </r>
  <r>
    <x v="1"/>
    <s v="Vestdanmark"/>
    <x v="25"/>
    <x v="2"/>
    <n v="4092.8191064506923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39.095393183845"/>
  </r>
  <r>
    <x v="1"/>
    <s v="Østdanmark"/>
    <x v="0"/>
    <x v="0"/>
    <n v="942.6064741945944"/>
  </r>
  <r>
    <x v="1"/>
    <s v="Østdanmark"/>
    <x v="23"/>
    <x v="0"/>
    <n v="10277.831749012612"/>
  </r>
  <r>
    <x v="1"/>
    <s v="Østdanmark"/>
    <x v="24"/>
    <x v="0"/>
    <n v="15151.053724986185"/>
  </r>
  <r>
    <x v="1"/>
    <s v="Østdanmark"/>
    <x v="25"/>
    <x v="0"/>
    <n v="24503.032029712213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2960.858037659247"/>
  </r>
  <r>
    <x v="1"/>
    <s v="Østdanmark"/>
    <x v="0"/>
    <x v="1"/>
    <n v="947.1343436742535"/>
  </r>
  <r>
    <x v="1"/>
    <s v="Østdanmark"/>
    <x v="23"/>
    <x v="1"/>
    <n v="10365.657989973257"/>
  </r>
  <r>
    <x v="1"/>
    <s v="Østdanmark"/>
    <x v="24"/>
    <x v="1"/>
    <n v="15243.990880599462"/>
  </r>
  <r>
    <x v="1"/>
    <s v="Østdanmark"/>
    <x v="25"/>
    <x v="1"/>
    <n v="24521.571336172448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224.843938297741"/>
  </r>
  <r>
    <x v="1"/>
    <s v="Østdanmark"/>
    <x v="0"/>
    <x v="2"/>
    <n v="953.04759084937086"/>
  </r>
  <r>
    <x v="1"/>
    <s v="Østdanmark"/>
    <x v="23"/>
    <x v="2"/>
    <n v="10433.230256670677"/>
  </r>
  <r>
    <x v="1"/>
    <s v="Østdanmark"/>
    <x v="24"/>
    <x v="2"/>
    <n v="15364.519148894226"/>
  </r>
  <r>
    <x v="1"/>
    <s v="Østdanmark"/>
    <x v="25"/>
    <x v="2"/>
    <n v="24552.1808935493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62838.9310658472"/>
  </r>
  <r>
    <x v="3"/>
    <s v="Vestdanmark"/>
    <x v="34"/>
    <x v="0"/>
    <n v="80830.79719489353"/>
  </r>
  <r>
    <x v="3"/>
    <s v="Vestdanmark"/>
    <x v="35"/>
    <x v="0"/>
    <n v="171006.78248665464"/>
  </r>
  <r>
    <x v="3"/>
    <s v="Vestdanmark"/>
    <x v="36"/>
    <x v="0"/>
    <n v="2328677.081002241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613.043564517109"/>
  </r>
  <r>
    <x v="4"/>
    <s v="Vestdanmark"/>
    <x v="35"/>
    <x v="0"/>
    <n v="0"/>
  </r>
  <r>
    <x v="4"/>
    <s v="Vestdanmark"/>
    <x v="37"/>
    <x v="0"/>
    <n v="640291.52551137318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2655.58820898295"/>
  </r>
  <r>
    <x v="3"/>
    <s v="Østdanmark"/>
    <x v="34"/>
    <x v="0"/>
    <n v="32042.520829377954"/>
  </r>
  <r>
    <x v="3"/>
    <s v="Østdanmark"/>
    <x v="35"/>
    <x v="0"/>
    <n v="38860.356190289756"/>
  </r>
  <r>
    <x v="3"/>
    <s v="Østdanmark"/>
    <x v="36"/>
    <x v="0"/>
    <n v="681614.98381741357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577.711534810416"/>
  </r>
  <r>
    <x v="4"/>
    <s v="Østdanmark"/>
    <x v="35"/>
    <x v="0"/>
    <n v="0"/>
  </r>
  <r>
    <x v="4"/>
    <s v="Østdanmark"/>
    <x v="37"/>
    <x v="0"/>
    <n v="187416.40966897184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90857.6667890928"/>
  </r>
  <r>
    <x v="3"/>
    <s v="Vestdanmark"/>
    <x v="34"/>
    <x v="1"/>
    <n v="162889.29909228458"/>
  </r>
  <r>
    <x v="3"/>
    <s v="Vestdanmark"/>
    <x v="35"/>
    <x v="1"/>
    <n v="176446.6832046808"/>
  </r>
  <r>
    <x v="3"/>
    <s v="Vestdanmark"/>
    <x v="36"/>
    <x v="1"/>
    <n v="2203754.2205130709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42.8175834239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3024.56071776"/>
  </r>
  <r>
    <x v="3"/>
    <s v="Østdanmark"/>
    <x v="34"/>
    <x v="1"/>
    <n v="64956.455108856775"/>
  </r>
  <r>
    <x v="3"/>
    <s v="Østdanmark"/>
    <x v="35"/>
    <x v="1"/>
    <n v="40614.954242467749"/>
  </r>
  <r>
    <x v="3"/>
    <s v="Østdanmark"/>
    <x v="36"/>
    <x v="1"/>
    <n v="645049.46160507516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62.37762242398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10684.2499246729"/>
  </r>
  <r>
    <x v="3"/>
    <s v="Vestdanmark"/>
    <x v="34"/>
    <x v="2"/>
    <n v="168414.8808021411"/>
  </r>
  <r>
    <x v="3"/>
    <s v="Vestdanmark"/>
    <x v="35"/>
    <x v="2"/>
    <n v="183249.6836740704"/>
  </r>
  <r>
    <x v="3"/>
    <s v="Vestdanmark"/>
    <x v="36"/>
    <x v="2"/>
    <n v="2001119.0505128279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32.61779012682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1079.94133190333"/>
  </r>
  <r>
    <x v="3"/>
    <s v="Østdanmark"/>
    <x v="34"/>
    <x v="2"/>
    <n v="67729.865689932136"/>
  </r>
  <r>
    <x v="3"/>
    <s v="Østdanmark"/>
    <x v="35"/>
    <x v="2"/>
    <n v="42440.412782955995"/>
  </r>
  <r>
    <x v="3"/>
    <s v="Østdanmark"/>
    <x v="36"/>
    <x v="2"/>
    <n v="585276.8216784783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253.53800096706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629.6154696662"/>
  </r>
  <r>
    <x v="5"/>
    <s v="Vestdanmark"/>
    <x v="39"/>
    <x v="0"/>
    <n v="569996.93502990273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161.810424652"/>
  </r>
  <r>
    <x v="5"/>
    <s v="Vestdanmark"/>
    <x v="39"/>
    <x v="1"/>
    <n v="571108.87935312989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550.97014698"/>
  </r>
  <r>
    <x v="5"/>
    <s v="Vestdanmark"/>
    <x v="39"/>
    <x v="2"/>
    <n v="549824.31220967998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862.1200388186"/>
  </r>
  <r>
    <x v="5"/>
    <s v="Østdanmark"/>
    <x v="39"/>
    <x v="0"/>
    <n v="374820.356024397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96.7359039234"/>
  </r>
  <r>
    <x v="5"/>
    <s v="Østdanmark"/>
    <x v="39"/>
    <x v="1"/>
    <n v="364918.6036041156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845.1302976091"/>
  </r>
  <r>
    <x v="5"/>
    <s v="Østdanmark"/>
    <x v="39"/>
    <x v="2"/>
    <n v="354148.81875125773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5762.00237315823"/>
  </r>
  <r>
    <x v="7"/>
    <s v="Vestdanmark"/>
    <x v="40"/>
    <x v="1"/>
    <n v="509029.05966338929"/>
  </r>
  <r>
    <x v="7"/>
    <s v="Vestdanmark"/>
    <x v="40"/>
    <x v="2"/>
    <n v="526296.50250669091"/>
  </r>
  <r>
    <x v="7"/>
    <s v="Østdanmark"/>
    <x v="40"/>
    <x v="0"/>
    <n v="192563.22613808865"/>
  </r>
  <r>
    <x v="7"/>
    <s v="Østdanmark"/>
    <x v="40"/>
    <x v="1"/>
    <n v="202988.92221517742"/>
  </r>
  <r>
    <x v="7"/>
    <s v="Østdanmark"/>
    <x v="40"/>
    <x v="2"/>
    <n v="211655.83028103792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8"/>
    <s v="Vestdanmark"/>
    <x v="36"/>
    <x v="0"/>
    <n v="0"/>
  </r>
  <r>
    <x v="8"/>
    <s v="Vestdanmark"/>
    <x v="36"/>
    <x v="1"/>
    <n v="0"/>
  </r>
  <r>
    <x v="8"/>
    <s v="Vestdanmark"/>
    <x v="36"/>
    <x v="2"/>
    <n v="0"/>
  </r>
  <r>
    <x v="8"/>
    <s v="Østdanmark"/>
    <x v="36"/>
    <x v="0"/>
    <n v="0"/>
  </r>
  <r>
    <x v="8"/>
    <s v="Østdanmark"/>
    <x v="36"/>
    <x v="1"/>
    <n v="0"/>
  </r>
  <r>
    <x v="8"/>
    <s v="Østdanmark"/>
    <x v="36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3346.96815611009"/>
  </r>
  <r>
    <x v="0"/>
    <x v="1"/>
    <x v="0"/>
    <s v="JB1-10"/>
    <n v="1853876.1391137983"/>
  </r>
  <r>
    <x v="0"/>
    <x v="2"/>
    <x v="0"/>
    <s v="JB1-10"/>
    <n v="435064.52162306459"/>
  </r>
  <r>
    <x v="0"/>
    <x v="3"/>
    <x v="0"/>
    <s v="JB1-10"/>
    <n v="317835.5825103767"/>
  </r>
  <r>
    <x v="0"/>
    <x v="4"/>
    <x v="0"/>
    <s v="JB1-10"/>
    <n v="47192.371697540235"/>
  </r>
  <r>
    <x v="0"/>
    <x v="0"/>
    <x v="0"/>
    <s v="OC6"/>
    <n v="0"/>
  </r>
  <r>
    <x v="0"/>
    <x v="1"/>
    <x v="0"/>
    <s v="OC6"/>
    <n v="87250.625185185185"/>
  </r>
  <r>
    <x v="0"/>
    <x v="2"/>
    <x v="0"/>
    <s v="OC6"/>
    <n v="0"/>
  </r>
  <r>
    <x v="0"/>
    <x v="3"/>
    <x v="0"/>
    <s v="OC6"/>
    <n v="53389.374814814815"/>
  </r>
  <r>
    <x v="0"/>
    <x v="4"/>
    <x v="0"/>
    <s v="OC6"/>
    <n v="0"/>
  </r>
  <r>
    <x v="0"/>
    <x v="0"/>
    <x v="0"/>
    <s v="OC12"/>
    <n v="0"/>
  </r>
  <r>
    <x v="0"/>
    <x v="1"/>
    <x v="0"/>
    <s v="OC12"/>
    <n v="67916.965925925921"/>
  </r>
  <r>
    <x v="0"/>
    <x v="2"/>
    <x v="0"/>
    <s v="OC12"/>
    <n v="0"/>
  </r>
  <r>
    <x v="0"/>
    <x v="3"/>
    <x v="0"/>
    <s v="OC12"/>
    <n v="44074.145185185182"/>
  </r>
  <r>
    <x v="0"/>
    <x v="4"/>
    <x v="0"/>
    <s v="OC12"/>
    <n v="0"/>
  </r>
  <r>
    <x v="0"/>
    <x v="0"/>
    <x v="1"/>
    <s v="JB1-10"/>
    <n v="413346.96815611009"/>
  </r>
  <r>
    <x v="0"/>
    <x v="1"/>
    <x v="1"/>
    <s v="JB1-10"/>
    <n v="1835731.8428175019"/>
  </r>
  <r>
    <x v="0"/>
    <x v="2"/>
    <x v="1"/>
    <s v="JB1-10"/>
    <n v="453208.81791936088"/>
  </r>
  <r>
    <x v="0"/>
    <x v="3"/>
    <x v="1"/>
    <s v="JB1-10"/>
    <n v="317835.5825103767"/>
  </r>
  <r>
    <x v="0"/>
    <x v="4"/>
    <x v="1"/>
    <s v="JB1-10"/>
    <n v="47192.371697540235"/>
  </r>
  <r>
    <x v="0"/>
    <x v="0"/>
    <x v="1"/>
    <s v="OC6"/>
    <n v="0"/>
  </r>
  <r>
    <x v="0"/>
    <x v="1"/>
    <x v="1"/>
    <s v="OC6"/>
    <n v="80739.514074074075"/>
  </r>
  <r>
    <x v="0"/>
    <x v="2"/>
    <x v="1"/>
    <s v="OC6"/>
    <n v="0"/>
  </r>
  <r>
    <x v="0"/>
    <x v="3"/>
    <x v="1"/>
    <s v="OC6"/>
    <n v="59900.485925925925"/>
  </r>
  <r>
    <x v="0"/>
    <x v="4"/>
    <x v="1"/>
    <s v="OC6"/>
    <n v="0"/>
  </r>
  <r>
    <x v="0"/>
    <x v="0"/>
    <x v="1"/>
    <s v="OC12"/>
    <n v="0"/>
  </r>
  <r>
    <x v="0"/>
    <x v="1"/>
    <x v="1"/>
    <s v="OC12"/>
    <n v="61405.854814814811"/>
  </r>
  <r>
    <x v="0"/>
    <x v="2"/>
    <x v="1"/>
    <s v="OC12"/>
    <n v="0"/>
  </r>
  <r>
    <x v="0"/>
    <x v="3"/>
    <x v="1"/>
    <s v="OC12"/>
    <n v="50585.256296296291"/>
  </r>
  <r>
    <x v="0"/>
    <x v="4"/>
    <x v="1"/>
    <s v="OC12"/>
    <n v="0"/>
  </r>
  <r>
    <x v="0"/>
    <x v="0"/>
    <x v="2"/>
    <s v="JB1-10"/>
    <n v="413346.96815611009"/>
  </r>
  <r>
    <x v="0"/>
    <x v="1"/>
    <x v="2"/>
    <s v="JB1-10"/>
    <n v="1802742.2131878724"/>
  </r>
  <r>
    <x v="0"/>
    <x v="2"/>
    <x v="2"/>
    <s v="JB1-10"/>
    <n v="486198.44754899049"/>
  </r>
  <r>
    <x v="0"/>
    <x v="3"/>
    <x v="2"/>
    <s v="JB1-10"/>
    <n v="317835.5825103767"/>
  </r>
  <r>
    <x v="0"/>
    <x v="4"/>
    <x v="2"/>
    <s v="JB1-10"/>
    <n v="47192.371697540235"/>
  </r>
  <r>
    <x v="0"/>
    <x v="0"/>
    <x v="2"/>
    <s v="OC6"/>
    <n v="0"/>
  </r>
  <r>
    <x v="0"/>
    <x v="1"/>
    <x v="2"/>
    <s v="OC6"/>
    <n v="80739.514074074075"/>
  </r>
  <r>
    <x v="0"/>
    <x v="2"/>
    <x v="2"/>
    <s v="OC6"/>
    <n v="0"/>
  </r>
  <r>
    <x v="0"/>
    <x v="3"/>
    <x v="2"/>
    <s v="OC6"/>
    <n v="59900.485925925925"/>
  </r>
  <r>
    <x v="0"/>
    <x v="4"/>
    <x v="2"/>
    <s v="OC6"/>
    <n v="0"/>
  </r>
  <r>
    <x v="0"/>
    <x v="0"/>
    <x v="2"/>
    <s v="OC12"/>
    <n v="0"/>
  </r>
  <r>
    <x v="0"/>
    <x v="1"/>
    <x v="2"/>
    <s v="OC12"/>
    <n v="61405.854814814811"/>
  </r>
  <r>
    <x v="0"/>
    <x v="2"/>
    <x v="2"/>
    <s v="OC12"/>
    <n v="0"/>
  </r>
  <r>
    <x v="0"/>
    <x v="3"/>
    <x v="2"/>
    <s v="OC12"/>
    <n v="50585.256296296291"/>
  </r>
  <r>
    <x v="0"/>
    <x v="4"/>
    <x v="2"/>
    <s v="OC12"/>
    <n v="0"/>
  </r>
  <r>
    <x v="1"/>
    <x v="0"/>
    <x v="0"/>
    <s v="JB1-10"/>
    <n v="178773.03184388991"/>
  </r>
  <r>
    <x v="1"/>
    <x v="1"/>
    <x v="0"/>
    <s v="JB1-10"/>
    <n v="546059.8608862015"/>
  </r>
  <r>
    <x v="1"/>
    <x v="2"/>
    <x v="0"/>
    <s v="JB1-10"/>
    <n v="127345.4783769354"/>
  </r>
  <r>
    <x v="1"/>
    <x v="3"/>
    <x v="0"/>
    <s v="JB1-10"/>
    <n v="75488.417489623345"/>
  </r>
  <r>
    <x v="1"/>
    <x v="4"/>
    <x v="0"/>
    <s v="JB1-10"/>
    <n v="19447.628302459765"/>
  </r>
  <r>
    <x v="1"/>
    <x v="0"/>
    <x v="0"/>
    <s v="OC6"/>
    <n v="0"/>
  </r>
  <r>
    <x v="1"/>
    <x v="1"/>
    <x v="0"/>
    <s v="OC6"/>
    <n v="13251.374814814815"/>
  </r>
  <r>
    <x v="1"/>
    <x v="2"/>
    <x v="0"/>
    <s v="OC6"/>
    <n v="0"/>
  </r>
  <r>
    <x v="1"/>
    <x v="3"/>
    <x v="0"/>
    <s v="OC6"/>
    <n v="8108.6251851851857"/>
  </r>
  <r>
    <x v="1"/>
    <x v="4"/>
    <x v="0"/>
    <s v="OC6"/>
    <n v="0"/>
  </r>
  <r>
    <x v="1"/>
    <x v="0"/>
    <x v="0"/>
    <s v="OC12"/>
    <n v="0"/>
  </r>
  <r>
    <x v="1"/>
    <x v="1"/>
    <x v="0"/>
    <s v="OC12"/>
    <n v="10315.034074074074"/>
  </r>
  <r>
    <x v="1"/>
    <x v="2"/>
    <x v="0"/>
    <s v="OC12"/>
    <n v="0"/>
  </r>
  <r>
    <x v="1"/>
    <x v="3"/>
    <x v="0"/>
    <s v="OC12"/>
    <n v="6693.8548148148147"/>
  </r>
  <r>
    <x v="1"/>
    <x v="4"/>
    <x v="0"/>
    <s v="OC12"/>
    <n v="0"/>
  </r>
  <r>
    <x v="1"/>
    <x v="0"/>
    <x v="1"/>
    <s v="JB1-10"/>
    <n v="178773.03184388991"/>
  </r>
  <r>
    <x v="1"/>
    <x v="1"/>
    <x v="1"/>
    <s v="JB1-10"/>
    <n v="543304.15718249779"/>
  </r>
  <r>
    <x v="1"/>
    <x v="2"/>
    <x v="1"/>
    <s v="JB1-10"/>
    <n v="130101.1820806391"/>
  </r>
  <r>
    <x v="1"/>
    <x v="3"/>
    <x v="1"/>
    <s v="JB1-10"/>
    <n v="75488.417489623345"/>
  </r>
  <r>
    <x v="1"/>
    <x v="4"/>
    <x v="1"/>
    <s v="JB1-10"/>
    <n v="19447.628302459765"/>
  </r>
  <r>
    <x v="1"/>
    <x v="0"/>
    <x v="1"/>
    <s v="OC6"/>
    <n v="0"/>
  </r>
  <r>
    <x v="1"/>
    <x v="1"/>
    <x v="1"/>
    <s v="OC6"/>
    <n v="12262.485925925926"/>
  </r>
  <r>
    <x v="1"/>
    <x v="2"/>
    <x v="1"/>
    <s v="OC6"/>
    <n v="0"/>
  </r>
  <r>
    <x v="1"/>
    <x v="3"/>
    <x v="1"/>
    <s v="OC6"/>
    <n v="9097.5140740740753"/>
  </r>
  <r>
    <x v="1"/>
    <x v="4"/>
    <x v="1"/>
    <s v="OC6"/>
    <n v="0"/>
  </r>
  <r>
    <x v="1"/>
    <x v="0"/>
    <x v="1"/>
    <s v="OC12"/>
    <n v="0"/>
  </r>
  <r>
    <x v="1"/>
    <x v="1"/>
    <x v="1"/>
    <s v="OC12"/>
    <n v="9326.1451851851853"/>
  </r>
  <r>
    <x v="1"/>
    <x v="2"/>
    <x v="1"/>
    <s v="OC12"/>
    <n v="0"/>
  </r>
  <r>
    <x v="1"/>
    <x v="3"/>
    <x v="1"/>
    <s v="OC12"/>
    <n v="7682.7437037037034"/>
  </r>
  <r>
    <x v="1"/>
    <x v="4"/>
    <x v="1"/>
    <s v="OC12"/>
    <n v="0"/>
  </r>
  <r>
    <x v="1"/>
    <x v="0"/>
    <x v="2"/>
    <s v="JB1-10"/>
    <n v="178773.03184388991"/>
  </r>
  <r>
    <x v="1"/>
    <x v="1"/>
    <x v="2"/>
    <s v="JB1-10"/>
    <n v="538293.78681212745"/>
  </r>
  <r>
    <x v="1"/>
    <x v="2"/>
    <x v="2"/>
    <s v="JB1-10"/>
    <n v="135111.55245100948"/>
  </r>
  <r>
    <x v="1"/>
    <x v="3"/>
    <x v="2"/>
    <s v="JB1-10"/>
    <n v="75488.417489623345"/>
  </r>
  <r>
    <x v="1"/>
    <x v="4"/>
    <x v="2"/>
    <s v="JB1-10"/>
    <n v="19447.628302459765"/>
  </r>
  <r>
    <x v="1"/>
    <x v="0"/>
    <x v="2"/>
    <s v="OC6"/>
    <n v="0"/>
  </r>
  <r>
    <x v="1"/>
    <x v="1"/>
    <x v="2"/>
    <s v="OC6"/>
    <n v="12262.485925925926"/>
  </r>
  <r>
    <x v="1"/>
    <x v="2"/>
    <x v="2"/>
    <s v="OC6"/>
    <n v="0"/>
  </r>
  <r>
    <x v="1"/>
    <x v="3"/>
    <x v="2"/>
    <s v="OC6"/>
    <n v="9097.5140740740753"/>
  </r>
  <r>
    <x v="1"/>
    <x v="4"/>
    <x v="2"/>
    <s v="OC6"/>
    <n v="0"/>
  </r>
  <r>
    <x v="1"/>
    <x v="0"/>
    <x v="2"/>
    <s v="OC12"/>
    <n v="0"/>
  </r>
  <r>
    <x v="1"/>
    <x v="1"/>
    <x v="2"/>
    <s v="OC12"/>
    <n v="9326.1451851851853"/>
  </r>
  <r>
    <x v="1"/>
    <x v="2"/>
    <x v="2"/>
    <s v="OC12"/>
    <n v="0"/>
  </r>
  <r>
    <x v="1"/>
    <x v="3"/>
    <x v="2"/>
    <s v="OC12"/>
    <n v="7682.743703703703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43435.2641521301"/>
  </r>
  <r>
    <x v="1"/>
    <x v="0"/>
    <x v="0"/>
    <n v="258397.36122446082"/>
  </r>
  <r>
    <x v="2"/>
    <x v="0"/>
    <x v="0"/>
    <n v="485762.00237315823"/>
  </r>
  <r>
    <x v="3"/>
    <x v="0"/>
    <x v="0"/>
    <n v="15764158.337739769"/>
  </r>
  <r>
    <x v="4"/>
    <x v="0"/>
    <x v="0"/>
    <n v="185022.9677154524"/>
  </r>
  <r>
    <x v="5"/>
    <x v="0"/>
    <x v="0"/>
    <n v="2146636.3631328358"/>
  </r>
  <r>
    <x v="6"/>
    <x v="0"/>
    <x v="0"/>
    <n v="377517.57644613879"/>
  </r>
  <r>
    <x v="7"/>
    <x v="0"/>
    <x v="0"/>
    <n v="7590675.3960505147"/>
  </r>
  <r>
    <x v="8"/>
    <x v="0"/>
    <x v="0"/>
    <n v="25948.722839676255"/>
  </r>
  <r>
    <x v="9"/>
    <x v="0"/>
    <x v="0"/>
    <n v="1610618.3345669576"/>
  </r>
  <r>
    <x v="10"/>
    <x v="0"/>
    <x v="0"/>
    <n v="887836.84200071916"/>
  </r>
  <r>
    <x v="11"/>
    <x v="0"/>
    <x v="0"/>
    <n v="766472.09789043549"/>
  </r>
  <r>
    <x v="12"/>
    <x v="0"/>
    <x v="0"/>
    <n v="171006.78248665464"/>
  </r>
  <r>
    <x v="0"/>
    <x v="0"/>
    <x v="1"/>
    <n v="7185056.2456319006"/>
  </r>
  <r>
    <x v="1"/>
    <x v="0"/>
    <x v="1"/>
    <n v="270595.78918068163"/>
  </r>
  <r>
    <x v="2"/>
    <x v="0"/>
    <x v="1"/>
    <n v="509029.05966338929"/>
  </r>
  <r>
    <x v="3"/>
    <x v="0"/>
    <x v="1"/>
    <n v="16375262.677757401"/>
  </r>
  <r>
    <x v="4"/>
    <x v="0"/>
    <x v="1"/>
    <n v="192848.72920371042"/>
  </r>
  <r>
    <x v="5"/>
    <x v="0"/>
    <x v="1"/>
    <n v="2244003.4840042591"/>
  </r>
  <r>
    <x v="6"/>
    <x v="0"/>
    <x v="1"/>
    <n v="396405.63727863086"/>
  </r>
  <r>
    <x v="7"/>
    <x v="0"/>
    <x v="1"/>
    <n v="7997415.641357664"/>
  </r>
  <r>
    <x v="8"/>
    <x v="0"/>
    <x v="1"/>
    <n v="27159.598992572228"/>
  </r>
  <r>
    <x v="9"/>
    <x v="0"/>
    <x v="1"/>
    <n v="1685776.5357930374"/>
  </r>
  <r>
    <x v="10"/>
    <x v="0"/>
    <x v="1"/>
    <n v="923566.29660628818"/>
  </r>
  <r>
    <x v="11"/>
    <x v="0"/>
    <x v="1"/>
    <n v="802238.89808826952"/>
  </r>
  <r>
    <x v="12"/>
    <x v="0"/>
    <x v="1"/>
    <n v="176446.6832046808"/>
  </r>
  <r>
    <x v="0"/>
    <x v="0"/>
    <x v="2"/>
    <n v="7470858.8846565643"/>
  </r>
  <r>
    <x v="1"/>
    <x v="0"/>
    <x v="2"/>
    <n v="280111.33244912018"/>
  </r>
  <r>
    <x v="2"/>
    <x v="0"/>
    <x v="2"/>
    <n v="526296.50250669091"/>
  </r>
  <r>
    <x v="3"/>
    <x v="0"/>
    <x v="2"/>
    <n v="17187397.545226604"/>
  </r>
  <r>
    <x v="4"/>
    <x v="0"/>
    <x v="2"/>
    <n v="198166.83757807463"/>
  </r>
  <r>
    <x v="5"/>
    <x v="0"/>
    <x v="2"/>
    <n v="2323694.0904921242"/>
  </r>
  <r>
    <x v="6"/>
    <x v="0"/>
    <x v="2"/>
    <n v="410082.28428580571"/>
  </r>
  <r>
    <x v="7"/>
    <x v="0"/>
    <x v="2"/>
    <n v="8373936.9345243433"/>
  </r>
  <r>
    <x v="8"/>
    <x v="0"/>
    <x v="2"/>
    <n v="28117.117854959241"/>
  </r>
  <r>
    <x v="9"/>
    <x v="0"/>
    <x v="2"/>
    <n v="1745209.0344552125"/>
  </r>
  <r>
    <x v="10"/>
    <x v="0"/>
    <x v="2"/>
    <n v="957437.9326590331"/>
  </r>
  <r>
    <x v="11"/>
    <x v="0"/>
    <x v="2"/>
    <n v="830522.04311077786"/>
  </r>
  <r>
    <x v="12"/>
    <x v="0"/>
    <x v="2"/>
    <n v="183249.6836740704"/>
  </r>
  <r>
    <x v="0"/>
    <x v="1"/>
    <x v="0"/>
    <n v="2268650.5850062412"/>
  </r>
  <r>
    <x v="1"/>
    <x v="1"/>
    <x v="0"/>
    <n v="26972.495538657848"/>
  </r>
  <r>
    <x v="2"/>
    <x v="1"/>
    <x v="0"/>
    <n v="192563.22613808865"/>
  </r>
  <r>
    <x v="3"/>
    <x v="1"/>
    <x v="0"/>
    <n v="2148848.2010935447"/>
  </r>
  <r>
    <x v="4"/>
    <x v="1"/>
    <x v="0"/>
    <n v="95299.46904386401"/>
  </r>
  <r>
    <x v="5"/>
    <x v="1"/>
    <x v="0"/>
    <n v="116539.79424410909"/>
  </r>
  <r>
    <x v="6"/>
    <x v="1"/>
    <x v="0"/>
    <n v="2233316.4654569654"/>
  </r>
  <r>
    <x v="7"/>
    <x v="1"/>
    <x v="0"/>
    <n v="365245.73356828612"/>
  </r>
  <r>
    <x v="8"/>
    <x v="1"/>
    <x v="0"/>
    <n v="15780.226177538038"/>
  </r>
  <r>
    <x v="9"/>
    <x v="1"/>
    <x v="0"/>
    <n v="395448.91426064254"/>
  </r>
  <r>
    <x v="10"/>
    <x v="1"/>
    <x v="0"/>
    <n v="620445.82725004398"/>
  </r>
  <r>
    <x v="11"/>
    <x v="1"/>
    <x v="0"/>
    <n v="145627.35347864506"/>
  </r>
  <r>
    <x v="12"/>
    <x v="1"/>
    <x v="0"/>
    <n v="38860.356190289756"/>
  </r>
  <r>
    <x v="0"/>
    <x v="1"/>
    <x v="1"/>
    <n v="2397159.4134105444"/>
  </r>
  <r>
    <x v="1"/>
    <x v="1"/>
    <x v="1"/>
    <n v="28427.465119156146"/>
  </r>
  <r>
    <x v="2"/>
    <x v="1"/>
    <x v="1"/>
    <n v="202988.92221517742"/>
  </r>
  <r>
    <x v="3"/>
    <x v="1"/>
    <x v="1"/>
    <n v="2253848.7282700147"/>
  </r>
  <r>
    <x v="4"/>
    <x v="1"/>
    <x v="1"/>
    <n v="99860.697208716942"/>
  </r>
  <r>
    <x v="5"/>
    <x v="1"/>
    <x v="1"/>
    <n v="122729.17644107634"/>
  </r>
  <r>
    <x v="6"/>
    <x v="1"/>
    <x v="1"/>
    <n v="2357380.2059099637"/>
  </r>
  <r>
    <x v="7"/>
    <x v="1"/>
    <x v="1"/>
    <n v="387291.92766215833"/>
  </r>
  <r>
    <x v="8"/>
    <x v="1"/>
    <x v="1"/>
    <n v="16628.1277891153"/>
  </r>
  <r>
    <x v="9"/>
    <x v="1"/>
    <x v="1"/>
    <n v="416697.13769709459"/>
  </r>
  <r>
    <x v="10"/>
    <x v="1"/>
    <x v="1"/>
    <n v="651574.6178029154"/>
  </r>
  <r>
    <x v="11"/>
    <x v="1"/>
    <x v="1"/>
    <n v="153452.1885801873"/>
  </r>
  <r>
    <x v="12"/>
    <x v="1"/>
    <x v="1"/>
    <n v="40614.954242467749"/>
  </r>
  <r>
    <x v="0"/>
    <x v="1"/>
    <x v="2"/>
    <n v="2513308.7441212214"/>
  </r>
  <r>
    <x v="1"/>
    <x v="1"/>
    <x v="2"/>
    <n v="29671.151024691055"/>
  </r>
  <r>
    <x v="2"/>
    <x v="1"/>
    <x v="2"/>
    <n v="211655.83028103792"/>
  </r>
  <r>
    <x v="3"/>
    <x v="1"/>
    <x v="2"/>
    <n v="2383188.3585043661"/>
  </r>
  <r>
    <x v="4"/>
    <x v="1"/>
    <x v="2"/>
    <n v="103505.43836904144"/>
  </r>
  <r>
    <x v="5"/>
    <x v="1"/>
    <x v="2"/>
    <n v="128113.19770884549"/>
  </r>
  <r>
    <x v="6"/>
    <x v="1"/>
    <x v="2"/>
    <n v="2460019.4054890401"/>
  </r>
  <r>
    <x v="7"/>
    <x v="1"/>
    <x v="2"/>
    <n v="408888.66992592916"/>
  </r>
  <r>
    <x v="8"/>
    <x v="1"/>
    <x v="2"/>
    <n v="17356.133122278541"/>
  </r>
  <r>
    <x v="9"/>
    <x v="1"/>
    <x v="2"/>
    <n v="434940.78739744844"/>
  </r>
  <r>
    <x v="10"/>
    <x v="1"/>
    <x v="2"/>
    <n v="680414.34761758172"/>
  </r>
  <r>
    <x v="11"/>
    <x v="1"/>
    <x v="2"/>
    <n v="160170.5644002886"/>
  </r>
  <r>
    <x v="12"/>
    <x v="1"/>
    <x v="2"/>
    <n v="42440.41278295599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6024.05830682674"/>
    <n v="6000728.6487308554"/>
    <n v="1958622.8291241296"/>
    <n v="1958622.8291241296"/>
  </r>
  <r>
    <x v="0"/>
    <x v="1"/>
    <x v="0"/>
    <s v="Konventionel"/>
    <x v="0"/>
    <s v="Halm"/>
    <n v="59143.999319161092"/>
    <n v="228295.83737196182"/>
    <n v="67776.181350591331"/>
    <n v="67776.181350591331"/>
  </r>
  <r>
    <x v="0"/>
    <x v="2"/>
    <x v="0"/>
    <s v="Konventionel"/>
    <x v="0"/>
    <s v="Halm"/>
    <n v="99458.982869280968"/>
    <n v="437619.52462483628"/>
    <n v="233734.77619974819"/>
    <n v="233734.77619974819"/>
  </r>
  <r>
    <x v="0"/>
    <x v="3"/>
    <x v="0"/>
    <s v="Konventionel"/>
    <x v="0"/>
    <s v="Græs"/>
    <n v="189636.9989648702"/>
    <n v="9409787.8886368591"/>
    <n v="0"/>
    <n v="9409787.8886368591"/>
  </r>
  <r>
    <x v="0"/>
    <x v="4"/>
    <x v="0"/>
    <s v="Konventionel"/>
    <x v="0"/>
    <s v="Grøntsager"/>
    <n v="7338.5205805106789"/>
    <n v="152274.30204559659"/>
    <n v="0"/>
    <n v="152274.30204559659"/>
  </r>
  <r>
    <x v="0"/>
    <x v="5"/>
    <x v="0"/>
    <s v="Konventionel"/>
    <x v="0"/>
    <s v="Kartofler"/>
    <n v="43716.498839298802"/>
    <n v="1856679.0274235529"/>
    <n v="0"/>
    <n v="1856679.0274235529"/>
  </r>
  <r>
    <x v="0"/>
    <x v="6"/>
    <x v="0"/>
    <s v="Konventionel"/>
    <x v="0"/>
    <s v="Roer"/>
    <n v="4267.6414750315462"/>
    <n v="346761.79388166772"/>
    <n v="0"/>
    <n v="346761.79388166772"/>
  </r>
  <r>
    <x v="0"/>
    <x v="7"/>
    <x v="0"/>
    <s v="Konventionel"/>
    <x v="0"/>
    <s v="Majs"/>
    <n v="146143.69836902106"/>
    <n v="6504856.0144051276"/>
    <n v="0"/>
    <n v="6504856.0144051276"/>
  </r>
  <r>
    <x v="0"/>
    <x v="8"/>
    <x v="0"/>
    <s v="Konventionel"/>
    <x v="0"/>
    <s v="Frugt"/>
    <n v="2685.4308255346846"/>
    <n v="22799.307708789474"/>
    <n v="0"/>
    <n v="22799.307708789474"/>
  </r>
  <r>
    <x v="0"/>
    <x v="9"/>
    <x v="0"/>
    <s v="Konventionel"/>
    <x v="0"/>
    <s v="Øvrige"/>
    <n v="47494.264779726094"/>
    <n v="1415136.4303395611"/>
    <n v="0"/>
    <n v="1415136.4303395611"/>
  </r>
  <r>
    <x v="0"/>
    <x v="10"/>
    <x v="0"/>
    <s v="Konventionel"/>
    <x v="0"/>
    <s v="Halm"/>
    <n v="49959.789539022684"/>
    <n v="713868.47629670368"/>
    <n v="118594.54840773207"/>
    <n v="118594.54840773207"/>
  </r>
  <r>
    <x v="0"/>
    <x v="11"/>
    <x v="0"/>
    <s v="Konventionel"/>
    <x v="0"/>
    <s v="Juletræer"/>
    <n v="13468.89657573873"/>
    <n v="673444.82878693659"/>
    <n v="0"/>
    <n v="673444.82878693659"/>
  </r>
  <r>
    <x v="0"/>
    <x v="12"/>
    <x v="0"/>
    <s v="Konventionel"/>
    <x v="0"/>
    <s v="Pil &amp; poppel"/>
    <n v="4954.292308391774"/>
    <n v="120836.39776565303"/>
    <n v="0"/>
    <n v="120836.39776565303"/>
  </r>
  <r>
    <x v="0"/>
    <x v="13"/>
    <x v="0"/>
    <s v="Konventionel"/>
    <x v="0"/>
    <s v="Græs"/>
    <n v="119415.94261463804"/>
    <n v="1646745.8486558588"/>
    <n v="0"/>
    <n v="1646745.8486558588"/>
  </r>
  <r>
    <x v="0"/>
    <x v="0"/>
    <x v="1"/>
    <s v="Konventionel"/>
    <x v="0"/>
    <s v="Halm"/>
    <n v="826963.57771767024"/>
    <n v="5797014.679800868"/>
    <n v="1881131.2635953818"/>
    <n v="1881131.2635953818"/>
  </r>
  <r>
    <x v="0"/>
    <x v="1"/>
    <x v="1"/>
    <s v="Konventionel"/>
    <x v="0"/>
    <s v="Halm"/>
    <n v="57136.166679995331"/>
    <n v="220545.60338478201"/>
    <n v="65094.663336851867"/>
    <n v="65094.663336851867"/>
  </r>
  <r>
    <x v="0"/>
    <x v="2"/>
    <x v="1"/>
    <s v="Konventionel"/>
    <x v="0"/>
    <s v="Halm"/>
    <n v="96082.528886425716"/>
    <n v="422763.12710027315"/>
    <n v="224487.22049024506"/>
    <n v="224487.22049024506"/>
  </r>
  <r>
    <x v="0"/>
    <x v="3"/>
    <x v="1"/>
    <s v="Konventionel"/>
    <x v="0"/>
    <s v="Græs"/>
    <n v="183199.16316583334"/>
    <n v="9090342.4762886502"/>
    <n v="0"/>
    <n v="9090342.4762886502"/>
  </r>
  <r>
    <x v="0"/>
    <x v="4"/>
    <x v="1"/>
    <s v="Konventionel"/>
    <x v="0"/>
    <s v="Grøntsager"/>
    <n v="7089.3909762506346"/>
    <n v="147104.8627572007"/>
    <n v="0"/>
    <n v="147104.8627572007"/>
  </r>
  <r>
    <x v="0"/>
    <x v="5"/>
    <x v="1"/>
    <s v="Konventionel"/>
    <x v="0"/>
    <s v="Kartofler"/>
    <n v="42232.402155780161"/>
    <n v="1793648.1063727373"/>
    <n v="0"/>
    <n v="1793648.1063727373"/>
  </r>
  <r>
    <x v="0"/>
    <x v="6"/>
    <x v="1"/>
    <s v="Konventionel"/>
    <x v="0"/>
    <s v="Roer"/>
    <n v="4122.7627055119856"/>
    <n v="334989.85326577979"/>
    <n v="0"/>
    <n v="334989.85326577979"/>
  </r>
  <r>
    <x v="0"/>
    <x v="7"/>
    <x v="1"/>
    <s v="Konventionel"/>
    <x v="0"/>
    <s v="Majs"/>
    <n v="141182.38207368137"/>
    <n v="6284027.8260995587"/>
    <n v="0"/>
    <n v="6284027.8260995587"/>
  </r>
  <r>
    <x v="0"/>
    <x v="8"/>
    <x v="1"/>
    <s v="Konventionel"/>
    <x v="0"/>
    <s v="Frugt"/>
    <n v="2594.265268186527"/>
    <n v="22025.31212690362"/>
    <n v="0"/>
    <n v="22025.31212690362"/>
  </r>
  <r>
    <x v="0"/>
    <x v="9"/>
    <x v="1"/>
    <s v="Konventionel"/>
    <x v="0"/>
    <s v="Øvrige"/>
    <n v="45881.919721974475"/>
    <n v="1367095.0880830905"/>
    <n v="0"/>
    <n v="1367095.0880830905"/>
  </r>
  <r>
    <x v="0"/>
    <x v="10"/>
    <x v="1"/>
    <s v="Konventionel"/>
    <x v="0"/>
    <s v="Halm"/>
    <n v="48263.74434023608"/>
    <n v="689633.922609434"/>
    <n v="113902.43664295714"/>
    <n v="113902.43664295714"/>
  </r>
  <r>
    <x v="0"/>
    <x v="11"/>
    <x v="1"/>
    <s v="Konventionel"/>
    <x v="0"/>
    <s v="Juletræer"/>
    <n v="13011.65170779564"/>
    <n v="650582.58538978209"/>
    <n v="0"/>
    <n v="650582.58538978209"/>
  </r>
  <r>
    <x v="0"/>
    <x v="12"/>
    <x v="1"/>
    <s v="Konventionel"/>
    <x v="0"/>
    <s v="Pil &amp; poppel"/>
    <n v="4786.1029753188222"/>
    <n v="116734.21891021519"/>
    <n v="0"/>
    <n v="116734.21891021519"/>
  </r>
  <r>
    <x v="0"/>
    <x v="13"/>
    <x v="1"/>
    <s v="Konventionel"/>
    <x v="0"/>
    <s v="Græs"/>
    <n v="115361.98566247879"/>
    <n v="1590841.7822855827"/>
    <n v="0"/>
    <n v="1590841.7822855827"/>
  </r>
  <r>
    <x v="0"/>
    <x v="0"/>
    <x v="2"/>
    <s v="Konventionel"/>
    <x v="0"/>
    <s v="Halm"/>
    <n v="774548.48763626383"/>
    <n v="5429584.8983302088"/>
    <n v="1761900.299508153"/>
    <n v="1761900.299508153"/>
  </r>
  <r>
    <x v="0"/>
    <x v="1"/>
    <x v="2"/>
    <s v="Konventionel"/>
    <x v="0"/>
    <s v="Halm"/>
    <n v="53514.728681838846"/>
    <n v="206566.85271189795"/>
    <n v="60968.795239932173"/>
    <n v="60968.795239932173"/>
  </r>
  <r>
    <x v="0"/>
    <x v="2"/>
    <x v="2"/>
    <s v="Konventionel"/>
    <x v="0"/>
    <s v="Halm"/>
    <n v="89992.569736434336"/>
    <n v="395967.3068403111"/>
    <n v="210258.6399322052"/>
    <n v="210258.6399322052"/>
  </r>
  <r>
    <x v="0"/>
    <x v="3"/>
    <x v="2"/>
    <s v="Konventionel"/>
    <x v="0"/>
    <s v="Græs"/>
    <n v="171587.52645182351"/>
    <n v="8514173.0625394825"/>
    <n v="0"/>
    <n v="8514173.0625394825"/>
  </r>
  <r>
    <x v="0"/>
    <x v="4"/>
    <x v="2"/>
    <s v="Konventionel"/>
    <x v="0"/>
    <s v="Grøntsager"/>
    <n v="6640.0470430292489"/>
    <n v="137780.97614285693"/>
    <n v="0"/>
    <n v="137780.97614285693"/>
  </r>
  <r>
    <x v="0"/>
    <x v="5"/>
    <x v="2"/>
    <s v="Konventionel"/>
    <x v="0"/>
    <s v="Kartofler"/>
    <n v="39555.603294264722"/>
    <n v="1679962.051021497"/>
    <n v="0"/>
    <n v="1679962.051021497"/>
  </r>
  <r>
    <x v="0"/>
    <x v="6"/>
    <x v="2"/>
    <s v="Konventionel"/>
    <x v="0"/>
    <s v="Roer"/>
    <n v="3861.4513437830055"/>
    <n v="313757.33008290565"/>
    <n v="0"/>
    <n v="313757.33008290565"/>
  </r>
  <r>
    <x v="0"/>
    <x v="7"/>
    <x v="2"/>
    <s v="Konventionel"/>
    <x v="0"/>
    <s v="Majs"/>
    <n v="132233.87760057871"/>
    <n v="5885729.8920017593"/>
    <n v="0"/>
    <n v="5885729.8920017593"/>
  </r>
  <r>
    <x v="0"/>
    <x v="8"/>
    <x v="2"/>
    <s v="Konventionel"/>
    <x v="0"/>
    <s v="Frugt"/>
    <n v="2429.8340267256312"/>
    <n v="20629.290886900613"/>
    <n v="0"/>
    <n v="20629.290886900613"/>
  </r>
  <r>
    <x v="0"/>
    <x v="9"/>
    <x v="2"/>
    <s v="Konventionel"/>
    <x v="0"/>
    <s v="Øvrige"/>
    <n v="42973.804999470703"/>
    <n v="1280445.0660960432"/>
    <n v="0"/>
    <n v="1280445.0660960432"/>
  </r>
  <r>
    <x v="0"/>
    <x v="10"/>
    <x v="2"/>
    <s v="Konventionel"/>
    <x v="0"/>
    <s v="Halm"/>
    <n v="45204.663414034621"/>
    <n v="645923.14120291849"/>
    <n v="106683.00565712171"/>
    <n v="106683.00565712171"/>
  </r>
  <r>
    <x v="0"/>
    <x v="11"/>
    <x v="2"/>
    <s v="Konventionel"/>
    <x v="0"/>
    <s v="Juletræer"/>
    <n v="12186.939574458089"/>
    <n v="609346.97872290446"/>
    <n v="0"/>
    <n v="609346.97872290446"/>
  </r>
  <r>
    <x v="0"/>
    <x v="12"/>
    <x v="2"/>
    <s v="Konventionel"/>
    <x v="0"/>
    <s v="Pil &amp; poppel"/>
    <n v="4482.7473918932728"/>
    <n v="109335.30224129936"/>
    <n v="0"/>
    <n v="109335.30224129936"/>
  </r>
  <r>
    <x v="0"/>
    <x v="13"/>
    <x v="2"/>
    <s v="Konventionel"/>
    <x v="0"/>
    <s v="Græs"/>
    <n v="108050.04468539612"/>
    <n v="1490010.1162116127"/>
    <n v="0"/>
    <n v="1490010.1162116127"/>
  </r>
  <r>
    <x v="0"/>
    <x v="0"/>
    <x v="0"/>
    <s v="Økologisk"/>
    <x v="0"/>
    <s v="Halm"/>
    <n v="109452.53235846422"/>
    <n v="514065.70872799889"/>
    <n v="167789.76216454705"/>
    <n v="167789.76216454705"/>
  </r>
  <r>
    <x v="0"/>
    <x v="1"/>
    <x v="0"/>
    <s v="Økologisk"/>
    <x v="0"/>
    <s v="Halm"/>
    <n v="7562.2413137472431"/>
    <n v="16638.443338506688"/>
    <n v="4939.6001525197526"/>
    <n v="4939.6001525197526"/>
  </r>
  <r>
    <x v="0"/>
    <x v="2"/>
    <x v="0"/>
    <s v="Økologisk"/>
    <x v="0"/>
    <s v="Halm"/>
    <n v="12716.97615879156"/>
    <n v="30775.08230427558"/>
    <n v="16437.12533412511"/>
    <n v="16437.12533412511"/>
  </r>
  <r>
    <x v="0"/>
    <x v="3"/>
    <x v="0"/>
    <s v="Økologisk"/>
    <x v="0"/>
    <s v="Græs"/>
    <n v="24247.273851881382"/>
    <n v="938456.78825367638"/>
    <n v="0"/>
    <n v="938456.78825367638"/>
  </r>
  <r>
    <x v="0"/>
    <x v="4"/>
    <x v="0"/>
    <s v="Økologisk"/>
    <x v="0"/>
    <s v="Grøntsager"/>
    <n v="938.31435402683587"/>
    <n v="11097.913022252402"/>
    <n v="0"/>
    <n v="11097.913022252402"/>
  </r>
  <r>
    <x v="0"/>
    <x v="5"/>
    <x v="0"/>
    <s v="Økologisk"/>
    <x v="0"/>
    <s v="Kartofler"/>
    <n v="5589.6577407781906"/>
    <n v="135316.74143163554"/>
    <n v="0"/>
    <n v="135316.74143163554"/>
  </r>
  <r>
    <x v="0"/>
    <x v="6"/>
    <x v="0"/>
    <s v="Økologisk"/>
    <x v="0"/>
    <s v="Roer"/>
    <n v="545.66710141783074"/>
    <n v="25272.368195039435"/>
    <n v="0"/>
    <n v="25272.368195039435"/>
  </r>
  <r>
    <x v="0"/>
    <x v="7"/>
    <x v="0"/>
    <s v="Økologisk"/>
    <x v="0"/>
    <s v="Majs"/>
    <n v="18686.154576496141"/>
    <n v="690328.21436586999"/>
    <n v="0"/>
    <n v="690328.21436586999"/>
  </r>
  <r>
    <x v="0"/>
    <x v="8"/>
    <x v="0"/>
    <s v="Økologisk"/>
    <x v="0"/>
    <s v="Frugt"/>
    <n v="343.36325185722677"/>
    <n v="1661.6377847126778"/>
    <n v="0"/>
    <n v="1661.6377847126778"/>
  </r>
  <r>
    <x v="0"/>
    <x v="9"/>
    <x v="0"/>
    <s v="Økologisk"/>
    <x v="0"/>
    <s v="Øvrige"/>
    <n v="6072.6886145309409"/>
    <n v="103136.64753378094"/>
    <n v="0"/>
    <n v="103136.64753378094"/>
  </r>
  <r>
    <x v="0"/>
    <x v="10"/>
    <x v="0"/>
    <s v="Økologisk"/>
    <x v="0"/>
    <s v="Halm"/>
    <n v="6387.934343758774"/>
    <n v="52027.493495891315"/>
    <n v="8643.296770772311"/>
    <n v="8643.296770772311"/>
  </r>
  <r>
    <x v="0"/>
    <x v="11"/>
    <x v="0"/>
    <s v="Økologisk"/>
    <x v="0"/>
    <s v="Juletræer"/>
    <n v="1722.1535119056764"/>
    <n v="49081.375089311776"/>
    <n v="0"/>
    <n v="49081.375089311776"/>
  </r>
  <r>
    <x v="0"/>
    <x v="12"/>
    <x v="0"/>
    <s v="Økologisk"/>
    <x v="0"/>
    <s v="Pil &amp; poppel"/>
    <n v="633.46331675549425"/>
    <n v="8806.6851353812599"/>
    <n v="0"/>
    <n v="8806.6851353812599"/>
  </r>
  <r>
    <x v="0"/>
    <x v="13"/>
    <x v="0"/>
    <s v="Økologisk"/>
    <x v="0"/>
    <s v="Græs"/>
    <n v="15268.703252333511"/>
    <n v="210555.41784967913"/>
    <n v="0"/>
    <n v="210555.41784967913"/>
  </r>
  <r>
    <x v="0"/>
    <x v="0"/>
    <x v="1"/>
    <s v="Økologisk"/>
    <x v="0"/>
    <s v="Halm"/>
    <n v="129063.67975940519"/>
    <n v="606173.38472599839"/>
    <n v="196703.26334358647"/>
    <n v="196703.26334358647"/>
  </r>
  <r>
    <x v="0"/>
    <x v="1"/>
    <x v="1"/>
    <s v="Økologisk"/>
    <x v="0"/>
    <s v="Halm"/>
    <n v="8917.2052043923359"/>
    <n v="19619.634890704019"/>
    <n v="5790.791148867921"/>
    <n v="5790.791148867921"/>
  </r>
  <r>
    <x v="0"/>
    <x v="2"/>
    <x v="1"/>
    <s v="Økologisk"/>
    <x v="0"/>
    <s v="Halm"/>
    <n v="14995.539190367022"/>
    <n v="36289.204840688202"/>
    <n v="19269.567770405432"/>
    <n v="19269.567770405432"/>
  </r>
  <r>
    <x v="0"/>
    <x v="3"/>
    <x v="1"/>
    <s v="Økologisk"/>
    <x v="0"/>
    <s v="Græs"/>
    <n v="28591.77691027457"/>
    <n v="1106604.6968245029"/>
    <n v="0"/>
    <n v="1106604.6968245029"/>
  </r>
  <r>
    <x v="0"/>
    <x v="4"/>
    <x v="1"/>
    <s v="Økologisk"/>
    <x v="0"/>
    <s v="Grøntsager"/>
    <n v="1106.4367419581918"/>
    <n v="13086.380565510513"/>
    <n v="0"/>
    <n v="13086.380565510513"/>
  </r>
  <r>
    <x v="0"/>
    <x v="5"/>
    <x v="1"/>
    <s v="Økologisk"/>
    <x v="0"/>
    <s v="Kartofler"/>
    <n v="6591.1841514801417"/>
    <n v="159562.10611026839"/>
    <n v="0"/>
    <n v="159562.10611026839"/>
  </r>
  <r>
    <x v="0"/>
    <x v="6"/>
    <x v="1"/>
    <s v="Økologisk"/>
    <x v="0"/>
    <s v="Roer"/>
    <n v="643.43695403944287"/>
    <n v="29800.542437921104"/>
    <n v="0"/>
    <n v="29800.542437921104"/>
  </r>
  <r>
    <x v="0"/>
    <x v="7"/>
    <x v="1"/>
    <s v="Økologisk"/>
    <x v="0"/>
    <s v="Majs"/>
    <n v="22034.244601094775"/>
    <n v="814017.70857162471"/>
    <n v="0"/>
    <n v="814017.70857162471"/>
  </r>
  <r>
    <x v="0"/>
    <x v="8"/>
    <x v="1"/>
    <s v="Økologisk"/>
    <x v="0"/>
    <s v="Frugt"/>
    <n v="404.88533087304182"/>
    <n v="1959.3615816939114"/>
    <n v="0"/>
    <n v="1959.3615816939114"/>
  </r>
  <r>
    <x v="0"/>
    <x v="9"/>
    <x v="1"/>
    <s v="Økologisk"/>
    <x v="0"/>
    <s v="Øvrige"/>
    <n v="7160.7620375335891"/>
    <n v="121616.14685317205"/>
    <n v="0"/>
    <n v="121616.14685317205"/>
  </r>
  <r>
    <x v="0"/>
    <x v="10"/>
    <x v="1"/>
    <s v="Økologisk"/>
    <x v="0"/>
    <s v="Halm"/>
    <n v="7532.4918912507173"/>
    <n v="61349.51484947509"/>
    <n v="10132.708092110464"/>
    <n v="10132.708092110464"/>
  </r>
  <r>
    <x v="0"/>
    <x v="11"/>
    <x v="1"/>
    <s v="Økologisk"/>
    <x v="0"/>
    <s v="Juletræer"/>
    <n v="2030.7202087311116"/>
    <n v="57875.525948836679"/>
    <n v="0"/>
    <n v="57875.525948836679"/>
  </r>
  <r>
    <x v="0"/>
    <x v="12"/>
    <x v="1"/>
    <s v="Økologisk"/>
    <x v="0"/>
    <s v="Pil &amp; poppel"/>
    <n v="746.96404817114581"/>
    <n v="10384.62213311105"/>
    <n v="0"/>
    <n v="10384.62213311105"/>
  </r>
  <r>
    <x v="0"/>
    <x v="13"/>
    <x v="1"/>
    <s v="Økologisk"/>
    <x v="0"/>
    <s v="Græs"/>
    <n v="18004.47175079149"/>
    <n v="248281.66544341471"/>
    <n v="0"/>
    <n v="248281.66544341471"/>
  </r>
  <r>
    <x v="0"/>
    <x v="0"/>
    <x v="2"/>
    <s v="Økologisk"/>
    <x v="0"/>
    <s v="Halm"/>
    <n v="164298.16404405597"/>
    <n v="771659.18706571776"/>
    <n v="250403.40620282546"/>
    <n v="250403.40620282546"/>
  </r>
  <r>
    <x v="0"/>
    <x v="1"/>
    <x v="2"/>
    <s v="Økologisk"/>
    <x v="0"/>
    <s v="Halm"/>
    <n v="11351.609114329452"/>
    <n v="24975.81037334766"/>
    <n v="7371.6816062827093"/>
    <n v="7371.6816062827093"/>
  </r>
  <r>
    <x v="0"/>
    <x v="2"/>
    <x v="2"/>
    <s v="Økologisk"/>
    <x v="0"/>
    <s v="Halm"/>
    <n v="19089.332974395165"/>
    <n v="46196.185798036306"/>
    <n v="24530.174658757278"/>
    <n v="24530.174658757278"/>
  </r>
  <r>
    <x v="0"/>
    <x v="3"/>
    <x v="2"/>
    <s v="Økologisk"/>
    <x v="0"/>
    <s v="Græs"/>
    <n v="36397.35409584135"/>
    <n v="1408708.6339838055"/>
    <n v="0"/>
    <n v="1408708.6339838055"/>
  </r>
  <r>
    <x v="0"/>
    <x v="4"/>
    <x v="2"/>
    <s v="Økologisk"/>
    <x v="0"/>
    <s v="Grøntsager"/>
    <n v="1408.4948273092346"/>
    <n v="16658.972569999969"/>
    <n v="0"/>
    <n v="16658.972569999969"/>
  </r>
  <r>
    <x v="0"/>
    <x v="5"/>
    <x v="2"/>
    <s v="Økologisk"/>
    <x v="0"/>
    <s v="Kartofler"/>
    <n v="8390.5825169652435"/>
    <n v="203122.68435078094"/>
    <n v="0"/>
    <n v="203122.68435078094"/>
  </r>
  <r>
    <x v="0"/>
    <x v="6"/>
    <x v="2"/>
    <s v="Økologisk"/>
    <x v="0"/>
    <s v="Roer"/>
    <n v="819.09573959033446"/>
    <n v="37936.113546387685"/>
    <n v="0"/>
    <n v="37936.113546387685"/>
  </r>
  <r>
    <x v="0"/>
    <x v="7"/>
    <x v="2"/>
    <s v="Økologisk"/>
    <x v="0"/>
    <s v="Majs"/>
    <n v="28049.610400122754"/>
    <n v="1036245.1718948551"/>
    <n v="0"/>
    <n v="1036245.1718948551"/>
  </r>
  <r>
    <x v="0"/>
    <x v="8"/>
    <x v="2"/>
    <s v="Økologisk"/>
    <x v="0"/>
    <s v="Frugt"/>
    <n v="515.41933900240667"/>
    <n v="2494.2688072343462"/>
    <n v="0"/>
    <n v="2494.2688072343462"/>
  </r>
  <r>
    <x v="0"/>
    <x v="9"/>
    <x v="2"/>
    <s v="Økologisk"/>
    <x v="0"/>
    <s v="Øvrige"/>
    <n v="9115.6556059483319"/>
    <n v="154817.44890070343"/>
    <n v="0"/>
    <n v="154817.44890070343"/>
  </r>
  <r>
    <x v="0"/>
    <x v="10"/>
    <x v="2"/>
    <s v="Økologisk"/>
    <x v="0"/>
    <s v="Halm"/>
    <n v="9588.867996916435"/>
    <n v="78097.979799989233"/>
    <n v="12898.945229451987"/>
    <n v="12898.945229451987"/>
  </r>
  <r>
    <x v="0"/>
    <x v="11"/>
    <x v="2"/>
    <s v="Økologisk"/>
    <x v="0"/>
    <s v="Juletræer"/>
    <n v="2585.1083945820187"/>
    <n v="73675.589245587529"/>
    <n v="0"/>
    <n v="73675.589245587529"/>
  </r>
  <r>
    <x v="0"/>
    <x v="12"/>
    <x v="2"/>
    <s v="Økologisk"/>
    <x v="0"/>
    <s v="Pil &amp; poppel"/>
    <n v="950.88581040160352"/>
    <n v="13219.631998266195"/>
    <n v="0"/>
    <n v="13219.631998266195"/>
  </r>
  <r>
    <x v="0"/>
    <x v="13"/>
    <x v="2"/>
    <s v="Økologisk"/>
    <x v="0"/>
    <s v="Græs"/>
    <n v="22919.706448417357"/>
    <n v="316062.75192367542"/>
    <n v="0"/>
    <n v="316062.75192367542"/>
  </r>
  <r>
    <x v="0"/>
    <x v="0"/>
    <x v="0"/>
    <s v="Konventionel"/>
    <x v="1"/>
    <s v="Halm"/>
    <n v="22635.91835790575"/>
    <n v="190413.34522670315"/>
    <n v="62150.439848632843"/>
    <n v="62150.439848632843"/>
  </r>
  <r>
    <x v="0"/>
    <x v="1"/>
    <x v="0"/>
    <s v="Konventionel"/>
    <x v="1"/>
    <s v="Halm"/>
    <n v="1940.4460603454415"/>
    <n v="8988.1461515200845"/>
    <n v="2668.3895360672122"/>
    <n v="2668.3895360672122"/>
  </r>
  <r>
    <x v="0"/>
    <x v="2"/>
    <x v="0"/>
    <s v="Konventionel"/>
    <x v="1"/>
    <s v="Halm"/>
    <n v="2077.7966510372653"/>
    <n v="10970.766317476762"/>
    <n v="5859.5411439959262"/>
    <n v="5859.5411439959262"/>
  </r>
  <r>
    <x v="0"/>
    <x v="3"/>
    <x v="0"/>
    <s v="Konventionel"/>
    <x v="1"/>
    <s v="Græs"/>
    <n v="19174.640913496198"/>
    <n v="1141734.8185532177"/>
    <n v="0"/>
    <n v="1141734.8185532177"/>
  </r>
  <r>
    <x v="0"/>
    <x v="4"/>
    <x v="0"/>
    <s v="Konventionel"/>
    <x v="1"/>
    <s v="Grøntsager"/>
    <n v="89.680516787297492"/>
    <n v="2233.0448680037075"/>
    <n v="0"/>
    <n v="2233.0448680037075"/>
  </r>
  <r>
    <x v="0"/>
    <x v="5"/>
    <x v="0"/>
    <s v="Konventionel"/>
    <x v="1"/>
    <s v="Kartofler"/>
    <n v="1415.8229166406438"/>
    <n v="72157.52731348855"/>
    <n v="0"/>
    <n v="72157.52731348855"/>
  </r>
  <r>
    <x v="0"/>
    <x v="6"/>
    <x v="0"/>
    <s v="Konventionel"/>
    <x v="1"/>
    <s v="Roer"/>
    <n v="37.144566460621057"/>
    <n v="3621.7615488648539"/>
    <n v="0"/>
    <n v="3621.7615488648539"/>
  </r>
  <r>
    <x v="0"/>
    <x v="7"/>
    <x v="0"/>
    <s v="Konventionel"/>
    <x v="1"/>
    <s v="Majs"/>
    <n v="4794.8053396620016"/>
    <n v="256100.14280202682"/>
    <n v="0"/>
    <n v="256100.14280202682"/>
  </r>
  <r>
    <x v="0"/>
    <x v="8"/>
    <x v="0"/>
    <s v="Konventionel"/>
    <x v="1"/>
    <s v="Frugt"/>
    <n v="81.683630839432524"/>
    <n v="832.19283099213862"/>
    <n v="0"/>
    <n v="832.19283099213862"/>
  </r>
  <r>
    <x v="0"/>
    <x v="9"/>
    <x v="0"/>
    <s v="Konventionel"/>
    <x v="1"/>
    <s v="Øvrige"/>
    <n v="1444.648640496996"/>
    <n v="51653.603137711965"/>
    <n v="0"/>
    <n v="51653.603137711965"/>
  </r>
  <r>
    <x v="0"/>
    <x v="10"/>
    <x v="0"/>
    <s v="Konventionel"/>
    <x v="1"/>
    <s v="Halm"/>
    <n v="3565.8188704270801"/>
    <n v="61141.787199729057"/>
    <n v="10157.449001543764"/>
    <n v="10157.449001543764"/>
  </r>
  <r>
    <x v="0"/>
    <x v="11"/>
    <x v="0"/>
    <s v="Konventionel"/>
    <x v="1"/>
    <s v="Juletræer"/>
    <n v="409.68784794078073"/>
    <n v="24581.270876446844"/>
    <n v="0"/>
    <n v="24581.270876446844"/>
  </r>
  <r>
    <x v="0"/>
    <x v="12"/>
    <x v="0"/>
    <s v="Konventionel"/>
    <x v="1"/>
    <s v="Pil &amp; poppel"/>
    <n v="672.85851532837171"/>
    <n v="19693.419960830393"/>
    <n v="0"/>
    <n v="19693.419960830393"/>
  </r>
  <r>
    <x v="0"/>
    <x v="13"/>
    <x v="0"/>
    <s v="Konventionel"/>
    <x v="1"/>
    <s v="Græs"/>
    <n v="19018.389680733297"/>
    <n v="314716.31243677461"/>
    <n v="0"/>
    <n v="314716.31243677461"/>
  </r>
  <r>
    <x v="0"/>
    <x v="0"/>
    <x v="1"/>
    <s v="Konventionel"/>
    <x v="1"/>
    <s v="Halm"/>
    <n v="20435.609145451021"/>
    <n v="171904.34413153399"/>
    <n v="55782.95967068278"/>
    <n v="55782.95967068278"/>
  </r>
  <r>
    <x v="0"/>
    <x v="1"/>
    <x v="1"/>
    <s v="Konventionel"/>
    <x v="1"/>
    <s v="Halm"/>
    <n v="1751.8263067599466"/>
    <n v="8114.4594529120732"/>
    <n v="2395.005831634247"/>
    <n v="2395.005831634247"/>
  </r>
  <r>
    <x v="0"/>
    <x v="2"/>
    <x v="1"/>
    <s v="Konventionel"/>
    <x v="1"/>
    <s v="Halm"/>
    <n v="1875.8258257056677"/>
    <n v="9904.360359725928"/>
    <n v="5259.2153510144672"/>
    <n v="5259.2153510144672"/>
  </r>
  <r>
    <x v="0"/>
    <x v="3"/>
    <x v="1"/>
    <s v="Konventionel"/>
    <x v="1"/>
    <s v="Græs"/>
    <n v="17310.782845959839"/>
    <n v="1030753.2537798325"/>
    <n v="0"/>
    <n v="1030753.2537798325"/>
  </r>
  <r>
    <x v="0"/>
    <x v="4"/>
    <x v="1"/>
    <s v="Konventionel"/>
    <x v="1"/>
    <s v="Grøntsager"/>
    <n v="80.963182498279139"/>
    <n v="2015.9832442071504"/>
    <n v="0"/>
    <n v="2015.9832442071504"/>
  </r>
  <r>
    <x v="0"/>
    <x v="5"/>
    <x v="1"/>
    <s v="Konventionel"/>
    <x v="1"/>
    <s v="Kartofler"/>
    <n v="1278.1988027243244"/>
    <n v="65143.50342519462"/>
    <n v="0"/>
    <n v="65143.50342519462"/>
  </r>
  <r>
    <x v="0"/>
    <x v="6"/>
    <x v="1"/>
    <s v="Konventionel"/>
    <x v="1"/>
    <s v="Roer"/>
    <n v="33.533953872093285"/>
    <n v="3269.7106545613583"/>
    <n v="0"/>
    <n v="3269.7106545613583"/>
  </r>
  <r>
    <x v="0"/>
    <x v="7"/>
    <x v="1"/>
    <s v="Konventionel"/>
    <x v="1"/>
    <s v="Majs"/>
    <n v="4328.7295130057018"/>
    <n v="231206.10074866057"/>
    <n v="0"/>
    <n v="231206.10074866057"/>
  </r>
  <r>
    <x v="0"/>
    <x v="8"/>
    <x v="1"/>
    <s v="Konventionel"/>
    <x v="1"/>
    <s v="Frugt"/>
    <n v="73.74362846793683"/>
    <n v="751.30008683134042"/>
    <n v="0"/>
    <n v="751.30008683134042"/>
  </r>
  <r>
    <x v="0"/>
    <x v="9"/>
    <x v="1"/>
    <s v="Konventionel"/>
    <x v="1"/>
    <s v="Øvrige"/>
    <n v="1304.2225414898148"/>
    <n v="46632.649402000425"/>
    <n v="0"/>
    <n v="46632.649402000425"/>
  </r>
  <r>
    <x v="0"/>
    <x v="10"/>
    <x v="1"/>
    <s v="Konventionel"/>
    <x v="1"/>
    <s v="Halm"/>
    <n v="3219.2058465377545"/>
    <n v="55198.540916791106"/>
    <n v="9116.79095739492"/>
    <n v="9116.79095739492"/>
  </r>
  <r>
    <x v="0"/>
    <x v="11"/>
    <x v="1"/>
    <s v="Konventionel"/>
    <x v="1"/>
    <s v="Juletræer"/>
    <n v="369.86441635732047"/>
    <n v="22191.864981439227"/>
    <n v="0"/>
    <n v="22191.864981439227"/>
  </r>
  <r>
    <x v="0"/>
    <x v="12"/>
    <x v="1"/>
    <s v="Konventionel"/>
    <x v="1"/>
    <s v="Pil &amp; poppel"/>
    <n v="607.45375610690382"/>
    <n v="17779.134325080111"/>
    <n v="0"/>
    <n v="17779.134325080111"/>
  </r>
  <r>
    <x v="0"/>
    <x v="13"/>
    <x v="1"/>
    <s v="Konventionel"/>
    <x v="1"/>
    <s v="Græs"/>
    <n v="17169.719909137468"/>
    <n v="284124.52505640686"/>
    <n v="0"/>
    <n v="284124.52505640686"/>
  </r>
  <r>
    <x v="0"/>
    <x v="0"/>
    <x v="2"/>
    <s v="Konventionel"/>
    <x v="1"/>
    <s v="Halm"/>
    <n v="19490.609878609357"/>
    <n v="163955.01029886189"/>
    <n v="53203.400841980685"/>
    <n v="53203.400841980685"/>
  </r>
  <r>
    <x v="0"/>
    <x v="1"/>
    <x v="2"/>
    <s v="Konventionel"/>
    <x v="1"/>
    <s v="Halm"/>
    <n v="1670.8169977768277"/>
    <n v="7739.2243337022664"/>
    <n v="2284.2541168765943"/>
    <n v="2284.2541168765943"/>
  </r>
  <r>
    <x v="0"/>
    <x v="2"/>
    <x v="2"/>
    <s v="Konventionel"/>
    <x v="1"/>
    <s v="Halm"/>
    <n v="1789.0824349215904"/>
    <n v="9446.3552563859976"/>
    <n v="5016.0146411409651"/>
    <n v="5016.0146411409651"/>
  </r>
  <r>
    <x v="0"/>
    <x v="3"/>
    <x v="2"/>
    <s v="Konventionel"/>
    <x v="1"/>
    <s v="Græs"/>
    <n v="16510.284217244931"/>
    <n v="983088.36343163217"/>
    <n v="0"/>
    <n v="983088.36343163217"/>
  </r>
  <r>
    <x v="0"/>
    <x v="4"/>
    <x v="2"/>
    <s v="Konventionel"/>
    <x v="1"/>
    <s v="Grøntsager"/>
    <n v="77.219220301826923"/>
    <n v="1922.7585855154903"/>
    <n v="0"/>
    <n v="1922.7585855154903"/>
  </r>
  <r>
    <x v="0"/>
    <x v="5"/>
    <x v="2"/>
    <s v="Konventionel"/>
    <x v="1"/>
    <s v="Kartofler"/>
    <n v="1219.0913436388062"/>
    <n v="62131.087081832986"/>
    <n v="0"/>
    <n v="62131.087081832986"/>
  </r>
  <r>
    <x v="0"/>
    <x v="6"/>
    <x v="2"/>
    <s v="Konventionel"/>
    <x v="1"/>
    <s v="Roer"/>
    <n v="31.983250802863537"/>
    <n v="3118.5101618648791"/>
    <n v="0"/>
    <n v="3118.5101618648791"/>
  </r>
  <r>
    <x v="0"/>
    <x v="7"/>
    <x v="2"/>
    <s v="Konventionel"/>
    <x v="1"/>
    <s v="Majs"/>
    <n v="4128.5570499765372"/>
    <n v="220514.4891533468"/>
    <n v="0"/>
    <n v="220514.4891533468"/>
  </r>
  <r>
    <x v="0"/>
    <x v="8"/>
    <x v="2"/>
    <s v="Konventionel"/>
    <x v="1"/>
    <s v="Frugt"/>
    <n v="70.333518480980217"/>
    <n v="716.55788628422658"/>
    <n v="0"/>
    <n v="716.55788628422658"/>
  </r>
  <r>
    <x v="0"/>
    <x v="9"/>
    <x v="2"/>
    <s v="Konventionel"/>
    <x v="1"/>
    <s v="Øvrige"/>
    <n v="1243.9116725191875"/>
    <n v="44476.226308266305"/>
    <n v="0"/>
    <n v="44476.226308266305"/>
  </r>
  <r>
    <x v="0"/>
    <x v="10"/>
    <x v="2"/>
    <s v="Konventionel"/>
    <x v="1"/>
    <s v="Halm"/>
    <n v="3070.3408362932341"/>
    <n v="52646.007232777651"/>
    <n v="8695.2052483824409"/>
    <n v="8695.2052483824409"/>
  </r>
  <r>
    <x v="0"/>
    <x v="11"/>
    <x v="2"/>
    <s v="Konventionel"/>
    <x v="1"/>
    <s v="Juletræer"/>
    <n v="352.76085953154842"/>
    <n v="21165.651571892904"/>
    <n v="0"/>
    <n v="21165.651571892904"/>
  </r>
  <r>
    <x v="0"/>
    <x v="12"/>
    <x v="2"/>
    <s v="Konventionel"/>
    <x v="1"/>
    <s v="Pil &amp; poppel"/>
    <n v="579.36340900369441"/>
    <n v="16956.977824498372"/>
    <n v="0"/>
    <n v="16956.977824498372"/>
  </r>
  <r>
    <x v="0"/>
    <x v="13"/>
    <x v="2"/>
    <s v="Konventionel"/>
    <x v="1"/>
    <s v="Græs"/>
    <n v="16375.744422009724"/>
    <n v="270985.81869541691"/>
    <n v="0"/>
    <n v="270985.81869541691"/>
  </r>
  <r>
    <x v="0"/>
    <x v="0"/>
    <x v="0"/>
    <s v="Økologisk"/>
    <x v="1"/>
    <s v="Halm"/>
    <n v="2894.2627984460178"/>
    <n v="16312.180902553697"/>
    <n v="5324.2550661412697"/>
    <n v="5324.2550661412697"/>
  </r>
  <r>
    <x v="0"/>
    <x v="1"/>
    <x v="0"/>
    <s v="Økologisk"/>
    <x v="1"/>
    <s v="Halm"/>
    <n v="248.10837166177816"/>
    <n v="655.06564719629318"/>
    <n v="194.47506626492333"/>
    <n v="194.47506626492333"/>
  </r>
  <r>
    <x v="0"/>
    <x v="2"/>
    <x v="0"/>
    <s v="Økologisk"/>
    <x v="1"/>
    <s v="Halm"/>
    <n v="265.67022617540744"/>
    <n v="771.50633681338331"/>
    <n v="412.06539202371209"/>
    <n v="412.06539202371209"/>
  </r>
  <r>
    <x v="0"/>
    <x v="3"/>
    <x v="0"/>
    <s v="Økologisk"/>
    <x v="1"/>
    <s v="Græs"/>
    <n v="2451.6986230474936"/>
    <n v="113867.47539237718"/>
    <n v="0"/>
    <n v="113867.47539237718"/>
  </r>
  <r>
    <x v="0"/>
    <x v="4"/>
    <x v="0"/>
    <s v="Økologisk"/>
    <x v="1"/>
    <s v="Grøntsager"/>
    <n v="11.466686678176497"/>
    <n v="162.74668402335902"/>
    <n v="0"/>
    <n v="162.74668402335902"/>
  </r>
  <r>
    <x v="0"/>
    <x v="5"/>
    <x v="0"/>
    <s v="Økologisk"/>
    <x v="1"/>
    <s v="Kartofler"/>
    <n v="181.02926207936162"/>
    <n v="5258.9173042875573"/>
    <n v="0"/>
    <n v="5258.9173042875573"/>
  </r>
  <r>
    <x v="0"/>
    <x v="6"/>
    <x v="0"/>
    <s v="Økologisk"/>
    <x v="1"/>
    <s v="Roer"/>
    <n v="4.7493605150697995"/>
    <n v="263.95783212721415"/>
    <n v="0"/>
    <n v="263.95783212721415"/>
  </r>
  <r>
    <x v="0"/>
    <x v="7"/>
    <x v="0"/>
    <s v="Økologisk"/>
    <x v="1"/>
    <s v="Majs"/>
    <n v="613.07107142517441"/>
    <n v="27178.642215577973"/>
    <n v="0"/>
    <n v="27178.642215577973"/>
  </r>
  <r>
    <x v="0"/>
    <x v="8"/>
    <x v="0"/>
    <s v="Økologisk"/>
    <x v="1"/>
    <s v="Frugt"/>
    <n v="10.444192731327741"/>
    <n v="60.651098261657197"/>
    <n v="0"/>
    <n v="60.651098261657197"/>
  </r>
  <r>
    <x v="0"/>
    <x v="9"/>
    <x v="0"/>
    <s v="Økologisk"/>
    <x v="1"/>
    <s v="Øvrige"/>
    <n v="184.71496278196111"/>
    <n v="3764.5695117789446"/>
    <n v="0"/>
    <n v="3764.5695117789446"/>
  </r>
  <r>
    <x v="0"/>
    <x v="10"/>
    <x v="0"/>
    <s v="Økologisk"/>
    <x v="1"/>
    <s v="Halm"/>
    <n v="455.9310004345117"/>
    <n v="4456.0784535034436"/>
    <n v="740.28568204070757"/>
    <n v="740.28568204070757"/>
  </r>
  <r>
    <x v="0"/>
    <x v="11"/>
    <x v="0"/>
    <s v="Økologisk"/>
    <x v="1"/>
    <s v="Juletræer"/>
    <n v="52.383308621374375"/>
    <n v="1791.5091548510036"/>
    <n v="0"/>
    <n v="1791.5091548510036"/>
  </r>
  <r>
    <x v="0"/>
    <x v="12"/>
    <x v="0"/>
    <s v="Økologisk"/>
    <x v="1"/>
    <s v="Pil &amp; poppel"/>
    <n v="86.032708668626768"/>
    <n v="1435.2773836424562"/>
    <n v="0"/>
    <n v="1435.2773836424562"/>
  </r>
  <r>
    <x v="0"/>
    <x v="13"/>
    <x v="0"/>
    <s v="Økologisk"/>
    <x v="1"/>
    <s v="Græs"/>
    <n v="2431.7201038177204"/>
    <n v="40240.104277975639"/>
    <n v="0"/>
    <n v="40240.104277975639"/>
  </r>
  <r>
    <x v="0"/>
    <x v="0"/>
    <x v="1"/>
    <s v="Økologisk"/>
    <x v="1"/>
    <s v="Halm"/>
    <n v="3189.372525590622"/>
    <n v="17975.431129129767"/>
    <n v="5833.0274014026108"/>
    <n v="5833.0274014026108"/>
  </r>
  <r>
    <x v="0"/>
    <x v="1"/>
    <x v="1"/>
    <s v="Økologisk"/>
    <x v="1"/>
    <s v="Halm"/>
    <n v="273.4064178180264"/>
    <n v="721.85856057986598"/>
    <n v="213.0586112650351"/>
    <n v="213.0586112650351"/>
  </r>
  <r>
    <x v="0"/>
    <x v="2"/>
    <x v="1"/>
    <s v="Økologisk"/>
    <x v="1"/>
    <s v="Halm"/>
    <n v="292.75894389626029"/>
    <n v="850.17197307473998"/>
    <n v="451.44131770268689"/>
    <n v="451.44131770268689"/>
  </r>
  <r>
    <x v="0"/>
    <x v="3"/>
    <x v="1"/>
    <s v="Økologisk"/>
    <x v="1"/>
    <s v="Græs"/>
    <n v="2701.6828719128071"/>
    <n v="125477.82384163742"/>
    <n v="0"/>
    <n v="125477.82384163742"/>
  </r>
  <r>
    <x v="0"/>
    <x v="4"/>
    <x v="1"/>
    <s v="Økologisk"/>
    <x v="1"/>
    <s v="Grøntsager"/>
    <n v="12.635872413026226"/>
    <n v="179.34093715808123"/>
    <n v="0"/>
    <n v="179.34093715808123"/>
  </r>
  <r>
    <x v="0"/>
    <x v="5"/>
    <x v="1"/>
    <s v="Økologisk"/>
    <x v="1"/>
    <s v="Kartofler"/>
    <n v="199.48767441362287"/>
    <n v="5795.135940541878"/>
    <n v="0"/>
    <n v="5795.135940541878"/>
  </r>
  <r>
    <x v="0"/>
    <x v="6"/>
    <x v="1"/>
    <s v="Økologisk"/>
    <x v="1"/>
    <s v="Roer"/>
    <n v="5.2336228586503974"/>
    <n v="290.87194782485147"/>
    <n v="0"/>
    <n v="290.87194782485147"/>
  </r>
  <r>
    <x v="0"/>
    <x v="7"/>
    <x v="1"/>
    <s v="Økologisk"/>
    <x v="1"/>
    <s v="Majs"/>
    <n v="675.58206272343341"/>
    <n v="29949.876981372738"/>
    <n v="0"/>
    <n v="29949.876981372738"/>
  </r>
  <r>
    <x v="0"/>
    <x v="8"/>
    <x v="1"/>
    <s v="Økologisk"/>
    <x v="1"/>
    <s v="Frugt"/>
    <n v="11.509121205978582"/>
    <n v="66.835308302510583"/>
    <n v="0"/>
    <n v="66.835308302510583"/>
  </r>
  <r>
    <x v="0"/>
    <x v="9"/>
    <x v="1"/>
    <s v="Økologisk"/>
    <x v="1"/>
    <s v="Øvrige"/>
    <n v="203.54918277586708"/>
    <n v="4148.4189265710211"/>
    <n v="0"/>
    <n v="4148.4189265710211"/>
  </r>
  <r>
    <x v="0"/>
    <x v="10"/>
    <x v="1"/>
    <s v="Økologisk"/>
    <x v="1"/>
    <s v="Halm"/>
    <n v="502.41940957525651"/>
    <n v="4910.4366746208962"/>
    <n v="811.02550771276185"/>
    <n v="811.02550771276185"/>
  </r>
  <r>
    <x v="0"/>
    <x v="11"/>
    <x v="1"/>
    <s v="Økologisk"/>
    <x v="1"/>
    <s v="Juletræer"/>
    <n v="57.724504286980661"/>
    <n v="1974.1780466147386"/>
    <n v="0"/>
    <n v="1974.1780466147386"/>
  </r>
  <r>
    <x v="0"/>
    <x v="12"/>
    <x v="1"/>
    <s v="Økologisk"/>
    <x v="1"/>
    <s v="Pil &amp; poppel"/>
    <n v="94.804921473331831"/>
    <n v="1581.6235679941212"/>
    <n v="0"/>
    <n v="1581.6235679941212"/>
  </r>
  <r>
    <x v="0"/>
    <x v="13"/>
    <x v="1"/>
    <s v="Økologisk"/>
    <x v="1"/>
    <s v="Græs"/>
    <n v="2679.6672690561372"/>
    <n v="44343.133968340961"/>
    <n v="0"/>
    <n v="44343.133968340961"/>
  </r>
  <r>
    <x v="0"/>
    <x v="0"/>
    <x v="2"/>
    <s v="Økologisk"/>
    <x v="1"/>
    <s v="Halm"/>
    <n v="4134.3717924322873"/>
    <n v="23301.484797020068"/>
    <n v="7561.3318166330127"/>
    <n v="7561.3318166330127"/>
  </r>
  <r>
    <x v="0"/>
    <x v="1"/>
    <x v="2"/>
    <s v="Økologisk"/>
    <x v="1"/>
    <s v="Halm"/>
    <n v="354.41572680114524"/>
    <n v="935.74257852945584"/>
    <n v="276.18708867689725"/>
    <n v="276.18708867689725"/>
  </r>
  <r>
    <x v="0"/>
    <x v="2"/>
    <x v="2"/>
    <s v="Økologisk"/>
    <x v="1"/>
    <s v="Halm"/>
    <n v="379.50233468033741"/>
    <n v="1102.0747799117"/>
    <n v="585.20170813311267"/>
    <n v="585.20170813311267"/>
  </r>
  <r>
    <x v="0"/>
    <x v="3"/>
    <x v="2"/>
    <s v="Økologisk"/>
    <x v="1"/>
    <s v="Græs"/>
    <n v="3502.1815006277125"/>
    <n v="162656.43831323367"/>
    <n v="0"/>
    <n v="162656.43831323367"/>
  </r>
  <r>
    <x v="0"/>
    <x v="4"/>
    <x v="2"/>
    <s v="Økologisk"/>
    <x v="1"/>
    <s v="Grøntsager"/>
    <n v="16.37983460947844"/>
    <n v="232.47899261232749"/>
    <n v="0"/>
    <n v="232.47899261232749"/>
  </r>
  <r>
    <x v="0"/>
    <x v="5"/>
    <x v="2"/>
    <s v="Økologisk"/>
    <x v="1"/>
    <s v="Kartofler"/>
    <n v="258.59513349914073"/>
    <n v="7512.21325625799"/>
    <n v="0"/>
    <n v="7512.21325625799"/>
  </r>
  <r>
    <x v="0"/>
    <x v="6"/>
    <x v="2"/>
    <s v="Økologisk"/>
    <x v="1"/>
    <s v="Roer"/>
    <n v="6.7843259278801451"/>
    <n v="377.05622866184444"/>
    <n v="0"/>
    <n v="377.05622866184444"/>
  </r>
  <r>
    <x v="0"/>
    <x v="7"/>
    <x v="2"/>
    <s v="Økologisk"/>
    <x v="1"/>
    <s v="Majs"/>
    <n v="875.75452575259862"/>
    <n v="38823.914605483173"/>
    <n v="0"/>
    <n v="38823.914605483173"/>
  </r>
  <r>
    <x v="0"/>
    <x v="8"/>
    <x v="2"/>
    <s v="Økologisk"/>
    <x v="1"/>
    <s v="Frugt"/>
    <n v="14.919231192935195"/>
    <n v="86.638362614365533"/>
    <n v="0"/>
    <n v="86.638362614365533"/>
  </r>
  <r>
    <x v="0"/>
    <x v="9"/>
    <x v="2"/>
    <s v="Økologisk"/>
    <x v="1"/>
    <s v="Øvrige"/>
    <n v="263.86005174649438"/>
    <n v="5377.580089999472"/>
    <n v="0"/>
    <n v="5377.580089999472"/>
  </r>
  <r>
    <x v="0"/>
    <x v="10"/>
    <x v="2"/>
    <s v="Økologisk"/>
    <x v="1"/>
    <s v="Halm"/>
    <n v="651.28441981977687"/>
    <n v="6365.3808745085698"/>
    <n v="1051.3293618498762"/>
    <n v="1051.3293618498762"/>
  </r>
  <r>
    <x v="0"/>
    <x v="11"/>
    <x v="2"/>
    <s v="Økologisk"/>
    <x v="1"/>
    <s v="Juletræer"/>
    <n v="74.828061112752692"/>
    <n v="2559.1196900561422"/>
    <n v="0"/>
    <n v="2559.1196900561422"/>
  </r>
  <r>
    <x v="0"/>
    <x v="12"/>
    <x v="2"/>
    <s v="Økologisk"/>
    <x v="1"/>
    <s v="Pil &amp; poppel"/>
    <n v="122.89526857654124"/>
    <n v="2050.2527733257125"/>
    <n v="0"/>
    <n v="2050.2527733257125"/>
  </r>
  <r>
    <x v="0"/>
    <x v="13"/>
    <x v="2"/>
    <s v="Økologisk"/>
    <x v="1"/>
    <s v="Græs"/>
    <n v="3473.6427561838809"/>
    <n v="57481.840329330858"/>
    <n v="0"/>
    <n v="57481.840329330858"/>
  </r>
  <r>
    <x v="0"/>
    <x v="0"/>
    <x v="0"/>
    <s v="Konventionel"/>
    <x v="2"/>
    <s v="Halm"/>
    <n v="11442.363018493961"/>
    <n v="112295.35066349973"/>
    <n v="36652.92171818966"/>
    <n v="36652.92171818966"/>
  </r>
  <r>
    <x v="0"/>
    <x v="1"/>
    <x v="0"/>
    <s v="Konventionel"/>
    <x v="2"/>
    <s v="Halm"/>
    <n v="658.84236387306271"/>
    <n v="3560.3841343700306"/>
    <n v="1057.0023682721242"/>
    <n v="1057.0023682721242"/>
  </r>
  <r>
    <x v="0"/>
    <x v="2"/>
    <x v="0"/>
    <s v="Konventionel"/>
    <x v="2"/>
    <s v="Halm"/>
    <n v="853.17102732786998"/>
    <n v="5255.5335283396789"/>
    <n v="2807.0067351538646"/>
    <n v="2807.0067351538646"/>
  </r>
  <r>
    <x v="0"/>
    <x v="3"/>
    <x v="0"/>
    <s v="Konventionel"/>
    <x v="2"/>
    <s v="Græs"/>
    <n v="19676.81711863153"/>
    <n v="1366909.1315970952"/>
    <n v="0"/>
    <n v="1366909.1315970952"/>
  </r>
  <r>
    <x v="0"/>
    <x v="4"/>
    <x v="0"/>
    <s v="Konventionel"/>
    <x v="2"/>
    <s v="Grøntsager"/>
    <n v="22.870610645607062"/>
    <n v="664.39123925488514"/>
    <n v="0"/>
    <n v="664.39123925488514"/>
  </r>
  <r>
    <x v="0"/>
    <x v="5"/>
    <x v="0"/>
    <s v="Konventionel"/>
    <x v="2"/>
    <s v="Kartofler"/>
    <n v="1210.548128147522"/>
    <n v="71978.294997334509"/>
    <n v="0"/>
    <n v="71978.294997334509"/>
  </r>
  <r>
    <x v="0"/>
    <x v="6"/>
    <x v="0"/>
    <s v="Konventionel"/>
    <x v="2"/>
    <s v="Roer"/>
    <n v="13.090943352111134"/>
    <n v="1489.1631918276153"/>
    <n v="0"/>
    <n v="1489.1631918276153"/>
  </r>
  <r>
    <x v="0"/>
    <x v="7"/>
    <x v="0"/>
    <s v="Konventionel"/>
    <x v="2"/>
    <s v="Majs"/>
    <n v="1627.9869607567055"/>
    <n v="101446.37947259334"/>
    <n v="0"/>
    <n v="101446.37947259334"/>
  </r>
  <r>
    <x v="0"/>
    <x v="8"/>
    <x v="0"/>
    <s v="Konventionel"/>
    <x v="2"/>
    <s v="Frugt"/>
    <n v="46.653159168791504"/>
    <n v="554.51944988025593"/>
    <n v="0"/>
    <n v="554.51944988025593"/>
  </r>
  <r>
    <x v="0"/>
    <x v="9"/>
    <x v="0"/>
    <s v="Konventionel"/>
    <x v="2"/>
    <s v="Øvrige"/>
    <n v="825.10317275892578"/>
    <n v="34418.618533530331"/>
    <n v="0"/>
    <n v="34418.618533530331"/>
  </r>
  <r>
    <x v="0"/>
    <x v="10"/>
    <x v="0"/>
    <s v="Konventionel"/>
    <x v="2"/>
    <s v="Halm"/>
    <n v="2625.2024337684684"/>
    <n v="52515.612858242159"/>
    <n v="8724.3877521914255"/>
    <n v="8724.3877521914255"/>
  </r>
  <r>
    <x v="0"/>
    <x v="11"/>
    <x v="0"/>
    <s v="Konventionel"/>
    <x v="2"/>
    <s v="Juletræer"/>
    <n v="233.9909744838869"/>
    <n v="16379.368213872083"/>
    <n v="0"/>
    <n v="16379.368213872083"/>
  </r>
  <r>
    <x v="0"/>
    <x v="12"/>
    <x v="0"/>
    <s v="Konventionel"/>
    <x v="2"/>
    <s v="Pil &amp; poppel"/>
    <n v="552.34127487506601"/>
    <n v="18860.433776221766"/>
    <n v="0"/>
    <n v="18860.433776221766"/>
  </r>
  <r>
    <x v="0"/>
    <x v="13"/>
    <x v="0"/>
    <s v="Konventionel"/>
    <x v="2"/>
    <s v="Græs"/>
    <n v="20428.487949592105"/>
    <n v="394392.38835482521"/>
    <n v="0"/>
    <n v="394392.38835482521"/>
  </r>
  <r>
    <x v="0"/>
    <x v="0"/>
    <x v="1"/>
    <s v="Konventionel"/>
    <x v="2"/>
    <s v="Halm"/>
    <n v="10092.973017126162"/>
    <n v="99052.437190076147"/>
    <n v="32142.515868179711"/>
    <n v="32142.515868179711"/>
  </r>
  <r>
    <x v="0"/>
    <x v="1"/>
    <x v="1"/>
    <s v="Konventionel"/>
    <x v="2"/>
    <s v="Halm"/>
    <n v="581.14553701562829"/>
    <n v="3140.5104820324559"/>
    <n v="926.93061841314909"/>
    <n v="926.93061841314909"/>
  </r>
  <r>
    <x v="0"/>
    <x v="2"/>
    <x v="1"/>
    <s v="Konventionel"/>
    <x v="2"/>
    <s v="Halm"/>
    <n v="752.55715483735639"/>
    <n v="4635.7520737981158"/>
    <n v="2461.5843511867993"/>
    <n v="2461.5843511867993"/>
  </r>
  <r>
    <x v="0"/>
    <x v="3"/>
    <x v="1"/>
    <s v="Konventionel"/>
    <x v="2"/>
    <s v="Græs"/>
    <n v="17356.343608421324"/>
    <n v="1205710.4777898125"/>
    <n v="0"/>
    <n v="1205710.4777898125"/>
  </r>
  <r>
    <x v="0"/>
    <x v="4"/>
    <x v="1"/>
    <s v="Konventionel"/>
    <x v="2"/>
    <s v="Grøntsager"/>
    <n v="20.173495261269249"/>
    <n v="586.04003733987167"/>
    <n v="0"/>
    <n v="586.04003733987167"/>
  </r>
  <r>
    <x v="0"/>
    <x v="5"/>
    <x v="1"/>
    <s v="Konventionel"/>
    <x v="2"/>
    <s v="Kartofler"/>
    <n v="1067.7890199408878"/>
    <n v="63489.944170855597"/>
    <n v="0"/>
    <n v="63489.944170855597"/>
  </r>
  <r>
    <x v="0"/>
    <x v="6"/>
    <x v="1"/>
    <s v="Konventionel"/>
    <x v="2"/>
    <s v="Roer"/>
    <n v="11.547137405799177"/>
    <n v="1313.5472007767016"/>
    <n v="0"/>
    <n v="1313.5472007767016"/>
  </r>
  <r>
    <x v="0"/>
    <x v="7"/>
    <x v="1"/>
    <s v="Konventionel"/>
    <x v="2"/>
    <s v="Majs"/>
    <n v="1435.9995781110367"/>
    <n v="89482.87771041115"/>
    <n v="0"/>
    <n v="89482.87771041115"/>
  </r>
  <r>
    <x v="0"/>
    <x v="8"/>
    <x v="1"/>
    <s v="Konventionel"/>
    <x v="2"/>
    <s v="Frugt"/>
    <n v="41.15138419339192"/>
    <n v="489.12535252265639"/>
    <n v="0"/>
    <n v="489.12535252265639"/>
  </r>
  <r>
    <x v="0"/>
    <x v="9"/>
    <x v="1"/>
    <s v="Konventionel"/>
    <x v="2"/>
    <s v="Øvrige"/>
    <n v="727.79932305426189"/>
    <n v="30359.654521029428"/>
    <n v="0"/>
    <n v="30359.654521029428"/>
  </r>
  <r>
    <x v="0"/>
    <x v="10"/>
    <x v="1"/>
    <s v="Konventionel"/>
    <x v="2"/>
    <s v="Halm"/>
    <n v="2315.6141162183199"/>
    <n v="46322.482751106189"/>
    <n v="7650.7890399853277"/>
    <n v="7650.7890399853277"/>
  </r>
  <r>
    <x v="0"/>
    <x v="11"/>
    <x v="1"/>
    <s v="Konventionel"/>
    <x v="2"/>
    <s v="Juletræer"/>
    <n v="206.39657978861854"/>
    <n v="14447.760585203299"/>
    <n v="0"/>
    <n v="14447.760585203299"/>
  </r>
  <r>
    <x v="0"/>
    <x v="12"/>
    <x v="1"/>
    <s v="Konventionel"/>
    <x v="2"/>
    <s v="Pil &amp; poppel"/>
    <n v="487.2040481978043"/>
    <n v="16636.235792120147"/>
    <n v="0"/>
    <n v="16636.235792120147"/>
  </r>
  <r>
    <x v="0"/>
    <x v="13"/>
    <x v="1"/>
    <s v="Konventionel"/>
    <x v="2"/>
    <s v="Græs"/>
    <n v="18019.370415242949"/>
    <n v="347881.96523668035"/>
    <n v="0"/>
    <n v="347881.96523668035"/>
  </r>
  <r>
    <x v="0"/>
    <x v="0"/>
    <x v="2"/>
    <s v="Konventionel"/>
    <x v="2"/>
    <s v="Halm"/>
    <n v="9626.2459411896907"/>
    <n v="94471.977666835621"/>
    <n v="30656.156752888157"/>
    <n v="30656.156752888157"/>
  </r>
  <r>
    <x v="0"/>
    <x v="1"/>
    <x v="2"/>
    <s v="Konventionel"/>
    <x v="2"/>
    <s v="Halm"/>
    <n v="554.27175495710208"/>
    <n v="2995.2845637881796"/>
    <n v="884.06677478710742"/>
    <n v="884.06677478710742"/>
  </r>
  <r>
    <x v="0"/>
    <x v="2"/>
    <x v="2"/>
    <s v="Konventionel"/>
    <x v="2"/>
    <s v="Halm"/>
    <n v="717.75682397782543"/>
    <n v="4421.3820357034047"/>
    <n v="2347.7538609585076"/>
    <n v="2347.7538609585076"/>
  </r>
  <r>
    <x v="0"/>
    <x v="3"/>
    <x v="2"/>
    <s v="Konventionel"/>
    <x v="2"/>
    <s v="Græs"/>
    <n v="16553.738123638836"/>
    <n v="1149955.0799729426"/>
    <n v="0"/>
    <n v="1149955.0799729426"/>
  </r>
  <r>
    <x v="0"/>
    <x v="4"/>
    <x v="2"/>
    <s v="Konventionel"/>
    <x v="2"/>
    <s v="Grøntsager"/>
    <n v="19.24061686768454"/>
    <n v="558.93992000623587"/>
    <n v="0"/>
    <n v="558.93992000623587"/>
  </r>
  <r>
    <x v="0"/>
    <x v="5"/>
    <x v="2"/>
    <s v="Konventionel"/>
    <x v="2"/>
    <s v="Kartofler"/>
    <n v="1018.4114930072051"/>
    <n v="60553.992995324697"/>
    <n v="0"/>
    <n v="60553.992995324697"/>
  </r>
  <r>
    <x v="0"/>
    <x v="6"/>
    <x v="2"/>
    <s v="Konventionel"/>
    <x v="2"/>
    <s v="Roer"/>
    <n v="11.013165733854706"/>
    <n v="1252.8051336887613"/>
    <n v="0"/>
    <n v="1252.8051336887613"/>
  </r>
  <r>
    <x v="0"/>
    <x v="7"/>
    <x v="2"/>
    <s v="Konventionel"/>
    <x v="2"/>
    <s v="Majs"/>
    <n v="1369.5949733428961"/>
    <n v="85344.941168889229"/>
    <n v="0"/>
    <n v="85344.941168889229"/>
  </r>
  <r>
    <x v="0"/>
    <x v="8"/>
    <x v="2"/>
    <s v="Konventionel"/>
    <x v="2"/>
    <s v="Frugt"/>
    <n v="39.248430011038536"/>
    <n v="466.50683911120404"/>
    <n v="0"/>
    <n v="466.50683911120404"/>
  </r>
  <r>
    <x v="0"/>
    <x v="9"/>
    <x v="2"/>
    <s v="Konventionel"/>
    <x v="2"/>
    <s v="Øvrige"/>
    <n v="694.14386302863124"/>
    <n v="28955.739861097427"/>
    <n v="0"/>
    <n v="28955.739861097427"/>
  </r>
  <r>
    <x v="0"/>
    <x v="10"/>
    <x v="2"/>
    <s v="Konventionel"/>
    <x v="2"/>
    <s v="Halm"/>
    <n v="2208.533694659091"/>
    <n v="44180.402623887407"/>
    <n v="7296.995327153636"/>
    <n v="7296.995327153636"/>
  </r>
  <r>
    <x v="0"/>
    <x v="11"/>
    <x v="2"/>
    <s v="Konventionel"/>
    <x v="2"/>
    <s v="Juletræer"/>
    <n v="196.85222927816218"/>
    <n v="13779.656049471352"/>
    <n v="0"/>
    <n v="13779.656049471352"/>
  </r>
  <r>
    <x v="0"/>
    <x v="12"/>
    <x v="2"/>
    <s v="Konventionel"/>
    <x v="2"/>
    <s v="Pil &amp; poppel"/>
    <n v="464.67438122911972"/>
    <n v="15866.930090750429"/>
    <n v="0"/>
    <n v="15866.930090750429"/>
  </r>
  <r>
    <x v="0"/>
    <x v="13"/>
    <x v="2"/>
    <s v="Konventionel"/>
    <x v="2"/>
    <s v="Græs"/>
    <n v="17186.104731301079"/>
    <n v="331794.93794249865"/>
    <n v="0"/>
    <n v="331794.93794249865"/>
  </r>
  <r>
    <x v="0"/>
    <x v="0"/>
    <x v="0"/>
    <s v="Økologisk"/>
    <x v="2"/>
    <s v="Halm"/>
    <n v="1463.0378625294493"/>
    <n v="9620.0299005188899"/>
    <n v="3139.9537094546149"/>
    <n v="3139.9537094546149"/>
  </r>
  <r>
    <x v="0"/>
    <x v="1"/>
    <x v="0"/>
    <s v="Økologisk"/>
    <x v="2"/>
    <s v="Halm"/>
    <n v="84.240582319120037"/>
    <n v="259.48458090593903"/>
    <n v="77.035456343029438"/>
    <n v="77.035456343029438"/>
  </r>
  <r>
    <x v="0"/>
    <x v="2"/>
    <x v="0"/>
    <s v="Økologisk"/>
    <x v="2"/>
    <s v="Halm"/>
    <n v="109.08773949719625"/>
    <n v="369.5892614165009"/>
    <n v="197.39947246886027"/>
    <n v="197.39947246886027"/>
  </r>
  <r>
    <x v="0"/>
    <x v="3"/>
    <x v="0"/>
    <s v="Økologisk"/>
    <x v="2"/>
    <s v="Græs"/>
    <n v="2515.9076330733833"/>
    <n v="136324.55573438661"/>
    <n v="0"/>
    <n v="136324.55573438661"/>
  </r>
  <r>
    <x v="0"/>
    <x v="4"/>
    <x v="0"/>
    <s v="Økologisk"/>
    <x v="2"/>
    <s v="Grøntsager"/>
    <n v="2.9242709097422335"/>
    <n v="48.42153985896676"/>
    <n v="0"/>
    <n v="48.42153985896676"/>
  </r>
  <r>
    <x v="0"/>
    <x v="5"/>
    <x v="0"/>
    <s v="Økologisk"/>
    <x v="2"/>
    <s v="Kartofler"/>
    <n v="154.7825167783468"/>
    <n v="5245.854662536889"/>
    <n v="0"/>
    <n v="5245.854662536889"/>
  </r>
  <r>
    <x v="0"/>
    <x v="6"/>
    <x v="0"/>
    <s v="Økologisk"/>
    <x v="2"/>
    <s v="Roer"/>
    <n v="1.6738278404042131"/>
    <n v="108.53179661197174"/>
    <n v="0"/>
    <n v="108.53179661197174"/>
  </r>
  <r>
    <x v="0"/>
    <x v="7"/>
    <x v="0"/>
    <s v="Økologisk"/>
    <x v="2"/>
    <s v="Majs"/>
    <n v="208.15687803661353"/>
    <n v="10766.002789318036"/>
    <n v="0"/>
    <n v="10766.002789318036"/>
  </r>
  <r>
    <x v="0"/>
    <x v="8"/>
    <x v="0"/>
    <s v="Økologisk"/>
    <x v="2"/>
    <s v="Frugt"/>
    <n v="5.9651435774442545"/>
    <n v="40.413967040056377"/>
    <n v="0"/>
    <n v="40.413967040056377"/>
  </r>
  <r>
    <x v="0"/>
    <x v="9"/>
    <x v="0"/>
    <s v="Økologisk"/>
    <x v="2"/>
    <s v="Øvrige"/>
    <n v="105.49894110931392"/>
    <n v="2508.4655105943398"/>
    <n v="0"/>
    <n v="2508.4655105943398"/>
  </r>
  <r>
    <x v="0"/>
    <x v="10"/>
    <x v="0"/>
    <s v="Økologisk"/>
    <x v="2"/>
    <s v="Halm"/>
    <n v="335.66235848312112"/>
    <n v="3827.3936966497163"/>
    <n v="635.84265464065186"/>
    <n v="635.84265464065186"/>
  </r>
  <r>
    <x v="0"/>
    <x v="11"/>
    <x v="0"/>
    <s v="Økologisk"/>
    <x v="2"/>
    <s v="Juletræer"/>
    <n v="29.918440326248902"/>
    <n v="1193.7457690173312"/>
    <n v="0"/>
    <n v="1193.7457690173312"/>
  </r>
  <r>
    <x v="0"/>
    <x v="12"/>
    <x v="0"/>
    <s v="Økologisk"/>
    <x v="2"/>
    <s v="Pil &amp; poppel"/>
    <n v="70.623191806963732"/>
    <n v="1374.5684649257819"/>
    <n v="0"/>
    <n v="1374.5684649257819"/>
  </r>
  <r>
    <x v="0"/>
    <x v="13"/>
    <x v="0"/>
    <s v="Økologisk"/>
    <x v="2"/>
    <s v="Græs"/>
    <n v="2612.0174037629554"/>
    <n v="50427.60799704762"/>
    <n v="0"/>
    <n v="50427.60799704762"/>
  </r>
  <r>
    <x v="0"/>
    <x v="0"/>
    <x v="1"/>
    <s v="Økologisk"/>
    <x v="2"/>
    <s v="Halm"/>
    <n v="1575.203881285586"/>
    <n v="10357.564096927616"/>
    <n v="3361.029549453011"/>
    <n v="3361.029549453011"/>
  </r>
  <r>
    <x v="0"/>
    <x v="1"/>
    <x v="1"/>
    <s v="Økologisk"/>
    <x v="2"/>
    <s v="Halm"/>
    <n v="90.699014447525812"/>
    <n v="279.37836022242476"/>
    <n v="82.4593191755975"/>
    <n v="82.4593191755975"/>
  </r>
  <r>
    <x v="0"/>
    <x v="2"/>
    <x v="1"/>
    <s v="Økologisk"/>
    <x v="2"/>
    <s v="Halm"/>
    <n v="117.4511166509169"/>
    <n v="397.9243832133065"/>
    <n v="211.29784748626577"/>
    <n v="211.29784748626577"/>
  </r>
  <r>
    <x v="0"/>
    <x v="3"/>
    <x v="1"/>
    <s v="Økologisk"/>
    <x v="2"/>
    <s v="Græs"/>
    <n v="2708.7935111409006"/>
    <n v="146776.08475291013"/>
    <n v="0"/>
    <n v="146776.08475291013"/>
  </r>
  <r>
    <x v="0"/>
    <x v="4"/>
    <x v="1"/>
    <s v="Økologisk"/>
    <x v="2"/>
    <s v="Grøntsager"/>
    <n v="3.14846457834838"/>
    <n v="52.133850720581648"/>
    <n v="0"/>
    <n v="52.133850720581648"/>
  </r>
  <r>
    <x v="0"/>
    <x v="5"/>
    <x v="1"/>
    <s v="Økologisk"/>
    <x v="2"/>
    <s v="Kartofler"/>
    <n v="166.64915340117903"/>
    <n v="5648.0360739275584"/>
    <n v="0"/>
    <n v="5648.0360739275584"/>
  </r>
  <r>
    <x v="0"/>
    <x v="6"/>
    <x v="1"/>
    <s v="Økologisk"/>
    <x v="2"/>
    <s v="Roer"/>
    <n v="1.8021543928125885"/>
    <n v="116.8525515604245"/>
    <n v="0"/>
    <n v="116.8525515604245"/>
  </r>
  <r>
    <x v="0"/>
    <x v="7"/>
    <x v="1"/>
    <s v="Økologisk"/>
    <x v="2"/>
    <s v="Majs"/>
    <n v="224.11554109247393"/>
    <n v="11591.394736938229"/>
    <n v="0"/>
    <n v="11591.394736938229"/>
  </r>
  <r>
    <x v="0"/>
    <x v="8"/>
    <x v="1"/>
    <s v="Økologisk"/>
    <x v="2"/>
    <s v="Frugt"/>
    <n v="6.4224703654426705"/>
    <n v="43.512365175281403"/>
    <n v="0"/>
    <n v="43.512365175281403"/>
  </r>
  <r>
    <x v="0"/>
    <x v="9"/>
    <x v="1"/>
    <s v="Økologisk"/>
    <x v="2"/>
    <s v="Øvrige"/>
    <n v="113.58717758650332"/>
    <n v="2700.7808270441792"/>
    <n v="0"/>
    <n v="2700.7808270441792"/>
  </r>
  <r>
    <x v="0"/>
    <x v="10"/>
    <x v="1"/>
    <s v="Økologisk"/>
    <x v="2"/>
    <s v="Halm"/>
    <n v="361.39642276239675"/>
    <n v="4120.8266447371343"/>
    <n v="680.61065505996635"/>
    <n v="680.61065505996635"/>
  </r>
  <r>
    <x v="0"/>
    <x v="11"/>
    <x v="1"/>
    <s v="Økologisk"/>
    <x v="2"/>
    <s v="Juletræer"/>
    <n v="32.212182972790174"/>
    <n v="1285.2661006143278"/>
    <n v="0"/>
    <n v="1285.2661006143278"/>
  </r>
  <r>
    <x v="0"/>
    <x v="12"/>
    <x v="1"/>
    <s v="Økologisk"/>
    <x v="2"/>
    <s v="Pil &amp; poppel"/>
    <n v="76.037626019310508"/>
    <n v="1479.9518430099947"/>
    <n v="0"/>
    <n v="1479.9518430099947"/>
  </r>
  <r>
    <x v="0"/>
    <x v="13"/>
    <x v="1"/>
    <s v="Økologisk"/>
    <x v="2"/>
    <s v="Græs"/>
    <n v="2812.271683303813"/>
    <n v="54293.717117863409"/>
    <n v="0"/>
    <n v="54293.717117863409"/>
  </r>
  <r>
    <x v="0"/>
    <x v="0"/>
    <x v="2"/>
    <s v="Økologisk"/>
    <x v="2"/>
    <s v="Halm"/>
    <n v="2041.9309572220554"/>
    <n v="13426.471977498759"/>
    <n v="4356.8901566983468"/>
    <n v="4356.8901566983468"/>
  </r>
  <r>
    <x v="0"/>
    <x v="1"/>
    <x v="2"/>
    <s v="Økologisk"/>
    <x v="2"/>
    <s v="Halm"/>
    <n v="117.57279650605196"/>
    <n v="362.15713362166167"/>
    <n v="106.89171004244116"/>
    <n v="106.89171004244116"/>
  </r>
  <r>
    <x v="0"/>
    <x v="2"/>
    <x v="2"/>
    <s v="Økologisk"/>
    <x v="2"/>
    <s v="Halm"/>
    <n v="152.2514475104478"/>
    <n v="515.82790416539717"/>
    <n v="273.90461711182593"/>
    <n v="273.90461711182593"/>
  </r>
  <r>
    <x v="0"/>
    <x v="3"/>
    <x v="2"/>
    <s v="Økologisk"/>
    <x v="2"/>
    <s v="Græs"/>
    <n v="3511.3989959233891"/>
    <n v="190265.29505006867"/>
    <n v="0"/>
    <n v="190265.29505006867"/>
  </r>
  <r>
    <x v="0"/>
    <x v="4"/>
    <x v="2"/>
    <s v="Økologisk"/>
    <x v="2"/>
    <s v="Grøntsager"/>
    <n v="4.0813429719330845"/>
    <n v="67.580917600753978"/>
    <n v="0"/>
    <n v="67.580917600753978"/>
  </r>
  <r>
    <x v="0"/>
    <x v="5"/>
    <x v="2"/>
    <s v="Økologisk"/>
    <x v="2"/>
    <s v="Kartofler"/>
    <n v="216.02668033486168"/>
    <n v="7321.5282439801686"/>
    <n v="0"/>
    <n v="7321.5282439801686"/>
  </r>
  <r>
    <x v="0"/>
    <x v="6"/>
    <x v="2"/>
    <s v="Økologisk"/>
    <x v="2"/>
    <s v="Roer"/>
    <n v="2.336126064757059"/>
    <n v="151.47552980055022"/>
    <n v="0"/>
    <n v="151.47552980055022"/>
  </r>
  <r>
    <x v="0"/>
    <x v="7"/>
    <x v="2"/>
    <s v="Økologisk"/>
    <x v="2"/>
    <s v="Majs"/>
    <n v="290.52014586061432"/>
    <n v="15025.882066401406"/>
    <n v="0"/>
    <n v="15025.882066401406"/>
  </r>
  <r>
    <x v="0"/>
    <x v="8"/>
    <x v="2"/>
    <s v="Økologisk"/>
    <x v="2"/>
    <s v="Frugt"/>
    <n v="8.325424547796052"/>
    <n v="56.404917819809206"/>
    <n v="0"/>
    <n v="56.404917819809206"/>
  </r>
  <r>
    <x v="0"/>
    <x v="9"/>
    <x v="2"/>
    <s v="Økologisk"/>
    <x v="2"/>
    <s v="Øvrige"/>
    <n v="147.2426376121339"/>
    <n v="3501.012183205416"/>
    <n v="0"/>
    <n v="3501.012183205416"/>
  </r>
  <r>
    <x v="0"/>
    <x v="10"/>
    <x v="2"/>
    <s v="Økologisk"/>
    <x v="2"/>
    <s v="Halm"/>
    <n v="468.47684432162538"/>
    <n v="5341.8123172518408"/>
    <n v="882.27307137403068"/>
    <n v="882.27307137403068"/>
  </r>
  <r>
    <x v="0"/>
    <x v="11"/>
    <x v="2"/>
    <s v="Økologisk"/>
    <x v="2"/>
    <s v="Juletræer"/>
    <n v="41.756533483246521"/>
    <n v="1666.0856859815358"/>
    <n v="0"/>
    <n v="1666.0856859815358"/>
  </r>
  <r>
    <x v="0"/>
    <x v="12"/>
    <x v="2"/>
    <s v="Økologisk"/>
    <x v="2"/>
    <s v="Pil &amp; poppel"/>
    <n v="98.567292987995089"/>
    <n v="1918.4560927907332"/>
    <n v="0"/>
    <n v="1918.4560927907332"/>
  </r>
  <r>
    <x v="0"/>
    <x v="13"/>
    <x v="2"/>
    <s v="Økologisk"/>
    <x v="2"/>
    <s v="Græs"/>
    <n v="3645.5373672456835"/>
    <n v="70380.744412045169"/>
    <n v="0"/>
    <n v="70380.744412045169"/>
  </r>
  <r>
    <x v="1"/>
    <x v="0"/>
    <x v="0"/>
    <s v="Konventionel"/>
    <x v="0"/>
    <s v="Halm"/>
    <n v="289324.40705334052"/>
    <n v="2028164.0934439169"/>
    <n v="661987.68968986103"/>
    <n v="661987.68968986103"/>
  </r>
  <r>
    <x v="1"/>
    <x v="1"/>
    <x v="0"/>
    <s v="Konventionel"/>
    <x v="0"/>
    <s v="Halm"/>
    <n v="6305.778237432175"/>
    <n v="24340.303996488197"/>
    <n v="7226.118867452964"/>
    <n v="7226.118867452964"/>
  </r>
  <r>
    <x v="1"/>
    <x v="2"/>
    <x v="0"/>
    <s v="Konventionel"/>
    <x v="0"/>
    <s v="Halm"/>
    <n v="40000.111452135221"/>
    <n v="176000.49038939498"/>
    <n v="94002.741919427819"/>
    <n v="94002.741919427819"/>
  </r>
  <r>
    <x v="1"/>
    <x v="3"/>
    <x v="0"/>
    <s v="Konventionel"/>
    <x v="0"/>
    <s v="Græs"/>
    <n v="24301.063764662133"/>
    <n v="1205818.784002535"/>
    <n v="0"/>
    <n v="1205818.784002535"/>
  </r>
  <r>
    <x v="1"/>
    <x v="4"/>
    <x v="0"/>
    <s v="Konventionel"/>
    <x v="0"/>
    <s v="Grøntsager"/>
    <n v="3807.9830483618994"/>
    <n v="79015.648253509426"/>
    <n v="0"/>
    <n v="79015.648253509426"/>
  </r>
  <r>
    <x v="1"/>
    <x v="5"/>
    <x v="0"/>
    <s v="Konventionel"/>
    <x v="0"/>
    <s v="Kartofler"/>
    <n v="2442.8304745575424"/>
    <n v="103749.20750938304"/>
    <n v="0"/>
    <n v="103749.20750938304"/>
  </r>
  <r>
    <x v="1"/>
    <x v="6"/>
    <x v="0"/>
    <s v="Konventionel"/>
    <x v="0"/>
    <s v="Roer"/>
    <n v="25394.708101233733"/>
    <n v="2063414.7895987527"/>
    <n v="0"/>
    <n v="2063414.7895987527"/>
  </r>
  <r>
    <x v="1"/>
    <x v="7"/>
    <x v="0"/>
    <s v="Konventionel"/>
    <x v="0"/>
    <s v="Majs"/>
    <n v="7182.5684723440072"/>
    <n v="319696.12270403182"/>
    <n v="0"/>
    <n v="319696.12270403182"/>
  </r>
  <r>
    <x v="1"/>
    <x v="8"/>
    <x v="0"/>
    <s v="Konventionel"/>
    <x v="0"/>
    <s v="Frugt"/>
    <n v="1671.2488811855812"/>
    <n v="14188.903001265586"/>
    <n v="0"/>
    <n v="14188.903001265586"/>
  </r>
  <r>
    <x v="1"/>
    <x v="9"/>
    <x v="0"/>
    <s v="Konventionel"/>
    <x v="0"/>
    <s v="Øvrige"/>
    <n v="11933.527586925724"/>
    <n v="355570.7138334217"/>
    <n v="0"/>
    <n v="355570.7138334217"/>
  </r>
  <r>
    <x v="1"/>
    <x v="10"/>
    <x v="0"/>
    <s v="Konventionel"/>
    <x v="0"/>
    <s v="Halm"/>
    <n v="36921.98237863728"/>
    <n v="527573.06517282699"/>
    <n v="87645.401770409182"/>
    <n v="87645.401770409182"/>
  </r>
  <r>
    <x v="1"/>
    <x v="11"/>
    <x v="0"/>
    <s v="Konventionel"/>
    <x v="0"/>
    <s v="Juletræer"/>
    <n v="2618.8374863482281"/>
    <n v="130941.87431741141"/>
    <n v="0"/>
    <n v="130941.87431741141"/>
  </r>
  <r>
    <x v="1"/>
    <x v="12"/>
    <x v="0"/>
    <s v="Konventionel"/>
    <x v="0"/>
    <s v="Pil &amp; poppel"/>
    <n v="1244.8278589023382"/>
    <n v="30361.655095178983"/>
    <n v="0"/>
    <n v="30361.655095178983"/>
  </r>
  <r>
    <x v="1"/>
    <x v="13"/>
    <x v="0"/>
    <s v="Konventionel"/>
    <x v="0"/>
    <s v="Græs"/>
    <n v="31005.186770121774"/>
    <n v="427561.52555997932"/>
    <n v="0"/>
    <n v="427561.52555997932"/>
  </r>
  <r>
    <x v="1"/>
    <x v="0"/>
    <x v="1"/>
    <s v="Konventionel"/>
    <x v="0"/>
    <s v="Halm"/>
    <n v="280840.49563485396"/>
    <n v="1968691.8744003263"/>
    <n v="638840.51324290584"/>
    <n v="638840.51324290584"/>
  </r>
  <r>
    <x v="1"/>
    <x v="1"/>
    <x v="1"/>
    <s v="Konventionel"/>
    <x v="0"/>
    <s v="Halm"/>
    <n v="6120.8727725395029"/>
    <n v="23626.568902002484"/>
    <n v="6973.44914102653"/>
    <n v="6973.44914102653"/>
  </r>
  <r>
    <x v="1"/>
    <x v="2"/>
    <x v="1"/>
    <s v="Konventionel"/>
    <x v="0"/>
    <s v="Halm"/>
    <n v="38827.181018281633"/>
    <n v="170839.59648043918"/>
    <n v="90715.825731113204"/>
    <n v="90715.825731113204"/>
  </r>
  <r>
    <x v="1"/>
    <x v="3"/>
    <x v="1"/>
    <s v="Konventionel"/>
    <x v="0"/>
    <s v="Græs"/>
    <n v="23588.479318523863"/>
    <n v="1170460.3437851542"/>
    <n v="0"/>
    <n v="1170460.3437851542"/>
  </r>
  <r>
    <x v="1"/>
    <x v="4"/>
    <x v="1"/>
    <s v="Konventionel"/>
    <x v="0"/>
    <s v="Grøntsager"/>
    <n v="3696.3208792610235"/>
    <n v="76698.658244666236"/>
    <n v="0"/>
    <n v="76698.658244666236"/>
  </r>
  <r>
    <x v="1"/>
    <x v="5"/>
    <x v="1"/>
    <s v="Konventionel"/>
    <x v="0"/>
    <s v="Kartofler"/>
    <n v="2371.1989189359497"/>
    <n v="100706.95091163422"/>
    <n v="0"/>
    <n v="100706.95091163422"/>
  </r>
  <r>
    <x v="1"/>
    <x v="6"/>
    <x v="1"/>
    <s v="Konventionel"/>
    <x v="0"/>
    <s v="Roer"/>
    <n v="24650.054526295378"/>
    <n v="2002908.9080768959"/>
    <n v="0"/>
    <n v="2002908.9080768959"/>
  </r>
  <r>
    <x v="1"/>
    <x v="7"/>
    <x v="1"/>
    <s v="Konventionel"/>
    <x v="0"/>
    <s v="Majs"/>
    <n v="6971.9527303221239"/>
    <n v="310321.61602663778"/>
    <n v="0"/>
    <n v="310321.61602663778"/>
  </r>
  <r>
    <x v="1"/>
    <x v="8"/>
    <x v="1"/>
    <s v="Konventionel"/>
    <x v="0"/>
    <s v="Frugt"/>
    <n v="1622.2425508499273"/>
    <n v="13772.839256715883"/>
    <n v="0"/>
    <n v="13772.839256715883"/>
  </r>
  <r>
    <x v="1"/>
    <x v="9"/>
    <x v="1"/>
    <s v="Konventionel"/>
    <x v="0"/>
    <s v="Øvrige"/>
    <n v="11583.598619685576"/>
    <n v="345144.2500936563"/>
    <n v="0"/>
    <n v="345144.2500936563"/>
  </r>
  <r>
    <x v="1"/>
    <x v="10"/>
    <x v="1"/>
    <s v="Konventionel"/>
    <x v="0"/>
    <s v="Halm"/>
    <n v="35839.312475031358"/>
    <n v="512102.94567170762"/>
    <n v="84580.777441074009"/>
    <n v="84580.777441074009"/>
  </r>
  <r>
    <x v="1"/>
    <x v="11"/>
    <x v="1"/>
    <s v="Konventionel"/>
    <x v="0"/>
    <s v="Juletræer"/>
    <n v="2542.0448455894616"/>
    <n v="127102.2422794731"/>
    <n v="0"/>
    <n v="127102.2422794731"/>
  </r>
  <r>
    <x v="1"/>
    <x v="12"/>
    <x v="1"/>
    <s v="Konventionel"/>
    <x v="0"/>
    <s v="Pil &amp; poppel"/>
    <n v="1208.3255485934653"/>
    <n v="29471.354843743058"/>
    <n v="0"/>
    <n v="29471.354843743058"/>
  </r>
  <r>
    <x v="1"/>
    <x v="13"/>
    <x v="1"/>
    <s v="Konventionel"/>
    <x v="0"/>
    <s v="Græs"/>
    <n v="30096.016124097267"/>
    <n v="415024.06235130131"/>
    <n v="0"/>
    <n v="415024.06235130131"/>
  </r>
  <r>
    <x v="1"/>
    <x v="0"/>
    <x v="2"/>
    <s v="Konventionel"/>
    <x v="0"/>
    <s v="Halm"/>
    <n v="265383.49594764173"/>
    <n v="1860338.3065929685"/>
    <n v="603679.78048941819"/>
    <n v="603679.78048941819"/>
  </r>
  <r>
    <x v="1"/>
    <x v="1"/>
    <x v="2"/>
    <s v="Konventionel"/>
    <x v="0"/>
    <s v="Halm"/>
    <n v="5783.9899867548611"/>
    <n v="22326.201348873765"/>
    <n v="6589.6419520099444"/>
    <n v="6589.6419520099444"/>
  </r>
  <r>
    <x v="1"/>
    <x v="2"/>
    <x v="2"/>
    <s v="Konventionel"/>
    <x v="0"/>
    <s v="Halm"/>
    <n v="36690.196736516154"/>
    <n v="161436.86564067111"/>
    <n v="85722.975655196351"/>
    <n v="85722.975655196351"/>
  </r>
  <r>
    <x v="1"/>
    <x v="3"/>
    <x v="2"/>
    <s v="Konventionel"/>
    <x v="0"/>
    <s v="Græs"/>
    <n v="22290.208153519605"/>
    <n v="1106040.1285776428"/>
    <n v="0"/>
    <n v="1106040.1285776428"/>
  </r>
  <r>
    <x v="1"/>
    <x v="4"/>
    <x v="2"/>
    <s v="Konventionel"/>
    <x v="0"/>
    <s v="Grøntsager"/>
    <n v="3492.8814481155277"/>
    <n v="72477.290048397204"/>
    <n v="0"/>
    <n v="72477.290048397204"/>
  </r>
  <r>
    <x v="1"/>
    <x v="5"/>
    <x v="2"/>
    <s v="Konventionel"/>
    <x v="0"/>
    <s v="Kartofler"/>
    <n v="2240.6920243890713"/>
    <n v="95164.20571307448"/>
    <n v="0"/>
    <n v="95164.20571307448"/>
  </r>
  <r>
    <x v="1"/>
    <x v="6"/>
    <x v="2"/>
    <s v="Konventionel"/>
    <x v="0"/>
    <s v="Roer"/>
    <n v="23293.356005160073"/>
    <n v="1892672.0909267378"/>
    <n v="0"/>
    <n v="1892672.0909267378"/>
  </r>
  <r>
    <x v="1"/>
    <x v="7"/>
    <x v="2"/>
    <s v="Konventionel"/>
    <x v="0"/>
    <s v="Majs"/>
    <n v="6588.2279012933241"/>
    <n v="293242.02388656588"/>
    <n v="0"/>
    <n v="293242.02388656588"/>
  </r>
  <r>
    <x v="1"/>
    <x v="8"/>
    <x v="2"/>
    <s v="Konventionel"/>
    <x v="0"/>
    <s v="Frugt"/>
    <n v="1532.9569848763078"/>
    <n v="13014.804801599856"/>
    <n v="0"/>
    <n v="13014.804801599856"/>
  </r>
  <r>
    <x v="1"/>
    <x v="9"/>
    <x v="2"/>
    <s v="Konventionel"/>
    <x v="0"/>
    <s v="Øvrige"/>
    <n v="10946.056374089812"/>
    <n v="326148.07735980267"/>
    <n v="0"/>
    <n v="326148.07735980267"/>
  </r>
  <r>
    <x v="1"/>
    <x v="10"/>
    <x v="2"/>
    <s v="Konventionel"/>
    <x v="0"/>
    <s v="Halm"/>
    <n v="33866.775571248349"/>
    <n v="483917.64051058935"/>
    <n v="79925.590348146099"/>
    <n v="79925.590348146099"/>
  </r>
  <r>
    <x v="1"/>
    <x v="11"/>
    <x v="2"/>
    <s v="Konventionel"/>
    <x v="0"/>
    <s v="Juletræer"/>
    <n v="2402.1348718004842"/>
    <n v="120106.74359002421"/>
    <n v="0"/>
    <n v="120106.74359002421"/>
  </r>
  <r>
    <x v="1"/>
    <x v="12"/>
    <x v="2"/>
    <s v="Konventionel"/>
    <x v="0"/>
    <s v="Pil &amp; poppel"/>
    <n v="1141.8212946950407"/>
    <n v="27849.29987061075"/>
    <n v="0"/>
    <n v="27849.29987061075"/>
  </r>
  <r>
    <x v="1"/>
    <x v="13"/>
    <x v="2"/>
    <s v="Konventionel"/>
    <x v="0"/>
    <s v="Græs"/>
    <n v="28439.580819904713"/>
    <n v="392181.819506486"/>
    <n v="0"/>
    <n v="392181.819506486"/>
  </r>
  <r>
    <x v="1"/>
    <x v="0"/>
    <x v="0"/>
    <s v="Økologisk"/>
    <x v="0"/>
    <s v="Halm"/>
    <n v="36993.456805099093"/>
    <n v="173747.16857650894"/>
    <n v="56710.641455451077"/>
    <n v="56710.641455451077"/>
  </r>
  <r>
    <x v="1"/>
    <x v="1"/>
    <x v="0"/>
    <s v="Økologisk"/>
    <x v="0"/>
    <s v="Halm"/>
    <n v="806.26635417583145"/>
    <n v="1773.9472324576645"/>
    <n v="526.64722544869528"/>
    <n v="526.64722544869528"/>
  </r>
  <r>
    <x v="1"/>
    <x v="2"/>
    <x v="0"/>
    <s v="Økologisk"/>
    <x v="0"/>
    <s v="Halm"/>
    <n v="5114.4748217902852"/>
    <n v="12377.029068732492"/>
    <n v="6610.6331107553679"/>
    <n v="6610.6331107553679"/>
  </r>
  <r>
    <x v="1"/>
    <x v="3"/>
    <x v="0"/>
    <s v="Økologisk"/>
    <x v="0"/>
    <s v="Græs"/>
    <n v="3107.1708116565819"/>
    <n v="120258.69622603169"/>
    <n v="0"/>
    <n v="120258.69622603169"/>
  </r>
  <r>
    <x v="1"/>
    <x v="4"/>
    <x v="0"/>
    <s v="Økologisk"/>
    <x v="0"/>
    <s v="Grøntsager"/>
    <n v="486.89447893054626"/>
    <n v="5758.7444495510354"/>
    <n v="0"/>
    <n v="5758.7444495510354"/>
  </r>
  <r>
    <x v="1"/>
    <x v="5"/>
    <x v="0"/>
    <s v="Økologisk"/>
    <x v="0"/>
    <s v="Kartofler"/>
    <n v="312.34400361551104"/>
    <n v="7561.3525433987998"/>
    <n v="0"/>
    <n v="7561.3525433987998"/>
  </r>
  <r>
    <x v="1"/>
    <x v="6"/>
    <x v="0"/>
    <s v="Økologisk"/>
    <x v="0"/>
    <s v="Roer"/>
    <n v="3247.0058326185153"/>
    <n v="150383.86356838598"/>
    <n v="0"/>
    <n v="150383.86356838598"/>
  </r>
  <r>
    <x v="1"/>
    <x v="7"/>
    <x v="0"/>
    <s v="Økologisk"/>
    <x v="0"/>
    <s v="Majs"/>
    <n v="918.37408132089615"/>
    <n v="33927.769198462265"/>
    <n v="0"/>
    <n v="33927.769198462265"/>
  </r>
  <r>
    <x v="1"/>
    <x v="8"/>
    <x v="0"/>
    <s v="Økologisk"/>
    <x v="0"/>
    <s v="Frugt"/>
    <n v="213.68841269347433"/>
    <n v="1034.1023355475306"/>
    <n v="0"/>
    <n v="1034.1023355475306"/>
  </r>
  <r>
    <x v="1"/>
    <x v="9"/>
    <x v="0"/>
    <s v="Økologisk"/>
    <x v="0"/>
    <s v="Øvrige"/>
    <n v="1525.8389080116776"/>
    <n v="25914.371646253916"/>
    <n v="0"/>
    <n v="25914.371646253916"/>
  </r>
  <r>
    <x v="1"/>
    <x v="10"/>
    <x v="0"/>
    <s v="Økologisk"/>
    <x v="0"/>
    <s v="Halm"/>
    <n v="4720.9005772918872"/>
    <n v="38450.085874752127"/>
    <n v="6387.6900605140245"/>
    <n v="6387.6900605140245"/>
  </r>
  <r>
    <x v="1"/>
    <x v="11"/>
    <x v="0"/>
    <s v="Økologisk"/>
    <x v="0"/>
    <s v="Juletræer"/>
    <n v="334.84852666763254"/>
    <n v="9543.1830100275256"/>
    <n v="0"/>
    <n v="9543.1830100275256"/>
  </r>
  <r>
    <x v="1"/>
    <x v="12"/>
    <x v="0"/>
    <s v="Økologisk"/>
    <x v="0"/>
    <s v="Pil &amp; poppel"/>
    <n v="159.16557506189815"/>
    <n v="2212.7897020800478"/>
    <n v="0"/>
    <n v="2212.7897020800478"/>
  </r>
  <r>
    <x v="1"/>
    <x v="13"/>
    <x v="0"/>
    <s v="Økologisk"/>
    <x v="0"/>
    <s v="Græs"/>
    <n v="3964.3701310794295"/>
    <n v="54668.66410758534"/>
    <n v="0"/>
    <n v="54668.66410758534"/>
  </r>
  <r>
    <x v="1"/>
    <x v="0"/>
    <x v="1"/>
    <s v="Økologisk"/>
    <x v="0"/>
    <s v="Halm"/>
    <n v="43830.597584630392"/>
    <n v="205859.16767573357"/>
    <n v="66801.299910775546"/>
    <n v="66801.299910775546"/>
  </r>
  <r>
    <x v="1"/>
    <x v="1"/>
    <x v="1"/>
    <s v="Økologisk"/>
    <x v="0"/>
    <s v="Halm"/>
    <n v="955.28072172581835"/>
    <n v="2101.8086439411454"/>
    <n v="620.35481086935431"/>
    <n v="620.35481086935431"/>
  </r>
  <r>
    <x v="1"/>
    <x v="2"/>
    <x v="1"/>
    <s v="Økologisk"/>
    <x v="0"/>
    <s v="Halm"/>
    <n v="6059.733453720256"/>
    <n v="14664.554958003024"/>
    <n v="7786.8786826996047"/>
    <n v="7786.8786826996047"/>
  </r>
  <r>
    <x v="1"/>
    <x v="3"/>
    <x v="1"/>
    <s v="Økologisk"/>
    <x v="0"/>
    <s v="Græs"/>
    <n v="3681.4389687869621"/>
    <n v="142484.94127234307"/>
    <n v="0"/>
    <n v="142484.94127234307"/>
  </r>
  <r>
    <x v="1"/>
    <x v="4"/>
    <x v="1"/>
    <s v="Økologisk"/>
    <x v="0"/>
    <s v="Grøntsager"/>
    <n v="576.88244936443721"/>
    <n v="6823.0771698578801"/>
    <n v="0"/>
    <n v="6823.0771698578801"/>
  </r>
  <r>
    <x v="1"/>
    <x v="5"/>
    <x v="1"/>
    <s v="Økologisk"/>
    <x v="0"/>
    <s v="Kartofler"/>
    <n v="370.07150757959914"/>
    <n v="8958.843783410699"/>
    <n v="0"/>
    <n v="8958.843783410699"/>
  </r>
  <r>
    <x v="1"/>
    <x v="6"/>
    <x v="1"/>
    <s v="Økologisk"/>
    <x v="0"/>
    <s v="Roer"/>
    <n v="3847.1183364738454"/>
    <n v="178177.85026186952"/>
    <n v="0"/>
    <n v="178177.85026186952"/>
  </r>
  <r>
    <x v="1"/>
    <x v="7"/>
    <x v="1"/>
    <s v="Økologisk"/>
    <x v="0"/>
    <s v="Majs"/>
    <n v="1088.1082295878459"/>
    <n v="40198.308758132676"/>
    <n v="0"/>
    <n v="40198.308758132676"/>
  </r>
  <r>
    <x v="1"/>
    <x v="8"/>
    <x v="1"/>
    <s v="Økologisk"/>
    <x v="0"/>
    <s v="Frugt"/>
    <n v="253.1823634274453"/>
    <n v="1225.2254113344361"/>
    <n v="0"/>
    <n v="1225.2254113344361"/>
  </r>
  <r>
    <x v="1"/>
    <x v="9"/>
    <x v="1"/>
    <s v="Økologisk"/>
    <x v="0"/>
    <s v="Øvrige"/>
    <n v="1807.8448712804081"/>
    <n v="30703.87288405417"/>
    <n v="0"/>
    <n v="30703.87288405417"/>
  </r>
  <r>
    <x v="1"/>
    <x v="10"/>
    <x v="1"/>
    <s v="Økologisk"/>
    <x v="0"/>
    <s v="Halm"/>
    <n v="5593.4187099759929"/>
    <n v="45556.441236344399"/>
    <n v="7524.2668486597049"/>
    <n v="7524.2668486597049"/>
  </r>
  <r>
    <x v="1"/>
    <x v="11"/>
    <x v="1"/>
    <s v="Økologisk"/>
    <x v="0"/>
    <s v="Juletræer"/>
    <n v="396.73532272205472"/>
    <n v="11306.95669757856"/>
    <n v="0"/>
    <n v="11306.95669757856"/>
  </r>
  <r>
    <x v="1"/>
    <x v="12"/>
    <x v="1"/>
    <s v="Økologisk"/>
    <x v="0"/>
    <s v="Pil &amp; poppel"/>
    <n v="188.58260006950039"/>
    <n v="2621.7580985272002"/>
    <n v="0"/>
    <n v="2621.7580985272002"/>
  </r>
  <r>
    <x v="1"/>
    <x v="13"/>
    <x v="1"/>
    <s v="Økologisk"/>
    <x v="0"/>
    <s v="Græs"/>
    <n v="4697.0661002926372"/>
    <n v="64772.54152303547"/>
    <n v="0"/>
    <n v="64772.54152303547"/>
  </r>
  <r>
    <x v="1"/>
    <x v="0"/>
    <x v="2"/>
    <s v="Økologisk"/>
    <x v="0"/>
    <s v="Halm"/>
    <n v="56293.468837378547"/>
    <n v="264393.53508851578"/>
    <n v="85795.702136223394"/>
    <n v="85795.702136223394"/>
  </r>
  <r>
    <x v="1"/>
    <x v="1"/>
    <x v="2"/>
    <s v="Økologisk"/>
    <x v="0"/>
    <s v="Halm"/>
    <n v="1226.9069668873949"/>
    <n v="2699.4407085456464"/>
    <n v="796.74761783392978"/>
    <n v="796.74761783392978"/>
  </r>
  <r>
    <x v="1"/>
    <x v="2"/>
    <x v="2"/>
    <s v="Økologisk"/>
    <x v="0"/>
    <s v="Halm"/>
    <n v="7782.7690047155465"/>
    <n v="18834.300991411626"/>
    <n v="10001.013826439572"/>
    <n v="10001.013826439572"/>
  </r>
  <r>
    <x v="1"/>
    <x v="3"/>
    <x v="2"/>
    <s v="Økologisk"/>
    <x v="0"/>
    <s v="Græs"/>
    <n v="4728.2259719587037"/>
    <n v="182999.3667283009"/>
    <n v="0"/>
    <n v="182999.3667283009"/>
  </r>
  <r>
    <x v="1"/>
    <x v="4"/>
    <x v="2"/>
    <s v="Økologisk"/>
    <x v="0"/>
    <s v="Grøntsager"/>
    <n v="740.91424656996037"/>
    <n v="8763.1632513062068"/>
    <n v="0"/>
    <n v="8763.1632513062068"/>
  </r>
  <r>
    <x v="1"/>
    <x v="5"/>
    <x v="2"/>
    <s v="Økologisk"/>
    <x v="0"/>
    <s v="Kartofler"/>
    <n v="475.29830820374241"/>
    <n v="11506.217599853549"/>
    <n v="0"/>
    <n v="11506.217599853549"/>
  </r>
  <r>
    <x v="1"/>
    <x v="6"/>
    <x v="2"/>
    <s v="Økologisk"/>
    <x v="0"/>
    <s v="Roer"/>
    <n v="4941.0149101854695"/>
    <n v="228841.26190296008"/>
    <n v="0"/>
    <n v="228841.26190296008"/>
  </r>
  <r>
    <x v="1"/>
    <x v="7"/>
    <x v="2"/>
    <s v="Økologisk"/>
    <x v="0"/>
    <s v="Majs"/>
    <n v="1397.5028881531293"/>
    <n v="51628.368447907502"/>
    <n v="0"/>
    <n v="51628.368447907502"/>
  </r>
  <r>
    <x v="1"/>
    <x v="8"/>
    <x v="2"/>
    <s v="Økologisk"/>
    <x v="0"/>
    <s v="Frugt"/>
    <n v="325.17269376164109"/>
    <n v="1573.6082169207098"/>
    <n v="0"/>
    <n v="1573.6082169207098"/>
  </r>
  <r>
    <x v="1"/>
    <x v="9"/>
    <x v="2"/>
    <s v="Økologisk"/>
    <x v="0"/>
    <s v="Øvrige"/>
    <n v="2321.8907460190512"/>
    <n v="39434.267535321596"/>
    <n v="0"/>
    <n v="39434.267535321596"/>
  </r>
  <r>
    <x v="1"/>
    <x v="10"/>
    <x v="2"/>
    <s v="Økologisk"/>
    <x v="0"/>
    <s v="Halm"/>
    <n v="7183.8614848102561"/>
    <n v="58510.04198900763"/>
    <n v="9663.7304693667538"/>
    <n v="9663.7304693667538"/>
  </r>
  <r>
    <x v="1"/>
    <x v="11"/>
    <x v="2"/>
    <s v="Økologisk"/>
    <x v="0"/>
    <s v="Juletræer"/>
    <n v="509.54376068495122"/>
    <n v="14521.99717952111"/>
    <n v="0"/>
    <n v="14521.99717952111"/>
  </r>
  <r>
    <x v="1"/>
    <x v="12"/>
    <x v="2"/>
    <s v="Økologisk"/>
    <x v="0"/>
    <s v="Pil &amp; poppel"/>
    <n v="242.20451705652377"/>
    <n v="3367.233529810208"/>
    <n v="0"/>
    <n v="3367.233529810208"/>
  </r>
  <r>
    <x v="1"/>
    <x v="13"/>
    <x v="2"/>
    <s v="Økologisk"/>
    <x v="0"/>
    <s v="Græs"/>
    <n v="6032.6383557373629"/>
    <n v="83190.082925618248"/>
    <n v="0"/>
    <n v="83190.082925618248"/>
  </r>
  <r>
    <x v="1"/>
    <x v="0"/>
    <x v="0"/>
    <s v="Konventionel"/>
    <x v="1"/>
    <s v="Halm"/>
    <n v="4501.5258539517936"/>
    <n v="37866.835483442483"/>
    <n v="12359.640434706922"/>
    <n v="12359.640434706922"/>
  </r>
  <r>
    <x v="1"/>
    <x v="1"/>
    <x v="0"/>
    <s v="Konventionel"/>
    <x v="1"/>
    <s v="Halm"/>
    <n v="121.72845469783576"/>
    <n v="563.84620216037536"/>
    <n v="167.39395203776587"/>
    <n v="167.39395203776587"/>
  </r>
  <r>
    <x v="1"/>
    <x v="2"/>
    <x v="0"/>
    <s v="Konventionel"/>
    <x v="1"/>
    <s v="Halm"/>
    <n v="491.68024413286827"/>
    <n v="2596.0716890215444"/>
    <n v="1386.5748694648521"/>
    <n v="1386.5748694648521"/>
  </r>
  <r>
    <x v="1"/>
    <x v="3"/>
    <x v="0"/>
    <s v="Konventionel"/>
    <x v="1"/>
    <s v="Græs"/>
    <n v="1445.7459335058077"/>
    <n v="86085.495864669807"/>
    <n v="0"/>
    <n v="86085.495864669807"/>
  </r>
  <r>
    <x v="1"/>
    <x v="4"/>
    <x v="0"/>
    <s v="Konventionel"/>
    <x v="1"/>
    <s v="Grøntsager"/>
    <n v="27.380862281417578"/>
    <n v="681.78347080729782"/>
    <n v="0"/>
    <n v="681.78347080729782"/>
  </r>
  <r>
    <x v="1"/>
    <x v="5"/>
    <x v="0"/>
    <s v="Konventionel"/>
    <x v="1"/>
    <s v="Kartofler"/>
    <n v="46.549971840812717"/>
    <n v="2372.4230093092297"/>
    <n v="0"/>
    <n v="2372.4230093092297"/>
  </r>
  <r>
    <x v="1"/>
    <x v="6"/>
    <x v="0"/>
    <s v="Konventionel"/>
    <x v="1"/>
    <s v="Roer"/>
    <n v="130.05082769586514"/>
    <n v="12680.538017485786"/>
    <n v="0"/>
    <n v="12680.538017485786"/>
  </r>
  <r>
    <x v="1"/>
    <x v="7"/>
    <x v="0"/>
    <s v="Konventionel"/>
    <x v="1"/>
    <s v="Majs"/>
    <n v="138.65425138323147"/>
    <n v="7405.8008748811599"/>
    <n v="0"/>
    <n v="7405.8008748811599"/>
  </r>
  <r>
    <x v="1"/>
    <x v="8"/>
    <x v="0"/>
    <s v="Konventionel"/>
    <x v="1"/>
    <s v="Frugt"/>
    <n v="29.910572274561464"/>
    <n v="304.72891033323219"/>
    <n v="0"/>
    <n v="304.72891033323219"/>
  </r>
  <r>
    <x v="1"/>
    <x v="9"/>
    <x v="0"/>
    <s v="Konventionel"/>
    <x v="1"/>
    <s v="Øvrige"/>
    <n v="213.57599301787013"/>
    <n v="7636.4378671983013"/>
    <n v="0"/>
    <n v="7636.4378671983013"/>
  </r>
  <r>
    <x v="1"/>
    <x v="10"/>
    <x v="0"/>
    <s v="Konventionel"/>
    <x v="1"/>
    <s v="Halm"/>
    <n v="1550.5515811624623"/>
    <n v="26586.738772371809"/>
    <n v="4416.839212036145"/>
    <n v="4416.839212036145"/>
  </r>
  <r>
    <x v="1"/>
    <x v="11"/>
    <x v="0"/>
    <s v="Konventionel"/>
    <x v="1"/>
    <s v="Juletræer"/>
    <n v="46.869696544048971"/>
    <n v="2812.1817926429385"/>
    <n v="0"/>
    <n v="2812.1817926429385"/>
  </r>
  <r>
    <x v="1"/>
    <x v="12"/>
    <x v="0"/>
    <s v="Konventionel"/>
    <x v="1"/>
    <s v="Pil &amp; poppel"/>
    <n v="99.475001424808809"/>
    <n v="2911.4634563358682"/>
    <n v="0"/>
    <n v="2911.4634563358682"/>
  </r>
  <r>
    <x v="1"/>
    <x v="13"/>
    <x v="0"/>
    <s v="Konventionel"/>
    <x v="1"/>
    <s v="Græs"/>
    <n v="2905.4159151668305"/>
    <n v="48078.822564180708"/>
    <n v="0"/>
    <n v="48078.822564180708"/>
  </r>
  <r>
    <x v="1"/>
    <x v="0"/>
    <x v="1"/>
    <s v="Konventionel"/>
    <x v="1"/>
    <s v="Halm"/>
    <n v="4071.7505277200084"/>
    <n v="34251.565439180711"/>
    <n v="11114.632985014141"/>
    <n v="11114.632985014141"/>
  </r>
  <r>
    <x v="1"/>
    <x v="1"/>
    <x v="1"/>
    <s v="Konventionel"/>
    <x v="1"/>
    <s v="Halm"/>
    <n v="110.10664288850748"/>
    <n v="510.01396985956666"/>
    <n v="150.53207661173718"/>
    <n v="150.53207661173718"/>
  </r>
  <r>
    <x v="1"/>
    <x v="2"/>
    <x v="1"/>
    <s v="Konventionel"/>
    <x v="1"/>
    <s v="Halm"/>
    <n v="444.73793075296811"/>
    <n v="2348.2162743756717"/>
    <n v="1246.9028416934816"/>
    <n v="1246.9028416934816"/>
  </r>
  <r>
    <x v="1"/>
    <x v="3"/>
    <x v="1"/>
    <s v="Konventionel"/>
    <x v="1"/>
    <s v="Græs"/>
    <n v="1307.7158631741513"/>
    <n v="77866.633356841674"/>
    <n v="0"/>
    <n v="77866.633356841674"/>
  </r>
  <r>
    <x v="1"/>
    <x v="4"/>
    <x v="1"/>
    <s v="Konventionel"/>
    <x v="1"/>
    <s v="Grøntsager"/>
    <n v="24.766722231733471"/>
    <n v="616.69138357016345"/>
    <n v="0"/>
    <n v="616.69138357016345"/>
  </r>
  <r>
    <x v="1"/>
    <x v="5"/>
    <x v="1"/>
    <s v="Konventionel"/>
    <x v="1"/>
    <s v="Kartofler"/>
    <n v="42.105694503961956"/>
    <n v="2145.9200621162067"/>
    <n v="0"/>
    <n v="2145.9200621162067"/>
  </r>
  <r>
    <x v="1"/>
    <x v="6"/>
    <x v="1"/>
    <s v="Konventionel"/>
    <x v="1"/>
    <s v="Roer"/>
    <n v="117.634451846188"/>
    <n v="11469.885776429506"/>
    <n v="0"/>
    <n v="11469.885776429506"/>
  </r>
  <r>
    <x v="1"/>
    <x v="7"/>
    <x v="1"/>
    <s v="Konventionel"/>
    <x v="1"/>
    <s v="Majs"/>
    <n v="125.41647866904403"/>
    <n v="6698.7449586709809"/>
    <n v="0"/>
    <n v="6698.7449586709809"/>
  </r>
  <r>
    <x v="1"/>
    <x v="8"/>
    <x v="1"/>
    <s v="Konventionel"/>
    <x v="1"/>
    <s v="Frugt"/>
    <n v="27.054912577351441"/>
    <n v="275.6354493380565"/>
    <n v="0"/>
    <n v="275.6354493380565"/>
  </r>
  <r>
    <x v="1"/>
    <x v="9"/>
    <x v="1"/>
    <s v="Konventionel"/>
    <x v="1"/>
    <s v="Øvrige"/>
    <n v="193.18519775142676"/>
    <n v="6907.362286583173"/>
    <n v="0"/>
    <n v="6907.362286583173"/>
  </r>
  <r>
    <x v="1"/>
    <x v="10"/>
    <x v="1"/>
    <s v="Konventionel"/>
    <x v="1"/>
    <s v="Halm"/>
    <n v="1402.515374495272"/>
    <n v="24048.416279054476"/>
    <n v="3971.9235405706104"/>
    <n v="3971.9235405706104"/>
  </r>
  <r>
    <x v="1"/>
    <x v="11"/>
    <x v="1"/>
    <s v="Konventionel"/>
    <x v="1"/>
    <s v="Juletræer"/>
    <n v="42.39489404904166"/>
    <n v="2543.6936429424995"/>
    <n v="0"/>
    <n v="2543.6936429424995"/>
  </r>
  <r>
    <x v="1"/>
    <x v="12"/>
    <x v="1"/>
    <s v="Konventionel"/>
    <x v="1"/>
    <s v="Pil &amp; poppel"/>
    <n v="89.977799236861017"/>
    <n v="2633.4965630300785"/>
    <n v="0"/>
    <n v="2633.4965630300785"/>
  </r>
  <r>
    <x v="1"/>
    <x v="13"/>
    <x v="1"/>
    <s v="Konventionel"/>
    <x v="1"/>
    <s v="Græs"/>
    <n v="2607.6878360294108"/>
    <n v="43152.018310614694"/>
    <n v="0"/>
    <n v="43152.018310614694"/>
  </r>
  <r>
    <x v="1"/>
    <x v="0"/>
    <x v="2"/>
    <s v="Konventionel"/>
    <x v="1"/>
    <s v="Halm"/>
    <n v="3883.4614859757307"/>
    <n v="32667.678020027841"/>
    <n v="10600.661517499037"/>
    <n v="10600.661517499037"/>
  </r>
  <r>
    <x v="1"/>
    <x v="1"/>
    <x v="2"/>
    <s v="Konventionel"/>
    <x v="1"/>
    <s v="Halm"/>
    <n v="105.01500622314298"/>
    <n v="486.4295088255983"/>
    <n v="143.57105572795746"/>
    <n v="143.57105572795746"/>
  </r>
  <r>
    <x v="1"/>
    <x v="2"/>
    <x v="2"/>
    <s v="Konventionel"/>
    <x v="1"/>
    <s v="Halm"/>
    <n v="424.17201487999847"/>
    <n v="2239.6282385663922"/>
    <n v="1189.2425946787541"/>
    <n v="1189.2425946787541"/>
  </r>
  <r>
    <x v="1"/>
    <x v="3"/>
    <x v="2"/>
    <s v="Konventionel"/>
    <x v="1"/>
    <s v="Græs"/>
    <n v="1247.2434533163869"/>
    <n v="74265.864184270948"/>
    <n v="0"/>
    <n v="74265.864184270948"/>
  </r>
  <r>
    <x v="1"/>
    <x v="4"/>
    <x v="2"/>
    <s v="Konventionel"/>
    <x v="1"/>
    <s v="Grøntsager"/>
    <n v="23.621440278820938"/>
    <n v="588.17386294264134"/>
    <n v="0"/>
    <n v="588.17386294264134"/>
  </r>
  <r>
    <x v="1"/>
    <x v="5"/>
    <x v="2"/>
    <s v="Konventionel"/>
    <x v="1"/>
    <s v="Kartofler"/>
    <n v="40.158610365050421"/>
    <n v="2046.6867644460935"/>
    <n v="0"/>
    <n v="2046.6867644460935"/>
  </r>
  <r>
    <x v="1"/>
    <x v="6"/>
    <x v="2"/>
    <s v="Konventionel"/>
    <x v="1"/>
    <s v="Roer"/>
    <n v="112.19470840821398"/>
    <n v="10939.486434166871"/>
    <n v="0"/>
    <n v="10939.486434166871"/>
  </r>
  <r>
    <x v="1"/>
    <x v="7"/>
    <x v="2"/>
    <s v="Konventionel"/>
    <x v="1"/>
    <s v="Majs"/>
    <n v="119.61687271903044"/>
    <n v="6388.9764056688546"/>
    <n v="0"/>
    <n v="6388.9764056688546"/>
  </r>
  <r>
    <x v="1"/>
    <x v="8"/>
    <x v="2"/>
    <s v="Konventionel"/>
    <x v="1"/>
    <s v="Frugt"/>
    <n v="25.803818354121319"/>
    <n v="262.88930139178802"/>
    <n v="0"/>
    <n v="262.88930139178802"/>
  </r>
  <r>
    <x v="1"/>
    <x v="9"/>
    <x v="2"/>
    <s v="Konventionel"/>
    <x v="1"/>
    <s v="Øvrige"/>
    <n v="184.2517782022278"/>
    <n v="6587.9466895157429"/>
    <n v="0"/>
    <n v="6587.9466895157429"/>
  </r>
  <r>
    <x v="1"/>
    <x v="10"/>
    <x v="2"/>
    <s v="Konventionel"/>
    <x v="1"/>
    <s v="Halm"/>
    <n v="1337.6591722064732"/>
    <n v="22936.35078638143"/>
    <n v="3788.2507756887317"/>
    <n v="3788.2507756887317"/>
  </r>
  <r>
    <x v="1"/>
    <x v="11"/>
    <x v="2"/>
    <s v="Konventionel"/>
    <x v="1"/>
    <s v="Juletræer"/>
    <n v="40.434436520762276"/>
    <n v="2426.0661912457367"/>
    <n v="0"/>
    <n v="2426.0661912457367"/>
  </r>
  <r>
    <x v="1"/>
    <x v="12"/>
    <x v="2"/>
    <s v="Konventionel"/>
    <x v="1"/>
    <s v="Pil &amp; poppel"/>
    <n v="85.816976150763395"/>
    <n v="2511.7163751442945"/>
    <n v="0"/>
    <n v="2511.7163751442945"/>
  </r>
  <r>
    <x v="1"/>
    <x v="13"/>
    <x v="2"/>
    <s v="Konventionel"/>
    <x v="1"/>
    <s v="Græs"/>
    <n v="2487.1011152881665"/>
    <n v="41156.549255788581"/>
    <n v="0"/>
    <n v="41156.549255788581"/>
  </r>
  <r>
    <x v="1"/>
    <x v="0"/>
    <x v="0"/>
    <s v="Økologisk"/>
    <x v="1"/>
    <s v="Halm"/>
    <n v="575.57191227389683"/>
    <n v="3243.9463204521735"/>
    <n v="1058.8159691297883"/>
    <n v="1058.8159691297883"/>
  </r>
  <r>
    <x v="1"/>
    <x v="1"/>
    <x v="0"/>
    <s v="Økologisk"/>
    <x v="1"/>
    <s v="Halm"/>
    <n v="15.564384549090725"/>
    <n v="41.093710661891294"/>
    <n v="12.199849188012983"/>
    <n v="12.199849188012983"/>
  </r>
  <r>
    <x v="1"/>
    <x v="2"/>
    <x v="0"/>
    <s v="Økologisk"/>
    <x v="1"/>
    <s v="Halm"/>
    <n v="62.866980558250944"/>
    <n v="182.56571154116074"/>
    <n v="97.509259362691679"/>
    <n v="97.509259362691679"/>
  </r>
  <r>
    <x v="1"/>
    <x v="3"/>
    <x v="0"/>
    <s v="Økologisk"/>
    <x v="1"/>
    <s v="Græs"/>
    <n v="184.85526432768077"/>
    <n v="8585.4770501193907"/>
    <n v="0"/>
    <n v="8585.4770501193907"/>
  </r>
  <r>
    <x v="1"/>
    <x v="4"/>
    <x v="0"/>
    <s v="Økologisk"/>
    <x v="1"/>
    <s v="Grøntsager"/>
    <n v="3.5009585136978965"/>
    <n v="49.689104184914243"/>
    <n v="0"/>
    <n v="49.689104184914243"/>
  </r>
  <r>
    <x v="1"/>
    <x v="5"/>
    <x v="0"/>
    <s v="Økologisk"/>
    <x v="1"/>
    <s v="Kartofler"/>
    <n v="5.9519498894339895"/>
    <n v="172.90471114042779"/>
    <n v="0"/>
    <n v="172.90471114042779"/>
  </r>
  <r>
    <x v="1"/>
    <x v="6"/>
    <x v="0"/>
    <s v="Økologisk"/>
    <x v="1"/>
    <s v="Roer"/>
    <n v="16.628495763053266"/>
    <n v="924.17109192385658"/>
    <n v="0"/>
    <n v="924.17109192385658"/>
  </r>
  <r>
    <x v="1"/>
    <x v="7"/>
    <x v="0"/>
    <s v="Økologisk"/>
    <x v="1"/>
    <s v="Majs"/>
    <n v="17.728542543744936"/>
    <n v="785.9410389075988"/>
    <n v="0"/>
    <n v="785.9410389075988"/>
  </r>
  <r>
    <x v="1"/>
    <x v="8"/>
    <x v="0"/>
    <s v="Økologisk"/>
    <x v="1"/>
    <s v="Frugt"/>
    <n v="3.8244110641201035"/>
    <n v="22.208966955115699"/>
    <n v="0"/>
    <n v="22.208966955115699"/>
  </r>
  <r>
    <x v="1"/>
    <x v="9"/>
    <x v="0"/>
    <s v="Økologisk"/>
    <x v="1"/>
    <s v="Øvrige"/>
    <n v="27.308149881928532"/>
    <n v="556.55171037739842"/>
    <n v="0"/>
    <n v="556.55171037739842"/>
  </r>
  <r>
    <x v="1"/>
    <x v="10"/>
    <x v="0"/>
    <s v="Økologisk"/>
    <x v="1"/>
    <s v="Halm"/>
    <n v="198.25587314255372"/>
    <n v="1937.6697872026809"/>
    <n v="321.90393749940307"/>
    <n v="321.90393749940307"/>
  </r>
  <r>
    <x v="1"/>
    <x v="11"/>
    <x v="0"/>
    <s v="Økologisk"/>
    <x v="1"/>
    <s v="Juletræer"/>
    <n v="5.9928303741437112"/>
    <n v="204.95479879571491"/>
    <n v="0"/>
    <n v="204.95479879571491"/>
  </r>
  <r>
    <x v="1"/>
    <x v="12"/>
    <x v="0"/>
    <s v="Økologisk"/>
    <x v="1"/>
    <s v="Pil &amp; poppel"/>
    <n v="12.71902431555799"/>
    <n v="212.19055199613814"/>
    <n v="0"/>
    <n v="212.19055199613814"/>
  </r>
  <r>
    <x v="1"/>
    <x v="13"/>
    <x v="0"/>
    <s v="Økologisk"/>
    <x v="1"/>
    <s v="Græs"/>
    <n v="371.49087853744766"/>
    <n v="6147.4310580376841"/>
    <n v="0"/>
    <n v="6147.4310580376841"/>
  </r>
  <r>
    <x v="1"/>
    <x v="0"/>
    <x v="1"/>
    <s v="Økologisk"/>
    <x v="1"/>
    <s v="Halm"/>
    <n v="635.47551588693773"/>
    <n v="3581.5654265594167"/>
    <n v="1162.2179809185307"/>
    <n v="1162.2179809185307"/>
  </r>
  <r>
    <x v="1"/>
    <x v="1"/>
    <x v="1"/>
    <s v="Økologisk"/>
    <x v="1"/>
    <s v="Halm"/>
    <n v="17.184273745605214"/>
    <n v="45.370606914096705"/>
    <n v="13.391263925171302"/>
    <n v="13.391263925171302"/>
  </r>
  <r>
    <x v="1"/>
    <x v="2"/>
    <x v="1"/>
    <s v="Økologisk"/>
    <x v="1"/>
    <s v="Halm"/>
    <n v="69.409966071272493"/>
    <n v="201.56654147097535"/>
    <n v="107.0318335210879"/>
    <n v="107.0318335210879"/>
  </r>
  <r>
    <x v="1"/>
    <x v="3"/>
    <x v="1"/>
    <s v="Økologisk"/>
    <x v="1"/>
    <s v="Græs"/>
    <n v="204.09438326995422"/>
    <n v="9479.0248467923993"/>
    <n v="0"/>
    <n v="9479.0248467923993"/>
  </r>
  <r>
    <x v="1"/>
    <x v="4"/>
    <x v="1"/>
    <s v="Økologisk"/>
    <x v="1"/>
    <s v="Grøntsager"/>
    <n v="3.86532659107979"/>
    <n v="54.860580307195448"/>
    <n v="0"/>
    <n v="54.860580307195448"/>
  </r>
  <r>
    <x v="1"/>
    <x v="5"/>
    <x v="1"/>
    <s v="Økologisk"/>
    <x v="1"/>
    <s v="Kartofler"/>
    <n v="6.5714089688264332"/>
    <n v="190.90005639288108"/>
    <n v="0"/>
    <n v="190.90005639288108"/>
  </r>
  <r>
    <x v="1"/>
    <x v="6"/>
    <x v="1"/>
    <s v="Økologisk"/>
    <x v="1"/>
    <s v="Roer"/>
    <n v="18.35913410316229"/>
    <n v="1020.3557346777461"/>
    <n v="0"/>
    <n v="1020.3557346777461"/>
  </r>
  <r>
    <x v="1"/>
    <x v="7"/>
    <x v="1"/>
    <s v="Økologisk"/>
    <x v="1"/>
    <s v="Majs"/>
    <n v="19.573670081295891"/>
    <n v="867.7391590972062"/>
    <n v="0"/>
    <n v="867.7391590972062"/>
  </r>
  <r>
    <x v="1"/>
    <x v="8"/>
    <x v="1"/>
    <s v="Økologisk"/>
    <x v="1"/>
    <s v="Frugt"/>
    <n v="4.2224430034016702"/>
    <n v="24.520402111634041"/>
    <n v="0"/>
    <n v="24.520402111634041"/>
  </r>
  <r>
    <x v="1"/>
    <x v="9"/>
    <x v="1"/>
    <s v="Økologisk"/>
    <x v="1"/>
    <s v="Øvrige"/>
    <n v="30.150290978546373"/>
    <n v="614.47575485846846"/>
    <n v="0"/>
    <n v="614.47575485846846"/>
  </r>
  <r>
    <x v="1"/>
    <x v="10"/>
    <x v="1"/>
    <s v="Økologisk"/>
    <x v="1"/>
    <s v="Halm"/>
    <n v="218.88968272469563"/>
    <n v="2139.3359915297588"/>
    <n v="353.34048144151268"/>
    <n v="353.34048144151268"/>
  </r>
  <r>
    <x v="1"/>
    <x v="11"/>
    <x v="1"/>
    <s v="Økologisk"/>
    <x v="1"/>
    <s v="Juletræer"/>
    <n v="6.6165441579429185"/>
    <n v="226.28581020164779"/>
    <n v="0"/>
    <n v="226.28581020164779"/>
  </r>
  <r>
    <x v="1"/>
    <x v="12"/>
    <x v="1"/>
    <s v="Økologisk"/>
    <x v="1"/>
    <s v="Pil &amp; poppel"/>
    <n v="14.042777915579466"/>
    <n v="234.27463644527688"/>
    <n v="0"/>
    <n v="234.27463644527688"/>
  </r>
  <r>
    <x v="1"/>
    <x v="13"/>
    <x v="1"/>
    <s v="Økologisk"/>
    <x v="1"/>
    <s v="Græs"/>
    <n v="406.98018250170003"/>
    <n v="6734.7080600381323"/>
    <n v="0"/>
    <n v="6734.7080600381323"/>
  </r>
  <r>
    <x v="1"/>
    <x v="0"/>
    <x v="2"/>
    <s v="Økologisk"/>
    <x v="1"/>
    <s v="Halm"/>
    <n v="823.76455763121555"/>
    <n v="4642.7699973918361"/>
    <n v="1506.578864153651"/>
    <n v="1506.578864153651"/>
  </r>
  <r>
    <x v="1"/>
    <x v="1"/>
    <x v="2"/>
    <s v="Økologisk"/>
    <x v="1"/>
    <s v="Halm"/>
    <n v="22.275910410969718"/>
    <n v="58.81374970345869"/>
    <n v="17.359045828925758"/>
    <n v="17.359045828925758"/>
  </r>
  <r>
    <x v="1"/>
    <x v="2"/>
    <x v="2"/>
    <s v="Økologisk"/>
    <x v="1"/>
    <s v="Halm"/>
    <n v="89.97588194424209"/>
    <n v="261.28996116607908"/>
    <n v="138.74496937918798"/>
    <n v="138.74496937918798"/>
  </r>
  <r>
    <x v="1"/>
    <x v="3"/>
    <x v="2"/>
    <s v="Økologisk"/>
    <x v="1"/>
    <s v="Græs"/>
    <n v="264.56679312771843"/>
    <n v="12287.624801397556"/>
    <n v="0"/>
    <n v="12287.624801397556"/>
  </r>
  <r>
    <x v="1"/>
    <x v="4"/>
    <x v="2"/>
    <s v="Økologisk"/>
    <x v="1"/>
    <s v="Grøntsager"/>
    <n v="5.01060854399232"/>
    <n v="71.115567064882995"/>
    <n v="0"/>
    <n v="71.115567064882995"/>
  </r>
  <r>
    <x v="1"/>
    <x v="5"/>
    <x v="2"/>
    <s v="Økologisk"/>
    <x v="1"/>
    <s v="Kartofler"/>
    <n v="8.5184931077379673"/>
    <n v="247.46303606484577"/>
    <n v="0"/>
    <n v="247.46303606484577"/>
  </r>
  <r>
    <x v="1"/>
    <x v="6"/>
    <x v="2"/>
    <s v="Økologisk"/>
    <x v="1"/>
    <s v="Roer"/>
    <n v="23.798877541136303"/>
    <n v="1322.6833597674488"/>
    <n v="0"/>
    <n v="1322.6833597674488"/>
  </r>
  <r>
    <x v="1"/>
    <x v="7"/>
    <x v="2"/>
    <s v="Økologisk"/>
    <x v="1"/>
    <s v="Majs"/>
    <n v="25.373276031309484"/>
    <n v="1124.8470580889707"/>
    <n v="0"/>
    <n v="1124.8470580889707"/>
  </r>
  <r>
    <x v="1"/>
    <x v="8"/>
    <x v="2"/>
    <s v="Økologisk"/>
    <x v="1"/>
    <s v="Frugt"/>
    <n v="5.4735372266317945"/>
    <n v="31.785706441007093"/>
    <n v="0"/>
    <n v="31.785706441007093"/>
  </r>
  <r>
    <x v="1"/>
    <x v="9"/>
    <x v="2"/>
    <s v="Økologisk"/>
    <x v="1"/>
    <s v="Øvrige"/>
    <n v="39.083710527745296"/>
    <n v="796.54264518690343"/>
    <n v="0"/>
    <n v="796.54264518690343"/>
  </r>
  <r>
    <x v="1"/>
    <x v="10"/>
    <x v="2"/>
    <s v="Økologisk"/>
    <x v="1"/>
    <s v="Halm"/>
    <n v="283.74588501349433"/>
    <n v="2773.213322353391"/>
    <n v="458.03395742418297"/>
    <n v="458.03395742418297"/>
  </r>
  <r>
    <x v="1"/>
    <x v="11"/>
    <x v="2"/>
    <s v="Økologisk"/>
    <x v="1"/>
    <s v="Juletræer"/>
    <n v="8.5770016862223013"/>
    <n v="293.33345766880274"/>
    <n v="0"/>
    <n v="293.33345766880274"/>
  </r>
  <r>
    <x v="1"/>
    <x v="12"/>
    <x v="2"/>
    <s v="Økologisk"/>
    <x v="1"/>
    <s v="Pil &amp; poppel"/>
    <n v="18.203601001677082"/>
    <n v="303.68934354017381"/>
    <n v="0"/>
    <n v="303.68934354017381"/>
  </r>
  <r>
    <x v="1"/>
    <x v="13"/>
    <x v="2"/>
    <s v="Økologisk"/>
    <x v="1"/>
    <s v="Græs"/>
    <n v="527.56690324294436"/>
    <n v="8730.177114864242"/>
    <n v="0"/>
    <n v="8730.177114864242"/>
  </r>
  <r>
    <x v="1"/>
    <x v="0"/>
    <x v="0"/>
    <s v="Konventionel"/>
    <x v="2"/>
    <s v="Halm"/>
    <n v="2405.3656764330426"/>
    <n v="23606.258748513879"/>
    <n v="7705.0238398680594"/>
    <n v="7705.0238398680594"/>
  </r>
  <r>
    <x v="1"/>
    <x v="1"/>
    <x v="0"/>
    <s v="Konventionel"/>
    <x v="2"/>
    <s v="Halm"/>
    <n v="43.689372610861462"/>
    <n v="236.09736958909536"/>
    <n v="70.092290432770596"/>
    <n v="70.092290432770596"/>
  </r>
  <r>
    <x v="1"/>
    <x v="2"/>
    <x v="0"/>
    <s v="Konventionel"/>
    <x v="2"/>
    <s v="Halm"/>
    <n v="213.41236227092585"/>
    <n v="1314.6201515889034"/>
    <n v="702.14519606439126"/>
    <n v="702.14519606439126"/>
  </r>
  <r>
    <x v="1"/>
    <x v="3"/>
    <x v="0"/>
    <s v="Konventionel"/>
    <x v="2"/>
    <s v="Græs"/>
    <n v="1568.2790703534299"/>
    <n v="108945.21045931206"/>
    <n v="0"/>
    <n v="108945.21045931206"/>
  </r>
  <r>
    <x v="1"/>
    <x v="4"/>
    <x v="0"/>
    <s v="Konventionel"/>
    <x v="2"/>
    <s v="Grøntsager"/>
    <n v="7.3812605655971391"/>
    <n v="214.42561943059687"/>
    <n v="0"/>
    <n v="214.42561943059687"/>
  </r>
  <r>
    <x v="1"/>
    <x v="5"/>
    <x v="0"/>
    <s v="Konventionel"/>
    <x v="2"/>
    <s v="Kartofler"/>
    <n v="42.07230469683256"/>
    <n v="2501.588072603518"/>
    <n v="0"/>
    <n v="2501.588072603518"/>
  </r>
  <r>
    <x v="1"/>
    <x v="6"/>
    <x v="0"/>
    <s v="Konventionel"/>
    <x v="2"/>
    <s v="Roer"/>
    <n v="48.449860161125741"/>
    <n v="5511.424689612476"/>
    <n v="0"/>
    <n v="5511.424689612476"/>
  </r>
  <r>
    <x v="1"/>
    <x v="7"/>
    <x v="0"/>
    <s v="Konventionel"/>
    <x v="2"/>
    <s v="Majs"/>
    <n v="49.764184288702324"/>
    <n v="3101.0053797661967"/>
    <n v="0"/>
    <n v="3101.0053797661967"/>
  </r>
  <r>
    <x v="1"/>
    <x v="8"/>
    <x v="0"/>
    <s v="Konventionel"/>
    <x v="2"/>
    <s v="Frugt"/>
    <n v="18.058201878591998"/>
    <n v="214.63978752894451"/>
    <n v="0"/>
    <n v="214.63978752894451"/>
  </r>
  <r>
    <x v="1"/>
    <x v="9"/>
    <x v="0"/>
    <s v="Konventionel"/>
    <x v="2"/>
    <s v="Øvrige"/>
    <n v="128.94431985233555"/>
    <n v="5378.8247380303737"/>
    <n v="0"/>
    <n v="5378.8247380303737"/>
  </r>
  <r>
    <x v="1"/>
    <x v="10"/>
    <x v="0"/>
    <s v="Konventionel"/>
    <x v="2"/>
    <s v="Halm"/>
    <n v="1206.6838353800997"/>
    <n v="24138.992226269234"/>
    <n v="4010.1965237953927"/>
    <n v="4010.1965237953927"/>
  </r>
  <r>
    <x v="1"/>
    <x v="11"/>
    <x v="0"/>
    <s v="Konventionel"/>
    <x v="2"/>
    <s v="Juletræer"/>
    <n v="28.297099581094237"/>
    <n v="1980.7969706765966"/>
    <n v="0"/>
    <n v="1980.7969706765966"/>
  </r>
  <r>
    <x v="1"/>
    <x v="12"/>
    <x v="0"/>
    <s v="Konventionel"/>
    <x v="2"/>
    <s v="Pil &amp; poppel"/>
    <n v="86.318017390470459"/>
    <n v="2947.4444962599664"/>
    <n v="0"/>
    <n v="2947.4444962599664"/>
  </r>
  <r>
    <x v="1"/>
    <x v="13"/>
    <x v="0"/>
    <s v="Konventionel"/>
    <x v="2"/>
    <s v="Græs"/>
    <n v="3298.9410097807986"/>
    <n v="63689.355134828103"/>
    <n v="0"/>
    <n v="63689.355134828103"/>
  </r>
  <r>
    <x v="1"/>
    <x v="0"/>
    <x v="1"/>
    <s v="Konventionel"/>
    <x v="2"/>
    <s v="Halm"/>
    <n v="2192.9450163594229"/>
    <n v="21521.562390551375"/>
    <n v="6983.7469957339199"/>
    <n v="6983.7469957339199"/>
  </r>
  <r>
    <x v="1"/>
    <x v="1"/>
    <x v="1"/>
    <s v="Konventionel"/>
    <x v="2"/>
    <s v="Halm"/>
    <n v="39.831112946175573"/>
    <n v="215.2473343611328"/>
    <n v="63.530864135827713"/>
    <n v="63.530864135827713"/>
  </r>
  <r>
    <x v="1"/>
    <x v="2"/>
    <x v="1"/>
    <s v="Konventionel"/>
    <x v="2"/>
    <s v="Halm"/>
    <n v="194.56566660813334"/>
    <n v="1198.5245063061013"/>
    <n v="636.41651284853992"/>
    <n v="636.41651284853992"/>
  </r>
  <r>
    <x v="1"/>
    <x v="3"/>
    <x v="1"/>
    <s v="Konventionel"/>
    <x v="2"/>
    <s v="Græs"/>
    <n v="1429.782508866725"/>
    <n v="99324.131325953655"/>
    <n v="0"/>
    <n v="99324.131325953655"/>
  </r>
  <r>
    <x v="1"/>
    <x v="4"/>
    <x v="1"/>
    <s v="Konventionel"/>
    <x v="2"/>
    <s v="Grøntsager"/>
    <n v="6.7294128000446527"/>
    <n v="195.48944184129715"/>
    <n v="0"/>
    <n v="195.48944184129715"/>
  </r>
  <r>
    <x v="1"/>
    <x v="5"/>
    <x v="1"/>
    <s v="Konventionel"/>
    <x v="2"/>
    <s v="Kartofler"/>
    <n v="38.356850193560312"/>
    <n v="2280.6699000274707"/>
    <n v="0"/>
    <n v="2280.6699000274707"/>
  </r>
  <r>
    <x v="1"/>
    <x v="6"/>
    <x v="1"/>
    <s v="Konventionel"/>
    <x v="2"/>
    <s v="Roer"/>
    <n v="44.171196265346403"/>
    <n v="5024.7043202382702"/>
    <n v="0"/>
    <n v="5024.7043202382702"/>
  </r>
  <r>
    <x v="1"/>
    <x v="7"/>
    <x v="1"/>
    <s v="Konventionel"/>
    <x v="2"/>
    <s v="Majs"/>
    <n v="45.369450889867416"/>
    <n v="2827.1519627511984"/>
    <n v="0"/>
    <n v="2827.1519627511984"/>
  </r>
  <r>
    <x v="1"/>
    <x v="8"/>
    <x v="1"/>
    <s v="Konventionel"/>
    <x v="2"/>
    <s v="Frugt"/>
    <n v="16.463460920750791"/>
    <n v="195.6846965040439"/>
    <n v="0"/>
    <n v="195.6846965040439"/>
  </r>
  <r>
    <x v="1"/>
    <x v="9"/>
    <x v="1"/>
    <s v="Konventionel"/>
    <x v="2"/>
    <s v="Øvrige"/>
    <n v="117.55709594532664"/>
    <n v="4903.8144256827454"/>
    <n v="0"/>
    <n v="4903.8144256827454"/>
  </r>
  <r>
    <x v="1"/>
    <x v="10"/>
    <x v="1"/>
    <s v="Konventionel"/>
    <x v="2"/>
    <s v="Halm"/>
    <n v="1100.1201725977674"/>
    <n v="22007.249550943496"/>
    <n v="3634.7970502630228"/>
    <n v="3634.7970502630228"/>
  </r>
  <r>
    <x v="1"/>
    <x v="11"/>
    <x v="1"/>
    <s v="Konventionel"/>
    <x v="2"/>
    <s v="Juletræer"/>
    <n v="25.798149575247876"/>
    <n v="1805.8704702673513"/>
    <n v="0"/>
    <n v="1805.8704702673513"/>
  </r>
  <r>
    <x v="1"/>
    <x v="12"/>
    <x v="1"/>
    <s v="Konventionel"/>
    <x v="2"/>
    <s v="Pil &amp; poppel"/>
    <n v="78.695172178211379"/>
    <n v="2687.1522207194134"/>
    <n v="0"/>
    <n v="2687.1522207194134"/>
  </r>
  <r>
    <x v="1"/>
    <x v="13"/>
    <x v="1"/>
    <s v="Konventionel"/>
    <x v="2"/>
    <s v="Græs"/>
    <n v="2736.7303190386051"/>
    <n v="52835.315539359304"/>
    <n v="0"/>
    <n v="52835.315539359304"/>
  </r>
  <r>
    <x v="1"/>
    <x v="0"/>
    <x v="2"/>
    <s v="Konventionel"/>
    <x v="2"/>
    <s v="Halm"/>
    <n v="2091.5371543312413"/>
    <n v="20526.345632606801"/>
    <n v="6660.7991577809071"/>
    <n v="6660.7991577809071"/>
  </r>
  <r>
    <x v="1"/>
    <x v="1"/>
    <x v="2"/>
    <s v="Konventionel"/>
    <x v="2"/>
    <s v="Halm"/>
    <n v="37.989211769473805"/>
    <n v="205.29370040223645"/>
    <n v="60.593020707581324"/>
    <n v="60.593020707581324"/>
  </r>
  <r>
    <x v="1"/>
    <x v="2"/>
    <x v="2"/>
    <s v="Konventionel"/>
    <x v="2"/>
    <s v="Halm"/>
    <n v="185.5684103487977"/>
    <n v="1143.1014077485938"/>
    <n v="606.98684751450332"/>
    <n v="606.98684751450332"/>
  </r>
  <r>
    <x v="1"/>
    <x v="3"/>
    <x v="2"/>
    <s v="Konventionel"/>
    <x v="2"/>
    <s v="Græs"/>
    <n v="1363.6653986301135"/>
    <n v="94731.107912036721"/>
    <n v="0"/>
    <n v="94731.107912036721"/>
  </r>
  <r>
    <x v="1"/>
    <x v="4"/>
    <x v="2"/>
    <s v="Konventionel"/>
    <x v="2"/>
    <s v="Grøntsager"/>
    <n v="6.4182260809674432"/>
    <n v="186.4494676521042"/>
    <n v="0"/>
    <n v="186.4494676521042"/>
  </r>
  <r>
    <x v="1"/>
    <x v="5"/>
    <x v="2"/>
    <s v="Konventionel"/>
    <x v="2"/>
    <s v="Kartofler"/>
    <n v="36.583123016979485"/>
    <n v="2175.2053959799578"/>
    <n v="0"/>
    <n v="2175.2053959799578"/>
  </r>
  <r>
    <x v="1"/>
    <x v="6"/>
    <x v="2"/>
    <s v="Konventionel"/>
    <x v="2"/>
    <s v="Roer"/>
    <n v="42.128597594116513"/>
    <n v="4792.3480510943045"/>
    <n v="0"/>
    <n v="4792.3480510943045"/>
  </r>
  <r>
    <x v="1"/>
    <x v="7"/>
    <x v="2"/>
    <s v="Konventionel"/>
    <x v="2"/>
    <s v="Majs"/>
    <n v="43.271441600162568"/>
    <n v="2696.4166118725302"/>
    <n v="0"/>
    <n v="2696.4166118725302"/>
  </r>
  <r>
    <x v="1"/>
    <x v="8"/>
    <x v="2"/>
    <s v="Konventionel"/>
    <x v="2"/>
    <s v="Frugt"/>
    <n v="15.702144808808558"/>
    <n v="186.63569319749854"/>
    <n v="0"/>
    <n v="186.63569319749854"/>
  </r>
  <r>
    <x v="1"/>
    <x v="9"/>
    <x v="2"/>
    <s v="Konventionel"/>
    <x v="2"/>
    <s v="Øvrige"/>
    <n v="112.12092965883754"/>
    <n v="4677.0484406800751"/>
    <n v="0"/>
    <n v="4677.0484406800751"/>
  </r>
  <r>
    <x v="1"/>
    <x v="10"/>
    <x v="2"/>
    <s v="Konventionel"/>
    <x v="2"/>
    <s v="Halm"/>
    <n v="1049.2475634602984"/>
    <n v="20989.573271131081"/>
    <n v="3466.713949672825"/>
    <n v="3466.713949672825"/>
  </r>
  <r>
    <x v="1"/>
    <x v="11"/>
    <x v="2"/>
    <s v="Konventionel"/>
    <x v="2"/>
    <s v="Juletræer"/>
    <n v="24.605171560207509"/>
    <n v="1722.3620092145256"/>
    <n v="0"/>
    <n v="1722.3620092145256"/>
  </r>
  <r>
    <x v="1"/>
    <x v="12"/>
    <x v="2"/>
    <s v="Konventionel"/>
    <x v="2"/>
    <s v="Pil &amp; poppel"/>
    <n v="75.056089071704491"/>
    <n v="2562.8908463508851"/>
    <n v="0"/>
    <n v="2562.8908463508851"/>
  </r>
  <r>
    <x v="1"/>
    <x v="13"/>
    <x v="2"/>
    <s v="Konventionel"/>
    <x v="2"/>
    <s v="Græs"/>
    <n v="2610.1763158460685"/>
    <n v="50392.063953724195"/>
    <n v="0"/>
    <n v="50392.063953724195"/>
  </r>
  <r>
    <x v="1"/>
    <x v="0"/>
    <x v="0"/>
    <s v="Økologisk"/>
    <x v="2"/>
    <s v="Halm"/>
    <n v="307.55369779497607"/>
    <n v="2022.2824334071299"/>
    <n v="660.06793055800381"/>
    <n v="660.06793055800381"/>
  </r>
  <r>
    <x v="1"/>
    <x v="1"/>
    <x v="0"/>
    <s v="Økologisk"/>
    <x v="2"/>
    <s v="Halm"/>
    <n v="5.5861893401333846"/>
    <n v="17.207027300626063"/>
    <n v="5.1084006447812618"/>
    <n v="5.1084006447812618"/>
  </r>
  <r>
    <x v="1"/>
    <x v="2"/>
    <x v="0"/>
    <s v="Økologisk"/>
    <x v="2"/>
    <s v="Halm"/>
    <n v="27.28722780684085"/>
    <n v="92.449127809576808"/>
    <n v="49.377541408734025"/>
    <n v="49.377541408734025"/>
  </r>
  <r>
    <x v="1"/>
    <x v="3"/>
    <x v="0"/>
    <s v="Økologisk"/>
    <x v="2"/>
    <s v="Græs"/>
    <n v="200.5225367549603"/>
    <n v="10865.321674968995"/>
    <n v="0"/>
    <n v="10865.321674968995"/>
  </r>
  <r>
    <x v="1"/>
    <x v="4"/>
    <x v="0"/>
    <s v="Økologisk"/>
    <x v="2"/>
    <s v="Grøntsager"/>
    <n v="0.94377915324045725"/>
    <n v="15.627567108932107"/>
    <n v="0"/>
    <n v="15.627567108932107"/>
  </r>
  <r>
    <x v="1"/>
    <x v="5"/>
    <x v="0"/>
    <s v="Økologisk"/>
    <x v="2"/>
    <s v="Kartofler"/>
    <n v="5.3794285879459229"/>
    <n v="182.31839827408805"/>
    <n v="0"/>
    <n v="182.31839827408805"/>
  </r>
  <r>
    <x v="1"/>
    <x v="6"/>
    <x v="0"/>
    <s v="Økologisk"/>
    <x v="2"/>
    <s v="Roer"/>
    <n v="6.1948724870392953"/>
    <n v="401.67849080469625"/>
    <n v="0"/>
    <n v="401.67849080469625"/>
  </r>
  <r>
    <x v="1"/>
    <x v="7"/>
    <x v="0"/>
    <s v="Økologisk"/>
    <x v="2"/>
    <s v="Majs"/>
    <n v="6.3629239602509546"/>
    <n v="329.0943722370348"/>
    <n v="0"/>
    <n v="329.0943722370348"/>
  </r>
  <r>
    <x v="1"/>
    <x v="8"/>
    <x v="0"/>
    <s v="Økologisk"/>
    <x v="2"/>
    <s v="Frugt"/>
    <n v="2.308949037439112"/>
    <n v="15.643175907630733"/>
    <n v="0"/>
    <n v="15.643175907630733"/>
  </r>
  <r>
    <x v="1"/>
    <x v="9"/>
    <x v="0"/>
    <s v="Økologisk"/>
    <x v="2"/>
    <s v="Øvrige"/>
    <n v="16.487015994612687"/>
    <n v="392.01446536084677"/>
    <n v="0"/>
    <n v="392.01446536084677"/>
  </r>
  <r>
    <x v="1"/>
    <x v="10"/>
    <x v="0"/>
    <s v="Økologisk"/>
    <x v="2"/>
    <s v="Halm"/>
    <n v="154.28842245346829"/>
    <n v="1759.2754166211566"/>
    <n v="292.26738606159427"/>
    <n v="292.26738606159427"/>
  </r>
  <r>
    <x v="1"/>
    <x v="11"/>
    <x v="0"/>
    <s v="Økologisk"/>
    <x v="2"/>
    <s v="Juletræer"/>
    <n v="3.6181100022778421"/>
    <n v="144.36258909088588"/>
    <n v="0"/>
    <n v="144.36258909088588"/>
  </r>
  <r>
    <x v="1"/>
    <x v="12"/>
    <x v="0"/>
    <s v="Økologisk"/>
    <x v="2"/>
    <s v="Pil &amp; poppel"/>
    <n v="11.036752413519869"/>
    <n v="214.81288843875257"/>
    <n v="0"/>
    <n v="214.81288843875257"/>
  </r>
  <r>
    <x v="1"/>
    <x v="13"/>
    <x v="0"/>
    <s v="Økologisk"/>
    <x v="2"/>
    <s v="Græs"/>
    <n v="421.80759304346049"/>
    <n v="8143.4173912970482"/>
    <n v="0"/>
    <n v="8143.4173912970482"/>
  </r>
  <r>
    <x v="1"/>
    <x v="0"/>
    <x v="1"/>
    <s v="Økologisk"/>
    <x v="2"/>
    <s v="Halm"/>
    <n v="342.25153434511225"/>
    <n v="2250.4338939021641"/>
    <n v="730.26579857125228"/>
    <n v="730.26579857125228"/>
  </r>
  <r>
    <x v="1"/>
    <x v="1"/>
    <x v="1"/>
    <s v="Økologisk"/>
    <x v="2"/>
    <s v="Halm"/>
    <n v="6.2164164713684418"/>
    <n v="19.148303328426781"/>
    <n v="5.6516762950889508"/>
    <n v="5.6516762950889508"/>
  </r>
  <r>
    <x v="1"/>
    <x v="2"/>
    <x v="1"/>
    <s v="Økologisk"/>
    <x v="2"/>
    <s v="Halm"/>
    <n v="30.365739875257809"/>
    <n v="102.87912669737347"/>
    <n v="54.628816276305308"/>
    <n v="54.628816276305308"/>
  </r>
  <r>
    <x v="1"/>
    <x v="3"/>
    <x v="1"/>
    <s v="Økologisk"/>
    <x v="2"/>
    <s v="Græs"/>
    <n v="223.14524704856404"/>
    <n v="12091.134137136325"/>
    <n v="0"/>
    <n v="12091.134137136325"/>
  </r>
  <r>
    <x v="1"/>
    <x v="4"/>
    <x v="1"/>
    <s v="Økologisk"/>
    <x v="2"/>
    <s v="Grøntsager"/>
    <n v="1.0502551768855817"/>
    <n v="17.390650346459903"/>
    <n v="0"/>
    <n v="17.390650346459903"/>
  </r>
  <r>
    <x v="1"/>
    <x v="5"/>
    <x v="1"/>
    <s v="Økologisk"/>
    <x v="2"/>
    <s v="Kartofler"/>
    <n v="5.9863292209602808"/>
    <n v="202.88733966140336"/>
    <n v="0"/>
    <n v="202.88733966140336"/>
  </r>
  <r>
    <x v="1"/>
    <x v="6"/>
    <x v="1"/>
    <s v="Økologisk"/>
    <x v="2"/>
    <s v="Roer"/>
    <n v="6.8937705154008846"/>
    <n v="446.9953727657051"/>
    <n v="0"/>
    <n v="446.9953727657051"/>
  </r>
  <r>
    <x v="1"/>
    <x v="7"/>
    <x v="1"/>
    <s v="Økologisk"/>
    <x v="2"/>
    <s v="Majs"/>
    <n v="7.080781352753875"/>
    <n v="366.22240164886915"/>
    <n v="0"/>
    <n v="366.22240164886915"/>
  </r>
  <r>
    <x v="1"/>
    <x v="8"/>
    <x v="1"/>
    <s v="Økologisk"/>
    <x v="2"/>
    <s v="Frugt"/>
    <n v="2.569441877805037"/>
    <n v="17.408020110966682"/>
    <n v="0"/>
    <n v="17.408020110966682"/>
  </r>
  <r>
    <x v="1"/>
    <x v="9"/>
    <x v="1"/>
    <s v="Økologisk"/>
    <x v="2"/>
    <s v="Øvrige"/>
    <n v="18.347061216900691"/>
    <n v="436.24106364888695"/>
    <n v="0"/>
    <n v="436.24106364888695"/>
  </r>
  <r>
    <x v="1"/>
    <x v="10"/>
    <x v="1"/>
    <s v="Økologisk"/>
    <x v="2"/>
    <s v="Halm"/>
    <n v="171.6950558389579"/>
    <n v="1957.7547432891349"/>
    <n v="323.34986476039256"/>
    <n v="323.34986476039256"/>
  </r>
  <r>
    <x v="1"/>
    <x v="11"/>
    <x v="1"/>
    <s v="Økologisk"/>
    <x v="2"/>
    <s v="Juletræer"/>
    <n v="4.0263008007612289"/>
    <n v="160.649401950373"/>
    <n v="0"/>
    <n v="160.649401950373"/>
  </r>
  <r>
    <x v="1"/>
    <x v="12"/>
    <x v="1"/>
    <s v="Økologisk"/>
    <x v="2"/>
    <s v="Pil &amp; poppel"/>
    <n v="12.281905484460736"/>
    <n v="239.04781894145526"/>
    <n v="0"/>
    <n v="239.04781894145526"/>
  </r>
  <r>
    <x v="1"/>
    <x v="13"/>
    <x v="1"/>
    <s v="Økologisk"/>
    <x v="2"/>
    <s v="Græs"/>
    <n v="427.11976077481125"/>
    <n v="8245.9741015185064"/>
    <n v="0"/>
    <n v="8245.9741015185064"/>
  </r>
  <r>
    <x v="1"/>
    <x v="0"/>
    <x v="2"/>
    <s v="Økologisk"/>
    <x v="2"/>
    <s v="Halm"/>
    <n v="443.65939637329359"/>
    <n v="2917.2291217250272"/>
    <n v="946.64084999977115"/>
    <n v="946.64084999977115"/>
  </r>
  <r>
    <x v="1"/>
    <x v="1"/>
    <x v="2"/>
    <s v="Økologisk"/>
    <x v="2"/>
    <s v="Halm"/>
    <n v="8.0583176480702008"/>
    <n v="24.821874684997677"/>
    <n v="7.3262470491893783"/>
    <n v="7.3262470491893783"/>
  </r>
  <r>
    <x v="1"/>
    <x v="2"/>
    <x v="2"/>
    <s v="Økologisk"/>
    <x v="2"/>
    <s v="Halm"/>
    <n v="39.362996134593452"/>
    <n v="133.36183090400263"/>
    <n v="70.815132210025396"/>
    <n v="70.815132210025396"/>
  </r>
  <r>
    <x v="1"/>
    <x v="3"/>
    <x v="2"/>
    <s v="Økologisk"/>
    <x v="2"/>
    <s v="Græs"/>
    <n v="289.2623572851756"/>
    <n v="15673.692399991531"/>
    <n v="0"/>
    <n v="15673.692399991531"/>
  </r>
  <r>
    <x v="1"/>
    <x v="4"/>
    <x v="2"/>
    <s v="Økologisk"/>
    <x v="2"/>
    <s v="Grøntsager"/>
    <n v="1.361441895962791"/>
    <n v="22.543435634299872"/>
    <n v="0"/>
    <n v="22.543435634299872"/>
  </r>
  <r>
    <x v="1"/>
    <x v="5"/>
    <x v="2"/>
    <s v="Økologisk"/>
    <x v="2"/>
    <s v="Kartofler"/>
    <n v="7.7600563975411037"/>
    <n v="263.00210696848575"/>
    <n v="0"/>
    <n v="263.00210696848575"/>
  </r>
  <r>
    <x v="1"/>
    <x v="6"/>
    <x v="2"/>
    <s v="Økologisk"/>
    <x v="2"/>
    <s v="Roer"/>
    <n v="8.9363691866307757"/>
    <n v="579.43844617776585"/>
    <n v="0"/>
    <n v="579.43844617776585"/>
  </r>
  <r>
    <x v="1"/>
    <x v="7"/>
    <x v="2"/>
    <s v="Økologisk"/>
    <x v="2"/>
    <s v="Majs"/>
    <n v="9.1787906424587256"/>
    <n v="474.73274287816361"/>
    <n v="0"/>
    <n v="474.73274287816361"/>
  </r>
  <r>
    <x v="1"/>
    <x v="8"/>
    <x v="2"/>
    <s v="Økologisk"/>
    <x v="2"/>
    <s v="Frugt"/>
    <n v="3.3307579897472701"/>
    <n v="22.565951995697549"/>
    <n v="0"/>
    <n v="22.565951995697549"/>
  </r>
  <r>
    <x v="1"/>
    <x v="9"/>
    <x v="2"/>
    <s v="Økologisk"/>
    <x v="2"/>
    <s v="Øvrige"/>
    <n v="23.783227503389778"/>
    <n v="565.49767510040897"/>
    <n v="0"/>
    <n v="565.49767510040897"/>
  </r>
  <r>
    <x v="1"/>
    <x v="10"/>
    <x v="2"/>
    <s v="Økologisk"/>
    <x v="2"/>
    <s v="Halm"/>
    <n v="222.56766497642693"/>
    <n v="2537.8302227822128"/>
    <n v="419.15723209680522"/>
    <n v="419.15723209680522"/>
  </r>
  <r>
    <x v="1"/>
    <x v="11"/>
    <x v="2"/>
    <s v="Økologisk"/>
    <x v="2"/>
    <s v="Juletræer"/>
    <n v="5.2192788158015926"/>
    <n v="208.24922475048353"/>
    <n v="0"/>
    <n v="208.24922475048353"/>
  </r>
  <r>
    <x v="1"/>
    <x v="12"/>
    <x v="2"/>
    <s v="Økologisk"/>
    <x v="2"/>
    <s v="Pil &amp; poppel"/>
    <n v="15.920988590967621"/>
    <n v="309.8768023315161"/>
    <n v="0"/>
    <n v="309.8768023315161"/>
  </r>
  <r>
    <x v="1"/>
    <x v="13"/>
    <x v="2"/>
    <s v="Økologisk"/>
    <x v="2"/>
    <s v="Græs"/>
    <n v="553.6737639673479"/>
    <n v="10689.225687153619"/>
    <n v="0"/>
    <n v="10689.22568715361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x v="0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x v="0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x v="0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x v="0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x v="0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  <x v="0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x v="0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x v="0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  <x v="0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x v="0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x v="0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x v="0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x v="0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x v="0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  <x v="0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x v="0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x v="0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  <x v="0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  <n v="0"/>
    <x v="1"/>
  </r>
  <r>
    <x v="4"/>
    <m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  <n v="0"/>
    <x v="0"/>
  </r>
  <r>
    <x v="23"/>
    <m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  <n v="0"/>
    <x v="1"/>
  </r>
  <r>
    <x v="38"/>
    <s v="Græs og urter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  <n v="0"/>
    <x v="1"/>
  </r>
  <r>
    <x v="47"/>
    <m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  <n v="0"/>
    <x v="1"/>
  </r>
  <r>
    <x v="4"/>
    <s v="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  <n v="0"/>
    <x v="0"/>
  </r>
  <r>
    <x v="23"/>
    <s v="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  <n v="0"/>
    <x v="1"/>
  </r>
  <r>
    <x v="38"/>
    <s v="Græs og urter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  <n v="0"/>
    <x v="1"/>
  </r>
  <r>
    <x v="47"/>
    <s v="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  <n v="0"/>
    <x v="1"/>
  </r>
  <r>
    <x v="4"/>
    <s v="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  <n v="0"/>
    <x v="0"/>
  </r>
  <r>
    <x v="23"/>
    <s v="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  <n v="0"/>
    <x v="1"/>
  </r>
  <r>
    <x v="38"/>
    <s v="Græs og urter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  <n v="0"/>
    <x v="1"/>
  </r>
  <r>
    <x v="47"/>
    <s v="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  <n v="0"/>
    <x v="1"/>
  </r>
  <r>
    <x v="4"/>
    <m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  <n v="0"/>
    <x v="0"/>
  </r>
  <r>
    <x v="23"/>
    <m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  <n v="0"/>
    <x v="1"/>
  </r>
  <r>
    <x v="38"/>
    <s v="Græs og urter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  <n v="0"/>
    <x v="1"/>
  </r>
  <r>
    <x v="47"/>
    <m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  <n v="0"/>
    <x v="1"/>
  </r>
  <r>
    <x v="4"/>
    <s v="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  <n v="0"/>
    <x v="0"/>
  </r>
  <r>
    <x v="23"/>
    <s v="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  <n v="0"/>
    <x v="1"/>
  </r>
  <r>
    <x v="38"/>
    <s v="Græs og urter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  <n v="0"/>
    <x v="1"/>
  </r>
  <r>
    <x v="47"/>
    <s v="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  <n v="0"/>
    <x v="1"/>
  </r>
  <r>
    <x v="4"/>
    <s v="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  <n v="0"/>
    <x v="0"/>
  </r>
  <r>
    <x v="23"/>
    <s v="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  <n v="0"/>
    <x v="1"/>
  </r>
  <r>
    <x v="38"/>
    <s v="Græs og urter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  <n v="0"/>
    <x v="1"/>
  </r>
  <r>
    <x v="47"/>
    <s v="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1941424.383000549"/>
    <s v="CO2 - atmosfære"/>
    <x v="0"/>
  </r>
  <r>
    <s v="Vestdanmark"/>
    <x v="0"/>
    <n v="5070835.3540045777"/>
    <s v="Landbrug"/>
    <x v="1"/>
  </r>
  <r>
    <s v="Vestdanmark"/>
    <x v="0"/>
    <n v="4170153.6479513268"/>
    <s v="Landbrug"/>
    <x v="2"/>
  </r>
  <r>
    <s v="Vestdanmark"/>
    <x v="0"/>
    <n v="1273957.4753938417"/>
    <s v="Landbrug"/>
    <x v="2"/>
  </r>
  <r>
    <s v="Vestdanmark"/>
    <x v="0"/>
    <n v="2482763.8616224034"/>
    <s v="Landbrug"/>
    <x v="2"/>
  </r>
  <r>
    <s v="Vestdanmark"/>
    <x v="0"/>
    <n v="-158.24317477886137"/>
    <s v="Hav"/>
    <x v="3"/>
  </r>
  <r>
    <s v="Vestdanmark"/>
    <x v="0"/>
    <n v="-435064.52162306459"/>
    <s v="Skov"/>
    <x v="4"/>
  </r>
  <r>
    <s v="Vestdanmark"/>
    <x v="0"/>
    <n v="-469132.82551179174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210801.890586928"/>
    <s v="CO2 - atmosfære"/>
    <x v="0"/>
  </r>
  <r>
    <s v="Vestdanmark"/>
    <x v="1"/>
    <n v="5058223.5325662289"/>
    <s v="Landbrug"/>
    <x v="1"/>
  </r>
  <r>
    <s v="Vestdanmark"/>
    <x v="1"/>
    <n v="4129335.438761028"/>
    <s v="Landbrug"/>
    <x v="2"/>
  </r>
  <r>
    <s v="Vestdanmark"/>
    <x v="1"/>
    <n v="1178887.9139378124"/>
    <s v="Landbrug"/>
    <x v="2"/>
  </r>
  <r>
    <s v="Vestdanmark"/>
    <x v="1"/>
    <n v="2244744.5221939343"/>
    <s v="Landbrug"/>
    <x v="2"/>
  </r>
  <r>
    <s v="Vestdanmark"/>
    <x v="1"/>
    <n v="-37462.493699251529"/>
    <s v="Hav"/>
    <x v="3"/>
  </r>
  <r>
    <s v="Vestdanmark"/>
    <x v="1"/>
    <n v="-526908.50323869486"/>
    <s v="Skov"/>
    <x v="4"/>
  </r>
  <r>
    <s v="Vestdanmark"/>
    <x v="1"/>
    <n v="-443965.9979639049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430639.713805048"/>
    <s v="CO2 - atmosfære"/>
    <x v="0"/>
  </r>
  <r>
    <s v="Vestdanmark"/>
    <x v="2"/>
    <n v="5037270.6270728866"/>
    <s v="Landbrug"/>
    <x v="1"/>
  </r>
  <r>
    <s v="Vestdanmark"/>
    <x v="2"/>
    <n v="4055128.7983608572"/>
    <s v="Landbrug"/>
    <x v="2"/>
  </r>
  <r>
    <s v="Vestdanmark"/>
    <x v="2"/>
    <n v="1178887.9139378127"/>
    <s v="Landbrug"/>
    <x v="2"/>
  </r>
  <r>
    <s v="Vestdanmark"/>
    <x v="2"/>
    <n v="2244744.5221939343"/>
    <s v="Landbrug"/>
    <x v="2"/>
  </r>
  <r>
    <s v="Vestdanmark"/>
    <x v="2"/>
    <n v="-37462.493699251529"/>
    <s v="Hav"/>
    <x v="3"/>
  </r>
  <r>
    <s v="Vestdanmark"/>
    <x v="2"/>
    <n v="-1245513.080947733"/>
    <s v="Skov"/>
    <x v="4"/>
  </r>
  <r>
    <s v="Vestdanmark"/>
    <x v="2"/>
    <n v="-420246.6932478714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968955.6357662694"/>
    <s v="CO2 - atmosfære"/>
    <x v="0"/>
  </r>
  <r>
    <s v="Østdanmark"/>
    <x v="0"/>
    <n v="448426.54673213884"/>
    <s v="Landbrug"/>
    <x v="1"/>
  </r>
  <r>
    <s v="Østdanmark"/>
    <x v="0"/>
    <n v="1230850.7571772484"/>
    <s v="Landbrug"/>
    <x v="2"/>
  </r>
  <r>
    <s v="Østdanmark"/>
    <x v="0"/>
    <n v="193386.46389020365"/>
    <s v="Landbrug"/>
    <x v="2"/>
  </r>
  <r>
    <s v="Østdanmark"/>
    <x v="0"/>
    <n v="374231.82041424053"/>
    <s v="Landbrug"/>
    <x v="2"/>
  </r>
  <r>
    <s v="Østdanmark"/>
    <x v="0"/>
    <n v="-0.19402522113858015"/>
    <s v="Hav"/>
    <x v="3"/>
  </r>
  <r>
    <s v="Østdanmark"/>
    <x v="0"/>
    <n v="-127345.4783769354"/>
    <s v="Skov"/>
    <x v="4"/>
  </r>
  <r>
    <s v="Østdanmark"/>
    <x v="0"/>
    <n v="-137317.43481230648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68291.9536212776"/>
    <s v="CO2 - atmosfære"/>
    <x v="0"/>
  </r>
  <r>
    <s v="Østdanmark"/>
    <x v="1"/>
    <n v="449093.3493058047"/>
    <s v="Landbrug"/>
    <x v="1"/>
  </r>
  <r>
    <s v="Østdanmark"/>
    <x v="1"/>
    <n v="1224638.0593079054"/>
    <s v="Landbrug"/>
    <x v="2"/>
  </r>
  <r>
    <s v="Østdanmark"/>
    <x v="1"/>
    <n v="179047.37762711738"/>
    <s v="Landbrug"/>
    <x v="2"/>
  </r>
  <r>
    <s v="Østdanmark"/>
    <x v="1"/>
    <n v="340790.57509289915"/>
    <s v="Landbrug"/>
    <x v="2"/>
  </r>
  <r>
    <s v="Østdanmark"/>
    <x v="1"/>
    <n v="-12810.937899750508"/>
    <s v="Hav"/>
    <x v="3"/>
  </r>
  <r>
    <s v="Østdanmark"/>
    <x v="1"/>
    <n v="-147143.72791198746"/>
    <s v="Skov"/>
    <x v="4"/>
  </r>
  <r>
    <s v="Østdanmark"/>
    <x v="1"/>
    <n v="-129950.98332286018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702001.4863685807"/>
    <s v="CO2 - atmosfære"/>
    <x v="0"/>
  </r>
  <r>
    <s v="Østdanmark"/>
    <x v="2"/>
    <n v="447960.28277222451"/>
    <s v="Landbrug"/>
    <x v="1"/>
  </r>
  <r>
    <s v="Østdanmark"/>
    <x v="2"/>
    <n v="1213344.5560191076"/>
    <s v="Landbrug"/>
    <x v="2"/>
  </r>
  <r>
    <s v="Østdanmark"/>
    <x v="2"/>
    <n v="179047.37762711738"/>
    <s v="Landbrug"/>
    <x v="2"/>
  </r>
  <r>
    <s v="Østdanmark"/>
    <x v="2"/>
    <n v="340790.57509289909"/>
    <s v="Landbrug"/>
    <x v="2"/>
  </r>
  <r>
    <s v="Østdanmark"/>
    <x v="2"/>
    <n v="-12810.937899750508"/>
    <s v="Hav"/>
    <x v="3"/>
  </r>
  <r>
    <s v="Østdanmark"/>
    <x v="2"/>
    <n v="-310104.23775807855"/>
    <s v="Skov"/>
    <x v="4"/>
  </r>
  <r>
    <s v="Østdanmark"/>
    <x v="2"/>
    <n v="-121876.74474075671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397.36122446082"/>
    <n v="64498.47547519199"/>
    <n v="0"/>
    <n v="0"/>
    <n v="0"/>
    <n v="0"/>
    <n v="0"/>
    <n v="0"/>
    <n v="193898.8857492688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20.25091624"/>
    <n v="0"/>
    <n v="0"/>
    <n v="0"/>
    <n v="0"/>
    <n v="0"/>
    <n v="352020220.25091624"/>
    <n v="0"/>
    <n v="0"/>
    <n v="0"/>
    <n v="352020220.25091624"/>
    <n v="0"/>
    <n v="0"/>
    <n v="0"/>
    <n v="0"/>
    <n v="0"/>
    <n v="0"/>
    <n v="0"/>
    <n v="0"/>
  </r>
  <r>
    <x v="4"/>
    <x v="0"/>
    <n v="0"/>
    <x v="0"/>
    <s v="Vestdanmark"/>
    <n v="9570947.4163383078"/>
    <n v="0"/>
    <n v="0"/>
    <n v="0"/>
    <n v="0"/>
    <n v="7001629.6154696662"/>
    <n v="0"/>
    <n v="0"/>
    <n v="2569317.800868641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87836.84200071916"/>
    <n v="0"/>
    <n v="0"/>
    <n v="0"/>
    <n v="0"/>
    <n v="0"/>
    <n v="0"/>
    <n v="0"/>
    <n v="887836.84200071916"/>
    <n v="0"/>
    <n v="0"/>
    <n v="0"/>
    <n v="0"/>
    <n v="0"/>
    <n v="0"/>
    <n v="0"/>
    <n v="0"/>
    <n v="0"/>
    <n v="0"/>
  </r>
  <r>
    <x v="11"/>
    <x v="0"/>
    <n v="0"/>
    <x v="0"/>
    <s v="Vestdanmark"/>
    <n v="25948.722839676255"/>
    <n v="0"/>
    <n v="0"/>
    <n v="249553.58678449702"/>
    <n v="0"/>
    <n v="0"/>
    <n v="0"/>
    <n v="0"/>
    <n v="-223604.86394482077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764158.337739769"/>
    <n v="12237689.9092583"/>
    <n v="0"/>
    <n v="0"/>
    <n v="75399.16825098735"/>
    <n v="0"/>
    <n v="0"/>
    <n v="0"/>
    <n v="3451069.2602304816"/>
    <n v="3451069.2602304816"/>
    <n v="75399.16825098735"/>
    <n v="6.3495360551665581"/>
    <n v="0.13872504468578536"/>
    <n v="0.13872504468578536"/>
    <n v="0"/>
    <n v="966299.39286453498"/>
    <n v="21111.767110276462"/>
    <n v="21111.767110276462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5022.9677154524"/>
    <n v="0"/>
    <n v="0"/>
    <n v="261374.54615849949"/>
    <n v="0"/>
    <n v="0"/>
    <n v="0"/>
    <n v="0"/>
    <n v="-76351.578443047096"/>
    <n v="0"/>
    <n v="0"/>
    <n v="0"/>
    <n v="0"/>
    <n v="0"/>
    <n v="0"/>
    <n v="0"/>
    <n v="0"/>
    <n v="0"/>
    <n v="0"/>
  </r>
  <r>
    <x v="16"/>
    <x v="5"/>
    <n v="1"/>
    <x v="0"/>
    <s v="Vestdanmark"/>
    <n v="2717336.5701075909"/>
    <n v="773085.89354292618"/>
    <n v="728216.84089200001"/>
    <n v="0"/>
    <n v="53194.904606816119"/>
    <n v="0"/>
    <n v="1162838.9310658472"/>
    <n v="0"/>
    <n v="0"/>
    <n v="0"/>
    <n v="1216033.8356726633"/>
    <n v="0"/>
    <n v="12.325575345409394"/>
    <n v="0.30669735030678263"/>
    <n v="12.018877995102612"/>
    <n v="0"/>
    <n v="1033628.7603217638"/>
    <n v="45215.6689157937"/>
    <n v="988413.09140597016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6472.09789043549"/>
    <n v="0"/>
    <n v="0"/>
    <n v="0"/>
    <n v="0"/>
    <n v="0"/>
    <n v="0"/>
    <n v="0"/>
    <n v="766472.09789043549"/>
    <n v="0"/>
    <n v="0"/>
    <n v="0"/>
    <n v="0"/>
    <n v="0"/>
    <n v="0"/>
    <n v="0"/>
    <n v="0"/>
    <n v="0"/>
    <n v="0"/>
  </r>
  <r>
    <x v="21"/>
    <x v="0"/>
    <n v="0"/>
    <x v="0"/>
    <s v="Vestdanmark"/>
    <n v="2146636.3631328358"/>
    <n v="0"/>
    <n v="0"/>
    <n v="119523.03367046962"/>
    <n v="0"/>
    <n v="0"/>
    <n v="0"/>
    <n v="0"/>
    <n v="2027113.3294623662"/>
    <n v="0"/>
    <n v="0"/>
    <n v="0"/>
    <n v="0"/>
    <n v="0"/>
    <n v="0"/>
    <n v="0"/>
    <n v="0"/>
    <n v="0"/>
    <n v="0"/>
  </r>
  <r>
    <x v="22"/>
    <x v="5"/>
    <n v="1"/>
    <x v="0"/>
    <s v="Vestdanmark"/>
    <n v="6843435.2641521301"/>
    <n v="5879215.2019956242"/>
    <n v="0"/>
    <n v="286329.90483694919"/>
    <n v="2843.3935258054057"/>
    <n v="0"/>
    <n v="0"/>
    <n v="0"/>
    <n v="675046.7637937516"/>
    <n v="675046.7637937516"/>
    <n v="2843.3935258054057"/>
    <n v="2.3119406594466687"/>
    <n v="9.7382247507899044E-3"/>
    <n v="9.7382247507899044E-3"/>
    <n v="0"/>
    <n v="209264.496776063"/>
    <n v="881.45199299967578"/>
    <n v="881.45199299967578"/>
    <n v="0"/>
  </r>
  <r>
    <x v="23"/>
    <x v="0"/>
    <n v="0"/>
    <x v="0"/>
    <s v="Vestdanmark"/>
    <n v="0"/>
    <n v="0"/>
    <n v="0"/>
    <n v="0"/>
    <n v="0"/>
    <n v="569996.93502990273"/>
    <n v="0"/>
    <n v="0"/>
    <n v="-569996.93502990273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90675.3960505147"/>
    <n v="5657053.7864699634"/>
    <n v="0"/>
    <n v="0"/>
    <n v="314874.94627501385"/>
    <n v="0"/>
    <n v="0"/>
    <n v="0"/>
    <n v="1618746.6633055378"/>
    <n v="1274488.0820395502"/>
    <n v="314874.94627501385"/>
    <n v="4.575412214521986"/>
    <n v="1.1304010571272998"/>
    <n v="1.1304010571272998"/>
    <n v="0"/>
    <n v="382346.42461186502"/>
    <n v="94462.483882504152"/>
    <n v="94462.48388250415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10618.3345669576"/>
    <n v="0"/>
    <n v="0"/>
    <n v="0"/>
    <n v="0"/>
    <n v="0"/>
    <n v="0"/>
    <n v="0"/>
    <n v="1610618.3345669576"/>
    <n v="0"/>
    <n v="0"/>
    <n v="0"/>
    <n v="0"/>
    <n v="0"/>
    <n v="0"/>
    <n v="0"/>
    <n v="0"/>
    <n v="0"/>
    <n v="0"/>
  </r>
  <r>
    <x v="31"/>
    <x v="7"/>
    <n v="1"/>
    <x v="0"/>
    <s v="Vestdanmark"/>
    <n v="171006.78248665464"/>
    <n v="0"/>
    <n v="0"/>
    <n v="0"/>
    <n v="0"/>
    <n v="0"/>
    <n v="171006.78248665464"/>
    <n v="0"/>
    <n v="0"/>
    <n v="0"/>
    <n v="171006.78248665464"/>
    <n v="0"/>
    <n v="3.146524797754445"/>
    <n v="0"/>
    <n v="3.146524797754445"/>
    <n v="0"/>
    <n v="70967.814731961684"/>
    <n v="0"/>
    <n v="70967.814731961684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5762.00237315823"/>
    <n v="0"/>
    <n v="0"/>
    <n v="0"/>
    <n v="0"/>
    <n v="0"/>
    <n v="0"/>
    <n v="485762.00237315823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881.00118657912"/>
    <n v="214099.10609126228"/>
    <n v="0"/>
    <n v="0"/>
    <n v="0"/>
    <n v="0"/>
    <n v="0"/>
    <n v="0"/>
    <n v="28781.895095316839"/>
    <n v="0"/>
    <n v="0"/>
    <n v="0"/>
    <n v="0"/>
    <n v="0"/>
    <n v="0"/>
    <n v="0"/>
    <n v="0"/>
    <n v="0"/>
    <n v="0"/>
  </r>
  <r>
    <x v="37"/>
    <x v="9"/>
    <n v="1"/>
    <x v="0"/>
    <s v="Vestdanmark"/>
    <n v="155443.84075941064"/>
    <n v="0"/>
    <n v="0"/>
    <n v="0"/>
    <n v="0"/>
    <n v="0"/>
    <n v="80830.79719489353"/>
    <n v="74613.043564517109"/>
    <n v="0"/>
    <n v="0"/>
    <n v="80830.79719489353"/>
    <n v="0"/>
    <n v="2.8290779018212735"/>
    <n v="0"/>
    <n v="2.8290779018212735"/>
    <n v="0"/>
    <n v="0"/>
    <n v="0"/>
    <n v="0"/>
  </r>
  <r>
    <x v="38"/>
    <x v="4"/>
    <n v="1"/>
    <x v="0"/>
    <s v="Vestdanmark"/>
    <n v="377517.57644613879"/>
    <n v="841167.61765562883"/>
    <n v="0"/>
    <n v="0"/>
    <n v="4141.9679702877811"/>
    <n v="0"/>
    <n v="0"/>
    <n v="0"/>
    <n v="-467792.00917977782"/>
    <n v="0"/>
    <n v="4141.9679702877811"/>
    <n v="0"/>
    <n v="1.1241466750079849E-2"/>
    <n v="1.1241466750079849E-2"/>
    <n v="0"/>
    <n v="0"/>
    <n v="828.39359405755624"/>
    <n v="828.39359405755624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77.081002241"/>
    <n v="0"/>
    <n v="0"/>
    <n v="0"/>
    <n v="0"/>
    <n v="0"/>
    <n v="2328677.081002241"/>
    <n v="0"/>
    <n v="0"/>
    <n v="0"/>
    <n v="2328677.081002241"/>
    <n v="0"/>
    <n v="33.750841721162331"/>
    <n v="0"/>
    <n v="33.750841721162331"/>
    <n v="0"/>
    <n v="1151724.8729790249"/>
    <n v="0"/>
    <n v="1151724.8729790249"/>
  </r>
  <r>
    <x v="47"/>
    <x v="0"/>
    <n v="0"/>
    <x v="0"/>
    <s v="Vestdanmark"/>
    <n v="640291.52551137318"/>
    <n v="0"/>
    <n v="0"/>
    <n v="0"/>
    <n v="0"/>
    <n v="0"/>
    <n v="0"/>
    <n v="640291.52551137318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595.78918068163"/>
    <n v="64498.475475191975"/>
    <n v="0"/>
    <n v="0"/>
    <n v="0"/>
    <n v="0"/>
    <n v="0"/>
    <n v="0"/>
    <n v="206097.31370548965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49498.82270408"/>
    <n v="0"/>
    <n v="0"/>
    <n v="0"/>
    <n v="0"/>
    <n v="0"/>
    <n v="500549498.82270408"/>
    <n v="0"/>
    <n v="0"/>
    <n v="0"/>
    <n v="500549498.82270408"/>
    <n v="0"/>
    <n v="0"/>
    <n v="0"/>
    <n v="0"/>
    <n v="0"/>
    <n v="0"/>
    <n v="0"/>
    <n v="0"/>
  </r>
  <r>
    <x v="4"/>
    <x v="10"/>
    <n v="0"/>
    <x v="1"/>
    <s v="Vestdanmark"/>
    <n v="20203693.34554347"/>
    <n v="0"/>
    <n v="0"/>
    <n v="0"/>
    <n v="0"/>
    <n v="17711161.810424652"/>
    <n v="0"/>
    <n v="0"/>
    <n v="2492531.5351188183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566.29660628818"/>
    <n v="0"/>
    <n v="0"/>
    <n v="0"/>
    <n v="0"/>
    <n v="0"/>
    <n v="0"/>
    <n v="0"/>
    <n v="923566.29660628818"/>
    <n v="0"/>
    <n v="0"/>
    <n v="0"/>
    <n v="0"/>
    <n v="0"/>
    <n v="0"/>
    <n v="0"/>
    <n v="0"/>
    <n v="0"/>
    <n v="0"/>
  </r>
  <r>
    <x v="11"/>
    <x v="10"/>
    <n v="0"/>
    <x v="1"/>
    <s v="Vestdanmark"/>
    <n v="27159.598992572228"/>
    <n v="0"/>
    <n v="0"/>
    <n v="257923.29437791562"/>
    <n v="0"/>
    <n v="0"/>
    <n v="0"/>
    <n v="0"/>
    <n v="-230763.6953853434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375262.677757401"/>
    <n v="12237689.909258299"/>
    <n v="0"/>
    <n v="0"/>
    <n v="75311.342010026739"/>
    <n v="0"/>
    <n v="0"/>
    <n v="0"/>
    <n v="4062261.4264890756"/>
    <n v="4062261.4264890756"/>
    <n v="75311.342010026739"/>
    <n v="7.4740532420615882"/>
    <n v="7.6126166974422862"/>
    <n v="0.13856345538069795"/>
    <n v="7.4740532420615882"/>
    <n v="1137433.1994169413"/>
    <n v="1158520.3751797487"/>
    <n v="21087.175762807488"/>
    <n v="1137433.1994169413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848.72920371042"/>
    <n v="0"/>
    <n v="0"/>
    <n v="270140.71358529059"/>
    <n v="0"/>
    <n v="0"/>
    <n v="0"/>
    <n v="0"/>
    <n v="-77291.984381580172"/>
    <n v="0"/>
    <n v="0"/>
    <n v="0"/>
    <n v="0"/>
    <n v="0"/>
    <n v="0"/>
    <n v="0"/>
    <n v="0"/>
    <n v="0"/>
    <n v="0"/>
  </r>
  <r>
    <x v="16"/>
    <x v="5"/>
    <n v="1"/>
    <x v="1"/>
    <s v="Vestdanmark"/>
    <n v="2643891.6563181542"/>
    <n v="773085.89354292606"/>
    <n v="726974.95402379602"/>
    <n v="0"/>
    <n v="52973.141962340742"/>
    <n v="0"/>
    <n v="1090857.6667890928"/>
    <n v="0"/>
    <n v="0"/>
    <n v="0"/>
    <n v="1143830.8087514336"/>
    <n v="0"/>
    <n v="11.580312356401583"/>
    <n v="0.30541876890955405"/>
    <n v="11.274893587492029"/>
    <n v="0"/>
    <n v="972256.18743871851"/>
    <n v="45027.170667989631"/>
    <n v="927229.01677072886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2238.89808826952"/>
    <n v="0"/>
    <n v="0"/>
    <n v="0"/>
    <n v="0"/>
    <n v="0"/>
    <n v="0"/>
    <n v="0"/>
    <n v="802238.89808826952"/>
    <n v="0"/>
    <n v="0"/>
    <n v="0"/>
    <n v="0"/>
    <n v="0"/>
    <n v="0"/>
    <n v="0"/>
    <n v="0"/>
    <n v="0"/>
    <n v="0"/>
  </r>
  <r>
    <x v="21"/>
    <x v="10"/>
    <n v="0"/>
    <x v="1"/>
    <s v="Vestdanmark"/>
    <n v="2244003.4840042591"/>
    <n v="0"/>
    <n v="0"/>
    <n v="123531.68309679118"/>
    <n v="0"/>
    <n v="0"/>
    <n v="0"/>
    <n v="0"/>
    <n v="2120471.800907468"/>
    <n v="0"/>
    <n v="0"/>
    <n v="0"/>
    <n v="0"/>
    <n v="0"/>
    <n v="0"/>
    <n v="0"/>
    <n v="0"/>
    <n v="0"/>
    <n v="0"/>
  </r>
  <r>
    <x v="22"/>
    <x v="5"/>
    <n v="1"/>
    <x v="1"/>
    <s v="Vestdanmark"/>
    <n v="7185056.2456319006"/>
    <n v="5879215.2019956233"/>
    <n v="0"/>
    <n v="295933.04302308214"/>
    <n v="2838.8656563257464"/>
    <n v="0"/>
    <n v="0"/>
    <n v="0"/>
    <n v="1007069.1349568693"/>
    <n v="1007069.1349568693"/>
    <n v="2838.8656563257464"/>
    <n v="3.4490707975483841"/>
    <n v="3.4587935149801079"/>
    <n v="9.7227174317237978E-3"/>
    <n v="3.4490707975483841"/>
    <n v="312191.43183662946"/>
    <n v="313071.48019009043"/>
    <n v="880.04835346098139"/>
    <n v="312191.43183662946"/>
  </r>
  <r>
    <x v="23"/>
    <x v="10"/>
    <n v="0"/>
    <x v="1"/>
    <s v="Vestdanmark"/>
    <n v="0"/>
    <n v="0"/>
    <n v="0"/>
    <n v="0"/>
    <n v="0"/>
    <n v="571108.87935312989"/>
    <n v="0"/>
    <n v="0"/>
    <n v="-571108.87935312989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97415.641357664"/>
    <n v="5657053.7864699624"/>
    <n v="0"/>
    <n v="0"/>
    <n v="314782.00911940058"/>
    <n v="0"/>
    <n v="0"/>
    <n v="0"/>
    <n v="2025579.8457683008"/>
    <n v="1703274.5214405721"/>
    <n v="314782.00911940058"/>
    <n v="6.1147555319716549"/>
    <n v="7.244822944710303"/>
    <n v="1.1300674127386483"/>
    <n v="6.1147555319716549"/>
    <n v="510982.3564321716"/>
    <n v="605416.95916799176"/>
    <n v="94434.602735820168"/>
    <n v="510982.356432171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5776.5357930374"/>
    <n v="0"/>
    <n v="0"/>
    <n v="0"/>
    <n v="0"/>
    <n v="0"/>
    <n v="0"/>
    <n v="0"/>
    <n v="1685776.5357930374"/>
    <n v="0"/>
    <n v="0"/>
    <n v="0"/>
    <n v="0"/>
    <n v="0"/>
    <n v="0"/>
    <n v="0"/>
    <n v="0"/>
    <n v="0"/>
    <n v="0"/>
  </r>
  <r>
    <x v="31"/>
    <x v="7"/>
    <n v="1"/>
    <x v="1"/>
    <s v="Vestdanmark"/>
    <n v="176446.6832046808"/>
    <n v="0"/>
    <n v="0"/>
    <n v="0"/>
    <n v="0"/>
    <n v="0"/>
    <n v="176446.6832046808"/>
    <n v="0"/>
    <n v="0"/>
    <n v="0"/>
    <n v="176446.6832046808"/>
    <n v="0"/>
    <n v="3.2466189709661259"/>
    <n v="0"/>
    <n v="3.2466189709661259"/>
    <n v="0"/>
    <n v="73225.373529942532"/>
    <n v="0"/>
    <n v="73225.373529942532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9029.05966338929"/>
    <n v="0"/>
    <n v="0"/>
    <n v="0"/>
    <n v="0"/>
    <n v="0"/>
    <n v="0"/>
    <n v="509029.0596633892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4514.52983169464"/>
    <n v="214099.10609126225"/>
    <n v="0"/>
    <n v="0"/>
    <n v="0"/>
    <n v="0"/>
    <n v="0"/>
    <n v="0"/>
    <n v="40415.423740432394"/>
    <n v="0"/>
    <n v="0"/>
    <n v="0"/>
    <n v="0"/>
    <n v="0"/>
    <n v="0"/>
    <n v="0"/>
    <n v="0"/>
    <n v="0"/>
    <n v="0"/>
  </r>
  <r>
    <x v="37"/>
    <x v="9"/>
    <n v="1"/>
    <x v="1"/>
    <s v="Vestdanmark"/>
    <n v="162889.29909228458"/>
    <n v="0"/>
    <n v="0"/>
    <n v="0"/>
    <n v="0"/>
    <n v="0"/>
    <n v="162889.29909228458"/>
    <n v="0"/>
    <n v="0"/>
    <n v="0"/>
    <n v="162889.29909228458"/>
    <n v="0"/>
    <n v="5.7011254682299599"/>
    <n v="0"/>
    <n v="5.7011254682299599"/>
    <n v="0"/>
    <n v="0"/>
    <n v="0"/>
    <n v="0"/>
  </r>
  <r>
    <x v="38"/>
    <x v="4"/>
    <n v="1"/>
    <x v="1"/>
    <s v="Vestdanmark"/>
    <n v="396405.63727863086"/>
    <n v="841167.61765562883"/>
    <n v="0"/>
    <n v="0"/>
    <n v="4123.4286638275544"/>
    <n v="0"/>
    <n v="0"/>
    <n v="0"/>
    <n v="-448885.40904082556"/>
    <n v="0"/>
    <n v="4123.4286638275544"/>
    <n v="0"/>
    <n v="1.1191150330774535E-2"/>
    <n v="1.1191150330774535E-2"/>
    <n v="0"/>
    <n v="0"/>
    <n v="824.68573276551092"/>
    <n v="824.68573276551092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54.2205130709"/>
    <n v="0"/>
    <n v="0"/>
    <n v="0"/>
    <n v="0"/>
    <n v="0"/>
    <n v="2203754.2205130709"/>
    <n v="0"/>
    <n v="0"/>
    <n v="0"/>
    <n v="2203754.2205130709"/>
    <n v="0"/>
    <n v="31.9402636353806"/>
    <n v="0"/>
    <n v="31.9402636353806"/>
    <n v="0"/>
    <n v="1089940.1082287563"/>
    <n v="0"/>
    <n v="1089940.1082287563"/>
  </r>
  <r>
    <x v="47"/>
    <x v="10"/>
    <n v="0"/>
    <x v="1"/>
    <s v="Vestdanmark"/>
    <n v="605942.81758342392"/>
    <n v="0"/>
    <n v="0"/>
    <n v="0"/>
    <n v="0"/>
    <n v="0"/>
    <n v="0"/>
    <n v="605942.8175834239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80111.33244912018"/>
    <n v="64498.475475191975"/>
    <n v="0"/>
    <n v="0"/>
    <n v="0"/>
    <n v="0"/>
    <n v="0"/>
    <n v="0"/>
    <n v="215612.856973928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59957.32203865"/>
    <n v="0"/>
    <n v="0"/>
    <n v="0"/>
    <n v="0"/>
    <n v="0"/>
    <n v="498159957.32203865"/>
    <n v="0"/>
    <n v="0"/>
    <n v="0"/>
    <n v="498159957.32203865"/>
    <n v="0"/>
    <n v="0"/>
    <n v="0"/>
    <n v="0"/>
    <n v="0"/>
    <n v="0"/>
    <n v="0"/>
    <n v="0"/>
  </r>
  <r>
    <x v="4"/>
    <x v="10"/>
    <n v="0"/>
    <x v="2"/>
    <s v="Vestdanmark"/>
    <n v="19825143.262106888"/>
    <n v="0"/>
    <n v="0"/>
    <n v="0"/>
    <n v="0"/>
    <n v="17222550.97014698"/>
    <n v="0"/>
    <n v="0"/>
    <n v="2602592.291959907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957437.9326590331"/>
    <n v="0"/>
    <n v="0"/>
    <n v="0"/>
    <n v="0"/>
    <n v="0"/>
    <n v="0"/>
    <n v="0"/>
    <n v="957437.9326590331"/>
    <n v="0"/>
    <n v="0"/>
    <n v="0"/>
    <n v="0"/>
    <n v="0"/>
    <n v="0"/>
    <n v="0"/>
    <n v="0"/>
    <n v="0"/>
    <n v="0"/>
  </r>
  <r>
    <x v="11"/>
    <x v="10"/>
    <n v="0"/>
    <x v="2"/>
    <s v="Vestdanmark"/>
    <n v="28117.117854959241"/>
    <n v="0"/>
    <n v="0"/>
    <n v="267978.92035102146"/>
    <n v="0"/>
    <n v="0"/>
    <n v="0"/>
    <n v="0"/>
    <n v="-239861.8024960622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187397.545226604"/>
    <n v="12237689.909258299"/>
    <n v="0"/>
    <n v="0"/>
    <n v="75243.769743329321"/>
    <n v="0"/>
    <n v="0"/>
    <n v="0"/>
    <n v="4874463.8662249763"/>
    <n v="4874463.8662249763"/>
    <n v="75243.769743329321"/>
    <n v="8.9684042058706783"/>
    <n v="9.1068433367271862"/>
    <n v="0.13843913085650805"/>
    <n v="8.9684042058706783"/>
    <n v="1364849.8825429934"/>
    <n v="1385918.1380711256"/>
    <n v="21068.255528132213"/>
    <n v="1364849.882542993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8166.83757807463"/>
    <n v="0"/>
    <n v="0"/>
    <n v="280672.65868343826"/>
    <n v="0"/>
    <n v="0"/>
    <n v="0"/>
    <n v="0"/>
    <n v="-82505.821105363633"/>
    <n v="0"/>
    <n v="0"/>
    <n v="0"/>
    <n v="0"/>
    <n v="0"/>
    <n v="0"/>
    <n v="0"/>
    <n v="0"/>
    <n v="0"/>
    <n v="0"/>
  </r>
  <r>
    <x v="16"/>
    <x v="5"/>
    <n v="1"/>
    <x v="2"/>
    <s v="Vestdanmark"/>
    <n v="2560492.8051294163"/>
    <n v="773085.89354292606"/>
    <n v="724013.50560011622"/>
    <n v="0"/>
    <n v="52709.156061702248"/>
    <n v="0"/>
    <n v="1010684.2499246729"/>
    <n v="0"/>
    <n v="0"/>
    <n v="0"/>
    <n v="1063393.4059863752"/>
    <n v="0"/>
    <n v="10.750133424874683"/>
    <n v="0.30389674763998681"/>
    <n v="10.446236677234696"/>
    <n v="0"/>
    <n v="903884.39508841885"/>
    <n v="44802.782652446913"/>
    <n v="859081.61243597197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830522.04311077786"/>
    <n v="0"/>
    <n v="0"/>
    <n v="0"/>
    <n v="0"/>
    <n v="0"/>
    <n v="0"/>
    <n v="0"/>
    <n v="830522.04311077786"/>
    <n v="0"/>
    <n v="0"/>
    <n v="0"/>
    <n v="0"/>
    <n v="0"/>
    <n v="0"/>
    <n v="0"/>
    <n v="0"/>
    <n v="0"/>
    <n v="0"/>
  </r>
  <r>
    <x v="21"/>
    <x v="10"/>
    <n v="0"/>
    <x v="2"/>
    <s v="Vestdanmark"/>
    <n v="2323694.0904921242"/>
    <n v="0"/>
    <n v="0"/>
    <n v="128347.79869443661"/>
    <n v="0"/>
    <n v="0"/>
    <n v="0"/>
    <n v="0"/>
    <n v="2195346.2917976878"/>
    <n v="0"/>
    <n v="0"/>
    <n v="0"/>
    <n v="0"/>
    <n v="0"/>
    <n v="0"/>
    <n v="0"/>
    <n v="0"/>
    <n v="0"/>
    <n v="0"/>
  </r>
  <r>
    <x v="22"/>
    <x v="5"/>
    <n v="1"/>
    <x v="2"/>
    <s v="Vestdanmark"/>
    <n v="7470858.8846565643"/>
    <n v="5879215.2019956233"/>
    <n v="0"/>
    <n v="307470.55071854044"/>
    <n v="2832.9524091506291"/>
    <n v="0"/>
    <n v="0"/>
    <n v="0"/>
    <n v="1281340.1795332497"/>
    <n v="1281340.1795332497"/>
    <n v="2832.9524091506291"/>
    <n v="4.3884107272762467"/>
    <n v="4.3981131926642503"/>
    <n v="9.7024653880036262E-3"/>
    <n v="4.3884107272762467"/>
    <n v="397215.45565530739"/>
    <n v="398093.67090214405"/>
    <n v="878.21524683669497"/>
    <n v="397215.45565530733"/>
  </r>
  <r>
    <x v="23"/>
    <x v="10"/>
    <n v="0"/>
    <x v="2"/>
    <s v="Vestdanmark"/>
    <n v="0"/>
    <n v="0"/>
    <n v="0"/>
    <n v="0"/>
    <n v="0"/>
    <n v="549824.31220967998"/>
    <n v="0"/>
    <n v="0"/>
    <n v="-549824.31220967998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8373936.9345243433"/>
    <n v="5657053.7864699624"/>
    <n v="0"/>
    <n v="0"/>
    <n v="314661.48085110582"/>
    <n v="0"/>
    <n v="0"/>
    <n v="0"/>
    <n v="2402221.6672032755"/>
    <n v="2101392.556871023"/>
    <n v="314661.48085110582"/>
    <n v="7.5439992791669734"/>
    <n v="8.6736339954224437"/>
    <n v="1.1296347162554701"/>
    <n v="7.5439992791669734"/>
    <n v="630417.76706130686"/>
    <n v="724816.21131663863"/>
    <n v="94398.444255331749"/>
    <n v="630417.7670613068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745209.0344552125"/>
    <n v="0"/>
    <n v="0"/>
    <n v="0"/>
    <n v="0"/>
    <n v="0"/>
    <n v="0"/>
    <n v="0"/>
    <n v="1745209.0344552125"/>
    <n v="0"/>
    <n v="0"/>
    <n v="0"/>
    <n v="0"/>
    <n v="0"/>
    <n v="0"/>
    <n v="0"/>
    <n v="0"/>
    <n v="0"/>
    <n v="0"/>
  </r>
  <r>
    <x v="31"/>
    <x v="7"/>
    <n v="1"/>
    <x v="2"/>
    <s v="Vestdanmark"/>
    <n v="183249.6836740704"/>
    <n v="0"/>
    <n v="0"/>
    <n v="0"/>
    <n v="0"/>
    <n v="0"/>
    <n v="183249.6836740704"/>
    <n v="0"/>
    <n v="0"/>
    <n v="0"/>
    <n v="183249.6836740704"/>
    <n v="0"/>
    <n v="3.3717941796028947"/>
    <n v="0"/>
    <n v="3.3717941796028947"/>
    <n v="0"/>
    <n v="76048.618724739223"/>
    <n v="0"/>
    <n v="76048.61872473922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526296.50250669091"/>
    <n v="0"/>
    <n v="0"/>
    <n v="0"/>
    <n v="0"/>
    <n v="0"/>
    <n v="0"/>
    <n v="526296.50250669091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3148.25125334546"/>
    <n v="214099.10609126225"/>
    <n v="0"/>
    <n v="0"/>
    <n v="0"/>
    <n v="0"/>
    <n v="0"/>
    <n v="0"/>
    <n v="49049.145162083209"/>
    <n v="0"/>
    <n v="0"/>
    <n v="0"/>
    <n v="0"/>
    <n v="0"/>
    <n v="0"/>
    <n v="0"/>
    <n v="0"/>
    <n v="0"/>
    <n v="0"/>
  </r>
  <r>
    <x v="37"/>
    <x v="9"/>
    <n v="1"/>
    <x v="2"/>
    <s v="Vestdanmark"/>
    <n v="168414.8808021411"/>
    <n v="0"/>
    <n v="0"/>
    <n v="0"/>
    <n v="0"/>
    <n v="0"/>
    <n v="168414.8808021411"/>
    <n v="0"/>
    <n v="0"/>
    <n v="0"/>
    <n v="168414.8808021411"/>
    <n v="0"/>
    <n v="5.8945208280749375"/>
    <n v="0"/>
    <n v="5.8945208280749375"/>
    <n v="0"/>
    <n v="0"/>
    <n v="0"/>
    <n v="0"/>
  </r>
  <r>
    <x v="38"/>
    <x v="4"/>
    <n v="1"/>
    <x v="2"/>
    <s v="Vestdanmark"/>
    <n v="410082.28428580571"/>
    <n v="841167.61765562883"/>
    <n v="0"/>
    <n v="0"/>
    <n v="4092.8191064506923"/>
    <n v="0"/>
    <n v="0"/>
    <n v="0"/>
    <n v="-435178.15247627377"/>
    <n v="0"/>
    <n v="4092.8191064506923"/>
    <n v="0"/>
    <n v="1.1108074767671438E-2"/>
    <n v="1.1108074767671438E-2"/>
    <n v="0"/>
    <n v="0"/>
    <n v="818.56382129013855"/>
    <n v="818.56382129013855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119.0505128279"/>
    <n v="0"/>
    <n v="0"/>
    <n v="0"/>
    <n v="0"/>
    <n v="0"/>
    <n v="2001119.0505128279"/>
    <n v="0"/>
    <n v="0"/>
    <n v="0"/>
    <n v="2001119.0505128279"/>
    <n v="0"/>
    <n v="29.003356837261759"/>
    <n v="0"/>
    <n v="29.003356837261759"/>
    <n v="0"/>
    <n v="989720.1303994694"/>
    <n v="0"/>
    <n v="989720.1303994694"/>
  </r>
  <r>
    <x v="47"/>
    <x v="10"/>
    <n v="0"/>
    <x v="2"/>
    <s v="Vestdanmark"/>
    <n v="551632.61779012682"/>
    <n v="0"/>
    <n v="0"/>
    <n v="0"/>
    <n v="0"/>
    <n v="0"/>
    <n v="0"/>
    <n v="551632.61779012682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6972.495538657848"/>
    <n v="7916.616753740097"/>
    <n v="0"/>
    <n v="0"/>
    <n v="0"/>
    <n v="0"/>
    <n v="0"/>
    <n v="0"/>
    <n v="19055.878784917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68.59908372"/>
    <n v="0"/>
    <n v="0"/>
    <n v="0"/>
    <n v="0"/>
    <n v="0"/>
    <n v="110817068.59908372"/>
    <n v="0"/>
    <n v="0"/>
    <n v="0"/>
    <n v="110817068.59908372"/>
    <n v="0"/>
    <n v="0"/>
    <n v="0"/>
    <n v="0"/>
    <n v="0"/>
    <n v="0"/>
    <n v="0"/>
    <n v="0"/>
  </r>
  <r>
    <x v="4"/>
    <x v="0"/>
    <n v="0"/>
    <x v="0"/>
    <s v="Østdanmark"/>
    <n v="2463073.3914116896"/>
    <n v="0"/>
    <n v="0"/>
    <n v="0"/>
    <n v="0"/>
    <n v="1801862.1200388186"/>
    <n v="0"/>
    <n v="0"/>
    <n v="661211.27137287101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20445.82725004398"/>
    <n v="0"/>
    <n v="0"/>
    <n v="0"/>
    <n v="0"/>
    <n v="0"/>
    <n v="0"/>
    <n v="0"/>
    <n v="620445.82725004398"/>
    <n v="0"/>
    <n v="0"/>
    <n v="0"/>
    <n v="0"/>
    <n v="0"/>
    <n v="0"/>
    <n v="0"/>
    <n v="0"/>
    <n v="0"/>
    <n v="0"/>
  </r>
  <r>
    <x v="11"/>
    <x v="0"/>
    <n v="0"/>
    <x v="0"/>
    <s v="Østdanmark"/>
    <n v="15780.226177538038"/>
    <n v="0"/>
    <n v="0"/>
    <n v="212804.29294970242"/>
    <n v="0"/>
    <n v="0"/>
    <n v="0"/>
    <n v="0"/>
    <n v="-197024.0667721643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148848.2010935447"/>
    <n v="1502068.0760117143"/>
    <n v="0"/>
    <n v="0"/>
    <n v="10277.831749012612"/>
    <n v="0"/>
    <n v="0"/>
    <n v="0"/>
    <n v="636502.29333281773"/>
    <n v="636502.29333281773"/>
    <n v="10277.831749012612"/>
    <n v="1.1710846569457181"/>
    <n v="1.8909925689214579E-2"/>
    <n v="1.8909925689214579E-2"/>
    <n v="0"/>
    <n v="178220.64213318899"/>
    <n v="2877.7928897235315"/>
    <n v="2877.7928897235315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5299.46904386401"/>
    <n v="0"/>
    <n v="0"/>
    <n v="222884.49629995148"/>
    <n v="0"/>
    <n v="0"/>
    <n v="0"/>
    <n v="0"/>
    <n v="-127585.02725608747"/>
    <n v="0"/>
    <n v="0"/>
    <n v="0"/>
    <n v="0"/>
    <n v="0"/>
    <n v="0"/>
    <n v="0"/>
    <n v="0"/>
    <n v="0"/>
    <n v="0"/>
  </r>
  <r>
    <x v="16"/>
    <x v="5"/>
    <n v="1"/>
    <x v="0"/>
    <s v="Østdanmark"/>
    <n v="954412.72069157928"/>
    <n v="94889.448034412548"/>
    <n v="104128.58905499999"/>
    <n v="0"/>
    <n v="22739.095393183845"/>
    <n v="0"/>
    <n v="732655.58820898295"/>
    <n v="0"/>
    <n v="0"/>
    <n v="0"/>
    <n v="755394.68360216683"/>
    <n v="0"/>
    <n v="7.7036894370658402"/>
    <n v="0.1311031640532172"/>
    <n v="7.5725862730126234"/>
    <n v="0"/>
    <n v="642085.48106184183"/>
    <n v="19328.231084206269"/>
    <n v="622757.24997763557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627.35347864506"/>
    <n v="0"/>
    <n v="0"/>
    <n v="0"/>
    <n v="0"/>
    <n v="0"/>
    <n v="0"/>
    <n v="0"/>
    <n v="145627.35347864506"/>
    <n v="0"/>
    <n v="0"/>
    <n v="0"/>
    <n v="0"/>
    <n v="0"/>
    <n v="0"/>
    <n v="0"/>
    <n v="0"/>
    <n v="0"/>
    <n v="0"/>
  </r>
  <r>
    <x v="21"/>
    <x v="0"/>
    <n v="0"/>
    <x v="0"/>
    <s v="Østdanmark"/>
    <n v="116539.79424410909"/>
    <n v="0"/>
    <n v="0"/>
    <n v="101922.05609696274"/>
    <n v="0"/>
    <n v="0"/>
    <n v="0"/>
    <n v="0"/>
    <n v="14617.738147146345"/>
    <n v="0"/>
    <n v="0"/>
    <n v="0"/>
    <n v="0"/>
    <n v="0"/>
    <n v="0"/>
    <n v="0"/>
    <n v="0"/>
    <n v="0"/>
    <n v="0"/>
  </r>
  <r>
    <x v="22"/>
    <x v="5"/>
    <n v="1"/>
    <x v="0"/>
    <s v="Østdanmark"/>
    <n v="2268650.5850062412"/>
    <n v="721621.60770550335"/>
    <n v="0"/>
    <n v="244164.92559492172"/>
    <n v="942.6064741945944"/>
    <n v="0"/>
    <n v="0"/>
    <n v="0"/>
    <n v="1301921.4452316216"/>
    <n v="1301921.4452316216"/>
    <n v="942.6064741945944"/>
    <n v="4.4588986809159721"/>
    <n v="3.2282952092100993E-3"/>
    <n v="3.2282952092100993E-3"/>
    <n v="0"/>
    <n v="403595.64802180271"/>
    <n v="292.20800700032424"/>
    <n v="292.20800700032424"/>
    <n v="0"/>
  </r>
  <r>
    <x v="23"/>
    <x v="0"/>
    <n v="0"/>
    <x v="0"/>
    <s v="Østdanmark"/>
    <n v="0"/>
    <n v="0"/>
    <n v="0"/>
    <n v="0"/>
    <n v="0"/>
    <n v="374820.3560243976"/>
    <n v="0"/>
    <n v="0"/>
    <n v="-374820.356024397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5245.73356828612"/>
    <n v="694353.2611092875"/>
    <n v="0"/>
    <n v="0"/>
    <n v="15151.053724986185"/>
    <n v="0"/>
    <n v="0"/>
    <n v="0"/>
    <n v="-344258.58126598754"/>
    <n v="0"/>
    <n v="15151.053724986185"/>
    <n v="0"/>
    <n v="5.4392282872700405E-2"/>
    <n v="5.4392282872700405E-2"/>
    <n v="0"/>
    <n v="0"/>
    <n v="4545.316117495855"/>
    <n v="4545.316117495855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5448.91426064254"/>
    <n v="0"/>
    <n v="0"/>
    <n v="0"/>
    <n v="0"/>
    <n v="0"/>
    <n v="0"/>
    <n v="0"/>
    <n v="395448.91426064254"/>
    <n v="0"/>
    <n v="0"/>
    <n v="0"/>
    <n v="0"/>
    <n v="0"/>
    <n v="0"/>
    <n v="0"/>
    <n v="0"/>
    <n v="0"/>
    <n v="0"/>
  </r>
  <r>
    <x v="31"/>
    <x v="7"/>
    <n v="1"/>
    <x v="0"/>
    <s v="Østdanmark"/>
    <n v="38860.356190289756"/>
    <n v="0"/>
    <n v="0"/>
    <n v="0"/>
    <n v="0"/>
    <n v="0"/>
    <n v="38860.356190289756"/>
    <n v="0"/>
    <n v="0"/>
    <n v="0"/>
    <n v="38860.356190289756"/>
    <n v="0"/>
    <n v="0.71503055390133141"/>
    <n v="0"/>
    <n v="0.71503055390133141"/>
    <n v="0"/>
    <n v="16127.04781897025"/>
    <n v="0"/>
    <n v="16127.04781897025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2563.22613808865"/>
    <n v="0"/>
    <n v="0"/>
    <n v="0"/>
    <n v="0"/>
    <n v="0"/>
    <n v="0"/>
    <n v="192563.22613808865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281.613069044324"/>
    <n v="26278.769501998373"/>
    <n v="0"/>
    <n v="0"/>
    <n v="0"/>
    <n v="0"/>
    <n v="0"/>
    <n v="0"/>
    <n v="70002.843567045958"/>
    <n v="0"/>
    <n v="0"/>
    <n v="0"/>
    <n v="0"/>
    <n v="0"/>
    <n v="0"/>
    <n v="0"/>
    <n v="0"/>
    <n v="0"/>
    <n v="0"/>
  </r>
  <r>
    <x v="37"/>
    <x v="9"/>
    <n v="1"/>
    <x v="0"/>
    <s v="Østdanmark"/>
    <n v="61620.23236418837"/>
    <n v="0"/>
    <n v="0"/>
    <n v="0"/>
    <n v="0"/>
    <n v="0"/>
    <n v="32042.520829377954"/>
    <n v="29577.711534810416"/>
    <n v="0"/>
    <n v="0"/>
    <n v="32042.520829377954"/>
    <n v="0"/>
    <n v="1.1214882290282282"/>
    <n v="0"/>
    <n v="1.1214882290282282"/>
    <n v="0"/>
    <n v="0"/>
    <n v="0"/>
    <n v="0"/>
  </r>
  <r>
    <x v="38"/>
    <x v="4"/>
    <n v="1"/>
    <x v="0"/>
    <s v="Østdanmark"/>
    <n v="2233316.4654569654"/>
    <n v="103245.87683002709"/>
    <n v="0"/>
    <n v="0"/>
    <n v="24503.032029712213"/>
    <n v="0"/>
    <n v="0"/>
    <n v="0"/>
    <n v="2105567.5565972263"/>
    <n v="1637775.5474174484"/>
    <n v="24503.032029712213"/>
    <n v="4.4449883467128517"/>
    <n v="6.650220904992013E-2"/>
    <n v="6.650220904992013E-2"/>
    <n v="0"/>
    <n v="327555.10948348971"/>
    <n v="4900.6064059424425"/>
    <n v="4900.6064059424425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14.98381741357"/>
    <n v="0"/>
    <n v="0"/>
    <n v="0"/>
    <n v="0"/>
    <n v="0"/>
    <n v="681614.98381741357"/>
    <n v="0"/>
    <n v="0"/>
    <n v="0"/>
    <n v="681614.98381741357"/>
    <n v="0"/>
    <n v="9.8790337317585379"/>
    <n v="0"/>
    <n v="9.8790337317585379"/>
    <n v="0"/>
    <n v="337115.41074636247"/>
    <n v="0"/>
    <n v="337115.41074636247"/>
  </r>
  <r>
    <x v="47"/>
    <x v="0"/>
    <n v="0"/>
    <x v="0"/>
    <s v="Østdanmark"/>
    <n v="187416.40966897184"/>
    <n v="0"/>
    <n v="0"/>
    <n v="0"/>
    <n v="0"/>
    <n v="0"/>
    <n v="0"/>
    <n v="187416.40966897184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427.465119156146"/>
    <n v="7916.616753740097"/>
    <n v="0"/>
    <n v="0"/>
    <n v="0"/>
    <n v="0"/>
    <n v="0"/>
    <n v="0"/>
    <n v="20510.84836541604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78137.96208517"/>
    <n v="0"/>
    <n v="0"/>
    <n v="0"/>
    <n v="0"/>
    <n v="0"/>
    <n v="108778137.96208517"/>
    <n v="0"/>
    <n v="0"/>
    <n v="0"/>
    <n v="108778137.96208517"/>
    <n v="0"/>
    <n v="0"/>
    <n v="0"/>
    <n v="0"/>
    <n v="0"/>
    <n v="0"/>
    <n v="0"/>
    <n v="0"/>
  </r>
  <r>
    <x v="4"/>
    <x v="10"/>
    <n v="0"/>
    <x v="1"/>
    <s v="Østdanmark"/>
    <n v="3475921.4954590979"/>
    <n v="0"/>
    <n v="0"/>
    <n v="0"/>
    <n v="0"/>
    <n v="3047096.7359039234"/>
    <n v="0"/>
    <n v="0"/>
    <n v="428824.7595551745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51574.6178029154"/>
    <n v="0"/>
    <n v="0"/>
    <n v="0"/>
    <n v="0"/>
    <n v="0"/>
    <n v="0"/>
    <n v="0"/>
    <n v="651574.6178029154"/>
    <n v="0"/>
    <n v="0"/>
    <n v="0"/>
    <n v="0"/>
    <n v="0"/>
    <n v="0"/>
    <n v="0"/>
    <n v="0"/>
    <n v="0"/>
    <n v="0"/>
  </r>
  <r>
    <x v="11"/>
    <x v="10"/>
    <n v="0"/>
    <x v="1"/>
    <s v="Østdanmark"/>
    <n v="16628.1277891153"/>
    <n v="0"/>
    <n v="0"/>
    <n v="223323.94265330929"/>
    <n v="0"/>
    <n v="0"/>
    <n v="0"/>
    <n v="0"/>
    <n v="-206695.81486419399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253848.7282700147"/>
    <n v="1502068.0760117145"/>
    <n v="0"/>
    <n v="0"/>
    <n v="10365.657989973257"/>
    <n v="0"/>
    <n v="0"/>
    <n v="0"/>
    <n v="741414.99426832702"/>
    <n v="741414.99426832702"/>
    <n v="10365.657989973257"/>
    <n v="1.3641109125794382"/>
    <n v="1.3831824275737403"/>
    <n v="1.9071514994302048E-2"/>
    <n v="1.3641109125794382"/>
    <n v="207596.19839513159"/>
    <n v="210498.58263232408"/>
    <n v="2902.384237192512"/>
    <n v="207596.19839513156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9860.697208716942"/>
    <n v="0"/>
    <n v="0"/>
    <n v="233902.44520004498"/>
    <n v="0"/>
    <n v="0"/>
    <n v="0"/>
    <n v="0"/>
    <n v="-134041.74799132804"/>
    <n v="0"/>
    <n v="0"/>
    <n v="0"/>
    <n v="0"/>
    <n v="0"/>
    <n v="0"/>
    <n v="0"/>
    <n v="0"/>
    <n v="0"/>
    <n v="0"/>
  </r>
  <r>
    <x v="16"/>
    <x v="5"/>
    <n v="1"/>
    <x v="1"/>
    <s v="Østdanmark"/>
    <n v="934395.72639170452"/>
    <n v="94889.448034412562"/>
    <n v="103520.85960187271"/>
    <n v="0"/>
    <n v="22960.858037659247"/>
    <n v="0"/>
    <n v="713024.56071776"/>
    <n v="0"/>
    <n v="0"/>
    <n v="0"/>
    <n v="735985.4187554192"/>
    <n v="0"/>
    <n v="7.5020655200755657"/>
    <n v="0.1323817454504459"/>
    <n v="7.3696837746251198"/>
    <n v="0"/>
    <n v="625587.60594210634"/>
    <n v="19516.72933201036"/>
    <n v="606070.8766100959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452.1885801873"/>
    <n v="0"/>
    <n v="0"/>
    <n v="0"/>
    <n v="0"/>
    <n v="0"/>
    <n v="0"/>
    <n v="0"/>
    <n v="153452.1885801873"/>
    <n v="0"/>
    <n v="0"/>
    <n v="0"/>
    <n v="0"/>
    <n v="0"/>
    <n v="0"/>
    <n v="0"/>
    <n v="0"/>
    <n v="0"/>
    <n v="0"/>
  </r>
  <r>
    <x v="21"/>
    <x v="10"/>
    <n v="0"/>
    <x v="1"/>
    <s v="Østdanmark"/>
    <n v="122729.17644107634"/>
    <n v="0"/>
    <n v="0"/>
    <n v="106960.41463921656"/>
    <n v="0"/>
    <n v="0"/>
    <n v="0"/>
    <n v="0"/>
    <n v="15768.761801859786"/>
    <n v="0"/>
    <n v="0"/>
    <n v="0"/>
    <n v="0"/>
    <n v="0"/>
    <n v="0"/>
    <n v="0"/>
    <n v="0"/>
    <n v="0"/>
    <n v="0"/>
  </r>
  <r>
    <x v="22"/>
    <x v="5"/>
    <n v="1"/>
    <x v="1"/>
    <s v="Østdanmark"/>
    <n v="2397159.4134105444"/>
    <n v="721621.60770550347"/>
    <n v="0"/>
    <n v="256234.83946537593"/>
    <n v="947.1343436742535"/>
    <n v="0"/>
    <n v="0"/>
    <n v="0"/>
    <n v="1418355.8318959908"/>
    <n v="1418355.8318959908"/>
    <n v="947.1343436742535"/>
    <n v="4.8576701544273035"/>
    <n v="4.8609139569555797"/>
    <n v="3.2438025282762045E-3"/>
    <n v="4.8576701544273035"/>
    <n v="439690.30788775714"/>
    <n v="439983.91953429615"/>
    <n v="293.61164653901858"/>
    <n v="439690.30788775714"/>
  </r>
  <r>
    <x v="23"/>
    <x v="10"/>
    <n v="0"/>
    <x v="1"/>
    <s v="Østdanmark"/>
    <n v="0"/>
    <n v="0"/>
    <n v="0"/>
    <n v="0"/>
    <n v="0"/>
    <n v="364918.6036041156"/>
    <n v="0"/>
    <n v="0"/>
    <n v="-364918.603604115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7291.92766215833"/>
    <n v="694353.26110928762"/>
    <n v="0"/>
    <n v="0"/>
    <n v="15243.990880599462"/>
    <n v="0"/>
    <n v="0"/>
    <n v="0"/>
    <n v="-322305.32432772877"/>
    <n v="0"/>
    <n v="15243.990880599462"/>
    <n v="0"/>
    <n v="5.4725927261352073E-2"/>
    <n v="5.4725927261352073E-2"/>
    <n v="0"/>
    <n v="0"/>
    <n v="4573.1972641798384"/>
    <n v="4573.1972641798384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6697.13769709459"/>
    <n v="0"/>
    <n v="0"/>
    <n v="0"/>
    <n v="0"/>
    <n v="0"/>
    <n v="0"/>
    <n v="0"/>
    <n v="416697.13769709459"/>
    <n v="0"/>
    <n v="0"/>
    <n v="0"/>
    <n v="0"/>
    <n v="0"/>
    <n v="0"/>
    <n v="0"/>
    <n v="0"/>
    <n v="0"/>
    <n v="0"/>
  </r>
  <r>
    <x v="31"/>
    <x v="7"/>
    <n v="1"/>
    <x v="1"/>
    <s v="Østdanmark"/>
    <n v="40614.954242467749"/>
    <n v="0"/>
    <n v="0"/>
    <n v="0"/>
    <n v="0"/>
    <n v="0"/>
    <n v="40614.954242467749"/>
    <n v="0"/>
    <n v="0"/>
    <n v="0"/>
    <n v="40614.954242467749"/>
    <n v="0"/>
    <n v="0.74731515806140647"/>
    <n v="0"/>
    <n v="0.74731515806140647"/>
    <n v="0"/>
    <n v="16855.206010624119"/>
    <n v="0"/>
    <n v="16855.20601062411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2988.92221517742"/>
    <n v="0"/>
    <n v="0"/>
    <n v="0"/>
    <n v="0"/>
    <n v="0"/>
    <n v="0"/>
    <n v="202988.9222151774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1494.46110758871"/>
    <n v="26278.769501998377"/>
    <n v="0"/>
    <n v="0"/>
    <n v="0"/>
    <n v="0"/>
    <n v="0"/>
    <n v="0"/>
    <n v="75215.691605590328"/>
    <n v="0"/>
    <n v="0"/>
    <n v="0"/>
    <n v="0"/>
    <n v="0"/>
    <n v="0"/>
    <n v="0"/>
    <n v="0"/>
    <n v="0"/>
    <n v="0"/>
  </r>
  <r>
    <x v="37"/>
    <x v="9"/>
    <n v="1"/>
    <x v="1"/>
    <s v="Østdanmark"/>
    <n v="64956.455108856775"/>
    <n v="0"/>
    <n v="0"/>
    <n v="0"/>
    <n v="0"/>
    <n v="0"/>
    <n v="64956.455108856775"/>
    <n v="0"/>
    <n v="0"/>
    <n v="0"/>
    <n v="64956.455108856775"/>
    <n v="0"/>
    <n v="2.2734759288099871"/>
    <n v="0"/>
    <n v="2.2734759288099871"/>
    <n v="0"/>
    <n v="0"/>
    <n v="0"/>
    <n v="0"/>
  </r>
  <r>
    <x v="38"/>
    <x v="4"/>
    <n v="1"/>
    <x v="1"/>
    <s v="Østdanmark"/>
    <n v="2357380.2059099637"/>
    <n v="103245.8768300271"/>
    <n v="0"/>
    <n v="0"/>
    <n v="24521.571336172448"/>
    <n v="0"/>
    <n v="0"/>
    <n v="0"/>
    <n v="2229612.7577437642"/>
    <n v="1780727.3487029388"/>
    <n v="24521.571336172448"/>
    <n v="4.8329652534737235"/>
    <n v="4.8995177789429487"/>
    <n v="6.6552525469225479E-2"/>
    <n v="4.8329652534737235"/>
    <n v="356145.46974058775"/>
    <n v="361049.78400782228"/>
    <n v="4904.3142672344902"/>
    <n v="356145.46974058781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49.46160507516"/>
    <n v="0"/>
    <n v="0"/>
    <n v="0"/>
    <n v="0"/>
    <n v="0"/>
    <n v="645049.46160507516"/>
    <n v="0"/>
    <n v="0"/>
    <n v="0"/>
    <n v="645049.46160507516"/>
    <n v="0"/>
    <n v="9.3490688161811804"/>
    <n v="0"/>
    <n v="9.3490688161811804"/>
    <n v="0"/>
    <n v="319030.71288551006"/>
    <n v="0"/>
    <n v="319030.71288551006"/>
  </r>
  <r>
    <x v="47"/>
    <x v="10"/>
    <n v="0"/>
    <x v="1"/>
    <s v="Østdanmark"/>
    <n v="177362.37762242398"/>
    <n v="0"/>
    <n v="0"/>
    <n v="0"/>
    <n v="0"/>
    <n v="0"/>
    <n v="0"/>
    <n v="177362.37762242398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9671.151024691055"/>
    <n v="7916.616753740097"/>
    <n v="0"/>
    <n v="0"/>
    <n v="0"/>
    <n v="0"/>
    <n v="0"/>
    <n v="0"/>
    <n v="21754.534270950957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15913.7808761"/>
    <n v="0"/>
    <n v="0"/>
    <n v="0"/>
    <n v="0"/>
    <n v="0"/>
    <n v="109815913.7808761"/>
    <n v="0"/>
    <n v="0"/>
    <n v="0"/>
    <n v="109815913.7808761"/>
    <n v="0"/>
    <n v="0"/>
    <n v="0"/>
    <n v="0"/>
    <n v="0"/>
    <n v="0"/>
    <n v="0"/>
    <n v="0"/>
  </r>
  <r>
    <x v="4"/>
    <x v="10"/>
    <n v="0"/>
    <x v="2"/>
    <s v="Østdanmark"/>
    <n v="3485399.0902783498"/>
    <n v="0"/>
    <n v="0"/>
    <n v="0"/>
    <n v="0"/>
    <n v="3027845.1302976091"/>
    <n v="0"/>
    <n v="0"/>
    <n v="457553.95998074068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80414.34761758172"/>
    <n v="0"/>
    <n v="0"/>
    <n v="0"/>
    <n v="0"/>
    <n v="0"/>
    <n v="0"/>
    <n v="0"/>
    <n v="680414.34761758172"/>
    <n v="0"/>
    <n v="0"/>
    <n v="0"/>
    <n v="0"/>
    <n v="0"/>
    <n v="0"/>
    <n v="0"/>
    <n v="0"/>
    <n v="0"/>
    <n v="0"/>
  </r>
  <r>
    <x v="11"/>
    <x v="10"/>
    <n v="0"/>
    <x v="2"/>
    <s v="Østdanmark"/>
    <n v="17356.133122278541"/>
    <n v="0"/>
    <n v="0"/>
    <n v="233795.01599247381"/>
    <n v="0"/>
    <n v="0"/>
    <n v="0"/>
    <n v="0"/>
    <n v="-216438.8828701952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83188.3585043661"/>
    <n v="1502068.0760117143"/>
    <n v="0"/>
    <n v="0"/>
    <n v="10433.230256670677"/>
    <n v="0"/>
    <n v="0"/>
    <n v="0"/>
    <n v="870687.05223598122"/>
    <n v="870687.05223598122"/>
    <n v="10433.230256670677"/>
    <n v="1.6019553402326761"/>
    <n v="1.621151179751168"/>
    <n v="1.9195839518491964E-2"/>
    <n v="1.6019553402326761"/>
    <n v="243792.37462607477"/>
    <n v="246713.67909794254"/>
    <n v="2921.3044718677897"/>
    <n v="243792.37462607474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3505.43836904144"/>
    <n v="0"/>
    <n v="0"/>
    <n v="244869.51675001203"/>
    <n v="0"/>
    <n v="0"/>
    <n v="0"/>
    <n v="0"/>
    <n v="-141364.07838097058"/>
    <n v="0"/>
    <n v="0"/>
    <n v="0"/>
    <n v="0"/>
    <n v="0"/>
    <n v="0"/>
    <n v="0"/>
    <n v="0"/>
    <n v="0"/>
    <n v="0"/>
  </r>
  <r>
    <x v="16"/>
    <x v="5"/>
    <n v="1"/>
    <x v="2"/>
    <s v="Østdanmark"/>
    <n v="912256.65771204641"/>
    <n v="94889.448034412548"/>
    <n v="103062.42440743271"/>
    <n v="0"/>
    <n v="23224.843938297741"/>
    <n v="0"/>
    <n v="691079.94133190333"/>
    <n v="0"/>
    <n v="0"/>
    <n v="0"/>
    <n v="714304.78527020104"/>
    <n v="0"/>
    <n v="7.276772205186905"/>
    <n v="0.13390376672001317"/>
    <n v="7.1428684384668921"/>
    <n v="0"/>
    <n v="607159.06747967086"/>
    <n v="19741.117347553081"/>
    <n v="587417.95013211784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60170.5644002886"/>
    <n v="0"/>
    <n v="0"/>
    <n v="0"/>
    <n v="0"/>
    <n v="0"/>
    <n v="0"/>
    <n v="0"/>
    <n v="160170.5644002886"/>
    <n v="0"/>
    <n v="0"/>
    <n v="0"/>
    <n v="0"/>
    <n v="0"/>
    <n v="0"/>
    <n v="0"/>
    <n v="0"/>
    <n v="0"/>
    <n v="0"/>
  </r>
  <r>
    <x v="21"/>
    <x v="10"/>
    <n v="0"/>
    <x v="2"/>
    <s v="Østdanmark"/>
    <n v="128113.19770884549"/>
    <n v="0"/>
    <n v="0"/>
    <n v="111975.50765955324"/>
    <n v="0"/>
    <n v="0"/>
    <n v="0"/>
    <n v="0"/>
    <n v="16137.690049292243"/>
    <n v="0"/>
    <n v="0"/>
    <n v="0"/>
    <n v="0"/>
    <n v="0"/>
    <n v="0"/>
    <n v="0"/>
    <n v="0"/>
    <n v="0"/>
    <n v="0"/>
  </r>
  <r>
    <x v="22"/>
    <x v="5"/>
    <n v="1"/>
    <x v="2"/>
    <s v="Østdanmark"/>
    <n v="2513308.7441212214"/>
    <n v="721621.60770550335"/>
    <n v="0"/>
    <n v="268249.01834925939"/>
    <n v="953.04759084937086"/>
    <n v="0"/>
    <n v="0"/>
    <n v="0"/>
    <n v="1522485.0704756093"/>
    <n v="1522485.0704756093"/>
    <n v="953.04759084937086"/>
    <n v="5.2142982184690965"/>
    <n v="5.2175622730410929"/>
    <n v="3.2640545719963771E-3"/>
    <n v="5.2142982184690965"/>
    <n v="471970.37184743886"/>
    <n v="472265.81660060218"/>
    <n v="295.44475316330494"/>
    <n v="471970.37184743886"/>
  </r>
  <r>
    <x v="23"/>
    <x v="10"/>
    <n v="0"/>
    <x v="2"/>
    <s v="Østdanmark"/>
    <n v="0"/>
    <n v="0"/>
    <n v="0"/>
    <n v="0"/>
    <n v="0"/>
    <n v="354148.81875125773"/>
    <n v="0"/>
    <n v="0"/>
    <n v="-354148.81875125773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408888.66992592916"/>
    <n v="694353.2611092875"/>
    <n v="0"/>
    <n v="0"/>
    <n v="15364.519148894226"/>
    <n v="0"/>
    <n v="0"/>
    <n v="0"/>
    <n v="-300829.11033225257"/>
    <n v="0"/>
    <n v="15364.519148894226"/>
    <n v="0"/>
    <n v="5.5158623744530275E-2"/>
    <n v="5.5158623744530275E-2"/>
    <n v="0"/>
    <n v="0"/>
    <n v="4609.3557446682671"/>
    <n v="4609.3557446682671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34940.78739744844"/>
    <n v="0"/>
    <n v="0"/>
    <n v="0"/>
    <n v="0"/>
    <n v="0"/>
    <n v="0"/>
    <n v="0"/>
    <n v="434940.78739744844"/>
    <n v="0"/>
    <n v="0"/>
    <n v="0"/>
    <n v="0"/>
    <n v="0"/>
    <n v="0"/>
    <n v="0"/>
    <n v="0"/>
    <n v="0"/>
    <n v="0"/>
  </r>
  <r>
    <x v="31"/>
    <x v="7"/>
    <n v="1"/>
    <x v="2"/>
    <s v="Østdanmark"/>
    <n v="42440.412782955995"/>
    <n v="0"/>
    <n v="0"/>
    <n v="0"/>
    <n v="0"/>
    <n v="0"/>
    <n v="42440.412782955995"/>
    <n v="0"/>
    <n v="0"/>
    <n v="0"/>
    <n v="42440.412782955995"/>
    <n v="0"/>
    <n v="0.78090359520639019"/>
    <n v="0"/>
    <n v="0.78090359520639019"/>
    <n v="0"/>
    <n v="17612.77130492674"/>
    <n v="0"/>
    <n v="17612.77130492674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211655.83028103792"/>
    <n v="0"/>
    <n v="0"/>
    <n v="0"/>
    <n v="0"/>
    <n v="0"/>
    <n v="0"/>
    <n v="211655.8302810379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5827.91514051896"/>
    <n v="26278.769501998373"/>
    <n v="0"/>
    <n v="0"/>
    <n v="0"/>
    <n v="0"/>
    <n v="0"/>
    <n v="0"/>
    <n v="79549.145638520597"/>
    <n v="0"/>
    <n v="0"/>
    <n v="0"/>
    <n v="0"/>
    <n v="0"/>
    <n v="0"/>
    <n v="0"/>
    <n v="0"/>
    <n v="0"/>
    <n v="0"/>
  </r>
  <r>
    <x v="37"/>
    <x v="9"/>
    <n v="1"/>
    <x v="2"/>
    <s v="Østdanmark"/>
    <n v="67729.865689932136"/>
    <n v="0"/>
    <n v="0"/>
    <n v="0"/>
    <n v="0"/>
    <n v="0"/>
    <n v="67729.865689932136"/>
    <n v="0"/>
    <n v="0"/>
    <n v="0"/>
    <n v="67729.865689932136"/>
    <n v="0"/>
    <n v="2.3705452991476244"/>
    <n v="0"/>
    <n v="2.3705452991476244"/>
    <n v="0"/>
    <n v="0"/>
    <n v="0"/>
    <n v="0"/>
  </r>
  <r>
    <x v="38"/>
    <x v="4"/>
    <n v="1"/>
    <x v="2"/>
    <s v="Østdanmark"/>
    <n v="2460019.4054890401"/>
    <n v="103245.87683002709"/>
    <n v="0"/>
    <n v="0"/>
    <n v="24552.18089354931"/>
    <n v="0"/>
    <n v="0"/>
    <n v="0"/>
    <n v="2332221.3477654639"/>
    <n v="1897043.1952891902"/>
    <n v="24552.18089354931"/>
    <n v="5.148651113742674"/>
    <n v="5.2152867147750026"/>
    <n v="6.6635601032328573E-2"/>
    <n v="5.148651113742674"/>
    <n v="379408.63905783807"/>
    <n v="384319.07523654791"/>
    <n v="4910.4361787098624"/>
    <n v="379408.63905783807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276.82167847839"/>
    <n v="0"/>
    <n v="0"/>
    <n v="0"/>
    <n v="0"/>
    <n v="0"/>
    <n v="585276.82167847839"/>
    <n v="0"/>
    <n v="0"/>
    <n v="0"/>
    <n v="585276.82167847839"/>
    <n v="0"/>
    <n v="8.4827499410238172"/>
    <n v="0"/>
    <n v="8.4827499410238172"/>
    <n v="0"/>
    <n v="289468.16138848074"/>
    <n v="0"/>
    <n v="289468.16138848074"/>
  </r>
  <r>
    <x v="47"/>
    <x v="10"/>
    <n v="0"/>
    <x v="2"/>
    <s v="Østdanmark"/>
    <n v="161253.53800096706"/>
    <n v="0"/>
    <n v="0"/>
    <n v="0"/>
    <n v="0"/>
    <n v="0"/>
    <n v="0"/>
    <n v="161253.53800096706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3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5625" defaultRowHeight="14.4" x14ac:dyDescent="0.55000000000000004"/>
  <cols>
    <col min="1" max="1" width="38.15625" style="1" customWidth="1"/>
    <col min="2" max="2" width="42.26171875" style="1" bestFit="1" customWidth="1"/>
    <col min="3" max="3" width="9.15625" style="1"/>
    <col min="4" max="4" width="10.26171875" style="1" customWidth="1"/>
    <col min="5" max="5" width="24.578125" style="1" customWidth="1"/>
    <col min="6" max="6" width="10.26171875" style="1" customWidth="1"/>
    <col min="7" max="16384" width="9.15625" style="1"/>
  </cols>
  <sheetData>
    <row r="1" spans="1:6" ht="20.399999999999999" x14ac:dyDescent="0.75">
      <c r="A1" s="419" t="s">
        <v>272</v>
      </c>
      <c r="B1" s="419"/>
      <c r="D1" s="75" t="s">
        <v>285</v>
      </c>
    </row>
    <row r="2" spans="1:6" x14ac:dyDescent="0.55000000000000004">
      <c r="A2" s="6" t="s">
        <v>0</v>
      </c>
      <c r="B2" s="222" t="s">
        <v>304</v>
      </c>
    </row>
    <row r="4" spans="1:6" ht="30" customHeight="1" thickBot="1" x14ac:dyDescent="0.6">
      <c r="A4" s="418" t="s">
        <v>271</v>
      </c>
      <c r="B4" s="418"/>
      <c r="D4" s="75"/>
    </row>
    <row r="5" spans="1:6" ht="14.7" thickTop="1" x14ac:dyDescent="0.55000000000000004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55000000000000004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55000000000000004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55000000000000004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55000000000000004">
      <c r="A9" s="206" t="s">
        <v>92</v>
      </c>
      <c r="B9" s="205" t="s">
        <v>258</v>
      </c>
      <c r="D9" s="212"/>
      <c r="E9" s="213"/>
      <c r="F9" s="12"/>
    </row>
    <row r="10" spans="1:6" x14ac:dyDescent="0.55000000000000004">
      <c r="A10" s="204"/>
      <c r="B10" s="205"/>
      <c r="D10" s="214" t="s">
        <v>47</v>
      </c>
      <c r="E10" s="213"/>
      <c r="F10" s="12"/>
    </row>
    <row r="11" spans="1:6" x14ac:dyDescent="0.55000000000000004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55000000000000004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55000000000000004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55000000000000004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55000000000000004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55000000000000004">
      <c r="A16" s="204" t="s">
        <v>71</v>
      </c>
      <c r="B16" s="205"/>
      <c r="D16" s="215"/>
      <c r="E16" s="213"/>
    </row>
    <row r="17" spans="1:5" x14ac:dyDescent="0.55000000000000004">
      <c r="A17" s="204" t="s">
        <v>72</v>
      </c>
      <c r="B17" s="221" t="s">
        <v>268</v>
      </c>
      <c r="D17" s="216" t="s">
        <v>93</v>
      </c>
      <c r="E17" s="213"/>
    </row>
    <row r="18" spans="1:5" x14ac:dyDescent="0.55000000000000004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55000000000000004">
      <c r="A19" s="204" t="s">
        <v>254</v>
      </c>
      <c r="B19" s="420"/>
      <c r="D19" s="212" cm="1">
        <f t="array" ref="D19">[1]!År2</f>
        <v>2030</v>
      </c>
      <c r="E19" s="213"/>
    </row>
    <row r="20" spans="1:5" ht="14.7" thickBot="1" x14ac:dyDescent="0.6">
      <c r="A20" s="204" t="s">
        <v>255</v>
      </c>
      <c r="B20" s="205"/>
      <c r="D20" s="217" cm="1">
        <f t="array" ref="D20">[1]!År3</f>
        <v>2050</v>
      </c>
      <c r="E20" s="218"/>
    </row>
    <row r="21" spans="1:5" ht="14.7" thickTop="1" x14ac:dyDescent="0.55000000000000004">
      <c r="A21" s="204" t="s">
        <v>74</v>
      </c>
      <c r="B21" s="205"/>
    </row>
    <row r="22" spans="1:5" x14ac:dyDescent="0.55000000000000004">
      <c r="A22" s="204"/>
      <c r="B22" s="205"/>
    </row>
    <row r="23" spans="1:5" x14ac:dyDescent="0.55000000000000004">
      <c r="A23" s="255" t="s">
        <v>307</v>
      </c>
      <c r="B23" s="205"/>
    </row>
    <row r="24" spans="1:5" ht="14.7" thickBot="1" x14ac:dyDescent="0.6">
      <c r="A24" s="207" t="s">
        <v>1</v>
      </c>
      <c r="B24" s="208"/>
    </row>
    <row r="25" spans="1:5" ht="14.7" thickTop="1" x14ac:dyDescent="0.55000000000000004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AD106" sqref="AD106"/>
    </sheetView>
  </sheetViews>
  <sheetFormatPr defaultColWidth="9.15625" defaultRowHeight="14.4" x14ac:dyDescent="0.55000000000000004"/>
  <cols>
    <col min="1" max="2" width="9.15625" style="1"/>
    <col min="3" max="3" width="11" style="1" bestFit="1" customWidth="1"/>
    <col min="4" max="16" width="9.15625" style="1"/>
    <col min="17" max="17" width="13.41796875" style="1" bestFit="1" customWidth="1"/>
    <col min="18" max="18" width="27.26171875" style="1" bestFit="1" customWidth="1"/>
    <col min="19" max="16384" width="9.15625" style="1"/>
  </cols>
  <sheetData>
    <row r="1" spans="1:18" ht="15" customHeight="1" x14ac:dyDescent="0.6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55000000000000004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55000000000000004">
      <c r="A3" s="75"/>
    </row>
    <row r="34" spans="16:18" ht="15.6" x14ac:dyDescent="0.6">
      <c r="P34" s="340" t="s">
        <v>93</v>
      </c>
      <c r="Q34" s="340" t="s">
        <v>336</v>
      </c>
      <c r="R34" s="340" t="s">
        <v>337</v>
      </c>
    </row>
    <row r="35" spans="16:18" ht="15.6" x14ac:dyDescent="0.6">
      <c r="P35" s="340">
        <v>1990</v>
      </c>
      <c r="Q35" s="343">
        <v>20000000</v>
      </c>
      <c r="R35" s="342"/>
    </row>
    <row r="36" spans="16:18" ht="15.6" x14ac:dyDescent="0.6">
      <c r="P36" s="340">
        <f>År1</f>
        <v>2019</v>
      </c>
      <c r="Q36" s="341">
        <f>GETPIVOTDATA("Total",'CO2-pivot'!$A$1,"År",P36,"Sted2","CO2 - atmosfære")</f>
        <v>13910380.018766819</v>
      </c>
      <c r="R36" s="342">
        <f>1-Q36/$Q$35</f>
        <v>0.30448099906165904</v>
      </c>
    </row>
    <row r="37" spans="16:18" ht="15.6" x14ac:dyDescent="0.6">
      <c r="P37" s="340">
        <f>År2</f>
        <v>2030</v>
      </c>
      <c r="Q37" s="341">
        <f>GETPIVOTDATA("Total",'CO2-pivot'!$A$1,"År",P37,"Sted2","CO2 - atmosfære")</f>
        <v>13079093.844208205</v>
      </c>
      <c r="R37" s="342">
        <f t="shared" ref="R37:R38" si="0">1-Q37/$Q$35</f>
        <v>0.34604530778958975</v>
      </c>
    </row>
    <row r="38" spans="16:18" ht="15.6" x14ac:dyDescent="0.6">
      <c r="P38" s="340">
        <f>År3</f>
        <v>2050</v>
      </c>
      <c r="Q38" s="341">
        <f>GETPIVOTDATA("Total",'CO2-pivot'!$A$1,"År",P38,"Sted2","CO2 - atmosfære")</f>
        <v>12132641.200173628</v>
      </c>
      <c r="R38" s="342">
        <f t="shared" si="0"/>
        <v>0.39336793999131858</v>
      </c>
    </row>
    <row r="123" spans="3:3" x14ac:dyDescent="0.55000000000000004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4.4" x14ac:dyDescent="0.55000000000000004"/>
  <cols>
    <col min="1" max="1" width="21" bestFit="1" customWidth="1"/>
  </cols>
  <sheetData>
    <row r="1" spans="1:1" s="168" customFormat="1" x14ac:dyDescent="0.55000000000000004">
      <c r="A1" s="168" t="s">
        <v>338</v>
      </c>
    </row>
    <row r="2" spans="1:1" x14ac:dyDescent="0.55000000000000004">
      <c r="A2" s="107">
        <v>2019</v>
      </c>
    </row>
    <row r="3" spans="1:1" x14ac:dyDescent="0.55000000000000004">
      <c r="A3" s="378">
        <v>2030</v>
      </c>
    </row>
    <row r="4" spans="1:1" x14ac:dyDescent="0.55000000000000004">
      <c r="A4" s="367">
        <v>2050</v>
      </c>
    </row>
    <row r="5" spans="1:1" x14ac:dyDescent="0.55000000000000004">
      <c r="A5" s="357" t="s">
        <v>15</v>
      </c>
    </row>
    <row r="6" spans="1:1" x14ac:dyDescent="0.55000000000000004">
      <c r="A6" s="379" t="s">
        <v>49</v>
      </c>
    </row>
    <row r="7" spans="1:1" x14ac:dyDescent="0.55000000000000004">
      <c r="A7" s="377" t="s">
        <v>182</v>
      </c>
    </row>
    <row r="8" spans="1:1" x14ac:dyDescent="0.55000000000000004">
      <c r="A8" s="368" t="s">
        <v>32</v>
      </c>
    </row>
    <row r="9" spans="1:1" x14ac:dyDescent="0.55000000000000004">
      <c r="A9" s="355" t="s">
        <v>102</v>
      </c>
    </row>
    <row r="10" spans="1:1" x14ac:dyDescent="0.55000000000000004">
      <c r="A10" s="380" t="s">
        <v>109</v>
      </c>
    </row>
    <row r="11" spans="1:1" x14ac:dyDescent="0.55000000000000004">
      <c r="A11" s="369" t="s">
        <v>261</v>
      </c>
    </row>
    <row r="12" spans="1:1" x14ac:dyDescent="0.55000000000000004">
      <c r="A12" s="381" t="s">
        <v>110</v>
      </c>
    </row>
    <row r="13" spans="1:1" x14ac:dyDescent="0.55000000000000004">
      <c r="A13" s="355" t="s">
        <v>230</v>
      </c>
    </row>
    <row r="14" spans="1:1" s="168" customFormat="1" x14ac:dyDescent="0.55000000000000004">
      <c r="A14" s="382" t="s">
        <v>208</v>
      </c>
    </row>
    <row r="15" spans="1:1" x14ac:dyDescent="0.55000000000000004">
      <c r="A15" s="360" t="s">
        <v>111</v>
      </c>
    </row>
    <row r="16" spans="1:1" x14ac:dyDescent="0.55000000000000004">
      <c r="A16" s="383" t="s">
        <v>101</v>
      </c>
    </row>
    <row r="17" spans="1:1" x14ac:dyDescent="0.55000000000000004">
      <c r="A17" s="384" t="s">
        <v>204</v>
      </c>
    </row>
    <row r="18" spans="1:1" x14ac:dyDescent="0.55000000000000004">
      <c r="A18" s="385" t="s">
        <v>19</v>
      </c>
    </row>
    <row r="19" spans="1:1" x14ac:dyDescent="0.55000000000000004">
      <c r="A19" s="386" t="s">
        <v>137</v>
      </c>
    </row>
    <row r="20" spans="1:1" x14ac:dyDescent="0.55000000000000004">
      <c r="A20" s="402" t="s">
        <v>96</v>
      </c>
    </row>
    <row r="21" spans="1:1" x14ac:dyDescent="0.55000000000000004">
      <c r="A21" s="416" t="s">
        <v>113</v>
      </c>
    </row>
    <row r="22" spans="1:1" x14ac:dyDescent="0.55000000000000004">
      <c r="A22" s="417" t="s">
        <v>54</v>
      </c>
    </row>
    <row r="23" spans="1:1" x14ac:dyDescent="0.55000000000000004">
      <c r="A23" s="354" t="s">
        <v>158</v>
      </c>
    </row>
    <row r="24" spans="1:1" x14ac:dyDescent="0.55000000000000004">
      <c r="A24" s="370" t="s">
        <v>51</v>
      </c>
    </row>
    <row r="25" spans="1:1" x14ac:dyDescent="0.55000000000000004">
      <c r="A25" s="370" t="s">
        <v>224</v>
      </c>
    </row>
    <row r="26" spans="1:1" x14ac:dyDescent="0.55000000000000004">
      <c r="A26" s="358" t="s">
        <v>203</v>
      </c>
    </row>
    <row r="27" spans="1:1" x14ac:dyDescent="0.55000000000000004">
      <c r="A27" s="414" t="s">
        <v>6</v>
      </c>
    </row>
    <row r="28" spans="1:1" x14ac:dyDescent="0.55000000000000004">
      <c r="A28" s="353" t="s">
        <v>67</v>
      </c>
    </row>
    <row r="29" spans="1:1" x14ac:dyDescent="0.55000000000000004">
      <c r="A29" s="353" t="s">
        <v>227</v>
      </c>
    </row>
    <row r="30" spans="1:1" x14ac:dyDescent="0.55000000000000004">
      <c r="A30" s="359" t="s">
        <v>200</v>
      </c>
    </row>
    <row r="31" spans="1:1" x14ac:dyDescent="0.55000000000000004">
      <c r="A31" s="352" t="s">
        <v>226</v>
      </c>
    </row>
    <row r="32" spans="1:1" x14ac:dyDescent="0.55000000000000004">
      <c r="A32" s="415" t="s">
        <v>162</v>
      </c>
    </row>
    <row r="33" spans="1:1" x14ac:dyDescent="0.55000000000000004">
      <c r="A33" s="361" t="s">
        <v>193</v>
      </c>
    </row>
    <row r="34" spans="1:1" x14ac:dyDescent="0.55000000000000004">
      <c r="A34" s="356" t="s">
        <v>222</v>
      </c>
    </row>
    <row r="35" spans="1:1" x14ac:dyDescent="0.55000000000000004">
      <c r="A35" s="365" t="s">
        <v>11</v>
      </c>
    </row>
    <row r="36" spans="1:1" x14ac:dyDescent="0.55000000000000004">
      <c r="A36" s="401" t="s">
        <v>159</v>
      </c>
    </row>
    <row r="37" spans="1:1" x14ac:dyDescent="0.55000000000000004">
      <c r="A37" s="350" t="s">
        <v>103</v>
      </c>
    </row>
    <row r="38" spans="1:1" x14ac:dyDescent="0.55000000000000004">
      <c r="A38" s="410" t="s">
        <v>56</v>
      </c>
    </row>
    <row r="39" spans="1:1" x14ac:dyDescent="0.55000000000000004">
      <c r="A39" s="411" t="s">
        <v>12</v>
      </c>
    </row>
    <row r="40" spans="1:1" x14ac:dyDescent="0.55000000000000004">
      <c r="A40" s="412" t="s">
        <v>48</v>
      </c>
    </row>
    <row r="41" spans="1:1" x14ac:dyDescent="0.55000000000000004">
      <c r="A41" s="389" t="s">
        <v>115</v>
      </c>
    </row>
    <row r="42" spans="1:1" x14ac:dyDescent="0.55000000000000004">
      <c r="A42" s="387" t="s">
        <v>136</v>
      </c>
    </row>
    <row r="43" spans="1:1" x14ac:dyDescent="0.55000000000000004">
      <c r="A43" s="367" t="s">
        <v>9</v>
      </c>
    </row>
    <row r="44" spans="1:1" x14ac:dyDescent="0.55000000000000004">
      <c r="A44" s="413" t="s">
        <v>108</v>
      </c>
    </row>
    <row r="45" spans="1:1" x14ac:dyDescent="0.55000000000000004">
      <c r="A45" s="409" t="s">
        <v>53</v>
      </c>
    </row>
    <row r="46" spans="1:1" x14ac:dyDescent="0.55000000000000004">
      <c r="A46" s="367" t="s">
        <v>194</v>
      </c>
    </row>
    <row r="47" spans="1:1" x14ac:dyDescent="0.55000000000000004">
      <c r="A47" s="408" t="s">
        <v>116</v>
      </c>
    </row>
    <row r="48" spans="1:1" s="168" customFormat="1" x14ac:dyDescent="0.55000000000000004">
      <c r="A48" s="407" t="s">
        <v>106</v>
      </c>
    </row>
    <row r="49" spans="1:1" x14ac:dyDescent="0.55000000000000004">
      <c r="A49" s="366" t="s">
        <v>33</v>
      </c>
    </row>
    <row r="50" spans="1:1" x14ac:dyDescent="0.55000000000000004">
      <c r="A50" s="403" t="s">
        <v>14</v>
      </c>
    </row>
    <row r="51" spans="1:1" s="168" customFormat="1" x14ac:dyDescent="0.55000000000000004">
      <c r="A51" s="404" t="s">
        <v>55</v>
      </c>
    </row>
    <row r="52" spans="1:1" x14ac:dyDescent="0.55000000000000004">
      <c r="A52" s="405" t="s">
        <v>38</v>
      </c>
    </row>
    <row r="53" spans="1:1" x14ac:dyDescent="0.55000000000000004">
      <c r="A53" s="406" t="s">
        <v>95</v>
      </c>
    </row>
    <row r="54" spans="1:1" x14ac:dyDescent="0.55000000000000004">
      <c r="A54" s="349" t="s">
        <v>310</v>
      </c>
    </row>
    <row r="55" spans="1:1" x14ac:dyDescent="0.55000000000000004">
      <c r="A55" s="389" t="s">
        <v>311</v>
      </c>
    </row>
    <row r="56" spans="1:1" x14ac:dyDescent="0.55000000000000004">
      <c r="A56" s="364" t="s">
        <v>313</v>
      </c>
    </row>
    <row r="57" spans="1:1" x14ac:dyDescent="0.55000000000000004">
      <c r="A57" s="349" t="s">
        <v>315</v>
      </c>
    </row>
    <row r="58" spans="1:1" x14ac:dyDescent="0.55000000000000004">
      <c r="A58" s="390" t="s">
        <v>117</v>
      </c>
    </row>
    <row r="59" spans="1:1" x14ac:dyDescent="0.55000000000000004">
      <c r="A59" s="392" t="s">
        <v>50</v>
      </c>
    </row>
    <row r="60" spans="1:1" x14ac:dyDescent="0.55000000000000004">
      <c r="A60" s="393" t="s">
        <v>238</v>
      </c>
    </row>
    <row r="61" spans="1:1" x14ac:dyDescent="0.55000000000000004">
      <c r="A61" s="394" t="s">
        <v>231</v>
      </c>
    </row>
    <row r="62" spans="1:1" x14ac:dyDescent="0.55000000000000004">
      <c r="A62" s="395" t="s">
        <v>52</v>
      </c>
    </row>
    <row r="63" spans="1:1" x14ac:dyDescent="0.55000000000000004">
      <c r="A63" s="362" t="s">
        <v>10</v>
      </c>
    </row>
    <row r="64" spans="1:1" x14ac:dyDescent="0.55000000000000004">
      <c r="A64" s="372" t="s">
        <v>176</v>
      </c>
    </row>
    <row r="65" spans="1:8" x14ac:dyDescent="0.55000000000000004">
      <c r="A65" s="373" t="s">
        <v>177</v>
      </c>
    </row>
    <row r="66" spans="1:8" x14ac:dyDescent="0.55000000000000004">
      <c r="A66" s="374" t="s">
        <v>178</v>
      </c>
    </row>
    <row r="67" spans="1:8" x14ac:dyDescent="0.55000000000000004">
      <c r="A67" s="375" t="s">
        <v>179</v>
      </c>
    </row>
    <row r="68" spans="1:8" x14ac:dyDescent="0.55000000000000004">
      <c r="A68" s="376" t="s">
        <v>180</v>
      </c>
    </row>
    <row r="69" spans="1:8" x14ac:dyDescent="0.55000000000000004">
      <c r="A69" s="396" t="s">
        <v>121</v>
      </c>
    </row>
    <row r="70" spans="1:8" x14ac:dyDescent="0.55000000000000004">
      <c r="A70" s="397" t="s">
        <v>107</v>
      </c>
    </row>
    <row r="71" spans="1:8" x14ac:dyDescent="0.55000000000000004">
      <c r="A71" s="398" t="s">
        <v>140</v>
      </c>
    </row>
    <row r="72" spans="1:8" x14ac:dyDescent="0.55000000000000004">
      <c r="A72" s="388" t="s">
        <v>135</v>
      </c>
    </row>
    <row r="73" spans="1:8" x14ac:dyDescent="0.55000000000000004">
      <c r="A73" s="399" t="s">
        <v>13</v>
      </c>
    </row>
    <row r="74" spans="1:8" x14ac:dyDescent="0.55000000000000004">
      <c r="A74" s="391" t="s">
        <v>99</v>
      </c>
      <c r="H74" s="371" t="s">
        <v>104</v>
      </c>
    </row>
    <row r="75" spans="1:8" x14ac:dyDescent="0.55000000000000004">
      <c r="A75" s="400" t="s">
        <v>119</v>
      </c>
    </row>
    <row r="76" spans="1:8" x14ac:dyDescent="0.55000000000000004">
      <c r="A76" s="351" t="s">
        <v>118</v>
      </c>
    </row>
    <row r="77" spans="1:8" x14ac:dyDescent="0.55000000000000004">
      <c r="A77" s="363" t="s">
        <v>335</v>
      </c>
    </row>
    <row r="78" spans="1:8" x14ac:dyDescent="0.55000000000000004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K6" sqref="K6"/>
    </sheetView>
  </sheetViews>
  <sheetFormatPr defaultColWidth="9.15625" defaultRowHeight="14.4" x14ac:dyDescent="0.55000000000000004"/>
  <cols>
    <col min="1" max="1" width="36" style="1" customWidth="1"/>
    <col min="2" max="2" width="52.26171875" style="1" customWidth="1"/>
    <col min="3" max="3" width="9.26171875" style="1" customWidth="1"/>
    <col min="4" max="4" width="10.26171875" style="1" customWidth="1"/>
    <col min="5" max="5" width="13.68359375" style="1" customWidth="1"/>
    <col min="6" max="6" width="15.578125" style="1" bestFit="1" customWidth="1"/>
    <col min="7" max="7" width="25.68359375" style="1" customWidth="1"/>
    <col min="8" max="8" width="9.15625" style="1"/>
    <col min="9" max="9" width="25.15625" style="1" bestFit="1" customWidth="1"/>
    <col min="10" max="10" width="13" style="1" customWidth="1"/>
    <col min="11" max="12" width="9" style="1" bestFit="1" customWidth="1"/>
    <col min="13" max="13" width="12.83984375" style="1" customWidth="1"/>
    <col min="14" max="15" width="9" style="1" bestFit="1" customWidth="1"/>
    <col min="16" max="16" width="13.15625" style="1" customWidth="1"/>
    <col min="17" max="18" width="9" style="1" bestFit="1" customWidth="1"/>
    <col min="19" max="16384" width="9.15625" style="1"/>
  </cols>
  <sheetData>
    <row r="1" spans="1:18" x14ac:dyDescent="0.55000000000000004">
      <c r="A1" s="228" t="s">
        <v>274</v>
      </c>
      <c r="B1" s="75" t="s">
        <v>300</v>
      </c>
    </row>
    <row r="2" spans="1:18" ht="43" customHeight="1" x14ac:dyDescent="0.55000000000000004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18" x14ac:dyDescent="0.55000000000000004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55000000000000004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55000000000000004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55000000000000004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55000000000000004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55000000000000004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4.7" thickBot="1" x14ac:dyDescent="0.6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55000000000000004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55000000000000004">
      <c r="A11" s="2"/>
      <c r="B11" s="2"/>
      <c r="C11" s="9"/>
      <c r="D11" s="9"/>
      <c r="E11" s="9"/>
      <c r="F11" s="110"/>
      <c r="G11" s="110"/>
    </row>
    <row r="12" spans="1:18" x14ac:dyDescent="0.55000000000000004">
      <c r="A12" s="2"/>
      <c r="B12" s="2"/>
      <c r="C12" s="9"/>
      <c r="D12" s="9"/>
      <c r="E12" s="9"/>
      <c r="F12" s="110"/>
      <c r="G12" s="110"/>
    </row>
    <row r="13" spans="1:18" x14ac:dyDescent="0.55000000000000004">
      <c r="A13" s="2"/>
      <c r="B13" s="2"/>
      <c r="C13" s="9"/>
      <c r="D13" s="9"/>
      <c r="E13" s="9"/>
      <c r="F13" s="110"/>
      <c r="G13" s="110"/>
    </row>
    <row r="14" spans="1:18" x14ac:dyDescent="0.55000000000000004">
      <c r="A14" s="2"/>
      <c r="B14" s="2"/>
      <c r="C14" s="9"/>
      <c r="D14" s="9"/>
      <c r="E14" s="9"/>
      <c r="F14" s="110"/>
      <c r="G14" s="110"/>
    </row>
    <row r="15" spans="1:18" x14ac:dyDescent="0.55000000000000004">
      <c r="A15" s="2"/>
      <c r="B15" s="2"/>
      <c r="C15" s="9"/>
      <c r="D15" s="9"/>
      <c r="E15" s="9"/>
      <c r="F15" s="110"/>
      <c r="G15" s="110"/>
    </row>
    <row r="16" spans="1:18" x14ac:dyDescent="0.55000000000000004">
      <c r="A16" s="2"/>
      <c r="B16" s="2"/>
      <c r="C16" s="9"/>
      <c r="D16" s="9"/>
      <c r="E16" s="9"/>
      <c r="F16" s="110"/>
      <c r="G16" s="110"/>
    </row>
    <row r="17" spans="1:18" x14ac:dyDescent="0.55000000000000004">
      <c r="A17" s="2"/>
      <c r="B17" s="2"/>
      <c r="C17" s="9"/>
      <c r="D17" s="9"/>
      <c r="E17" s="9"/>
      <c r="F17" s="110"/>
      <c r="G17" s="110"/>
    </row>
    <row r="18" spans="1:18" x14ac:dyDescent="0.55000000000000004">
      <c r="D18" s="15"/>
      <c r="E18" s="15"/>
      <c r="F18" s="15"/>
      <c r="G18" s="15"/>
    </row>
    <row r="19" spans="1:18" x14ac:dyDescent="0.55000000000000004">
      <c r="D19" s="15"/>
      <c r="E19" s="15"/>
      <c r="F19" s="15"/>
      <c r="G19" s="15"/>
    </row>
    <row r="20" spans="1:18" x14ac:dyDescent="0.55000000000000004">
      <c r="D20" s="15"/>
      <c r="E20" s="15"/>
      <c r="F20" s="15"/>
      <c r="G20" s="15"/>
    </row>
    <row r="21" spans="1:18" hidden="1" x14ac:dyDescent="0.55000000000000004">
      <c r="D21" s="15"/>
      <c r="E21" s="15"/>
      <c r="F21" s="15"/>
      <c r="G21" s="15"/>
    </row>
    <row r="22" spans="1:18" hidden="1" x14ac:dyDescent="0.55000000000000004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55000000000000004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55000000000000004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55000000000000004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55000000000000004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55000000000000004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55000000000000004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4.7" hidden="1" thickBot="1" x14ac:dyDescent="0.6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55000000000000004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55000000000000004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55000000000000004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55000000000000004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55000000000000004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55000000000000004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55000000000000004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55000000000000004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55000000000000004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4.7" hidden="1" thickBot="1" x14ac:dyDescent="0.6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55000000000000004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55000000000000004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D18" sqref="D18"/>
    </sheetView>
  </sheetViews>
  <sheetFormatPr defaultColWidth="8.83984375" defaultRowHeight="14.4" x14ac:dyDescent="0.55000000000000004"/>
  <cols>
    <col min="1" max="1" width="8.83984375" style="1"/>
    <col min="2" max="2" width="45.578125" style="1" customWidth="1"/>
    <col min="3" max="8" width="13.83984375" style="1" customWidth="1"/>
    <col min="9" max="9" width="17.41796875" style="12" customWidth="1"/>
    <col min="10" max="10" width="16.41796875" style="1" customWidth="1"/>
    <col min="11" max="11" width="10.578125" style="1" bestFit="1" customWidth="1"/>
    <col min="12" max="13" width="10.68359375" style="1" customWidth="1"/>
    <col min="14" max="17" width="10.41796875" style="1" bestFit="1" customWidth="1"/>
    <col min="18" max="16384" width="8.83984375" style="1"/>
  </cols>
  <sheetData>
    <row r="1" spans="1:9" x14ac:dyDescent="0.55000000000000004">
      <c r="A1" s="227" t="s">
        <v>274</v>
      </c>
    </row>
    <row r="2" spans="1:9" ht="15.6" x14ac:dyDescent="0.6">
      <c r="A2" s="224" t="s">
        <v>66</v>
      </c>
      <c r="F2" s="12"/>
      <c r="G2" s="12"/>
    </row>
    <row r="3" spans="1:9" x14ac:dyDescent="0.55000000000000004">
      <c r="B3" s="82"/>
      <c r="C3" s="83"/>
      <c r="D3" s="83"/>
      <c r="E3" s="83"/>
      <c r="F3" s="12"/>
      <c r="G3" s="74"/>
      <c r="I3" s="1"/>
    </row>
    <row r="4" spans="1:9" x14ac:dyDescent="0.55000000000000004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55000000000000004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55000000000000004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55000000000000004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55000000000000004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55000000000000004">
      <c r="B9" s="81"/>
      <c r="C9" s="13"/>
      <c r="D9" s="13"/>
      <c r="E9" s="80"/>
      <c r="F9" s="12"/>
      <c r="G9" s="12"/>
      <c r="I9" s="1"/>
    </row>
    <row r="10" spans="1:9" x14ac:dyDescent="0.55000000000000004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55000000000000004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55000000000000004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55000000000000004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55000000000000004">
      <c r="B14" s="12"/>
      <c r="C14" s="310"/>
      <c r="D14" s="13"/>
      <c r="E14" s="13"/>
      <c r="F14" s="12"/>
      <c r="G14" s="12"/>
      <c r="H14" s="14"/>
      <c r="I14" s="14"/>
    </row>
    <row r="15" spans="1:9" x14ac:dyDescent="0.55000000000000004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55000000000000004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55000000000000004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55000000000000004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55000000000000004">
      <c r="B20" s="424" t="s">
        <v>326</v>
      </c>
      <c r="C20" s="25"/>
      <c r="D20" s="25"/>
      <c r="E20" s="25"/>
      <c r="F20" s="12"/>
      <c r="I20" s="1"/>
    </row>
    <row r="21" spans="2:11" ht="29.5" customHeight="1" x14ac:dyDescent="0.55000000000000004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55000000000000004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55000000000000004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55000000000000004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55000000000000004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55000000000000004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4.7" thickBot="1" x14ac:dyDescent="0.6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4.7" thickBot="1" x14ac:dyDescent="0.6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55000000000000004">
      <c r="B29" s="12"/>
      <c r="C29" s="118"/>
      <c r="D29" s="118"/>
      <c r="E29" s="118"/>
      <c r="F29" s="118"/>
      <c r="G29" s="118"/>
      <c r="H29" s="118"/>
    </row>
    <row r="30" spans="2:11" x14ac:dyDescent="0.55000000000000004">
      <c r="B30" s="422" t="s">
        <v>325</v>
      </c>
      <c r="C30" s="25"/>
      <c r="D30" s="25"/>
      <c r="E30" s="25"/>
      <c r="K30" s="12"/>
    </row>
    <row r="31" spans="2:11" x14ac:dyDescent="0.55000000000000004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55000000000000004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55000000000000004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55000000000000004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55000000000000004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55000000000000004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55000000000000004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55000000000000004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55000000000000004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55000000000000004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55000000000000004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55000000000000004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55000000000000004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55000000000000004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55000000000000004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55000000000000004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55000000000000004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55000000000000004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55000000000000004">
      <c r="B49" s="12"/>
      <c r="D49" s="118"/>
      <c r="E49" s="118"/>
      <c r="H49" s="118"/>
    </row>
    <row r="50" spans="2:8" ht="15" customHeight="1" x14ac:dyDescent="0.55000000000000004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55000000000000004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5625" defaultRowHeight="14.4" x14ac:dyDescent="0.55000000000000004"/>
  <cols>
    <col min="1" max="1" width="25" style="1" customWidth="1"/>
    <col min="2" max="2" width="18.26171875" style="1" customWidth="1"/>
    <col min="3" max="3" width="12.15625" style="1" customWidth="1"/>
    <col min="4" max="5" width="9.15625" style="1"/>
    <col min="6" max="6" width="21" style="1" bestFit="1" customWidth="1"/>
    <col min="7" max="16384" width="9.15625" style="1"/>
  </cols>
  <sheetData>
    <row r="1" spans="1:9" x14ac:dyDescent="0.55000000000000004">
      <c r="A1" s="227" t="s">
        <v>274</v>
      </c>
    </row>
    <row r="2" spans="1:9" ht="14.7" thickBot="1" x14ac:dyDescent="0.6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55000000000000004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55000000000000004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55000000000000004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55000000000000004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55000000000000004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55000000000000004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55000000000000004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55000000000000004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55000000000000004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55000000000000004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55000000000000004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55000000000000004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55000000000000004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55000000000000004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4.7" thickBot="1" x14ac:dyDescent="0.6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4.7" thickBot="1" x14ac:dyDescent="0.6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13" sqref="C13"/>
    </sheetView>
  </sheetViews>
  <sheetFormatPr defaultColWidth="9.15625" defaultRowHeight="14.4" x14ac:dyDescent="0.55000000000000004"/>
  <cols>
    <col min="1" max="1" width="18.26171875" style="1" bestFit="1" customWidth="1"/>
    <col min="2" max="2" width="10.578125" style="1" customWidth="1"/>
    <col min="3" max="4" width="8.578125" style="1" bestFit="1" customWidth="1"/>
    <col min="5" max="5" width="8.68359375" style="1" customWidth="1"/>
    <col min="6" max="11" width="9.15625" style="1"/>
    <col min="12" max="12" width="9.83984375" style="1" customWidth="1"/>
    <col min="13" max="13" width="40.578125" style="1" bestFit="1" customWidth="1"/>
    <col min="14" max="16384" width="9.15625" style="1"/>
  </cols>
  <sheetData>
    <row r="1" spans="1:4" x14ac:dyDescent="0.55000000000000004">
      <c r="A1" s="226" t="s">
        <v>274</v>
      </c>
    </row>
    <row r="2" spans="1:4" x14ac:dyDescent="0.55000000000000004">
      <c r="A2" s="103" t="s">
        <v>247</v>
      </c>
    </row>
    <row r="3" spans="1:4" x14ac:dyDescent="0.55000000000000004">
      <c r="A3" s="6" t="s">
        <v>182</v>
      </c>
      <c r="B3" s="1" t="s">
        <v>170</v>
      </c>
    </row>
    <row r="4" spans="1:4" x14ac:dyDescent="0.55000000000000004">
      <c r="A4" s="6" t="s">
        <v>176</v>
      </c>
      <c r="B4" s="1" t="s">
        <v>171</v>
      </c>
    </row>
    <row r="5" spans="1:4" x14ac:dyDescent="0.55000000000000004">
      <c r="A5" s="6" t="s">
        <v>177</v>
      </c>
      <c r="B5" s="1" t="s">
        <v>172</v>
      </c>
    </row>
    <row r="6" spans="1:4" x14ac:dyDescent="0.55000000000000004">
      <c r="A6" s="6" t="s">
        <v>178</v>
      </c>
      <c r="B6" s="1" t="s">
        <v>186</v>
      </c>
    </row>
    <row r="7" spans="1:4" x14ac:dyDescent="0.55000000000000004">
      <c r="A7" s="6" t="s">
        <v>179</v>
      </c>
      <c r="B7" s="1" t="s">
        <v>187</v>
      </c>
    </row>
    <row r="8" spans="1:4" x14ac:dyDescent="0.55000000000000004">
      <c r="A8" s="6" t="s">
        <v>180</v>
      </c>
      <c r="B8" s="1" t="s">
        <v>188</v>
      </c>
    </row>
    <row r="9" spans="1:4" x14ac:dyDescent="0.55000000000000004">
      <c r="A9" s="2" t="s">
        <v>283</v>
      </c>
      <c r="B9" s="2"/>
      <c r="C9" s="209">
        <v>5.0000000000000001E-3</v>
      </c>
      <c r="D9" s="4"/>
    </row>
    <row r="10" spans="1:4" x14ac:dyDescent="0.55000000000000004">
      <c r="A10" s="81"/>
      <c r="B10" s="81"/>
      <c r="C10" s="81"/>
      <c r="D10" s="83"/>
    </row>
    <row r="11" spans="1:4" x14ac:dyDescent="0.55000000000000004">
      <c r="A11" s="2" t="s">
        <v>282</v>
      </c>
      <c r="B11" s="2"/>
      <c r="C11" s="2"/>
      <c r="D11" s="2"/>
    </row>
    <row r="12" spans="1:4" x14ac:dyDescent="0.55000000000000004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55000000000000004">
      <c r="A13" s="2" t="s">
        <v>176</v>
      </c>
      <c r="B13" s="7">
        <v>0</v>
      </c>
      <c r="C13" s="8">
        <v>1</v>
      </c>
      <c r="D13" s="8">
        <v>1</v>
      </c>
    </row>
    <row r="14" spans="1:4" x14ac:dyDescent="0.55000000000000004">
      <c r="A14" s="2" t="s">
        <v>177</v>
      </c>
      <c r="B14" s="7">
        <v>0</v>
      </c>
      <c r="C14" s="8">
        <v>0</v>
      </c>
      <c r="D14" s="8">
        <v>0</v>
      </c>
    </row>
    <row r="15" spans="1:4" x14ac:dyDescent="0.55000000000000004">
      <c r="A15" s="2" t="s">
        <v>178</v>
      </c>
      <c r="B15" s="7">
        <v>0</v>
      </c>
      <c r="C15" s="8">
        <v>0</v>
      </c>
      <c r="D15" s="8">
        <v>0</v>
      </c>
    </row>
    <row r="16" spans="1:4" x14ac:dyDescent="0.55000000000000004">
      <c r="A16" s="2" t="s">
        <v>179</v>
      </c>
      <c r="B16" s="7">
        <v>0</v>
      </c>
      <c r="C16" s="8">
        <v>0</v>
      </c>
      <c r="D16" s="8">
        <v>0</v>
      </c>
    </row>
    <row r="17" spans="1:8" ht="14.7" thickBot="1" x14ac:dyDescent="0.6">
      <c r="A17" s="331" t="s">
        <v>180</v>
      </c>
      <c r="B17" s="332">
        <v>0</v>
      </c>
      <c r="C17" s="335">
        <v>0</v>
      </c>
      <c r="D17" s="335">
        <v>0</v>
      </c>
    </row>
    <row r="18" spans="1:8" ht="14.7" thickBot="1" x14ac:dyDescent="0.6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55000000000000004">
      <c r="B19" s="13"/>
      <c r="C19" s="13"/>
      <c r="D19" s="13"/>
    </row>
    <row r="20" spans="1:8" hidden="1" x14ac:dyDescent="0.55000000000000004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55000000000000004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55000000000000004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55000000000000004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55000000000000004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55000000000000004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55000000000000004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55000000000000004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55000000000000004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55000000000000004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55000000000000004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55000000000000004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55000000000000004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55000000000000004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55000000000000004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55000000000000004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55000000000000004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55000000000000004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55000000000000004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55000000000000004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55000000000000004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55000000000000004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55000000000000004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55000000000000004">
      <c r="B43" s="150"/>
    </row>
    <row r="44" spans="1:10" hidden="1" x14ac:dyDescent="0.55000000000000004">
      <c r="B44" s="150"/>
    </row>
    <row r="45" spans="1:10" hidden="1" x14ac:dyDescent="0.55000000000000004">
      <c r="B45" s="150"/>
    </row>
    <row r="46" spans="1:10" hidden="1" x14ac:dyDescent="0.55000000000000004"/>
    <row r="47" spans="1:10" hidden="1" x14ac:dyDescent="0.55000000000000004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55000000000000004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55000000000000004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55000000000000004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55000000000000004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55000000000000004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55000000000000004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55000000000000004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55000000000000004"/>
    <row r="57" spans="1:10" x14ac:dyDescent="0.55000000000000004">
      <c r="A57" s="1" t="s">
        <v>330</v>
      </c>
    </row>
    <row r="58" spans="1:10" x14ac:dyDescent="0.55000000000000004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55000000000000004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4.7" thickBot="1" x14ac:dyDescent="0.6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4.7" thickBot="1" x14ac:dyDescent="0.6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topLeftCell="A51" zoomScaleNormal="100" workbookViewId="0">
      <selection activeCell="D2" sqref="D2:D311"/>
    </sheetView>
  </sheetViews>
  <sheetFormatPr defaultRowHeight="14.4" x14ac:dyDescent="0.55000000000000004"/>
  <cols>
    <col min="1" max="1" width="10.15625" style="168" bestFit="1" customWidth="1"/>
    <col min="2" max="2" width="12.68359375" style="168" bestFit="1" customWidth="1"/>
    <col min="4" max="5" width="9.15625" style="168"/>
  </cols>
  <sheetData>
    <row r="1" spans="1:38" x14ac:dyDescent="0.55000000000000004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55000000000000004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55000000000000004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55000000000000004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55000000000000004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55000000000000004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55000000000000004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55000000000000004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55000000000000004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55000000000000004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55000000000000004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55000000000000004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55000000000000004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55000000000000004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55000000000000004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55000000000000004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55000000000000004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55000000000000004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55000000000000004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55000000000000004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55000000000000004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55000000000000004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55000000000000004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55000000000000004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55000000000000004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55000000000000004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55000000000000004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55000000000000004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55000000000000004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55000000000000004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55000000000000004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55000000000000004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55000000000000004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55000000000000004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55000000000000004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55000000000000004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55000000000000004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55000000000000004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55000000000000004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55000000000000004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55000000000000004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55000000000000004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55000000000000004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55000000000000004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55000000000000004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55000000000000004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55000000000000004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55000000000000004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55000000000000004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55000000000000004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55000000000000004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55000000000000004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55000000000000004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55000000000000004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55000000000000004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55000000000000004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55000000000000004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55000000000000004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55000000000000004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55000000000000004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55000000000000004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55000000000000004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55000000000000004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55000000000000004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55000000000000004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55000000000000004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55000000000000004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55000000000000004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55000000000000004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55000000000000004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55000000000000004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55000000000000004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55000000000000004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55000000000000004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55000000000000004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55000000000000004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55000000000000004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55000000000000004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55000000000000004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55000000000000004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55000000000000004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55000000000000004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55000000000000004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55000000000000004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55000000000000004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55000000000000004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55000000000000004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55000000000000004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55000000000000004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55000000000000004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55000000000000004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55000000000000004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55000000000000004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55000000000000004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55000000000000004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55000000000000004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55000000000000004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55000000000000004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55000000000000004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55000000000000004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55000000000000004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55000000000000004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55000000000000004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55000000000000004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55000000000000004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55000000000000004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55000000000000004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55000000000000004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55000000000000004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55000000000000004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55000000000000004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55000000000000004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55000000000000004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55000000000000004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55000000000000004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55000000000000004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55000000000000004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55000000000000004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55000000000000004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55000000000000004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55000000000000004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55000000000000004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55000000000000004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55000000000000004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55000000000000004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55000000000000004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55000000000000004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55000000000000004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55000000000000004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55000000000000004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55000000000000004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55000000000000004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55000000000000004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55000000000000004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55000000000000004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55000000000000004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55000000000000004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55000000000000004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55000000000000004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55000000000000004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55000000000000004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55000000000000004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55000000000000004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55000000000000004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55000000000000004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55000000000000004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55000000000000004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55000000000000004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55000000000000004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55000000000000004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55000000000000004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55000000000000004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55000000000000004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55000000000000004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55000000000000004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55000000000000004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55000000000000004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55000000000000004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55000000000000004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55000000000000004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55000000000000004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55000000000000004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55000000000000004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55000000000000004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55000000000000004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55000000000000004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55000000000000004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55000000000000004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55000000000000004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55000000000000004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55000000000000004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55000000000000004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55000000000000004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55000000000000004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55000000000000004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55000000000000004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55000000000000004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55000000000000004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55000000000000004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55000000000000004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55000000000000004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55000000000000004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55000000000000004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55000000000000004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55000000000000004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55000000000000004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55000000000000004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55000000000000004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55000000000000004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55000000000000004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55000000000000004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55000000000000004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55000000000000004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55000000000000004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55000000000000004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55000000000000004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55000000000000004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55000000000000004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55000000000000004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55000000000000004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55000000000000004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55000000000000004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55000000000000004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55000000000000004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55000000000000004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55000000000000004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55000000000000004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55000000000000004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55000000000000004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55000000000000004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55000000000000004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55000000000000004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55000000000000004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55000000000000004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55000000000000004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55000000000000004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55000000000000004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55000000000000004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55000000000000004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55000000000000004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55000000000000004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55000000000000004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55000000000000004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55000000000000004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55000000000000004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55000000000000004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55000000000000004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55000000000000004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55000000000000004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55000000000000004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55000000000000004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55000000000000004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55000000000000004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55000000000000004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55000000000000004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55000000000000004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55000000000000004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55000000000000004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55000000000000004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55000000000000004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55000000000000004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55000000000000004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55000000000000004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55000000000000004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55000000000000004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55000000000000004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55000000000000004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55000000000000004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55000000000000004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55000000000000004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55000000000000004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55000000000000004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55000000000000004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55000000000000004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55000000000000004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55000000000000004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55000000000000004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55000000000000004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55000000000000004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55000000000000004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55000000000000004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55000000000000004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55000000000000004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55000000000000004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55000000000000004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55000000000000004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55000000000000004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55000000000000004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55000000000000004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55000000000000004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55000000000000004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55000000000000004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55000000000000004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55000000000000004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55000000000000004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55000000000000004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55000000000000004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55000000000000004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55000000000000004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55000000000000004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55000000000000004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55000000000000004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55000000000000004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55000000000000004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55000000000000004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55000000000000004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55000000000000004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55000000000000004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55000000000000004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55000000000000004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55000000000000004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55000000000000004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55000000000000004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55000000000000004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55000000000000004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55000000000000004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55000000000000004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55000000000000004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55000000000000004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55000000000000004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55000000000000004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55000000000000004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55000000000000004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55000000000000004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55000000000000004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55000000000000004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55000000000000004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55000000000000004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55000000000000004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55000000000000004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55000000000000004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5625" defaultRowHeight="14.4" x14ac:dyDescent="0.55000000000000004"/>
  <cols>
    <col min="1" max="1" width="22.15625" style="1" bestFit="1" customWidth="1"/>
    <col min="2" max="2" width="15" style="1" customWidth="1"/>
    <col min="3" max="5" width="9.15625" style="1"/>
    <col min="6" max="6" width="13.578125" style="1" customWidth="1"/>
    <col min="7" max="7" width="46.15625" style="1" customWidth="1"/>
    <col min="8" max="8" width="11.578125" style="1" bestFit="1" customWidth="1"/>
    <col min="9" max="16384" width="9.15625" style="1"/>
  </cols>
  <sheetData>
    <row r="1" spans="1:7" x14ac:dyDescent="0.55000000000000004">
      <c r="A1" s="316" t="s">
        <v>274</v>
      </c>
      <c r="F1" s="75"/>
    </row>
    <row r="2" spans="1:7" s="320" customFormat="1" x14ac:dyDescent="0.55000000000000004">
      <c r="A2" s="319"/>
      <c r="C2" s="427" t="s">
        <v>320</v>
      </c>
      <c r="D2" s="427"/>
      <c r="E2" s="427"/>
    </row>
    <row r="3" spans="1:7" s="12" customFormat="1" x14ac:dyDescent="0.55000000000000004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55000000000000004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55000000000000004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55000000000000004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55000000000000004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55000000000000004">
      <c r="A8" s="317"/>
      <c r="C8" s="12" t="s">
        <v>240</v>
      </c>
      <c r="F8" s="318"/>
    </row>
    <row r="9" spans="1:7" x14ac:dyDescent="0.55000000000000004">
      <c r="A9" s="317"/>
      <c r="B9" s="12"/>
      <c r="C9" s="12"/>
      <c r="D9" s="12"/>
      <c r="E9" s="12"/>
    </row>
    <row r="10" spans="1:7" x14ac:dyDescent="0.55000000000000004">
      <c r="B10" s="1" t="s">
        <v>23</v>
      </c>
      <c r="E10" s="1" t="s">
        <v>24</v>
      </c>
    </row>
    <row r="11" spans="1:7" x14ac:dyDescent="0.55000000000000004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55000000000000004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55000000000000004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5625" defaultRowHeight="14.4" x14ac:dyDescent="0.55000000000000004"/>
  <cols>
    <col min="1" max="1" width="58" style="1" bestFit="1" customWidth="1"/>
    <col min="2" max="5" width="9.15625" style="1"/>
    <col min="6" max="10" width="10.578125" style="1" customWidth="1"/>
    <col min="11" max="16384" width="9.15625" style="1"/>
  </cols>
  <sheetData>
    <row r="1" spans="1:10" x14ac:dyDescent="0.55000000000000004">
      <c r="A1" s="226" t="s">
        <v>274</v>
      </c>
    </row>
    <row r="2" spans="1:10" ht="15.6" x14ac:dyDescent="0.6">
      <c r="A2" s="224" t="s">
        <v>25</v>
      </c>
    </row>
    <row r="3" spans="1:10" x14ac:dyDescent="0.55000000000000004">
      <c r="A3" s="6" t="s">
        <v>305</v>
      </c>
    </row>
    <row r="4" spans="1:10" x14ac:dyDescent="0.55000000000000004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55000000000000004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226608.1620709057</v>
      </c>
      <c r="J5" s="10">
        <f>SUMIFS('Resultat-Produktion &amp; forbrug'!$N$3:$N$1000,'Resultat-Produktion &amp; forbrug'!$A$3:$A$1000,Adfærd!$G5,'Resultat-Produktion &amp; forbrug'!$D$3:$D$1000,Adfærd!J$4)</f>
        <v>237367.39124487917</v>
      </c>
    </row>
    <row r="6" spans="1:10" x14ac:dyDescent="0.55000000000000004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55000000000000004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55000000000000004">
      <c r="A8" s="2" t="s">
        <v>206</v>
      </c>
      <c r="B8" s="87">
        <v>0</v>
      </c>
      <c r="C8" s="3"/>
      <c r="D8" s="3"/>
    </row>
    <row r="9" spans="1:10" x14ac:dyDescent="0.55000000000000004">
      <c r="A9" s="1" t="s">
        <v>221</v>
      </c>
      <c r="B9" s="114"/>
      <c r="C9" s="114"/>
      <c r="D9" s="114"/>
    </row>
    <row r="10" spans="1:10" x14ac:dyDescent="0.55000000000000004">
      <c r="B10" s="6"/>
      <c r="C10" s="6"/>
      <c r="D10" s="6"/>
    </row>
    <row r="11" spans="1:10" x14ac:dyDescent="0.55000000000000004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55000000000000004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55000000000000004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55000000000000004">
      <c r="A14" s="12"/>
      <c r="B14" s="14"/>
      <c r="C14" s="14"/>
      <c r="D14" s="14"/>
    </row>
    <row r="15" spans="1:10" hidden="1" x14ac:dyDescent="0.55000000000000004">
      <c r="A15" s="6" t="s">
        <v>153</v>
      </c>
      <c r="B15" s="6"/>
      <c r="C15" s="6"/>
      <c r="D15" s="6"/>
      <c r="F15" s="1" t="s">
        <v>94</v>
      </c>
    </row>
    <row r="16" spans="1:10" hidden="1" x14ac:dyDescent="0.55000000000000004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55000000000000004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55000000000000004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55000000000000004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55000000000000004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55000000000000004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55000000000000004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55000000000000004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55000000000000004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55000000000000004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55000000000000004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55000000000000004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55000000000000004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55000000000000004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55000000000000004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55000000000000004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55000000000000004">
      <c r="A32" s="4" t="s">
        <v>18</v>
      </c>
      <c r="B32" s="102">
        <v>134</v>
      </c>
      <c r="C32" s="114"/>
    </row>
    <row r="33" spans="1:4" hidden="1" x14ac:dyDescent="0.55000000000000004">
      <c r="A33" s="4" t="s">
        <v>20</v>
      </c>
      <c r="B33" s="105">
        <v>0.33</v>
      </c>
      <c r="C33" s="114" t="s">
        <v>152</v>
      </c>
    </row>
    <row r="34" spans="1:4" hidden="1" x14ac:dyDescent="0.55000000000000004">
      <c r="A34" s="5" t="s">
        <v>21</v>
      </c>
      <c r="B34" s="117">
        <v>0.67</v>
      </c>
      <c r="C34" s="114"/>
    </row>
    <row r="35" spans="1:4" x14ac:dyDescent="0.55000000000000004">
      <c r="A35" s="12"/>
      <c r="B35" s="12"/>
      <c r="C35" s="12"/>
      <c r="D35" s="12"/>
    </row>
    <row r="36" spans="1:4" x14ac:dyDescent="0.55000000000000004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6" sqref="D16"/>
    </sheetView>
  </sheetViews>
  <sheetFormatPr defaultColWidth="9.15625" defaultRowHeight="11.7" x14ac:dyDescent="0.45"/>
  <cols>
    <col min="1" max="1" width="15.83984375" style="123" customWidth="1"/>
    <col min="2" max="2" width="10.15625" style="123" bestFit="1" customWidth="1"/>
    <col min="3" max="3" width="10.15625" style="123" customWidth="1"/>
    <col min="4" max="4" width="11.83984375" style="123" bestFit="1" customWidth="1"/>
    <col min="5" max="5" width="11" style="123" customWidth="1"/>
    <col min="6" max="6" width="13.41796875" style="123" customWidth="1"/>
    <col min="7" max="7" width="24.26171875" style="123" customWidth="1"/>
    <col min="8" max="8" width="10" style="123" hidden="1" customWidth="1"/>
    <col min="9" max="12" width="9.26171875" style="123" hidden="1" customWidth="1"/>
    <col min="13" max="13" width="24.26171875" style="123" hidden="1" customWidth="1"/>
    <col min="14" max="14" width="12.68359375" style="123" hidden="1" customWidth="1"/>
    <col min="15" max="15" width="9.26171875" style="123" hidden="1" customWidth="1"/>
    <col min="16" max="16" width="9.83984375" style="123" hidden="1" customWidth="1"/>
    <col min="17" max="22" width="0" style="123" hidden="1" customWidth="1"/>
    <col min="23" max="23" width="2.578125" style="123" hidden="1" customWidth="1"/>
    <col min="24" max="16384" width="9.15625" style="123"/>
  </cols>
  <sheetData>
    <row r="1" spans="1:29" ht="12" thickBot="1" x14ac:dyDescent="0.5">
      <c r="A1" s="225" t="s">
        <v>274</v>
      </c>
    </row>
    <row r="2" spans="1:29" ht="46.5" customHeight="1" x14ac:dyDescent="0.45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45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0.87662990659731932</v>
      </c>
      <c r="AC3" s="230">
        <f>SUM(E12:E14)/SUM(E12:E15)</f>
        <v>0.86872264893366935</v>
      </c>
    </row>
    <row r="4" spans="1:29" x14ac:dyDescent="0.45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45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0.35512191290714007</v>
      </c>
      <c r="AC5" s="346">
        <f t="shared" si="0"/>
        <v>0.34536833172797138</v>
      </c>
    </row>
    <row r="6" spans="1:29" x14ac:dyDescent="0.45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0.41030553120232033</v>
      </c>
      <c r="AC6" s="346">
        <f t="shared" si="0"/>
        <v>0.40883754065581773</v>
      </c>
    </row>
    <row r="7" spans="1:29" x14ac:dyDescent="0.45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" thickBot="1" x14ac:dyDescent="0.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5" customHeight="1" x14ac:dyDescent="0.45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45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45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9147340.4973796736</v>
      </c>
      <c r="E12" s="130">
        <f>SUMIFS('Resultater - Danmark'!J$3:J$504,'Resultater - Danmark'!$F$3:$F$504,$A12)*D3</f>
        <v>8757449.2808849216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0.35512191290714007</v>
      </c>
      <c r="L12" s="131">
        <f t="shared" ref="L12:L28" si="3">E12/E$29</f>
        <v>0.34536833172797138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45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10568777.271841515</v>
      </c>
      <c r="E13" s="133">
        <f>SUMIFS('Resultater - Danmark'!J$3:J$504,'Resultater - Danmark'!$F$3:$F$504,$A13)*D4</f>
        <v>10366827.811054559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0.41030553120232033</v>
      </c>
      <c r="L13" s="134">
        <f t="shared" si="3"/>
        <v>0.40883754065581773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45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4669.3150599254877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1.7553418461446592E-4</v>
      </c>
      <c r="L14" s="134">
        <f t="shared" si="3"/>
        <v>1.8414420693005777E-4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45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2775329.8009308982</v>
      </c>
      <c r="E15" s="133">
        <f>SUMIFS('Resultater - Danmark'!J$3:J$504,'Resultater - Danmark'!$F$3:$F$504,$A15)*D6</f>
        <v>2890677.9581297943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0.10774502470276469</v>
      </c>
      <c r="L15" s="134">
        <f t="shared" si="3"/>
        <v>0.11399993216531935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45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1505490.464025514</v>
      </c>
      <c r="E16" s="133">
        <f>SUMIFS('Resultater - Danmark'!J$3:J$504,'Resultater - Danmark'!$F$3:$F$504,$A16)*D7</f>
        <v>1577517.9173522871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5.8446786101528432E-2</v>
      </c>
      <c r="L16" s="134">
        <f t="shared" si="3"/>
        <v>6.2212719013531058E-2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45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45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1.4131167493509476E-2</v>
      </c>
      <c r="L18" s="134">
        <f t="shared" si="3"/>
        <v>1.4582929515804097E-2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45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2.8183836049748175E-2</v>
      </c>
      <c r="L19" s="134">
        <f t="shared" si="3"/>
        <v>2.8514279399937982E-2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45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1803882.2275068518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1701764.1912565753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2.9479417916513924E-3</v>
      </c>
      <c r="L20" s="134">
        <f t="shared" si="3"/>
        <v>2.99461613311014E-3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45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2425424.9668528591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2803825.2500088583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1.469816896672396E-4</v>
      </c>
      <c r="L21" s="134">
        <f t="shared" si="3"/>
        <v>1.4930882977263137E-4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45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4803676.4207574017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5745150.9184609577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3.3261886491336734E-3</v>
      </c>
      <c r="L22" s="134">
        <f t="shared" si="3"/>
        <v>3.3788517190781134E-3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45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1703274.5214405721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2101392.5568710221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1.2812408640813634E-2</v>
      </c>
      <c r="L23" s="134">
        <f t="shared" si="3"/>
        <v>1.3015265677375182E-2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45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1780727.3487029388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1897043.1952891899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1.112068278002662E-3</v>
      </c>
      <c r="L24" s="134">
        <f t="shared" si="3"/>
        <v>1.1296754962591192E-3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45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3.0281489154898806E-6</v>
      </c>
      <c r="L25" s="134">
        <f t="shared" si="3"/>
        <v>3.0760931648878094E-6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45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5.5415901601904684E-3</v>
      </c>
      <c r="L26" s="134">
        <f t="shared" si="3"/>
        <v>5.6293293659284063E-3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45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" thickBot="1" x14ac:dyDescent="0.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45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25758310.498207945</v>
      </c>
      <c r="E29" s="142">
        <f>SUM(E12:E28)</f>
        <v>25356839.282481484</v>
      </c>
      <c r="F29" s="142"/>
      <c r="G29" s="142"/>
      <c r="H29" s="143"/>
      <c r="I29" s="143"/>
      <c r="J29" s="144">
        <f>SUM(J12:J28)</f>
        <v>1</v>
      </c>
      <c r="K29" s="144">
        <f>SUM(K12:K28)</f>
        <v>1.0000000000000002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45">
      <c r="A30" s="145" t="s">
        <v>123</v>
      </c>
      <c r="C30" s="146">
        <f>SUMPRODUCT(C12:C28,$H$12:$H$28)/C29</f>
        <v>0.13822427556900557</v>
      </c>
      <c r="D30" s="146">
        <f>SUMPRODUCT(D12:D28,$H$12:$H$28)/D29</f>
        <v>0.10128017352721401</v>
      </c>
      <c r="E30" s="146">
        <f>SUMPRODUCT(E12:E28,$H$12:$H$28)/E29</f>
        <v>0.10265032199911929</v>
      </c>
      <c r="F30" s="157"/>
      <c r="G30" s="157"/>
    </row>
    <row r="31" spans="1:23" x14ac:dyDescent="0.45">
      <c r="A31" s="145" t="s">
        <v>160</v>
      </c>
      <c r="C31" s="146">
        <f>SUM(C21:C24)/C29</f>
        <v>3.4233743881736389E-2</v>
      </c>
      <c r="D31" s="146">
        <f>SUM(D21:D24)/D29</f>
        <v>1.7397647257617208E-2</v>
      </c>
      <c r="E31" s="146">
        <f>SUM(E21:E24)/E29</f>
        <v>1.7673101722485048E-2</v>
      </c>
      <c r="F31" s="157"/>
      <c r="G31" s="157"/>
    </row>
    <row r="32" spans="1:23" x14ac:dyDescent="0.45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609327636.78478932</v>
      </c>
      <c r="E32" s="123">
        <f>SUMPRODUCT(E12:E28,$I$12:$I$28)</f>
        <v>607975871.10291469</v>
      </c>
    </row>
    <row r="33" spans="1:15" x14ac:dyDescent="0.45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21.87486216057394</v>
      </c>
      <c r="E33" s="123">
        <f>E32*[1]Energiindhold!$C$10</f>
        <v>21.826333772594641</v>
      </c>
    </row>
    <row r="34" spans="1:15" x14ac:dyDescent="0.45">
      <c r="C34" s="250"/>
    </row>
    <row r="35" spans="1:15" x14ac:dyDescent="0.45">
      <c r="A35" s="177"/>
      <c r="B35" s="177" t="s">
        <v>27</v>
      </c>
      <c r="C35" s="177" t="s">
        <v>28</v>
      </c>
    </row>
    <row r="36" spans="1:15" x14ac:dyDescent="0.45">
      <c r="A36" s="177" t="s">
        <v>158</v>
      </c>
      <c r="B36" s="178">
        <v>0.8</v>
      </c>
      <c r="C36" s="178">
        <v>0.2</v>
      </c>
    </row>
    <row r="38" spans="1:15" hidden="1" x14ac:dyDescent="0.45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45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7989661.5832169671</v>
      </c>
      <c r="E39" s="130">
        <f>SUMIFS('Resultater - Vestdanmark'!J$3:J$504,'Resultater - Vestdanmark'!$F$3:$F$504,$A39)*D3</f>
        <v>7649114.6368171675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1157678.9141627084</v>
      </c>
      <c r="M39" s="130">
        <f>SUMIFS('Resultater - Østdanmark'!J$3:J$504,'Resultater - Østdanmark'!$F$3:$F$504,$A39)*D3</f>
        <v>1108334.6440677529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45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9867457.5006151944</v>
      </c>
      <c r="E40" s="133">
        <f>SUMIFS('Resultater - Vestdanmark'!J$3:J$504,'Resultater - Vestdanmark'!$F$3:$F$504,$A40)*D4</f>
        <v>9678908.9419378657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701319.77122631879</v>
      </c>
      <c r="M40" s="133">
        <f>SUMIFS('Resultater - Østdanmark'!J$3:J$504,'Resultater - Østdanmark'!$F$3:$F$504,$A40)*D4</f>
        <v>687918.86911669304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45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4307.7658612412106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361.54919868427658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45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1507101.1523820646</v>
      </c>
      <c r="E42" s="133">
        <f>SUMIFS('Resultater - Vestdanmark'!J$3:J$504,'Resultater - Vestdanmark'!$F$3:$F$504,$A42)*D6</f>
        <v>1563200.2483061554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1268228.6485488336</v>
      </c>
      <c r="M42" s="133">
        <f>SUMIFS('Resultater - Østdanmark'!J$3:J$504,'Resultater - Østdanmark'!$F$3:$F$504,$A42)*D6</f>
        <v>1327477.7098236387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45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1326462.9092294232</v>
      </c>
      <c r="E43" s="133">
        <f>SUMIFS('Resultater - Vestdanmark'!J$3:J$504,'Resultater - Vestdanmark'!$F$3:$F$504,$A43)*D7</f>
        <v>1388988.8638442878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179027.55479609076</v>
      </c>
      <c r="M43" s="133">
        <f>SUMIFS('Resultater - Østdanmark'!J$3:J$504,'Resultater - Østdanmark'!$F$3:$F$504,$A43)*D7</f>
        <v>188529.05350799995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45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45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45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523057.13098607323</v>
      </c>
      <c r="E46" s="133">
        <f>SUMIFS('Resultater - Vestdanmark'!J$3:J$504,'Resultater - Vestdanmark'!$F$3:$F$504,$A46)/SUMIFS('Resultater - Danmark'!J$3:J$504,'Resultater - Danmark'!$F$3:$F$504,$A46)*E19</f>
        <v>519697.15308066551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202910.8690139266</v>
      </c>
      <c r="M46" s="133">
        <f>SUMIFS('Resultater - Østdanmark'!J$3:J$504,'Resultater - Østdanmark'!$F$3:$F$504,$A46)/SUMIFS('Resultater - Danmark'!J$3:J$504,'Resultater - Danmark'!$F$3:$F$504,$A46)*E19</f>
        <v>203334.8469193347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45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52973.141962340742</v>
      </c>
      <c r="E47" s="133">
        <f>SUMIFS('Resultater - Vestdanmark'!J$3:J$504,'Resultater - Vestdanmark'!$F$3:$F$504,$A47)/SUMIFS('Resultater - Danmark'!J$3:J$504,'Resultater - Danmark'!$F$3:$F$504,$A47)*E20</f>
        <v>52709.156061702248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22960.858037659247</v>
      </c>
      <c r="M47" s="133">
        <f>SUMIFS('Resultater - Østdanmark'!J$3:J$504,'Resultater - Østdanmark'!$F$3:$F$504,$A47)/SUMIFS('Resultater - Danmark'!J$3:J$504,'Resultater - Danmark'!$F$3:$F$504,$A47)*E20</f>
        <v>23224.843938297741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45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45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45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45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45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45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45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" hidden="1" thickBot="1" x14ac:dyDescent="0.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45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21977258.071949821</v>
      </c>
      <c r="E56" s="142">
        <f ca="1">SUM(E39:E55)</f>
        <v>21565477.278480243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3781052.4262581291</v>
      </c>
      <c r="M56" s="142">
        <f ca="1">SUM(M39:M55)</f>
        <v>3791362.0040012505</v>
      </c>
      <c r="N56" s="143"/>
      <c r="O56" s="143"/>
    </row>
    <row r="57" spans="1:15" hidden="1" x14ac:dyDescent="0.45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9.9074464467804588E-2</v>
      </c>
      <c r="E57" s="146">
        <f ca="1">SUMPRODUCT(E39:E55,$F$39:$F$55)/E56</f>
        <v>0.10049090196380592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0.11410079375814036</v>
      </c>
      <c r="M57" s="146">
        <f ca="1">SUMPRODUCT(M39:M55,$N$39:$N$55)/M56</f>
        <v>0.11493322288199427</v>
      </c>
    </row>
    <row r="58" spans="1:15" hidden="1" x14ac:dyDescent="0.45">
      <c r="A58" s="145" t="s">
        <v>160</v>
      </c>
      <c r="C58" s="146">
        <f ca="1">SUM(C48:C51)/C56</f>
        <v>3.81572085208291E-2</v>
      </c>
      <c r="D58" s="146">
        <f ca="1">SUM(D48:D51)/D56</f>
        <v>1.8066659823972927E-2</v>
      </c>
      <c r="E58" s="146">
        <f ca="1">SUM(E48:E51)/E56</f>
        <v>1.840121676815501E-2</v>
      </c>
      <c r="I58" s="145" t="s">
        <v>160</v>
      </c>
      <c r="K58" s="146">
        <f ca="1">SUM(K48:K51)/K56</f>
        <v>1.898804560837036E-2</v>
      </c>
      <c r="L58" s="146">
        <f ca="1">SUM(L48:L51)/L56</f>
        <v>1.350903102948204E-2</v>
      </c>
      <c r="M58" s="146">
        <f ca="1">SUM(M48:M51)/M56</f>
        <v>1.3531542974746409E-2</v>
      </c>
    </row>
    <row r="59" spans="1:15" hidden="1" x14ac:dyDescent="0.45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500549498.82270408</v>
      </c>
      <c r="E59" s="123">
        <f ca="1">SUMPRODUCT(E39:E55,$I$12:$I$28)</f>
        <v>498159957.32203865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108778137.96208516</v>
      </c>
      <c r="M59" s="123">
        <f ca="1">SUMPRODUCT(M39:M55,$I$12:$I$28)</f>
        <v>109815913.78087609</v>
      </c>
    </row>
    <row r="60" spans="1:15" hidden="1" x14ac:dyDescent="0.45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17.969727007735077</v>
      </c>
      <c r="E60" s="123">
        <f ca="1">E59*[1]Energiindhold!$C$10</f>
        <v>17.883942467861189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3.9051351528388576</v>
      </c>
      <c r="M60" s="123">
        <f ca="1">M59*[1]Energiindhold!$C$10</f>
        <v>3.942391304733452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0" sqref="E10"/>
    </sheetView>
  </sheetViews>
  <sheetFormatPr defaultColWidth="9.15625" defaultRowHeight="14.4" x14ac:dyDescent="0.55000000000000004"/>
  <cols>
    <col min="1" max="1" width="25" style="1" customWidth="1"/>
    <col min="2" max="2" width="11.578125" style="1" bestFit="1" customWidth="1"/>
    <col min="3" max="4" width="9.15625" style="1"/>
    <col min="5" max="5" width="45.68359375" style="1" customWidth="1"/>
    <col min="6" max="16384" width="9.15625" style="1"/>
  </cols>
  <sheetData>
    <row r="1" spans="1:4" x14ac:dyDescent="0.55000000000000004">
      <c r="A1" s="226" t="s">
        <v>274</v>
      </c>
    </row>
    <row r="2" spans="1:4" ht="15.6" x14ac:dyDescent="0.6">
      <c r="A2" s="224" t="s">
        <v>340</v>
      </c>
    </row>
    <row r="3" spans="1:4" x14ac:dyDescent="0.55000000000000004">
      <c r="A3" s="2" t="s">
        <v>339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55000000000000004">
      <c r="A4" s="2" t="s">
        <v>67</v>
      </c>
      <c r="B4" s="109">
        <v>0</v>
      </c>
      <c r="C4" s="110">
        <v>0</v>
      </c>
      <c r="D4" s="110">
        <v>0</v>
      </c>
    </row>
    <row r="5" spans="1:4" x14ac:dyDescent="0.55000000000000004">
      <c r="A5" s="2" t="s">
        <v>119</v>
      </c>
      <c r="B5" s="109">
        <v>0</v>
      </c>
      <c r="C5" s="110">
        <v>0</v>
      </c>
      <c r="D5" s="110">
        <v>0</v>
      </c>
    </row>
    <row r="6" spans="1:4" x14ac:dyDescent="0.55000000000000004">
      <c r="A6" s="306"/>
    </row>
    <row r="7" spans="1:4" ht="15.6" x14ac:dyDescent="0.6">
      <c r="A7" s="224" t="s">
        <v>297</v>
      </c>
    </row>
    <row r="8" spans="1:4" x14ac:dyDescent="0.55000000000000004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55000000000000004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55000000000000004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55000000000000004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55000000000000004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55000000000000004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55000000000000004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55000000000000004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55000000000000004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55000000000000004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55000000000000004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55000000000000004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4.4" x14ac:dyDescent="0.55000000000000004"/>
  <cols>
    <col min="6" max="6" width="21.26171875" customWidth="1"/>
  </cols>
  <sheetData>
    <row r="1" spans="1:9" x14ac:dyDescent="0.55000000000000004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55000000000000004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55000000000000004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55000000000000004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55000000000000004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55000000000000004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55000000000000004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55000000000000004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55000000000000004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55000000000000004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55000000000000004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55000000000000004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55000000000000004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55000000000000004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55000000000000004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55000000000000004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55000000000000004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55000000000000004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55000000000000004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55000000000000004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55000000000000004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55000000000000004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55000000000000004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55000000000000004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55000000000000004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55000000000000004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55000000000000004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55000000000000004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55000000000000004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55000000000000004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55000000000000004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55000000000000004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55000000000000004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55000000000000004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55000000000000004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55000000000000004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55000000000000004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55000000000000004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55000000000000004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55000000000000004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55000000000000004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55000000000000004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55000000000000004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55000000000000004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55000000000000004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55000000000000004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55000000000000004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55000000000000004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55000000000000004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55000000000000004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55000000000000004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55000000000000004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55000000000000004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55000000000000004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55000000000000004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55000000000000004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55000000000000004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55000000000000004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55000000000000004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55000000000000004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55000000000000004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55000000000000004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55000000000000004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55000000000000004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55000000000000004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55000000000000004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55000000000000004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55000000000000004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55000000000000004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55000000000000004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55000000000000004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55000000000000004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55000000000000004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55000000000000004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55000000000000004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55000000000000004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55000000000000004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55000000000000004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55000000000000004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55000000000000004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55000000000000004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55000000000000004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55000000000000004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55000000000000004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55000000000000004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55000000000000004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55000000000000004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55000000000000004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55000000000000004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55000000000000004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55000000000000004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55000000000000004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55000000000000004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55000000000000004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55000000000000004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55000000000000004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55000000000000004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55000000000000004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55000000000000004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55000000000000004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55000000000000004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55000000000000004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55000000000000004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55000000000000004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55000000000000004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55000000000000004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55000000000000004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55000000000000004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55000000000000004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55000000000000004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55000000000000004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55000000000000004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55000000000000004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55000000000000004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55000000000000004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55000000000000004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55000000000000004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55000000000000004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55000000000000004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55000000000000004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55000000000000004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55000000000000004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55000000000000004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55000000000000004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55000000000000004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55000000000000004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55000000000000004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55000000000000004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55000000000000004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55000000000000004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55000000000000004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55000000000000004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55000000000000004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55000000000000004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55000000000000004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55000000000000004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55000000000000004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55000000000000004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55000000000000004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55000000000000004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55000000000000004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55000000000000004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55000000000000004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55000000000000004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55000000000000004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55000000000000004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55000000000000004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55000000000000004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55000000000000004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55000000000000004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55000000000000004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55000000000000004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55000000000000004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55000000000000004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55000000000000004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55000000000000004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55000000000000004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55000000000000004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55000000000000004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55000000000000004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55000000000000004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55000000000000004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55000000000000004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55000000000000004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55000000000000004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55000000000000004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55000000000000004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55000000000000004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55000000000000004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55000000000000004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55000000000000004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55000000000000004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55000000000000004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55000000000000004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55000000000000004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55000000000000004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55000000000000004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55000000000000004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55000000000000004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55000000000000004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55000000000000004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55000000000000004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55000000000000004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55000000000000004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55000000000000004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55000000000000004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55000000000000004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55000000000000004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55000000000000004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55000000000000004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55000000000000004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55000000000000004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55000000000000004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55000000000000004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55000000000000004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55000000000000004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55000000000000004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55000000000000004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55000000000000004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55000000000000004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55000000000000004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55000000000000004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55000000000000004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55000000000000004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55000000000000004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55000000000000004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55000000000000004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55000000000000004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55000000000000004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55000000000000004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55000000000000004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55000000000000004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55000000000000004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55000000000000004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55000000000000004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55000000000000004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55000000000000004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55000000000000004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55000000000000004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55000000000000004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55000000000000004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55000000000000004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55000000000000004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55000000000000004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55000000000000004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55000000000000004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55000000000000004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55000000000000004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55000000000000004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55000000000000004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21"/>
  <sheetViews>
    <sheetView topLeftCell="A390" workbookViewId="0">
      <selection activeCell="E404" sqref="E404"/>
    </sheetView>
  </sheetViews>
  <sheetFormatPr defaultRowHeight="14.4" x14ac:dyDescent="0.55000000000000004"/>
  <cols>
    <col min="5" max="5" width="10.68359375" bestFit="1" customWidth="1"/>
    <col min="18" max="18" width="14.578125" bestFit="1" customWidth="1"/>
  </cols>
  <sheetData>
    <row r="1" spans="1:13" x14ac:dyDescent="0.55000000000000004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55000000000000004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55000000000000004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55000000000000004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55000000000000004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55000000000000004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55000000000000004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55000000000000004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55000000000000004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55000000000000004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55000000000000004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55000000000000004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55000000000000004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55000000000000004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55000000000000004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55000000000000004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55000000000000004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55000000000000004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55000000000000004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55000000000000004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55000000000000004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55000000000000004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55000000000000004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55000000000000004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55000000000000004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55000000000000004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55000000000000004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55000000000000004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55000000000000004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55000000000000004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55000000000000004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55000000000000004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55000000000000004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55000000000000004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55000000000000004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55000000000000004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55000000000000004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55000000000000004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55000000000000004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55000000000000004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55000000000000004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55000000000000004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55000000000000004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55000000000000004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55000000000000004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55000000000000004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55000000000000004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55000000000000004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55000000000000004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55000000000000004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55000000000000004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55000000000000004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55000000000000004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55000000000000004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55000000000000004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55000000000000004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55000000000000004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55000000000000004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55000000000000004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55000000000000004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55000000000000004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55000000000000004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55000000000000004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55000000000000004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55000000000000004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55000000000000004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55000000000000004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55000000000000004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55000000000000004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55000000000000004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55000000000000004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55000000000000004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55000000000000004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55000000000000004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55000000000000004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55000000000000004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55000000000000004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55000000000000004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55000000000000004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55000000000000004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55000000000000004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55000000000000004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55000000000000004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55000000000000004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55000000000000004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55000000000000004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55000000000000004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55000000000000004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55000000000000004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55000000000000004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55000000000000004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55000000000000004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55000000000000004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55000000000000004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55000000000000004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55000000000000004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55000000000000004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55000000000000004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55000000000000004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55000000000000004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55000000000000004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55000000000000004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55000000000000004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55000000000000004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55000000000000004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55000000000000004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55000000000000004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55000000000000004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55000000000000004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55000000000000004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55000000000000004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52973.141962340742</v>
      </c>
    </row>
    <row r="112" spans="1:5" x14ac:dyDescent="0.55000000000000004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55000000000000004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55000000000000004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55000000000000004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55000000000000004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55000000000000004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55000000000000004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55000000000000004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55000000000000004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55000000000000004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55000000000000004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55000000000000004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55000000000000004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55000000000000004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55000000000000004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55000000000000004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55000000000000004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52709.156061702248</v>
      </c>
    </row>
    <row r="129" spans="1:5" x14ac:dyDescent="0.55000000000000004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55000000000000004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55000000000000004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55000000000000004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55000000000000004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55000000000000004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55000000000000004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55000000000000004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55000000000000004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55000000000000004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55000000000000004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55000000000000004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55000000000000004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55000000000000004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55000000000000004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55000000000000004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55000000000000004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55000000000000004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55000000000000004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55000000000000004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55000000000000004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55000000000000004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55000000000000004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55000000000000004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55000000000000004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55000000000000004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55000000000000004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55000000000000004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55000000000000004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55000000000000004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55000000000000004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55000000000000004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55000000000000004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55000000000000004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22960.858037659247</v>
      </c>
    </row>
    <row r="163" spans="1:5" x14ac:dyDescent="0.55000000000000004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55000000000000004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55000000000000004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55000000000000004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55000000000000004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55000000000000004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55000000000000004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55000000000000004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55000000000000004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55000000000000004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55000000000000004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55000000000000004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55000000000000004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55000000000000004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55000000000000004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55000000000000004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55000000000000004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23224.843938297741</v>
      </c>
    </row>
    <row r="180" spans="1:18" x14ac:dyDescent="0.55000000000000004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55000000000000004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55000000000000004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55000000000000004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55000000000000004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55000000000000004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55000000000000004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55000000000000004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55000000000000004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55000000000000004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55000000000000004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55000000000000004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55000000000000004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55000000000000004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55000000000000004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55000000000000004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55000000000000004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55000000000000004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55000000000000004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55000000000000004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55000000000000004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55000000000000004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55000000000000004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55000000000000004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4"/>
    </row>
    <row r="204" spans="1:7" x14ac:dyDescent="0.55000000000000004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4"/>
    </row>
    <row r="205" spans="1:7" x14ac:dyDescent="0.55000000000000004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55000000000000004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55000000000000004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4"/>
    </row>
    <row r="208" spans="1:7" x14ac:dyDescent="0.55000000000000004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4"/>
    </row>
    <row r="209" spans="1:7" x14ac:dyDescent="0.55000000000000004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4"/>
    </row>
    <row r="210" spans="1:7" x14ac:dyDescent="0.55000000000000004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55000000000000004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55000000000000004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4"/>
    </row>
    <row r="213" spans="1:7" x14ac:dyDescent="0.55000000000000004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4"/>
    </row>
    <row r="214" spans="1:7" x14ac:dyDescent="0.55000000000000004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55000000000000004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55000000000000004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4"/>
    </row>
    <row r="217" spans="1:7" x14ac:dyDescent="0.55000000000000004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4"/>
    </row>
    <row r="218" spans="1:7" x14ac:dyDescent="0.55000000000000004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55000000000000004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55000000000000004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55000000000000004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55000000000000004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55000000000000004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55000000000000004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55000000000000004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55000000000000004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55000000000000004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55000000000000004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55000000000000004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55000000000000004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55000000000000004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55000000000000004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55000000000000004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55000000000000004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55000000000000004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55000000000000004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55000000000000004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55000000000000004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55000000000000004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55000000000000004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55000000000000004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55000000000000004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55000000000000004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55000000000000004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55000000000000004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55000000000000004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55000000000000004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55000000000000004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55000000000000004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55000000000000004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55000000000000004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55000000000000004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55000000000000004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55000000000000004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55000000000000004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55000000000000004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55000000000000004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55000000000000004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55000000000000004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55000000000000004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55000000000000004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55000000000000004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55000000000000004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55000000000000004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55000000000000004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55000000000000004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55000000000000004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55000000000000004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55000000000000004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55000000000000004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55000000000000004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55000000000000004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55000000000000004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55000000000000004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55000000000000004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55000000000000004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55000000000000004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55000000000000004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55000000000000004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55000000000000004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55000000000000004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55000000000000004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55000000000000004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55000000000000004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55000000000000004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55000000000000004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55000000000000004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55000000000000004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55000000000000004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55000000000000004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55000000000000004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55000000000000004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55000000000000004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55000000000000004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55000000000000004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55000000000000004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55000000000000004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55000000000000004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55000000000000004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55000000000000004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55000000000000004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55000000000000004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1090857.6667890928</v>
      </c>
      <c r="F302" s="168">
        <v>1</v>
      </c>
    </row>
    <row r="303" spans="1:7" x14ac:dyDescent="0.55000000000000004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55000000000000004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55000000000000004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55000000000000004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55000000000000004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55000000000000004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55000000000000004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55000000000000004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55000000000000004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55000000000000004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55000000000000004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55000000000000004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713024.56071776</v>
      </c>
      <c r="F314" s="168">
        <v>1</v>
      </c>
    </row>
    <row r="315" spans="1:7" x14ac:dyDescent="0.55000000000000004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55000000000000004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55000000000000004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55000000000000004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55000000000000004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55000000000000004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55000000000000004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55000000000000004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55000000000000004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55000000000000004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55000000000000004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55000000000000004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1010684.2499246729</v>
      </c>
      <c r="F326" s="168">
        <v>1</v>
      </c>
    </row>
    <row r="327" spans="1:7" x14ac:dyDescent="0.55000000000000004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55000000000000004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55000000000000004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2001119.0505128279</v>
      </c>
      <c r="F329" s="168">
        <v>1</v>
      </c>
    </row>
    <row r="330" spans="1:7" x14ac:dyDescent="0.55000000000000004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55000000000000004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55000000000000004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55000000000000004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55000000000000004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55000000000000004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55000000000000004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55000000000000004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55000000000000004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691079.94133190333</v>
      </c>
      <c r="F338" s="168">
        <v>1</v>
      </c>
    </row>
    <row r="339" spans="1:7" x14ac:dyDescent="0.55000000000000004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55000000000000004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55000000000000004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585276.82167847839</v>
      </c>
      <c r="F341" s="168">
        <v>1</v>
      </c>
    </row>
    <row r="342" spans="1:7" x14ac:dyDescent="0.55000000000000004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55000000000000004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55000000000000004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55000000000000004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55000000000000004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55000000000000004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55000000000000004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55000000000000004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55000000000000004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55000000000000004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55000000000000004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55000000000000004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55000000000000004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55000000000000004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55000000000000004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55000000000000004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55000000000000004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55000000000000004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55000000000000004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17711161.810424652</v>
      </c>
    </row>
    <row r="361" spans="1:5" x14ac:dyDescent="0.55000000000000004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571108.87935312989</v>
      </c>
    </row>
    <row r="362" spans="1:5" x14ac:dyDescent="0.55000000000000004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55000000000000004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55000000000000004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55000000000000004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55000000000000004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17222550.97014698</v>
      </c>
    </row>
    <row r="367" spans="1:5" x14ac:dyDescent="0.55000000000000004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549824.31220967998</v>
      </c>
    </row>
    <row r="368" spans="1:5" x14ac:dyDescent="0.55000000000000004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55000000000000004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55000000000000004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55000000000000004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55000000000000004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55000000000000004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55000000000000004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55000000000000004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55000000000000004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55000000000000004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55000000000000004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3047096.7359039234</v>
      </c>
    </row>
    <row r="379" spans="1:5" x14ac:dyDescent="0.55000000000000004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364918.6036041156</v>
      </c>
    </row>
    <row r="380" spans="1:5" x14ac:dyDescent="0.55000000000000004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55000000000000004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55000000000000004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55000000000000004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55000000000000004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3027845.1302976091</v>
      </c>
    </row>
    <row r="385" spans="1:7" x14ac:dyDescent="0.55000000000000004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354148.81875125773</v>
      </c>
    </row>
    <row r="386" spans="1:7" x14ac:dyDescent="0.55000000000000004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55000000000000004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55000000000000004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55000000000000004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55000000000000004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55000000000000004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55000000000000004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55000000000000004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55000000000000004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55000000000000004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55000000000000004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55000000000000004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55000000000000004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55000000000000004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55000000000000004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55000000000000004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55000000000000004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55000000000000004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s="168" customFormat="1" x14ac:dyDescent="0.55000000000000004">
      <c r="A404" s="168" t="s">
        <v>313</v>
      </c>
      <c r="B404" s="168" t="s">
        <v>23</v>
      </c>
      <c r="C404" s="168" t="s">
        <v>119</v>
      </c>
      <c r="D404" s="168">
        <f>År1</f>
        <v>2019</v>
      </c>
      <c r="E404" s="168">
        <f ca="1">HLOOKUP(D404,'Forbrug til andet'!$B$3:$D$5,3,FALSE)*IF(B404="Vestdanmark",SUMIFS(IF(D404=År1,'Resultater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biomasse'!C404))/SUMIFS(IF(D404=År1,'Resultater - Danmark'!$H$3:$H$502,IF(D404=År2,'Resultater - Danmark'!$I$3:$I$502,'Resultater - Danmark'!$J$3:$J$502)),'Resultater - Danmark'!$F$3:$F$502,'Forbrug af biomasse'!C404)</f>
        <v>0</v>
      </c>
      <c r="G404" s="168">
        <v>1</v>
      </c>
    </row>
    <row r="405" spans="1:7" s="168" customFormat="1" x14ac:dyDescent="0.55000000000000004">
      <c r="A405" s="168" t="s">
        <v>313</v>
      </c>
      <c r="B405" s="168" t="s">
        <v>23</v>
      </c>
      <c r="C405" s="168" t="s">
        <v>119</v>
      </c>
      <c r="D405" s="168">
        <f>År2</f>
        <v>2030</v>
      </c>
      <c r="E405" s="168">
        <f ca="1">HLOOKUP(D405,'Forbrug til andet'!$B$3:$D$5,3,FALSE)*IF(B405="Vestdanmark",SUMIFS(IF(D405=År1,'Resultater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biomasse'!C405))/SUMIFS(IF(D405=År1,'Resultater - Danmark'!$H$3:$H$502,IF(D405=År2,'Resultater - Danmark'!$I$3:$I$502,'Resultater - Danmark'!$J$3:$J$502)),'Resultater - Danmark'!$F$3:$F$502,'Forbrug af biomasse'!C405)</f>
        <v>0</v>
      </c>
      <c r="G405" s="168">
        <v>1</v>
      </c>
    </row>
    <row r="406" spans="1:7" s="168" customFormat="1" x14ac:dyDescent="0.55000000000000004">
      <c r="A406" s="168" t="s">
        <v>313</v>
      </c>
      <c r="B406" s="168" t="s">
        <v>23</v>
      </c>
      <c r="C406" s="168" t="s">
        <v>119</v>
      </c>
      <c r="D406" s="168">
        <f>År3</f>
        <v>2050</v>
      </c>
      <c r="E406" s="168">
        <f ca="1">HLOOKUP(D406,'Forbrug til andet'!$B$3:$D$5,3,FALSE)*IF(B406="Vestdanmark",SUMIFS(IF(D406=År1,'Resultater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biomasse'!C406))/SUMIFS(IF(D406=År1,'Resultater - Danmark'!$H$3:$H$502,IF(D406=År2,'Resultater - Danmark'!$I$3:$I$502,'Resultater - Danmark'!$J$3:$J$502)),'Resultater - Danmark'!$F$3:$F$502,'Forbrug af biomasse'!C406)</f>
        <v>0</v>
      </c>
      <c r="G406" s="168">
        <v>1</v>
      </c>
    </row>
    <row r="407" spans="1:7" s="168" customFormat="1" x14ac:dyDescent="0.55000000000000004">
      <c r="A407" s="168" t="s">
        <v>313</v>
      </c>
      <c r="B407" s="168" t="s">
        <v>24</v>
      </c>
      <c r="C407" s="168" t="s">
        <v>119</v>
      </c>
      <c r="D407" s="168">
        <f>År1</f>
        <v>2019</v>
      </c>
      <c r="E407" s="168">
        <f ca="1">HLOOKUP(D407,'Forbrug til andet'!$B$3:$D$5,3,FALSE)*IF(B407="Vestdanmark",SUMIFS(IF(D407=År1,'Resultater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biomasse'!C407))/SUMIFS(IF(D407=År1,'Resultater - Danmark'!$H$3:$H$502,IF(D407=År2,'Resultater - Danmark'!$I$3:$I$502,'Resultater - Danmark'!$J$3:$J$502)),'Resultater - Danmark'!$F$3:$F$502,'Forbrug af biomasse'!C407)</f>
        <v>0</v>
      </c>
      <c r="G407" s="168">
        <v>1</v>
      </c>
    </row>
    <row r="408" spans="1:7" s="168" customFormat="1" x14ac:dyDescent="0.55000000000000004">
      <c r="A408" s="168" t="s">
        <v>313</v>
      </c>
      <c r="B408" s="168" t="s">
        <v>24</v>
      </c>
      <c r="C408" s="168" t="s">
        <v>119</v>
      </c>
      <c r="D408" s="168">
        <f>År2</f>
        <v>2030</v>
      </c>
      <c r="E408" s="168">
        <f ca="1">HLOOKUP(D408,'Forbrug til andet'!$B$3:$D$5,3,FALSE)*IF(B408="Vestdanmark",SUMIFS(IF(D408=År1,'Resultater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biomasse'!C408))/SUMIFS(IF(D408=År1,'Resultater - Danmark'!$H$3:$H$502,IF(D408=År2,'Resultater - Danmark'!$I$3:$I$502,'Resultater - Danmark'!$J$3:$J$502)),'Resultater - Danmark'!$F$3:$F$502,'Forbrug af biomasse'!C408)</f>
        <v>0</v>
      </c>
      <c r="G408" s="168">
        <v>1</v>
      </c>
    </row>
    <row r="409" spans="1:7" s="168" customFormat="1" x14ac:dyDescent="0.55000000000000004">
      <c r="A409" s="168" t="s">
        <v>313</v>
      </c>
      <c r="B409" s="168" t="s">
        <v>24</v>
      </c>
      <c r="C409" s="168" t="s">
        <v>119</v>
      </c>
      <c r="D409" s="168">
        <f>År3</f>
        <v>2050</v>
      </c>
      <c r="E409" s="168">
        <f ca="1">HLOOKUP(D409,'Forbrug til andet'!$B$3:$D$5,3,FALSE)*IF(B409="Vestdanmark",SUMIFS(IF(D409=År1,'Resultater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biomasse'!C409))/SUMIFS(IF(D409=År1,'Resultater - Danmark'!$H$3:$H$502,IF(D409=År2,'Resultater - Danmark'!$I$3:$I$502,'Resultater - Danmark'!$J$3:$J$502)),'Resultater - Danmark'!$F$3:$F$502,'Forbrug af biomasse'!C409)</f>
        <v>0</v>
      </c>
      <c r="G409" s="168">
        <v>1</v>
      </c>
    </row>
    <row r="410" spans="1:7" x14ac:dyDescent="0.55000000000000004">
      <c r="A410" s="168" t="s">
        <v>120</v>
      </c>
      <c r="B410" s="168" t="s">
        <v>23</v>
      </c>
      <c r="C410" s="168" t="s">
        <v>310</v>
      </c>
      <c r="D410" s="168">
        <f t="shared" ref="D410:D417" si="31">År1</f>
        <v>2019</v>
      </c>
      <c r="E410" s="168">
        <f ca="1"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55000000000000004">
      <c r="A411" s="168" t="s">
        <v>120</v>
      </c>
      <c r="B411" s="168" t="s">
        <v>23</v>
      </c>
      <c r="C411" s="168" t="s">
        <v>311</v>
      </c>
      <c r="D411" s="168">
        <f t="shared" si="31"/>
        <v>2019</v>
      </c>
      <c r="E411" s="168">
        <f ca="1"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55000000000000004">
      <c r="A412" s="168" t="s">
        <v>120</v>
      </c>
      <c r="B412" s="168" t="s">
        <v>23</v>
      </c>
      <c r="C412" s="168" t="s">
        <v>310</v>
      </c>
      <c r="D412" s="168">
        <f>År2</f>
        <v>2030</v>
      </c>
      <c r="E412" s="168">
        <f ca="1"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55000000000000004">
      <c r="A413" s="168" t="s">
        <v>120</v>
      </c>
      <c r="B413" s="168" t="s">
        <v>23</v>
      </c>
      <c r="C413" s="168" t="s">
        <v>311</v>
      </c>
      <c r="D413" s="168">
        <f>År2</f>
        <v>2030</v>
      </c>
      <c r="E413" s="168">
        <f ca="1"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55000000000000004">
      <c r="A414" s="168" t="s">
        <v>120</v>
      </c>
      <c r="B414" s="168" t="s">
        <v>23</v>
      </c>
      <c r="C414" s="168" t="s">
        <v>310</v>
      </c>
      <c r="D414" s="168">
        <f>År3</f>
        <v>2050</v>
      </c>
      <c r="E414" s="168">
        <f ca="1"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55000000000000004">
      <c r="A415" s="168" t="s">
        <v>120</v>
      </c>
      <c r="B415" s="168" t="s">
        <v>23</v>
      </c>
      <c r="C415" s="168" t="s">
        <v>311</v>
      </c>
      <c r="D415" s="168">
        <f>År3</f>
        <v>2050</v>
      </c>
      <c r="E415" s="168">
        <f ca="1"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  <row r="416" spans="1:7" x14ac:dyDescent="0.55000000000000004">
      <c r="A416" s="168" t="s">
        <v>120</v>
      </c>
      <c r="B416" s="168" t="s">
        <v>24</v>
      </c>
      <c r="C416" s="168" t="s">
        <v>310</v>
      </c>
      <c r="D416" s="168">
        <f t="shared" si="31"/>
        <v>2019</v>
      </c>
      <c r="E416" s="168">
        <f ca="1">IF(B416="Vestdanmark",SUMIFS(IF(D416=År1,'Resultater - Vestdanmark'!$H$3:$H$502,IF(D416=År2,'Resultater - Vestdanmark'!$I$3:$I$502,'Resultater - Vestdanmark'!$J$3:$J$502)),'Resultater - Vestdanmark'!$F$3:$F$502,'Forbrug af biomasse'!C416),SUMIFS(IF(D416=År1,'Resultater - Østdanmark'!$H$3:$H$502,IF(D416=År2,'Resultater - Østdanmark'!$I$3:$I$502,'Resultater - Østdanmark'!$J$3:$J$502)),'Resultater - Østdanmark'!$F$3:$F$502,'Forbrug af biomasse'!C416))</f>
        <v>0</v>
      </c>
      <c r="F416" s="168">
        <v>1</v>
      </c>
    </row>
    <row r="417" spans="1:6" x14ac:dyDescent="0.55000000000000004">
      <c r="A417" s="168" t="s">
        <v>120</v>
      </c>
      <c r="B417" s="168" t="s">
        <v>24</v>
      </c>
      <c r="C417" s="168" t="s">
        <v>311</v>
      </c>
      <c r="D417" s="168">
        <f t="shared" si="31"/>
        <v>2019</v>
      </c>
      <c r="E417" s="168">
        <f ca="1">IF(B417="Vestdanmark",SUMIFS(IF(D417=År1,'Resultater - Vestdanmark'!$H$3:$H$502,IF(D417=År2,'Resultater - Vestdanmark'!$I$3:$I$502,'Resultater - Vestdanmark'!$J$3:$J$502)),'Resultater - Vestdanmark'!$F$3:$F$502,'Forbrug af biomasse'!C417),SUMIFS(IF(D417=År1,'Resultater - Østdanmark'!$H$3:$H$502,IF(D417=År2,'Resultater - Østdanmark'!$I$3:$I$502,'Resultater - Østdanmark'!$J$3:$J$502)),'Resultater - Østdanmark'!$F$3:$F$502,'Forbrug af biomasse'!C417))</f>
        <v>0</v>
      </c>
      <c r="F417" s="168">
        <v>1</v>
      </c>
    </row>
    <row r="418" spans="1:6" x14ac:dyDescent="0.55000000000000004">
      <c r="A418" s="168" t="s">
        <v>120</v>
      </c>
      <c r="B418" s="168" t="s">
        <v>24</v>
      </c>
      <c r="C418" s="168" t="s">
        <v>310</v>
      </c>
      <c r="D418" s="168">
        <f>År2</f>
        <v>2030</v>
      </c>
      <c r="E418" s="168">
        <f ca="1">IF(B418="Vestdanmark",SUMIFS(IF(D418=År1,'Resultater - Vestdanmark'!$H$3:$H$502,IF(D418=År2,'Resultater - Vestdanmark'!$I$3:$I$502,'Resultater - Vestdanmark'!$J$3:$J$502)),'Resultater - Vestdanmark'!$F$3:$F$502,'Forbrug af biomasse'!C418),SUMIFS(IF(D418=År1,'Resultater - Østdanmark'!$H$3:$H$502,IF(D418=År2,'Resultater - Østdanmark'!$I$3:$I$502,'Resultater - Østdanmark'!$J$3:$J$502)),'Resultater - Østdanmark'!$F$3:$F$502,'Forbrug af biomasse'!C418))</f>
        <v>0</v>
      </c>
      <c r="F418" s="168">
        <v>1</v>
      </c>
    </row>
    <row r="419" spans="1:6" x14ac:dyDescent="0.55000000000000004">
      <c r="A419" s="168" t="s">
        <v>120</v>
      </c>
      <c r="B419" s="168" t="s">
        <v>24</v>
      </c>
      <c r="C419" s="168" t="s">
        <v>311</v>
      </c>
      <c r="D419" s="168">
        <f>År2</f>
        <v>2030</v>
      </c>
      <c r="E419" s="168">
        <f ca="1">IF(B419="Vestdanmark",SUMIFS(IF(D419=År1,'Resultater - Vestdanmark'!$H$3:$H$502,IF(D419=År2,'Resultater - Vestdanmark'!$I$3:$I$502,'Resultater - Vestdanmark'!$J$3:$J$502)),'Resultater - Vestdanmark'!$F$3:$F$502,'Forbrug af biomasse'!C419),SUMIFS(IF(D419=År1,'Resultater - Østdanmark'!$H$3:$H$502,IF(D419=År2,'Resultater - Østdanmark'!$I$3:$I$502,'Resultater - Østdanmark'!$J$3:$J$502)),'Resultater - Østdanmark'!$F$3:$F$502,'Forbrug af biomasse'!C419))</f>
        <v>0</v>
      </c>
      <c r="F419" s="168">
        <v>1</v>
      </c>
    </row>
    <row r="420" spans="1:6" x14ac:dyDescent="0.55000000000000004">
      <c r="A420" s="168" t="s">
        <v>120</v>
      </c>
      <c r="B420" s="168" t="s">
        <v>24</v>
      </c>
      <c r="C420" s="168" t="s">
        <v>310</v>
      </c>
      <c r="D420" s="168">
        <f>År3</f>
        <v>2050</v>
      </c>
      <c r="E420" s="168">
        <f ca="1">IF(B420="Vestdanmark",SUMIFS(IF(D420=År1,'Resultater - Vestdanmark'!$H$3:$H$502,IF(D420=År2,'Resultater - Vestdanmark'!$I$3:$I$502,'Resultater - Vestdanmark'!$J$3:$J$502)),'Resultater - Vestdanmark'!$F$3:$F$502,'Forbrug af biomasse'!C420),SUMIFS(IF(D420=År1,'Resultater - Østdanmark'!$H$3:$H$502,IF(D420=År2,'Resultater - Østdanmark'!$I$3:$I$502,'Resultater - Østdanmark'!$J$3:$J$502)),'Resultater - Østdanmark'!$F$3:$F$502,'Forbrug af biomasse'!C420))</f>
        <v>0</v>
      </c>
      <c r="F420" s="168">
        <v>1</v>
      </c>
    </row>
    <row r="421" spans="1:6" x14ac:dyDescent="0.55000000000000004">
      <c r="A421" s="168" t="s">
        <v>120</v>
      </c>
      <c r="B421" s="168" t="s">
        <v>24</v>
      </c>
      <c r="C421" s="168" t="s">
        <v>311</v>
      </c>
      <c r="D421" s="168">
        <f>År3</f>
        <v>2050</v>
      </c>
      <c r="E421" s="168">
        <f ca="1">IF(B421="Vestdanmark",SUMIFS(IF(D421=År1,'Resultater - Vestdanmark'!$H$3:$H$502,IF(D421=År2,'Resultater - Vestdanmark'!$I$3:$I$502,'Resultater - Vestdanmark'!$J$3:$J$502)),'Resultater - Vestdanmark'!$F$3:$F$502,'Forbrug af biomasse'!C421),SUMIFS(IF(D421=År1,'Resultater - Østdanmark'!$H$3:$H$502,IF(D421=År2,'Resultater - Østdanmark'!$I$3:$I$502,'Resultater - Østdanmark'!$J$3:$J$502)),'Resultater - Østdanmark'!$F$3:$F$502,'Forbrug af biomasse'!C421))</f>
        <v>0</v>
      </c>
      <c r="F421" s="168">
        <v>1</v>
      </c>
    </row>
  </sheetData>
  <autoFilter ref="A1:G421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4.4" x14ac:dyDescent="0.55000000000000004"/>
  <sheetData>
    <row r="1" spans="1:8" x14ac:dyDescent="0.55000000000000004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55000000000000004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55000000000000004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55000000000000004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55000000000000004">
      <c r="A5" t="s">
        <v>119</v>
      </c>
      <c r="B5" t="s">
        <v>23</v>
      </c>
      <c r="C5">
        <f t="shared" si="0"/>
        <v>2019</v>
      </c>
      <c r="D5" s="168">
        <f ca="1"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ca="1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55000000000000004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55000000000000004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55000000000000004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55000000000000004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55000000000000004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55000000000000004">
      <c r="A11" t="str">
        <f t="shared" si="4"/>
        <v>Træ til energi</v>
      </c>
      <c r="B11" t="s">
        <v>24</v>
      </c>
      <c r="C11">
        <f t="shared" si="0"/>
        <v>2019</v>
      </c>
      <c r="D11" s="168">
        <f ca="1"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ca="1" si="1"/>
        <v>2328677.081002241</v>
      </c>
    </row>
    <row r="12" spans="1:8" x14ac:dyDescent="0.55000000000000004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55000000000000004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55000000000000004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826059.03550526686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1916916.7022943597</v>
      </c>
      <c r="F14">
        <f>E14-D14</f>
        <v>1090857.6667890928</v>
      </c>
      <c r="G14">
        <f t="shared" si="3"/>
        <v>1090857.6667890928</v>
      </c>
      <c r="H14">
        <f t="shared" si="1"/>
        <v>713024.56071776</v>
      </c>
    </row>
    <row r="15" spans="1:8" x14ac:dyDescent="0.55000000000000004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55000000000000004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55000000000000004">
      <c r="A17" t="str">
        <f t="shared" si="4"/>
        <v>Træ til energi</v>
      </c>
      <c r="B17" t="s">
        <v>23</v>
      </c>
      <c r="C17">
        <f t="shared" si="5"/>
        <v>2030</v>
      </c>
      <c r="D17" s="168">
        <f ca="1"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55000000000000004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55000000000000004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55000000000000004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117850.30607207181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830874.86678983178</v>
      </c>
      <c r="F20">
        <f t="shared" si="2"/>
        <v>713024.56071776</v>
      </c>
      <c r="G20">
        <f t="shared" si="3"/>
        <v>713024.56071776</v>
      </c>
      <c r="H20">
        <f t="shared" si="1"/>
        <v>1090857.6667890928</v>
      </c>
    </row>
    <row r="21" spans="1:8" x14ac:dyDescent="0.55000000000000004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55000000000000004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55000000000000004">
      <c r="A23" t="str">
        <f t="shared" si="4"/>
        <v>Træ til energi</v>
      </c>
      <c r="B23" t="s">
        <v>24</v>
      </c>
      <c r="C23">
        <f t="shared" si="5"/>
        <v>2030</v>
      </c>
      <c r="D23" s="168">
        <f ca="1"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55000000000000004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55000000000000004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55000000000000004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825795.04960462835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1836479.2995293012</v>
      </c>
      <c r="F26">
        <f t="shared" si="2"/>
        <v>1010684.2499246729</v>
      </c>
      <c r="G26">
        <f t="shared" si="3"/>
        <v>1010684.2499246729</v>
      </c>
      <c r="H26">
        <f t="shared" si="1"/>
        <v>691079.94133190333</v>
      </c>
    </row>
    <row r="27" spans="1:8" x14ac:dyDescent="0.55000000000000004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55000000000000004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55000000000000004">
      <c r="A29" t="str">
        <f t="shared" si="4"/>
        <v>Træ til energi</v>
      </c>
      <c r="B29" t="s">
        <v>23</v>
      </c>
      <c r="C29">
        <f t="shared" si="6"/>
        <v>2050</v>
      </c>
      <c r="D29" s="168">
        <f ca="1"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2001119.0505128279</v>
      </c>
      <c r="G29">
        <f t="shared" ca="1" si="3"/>
        <v>2001119.0505128279</v>
      </c>
      <c r="H29">
        <f t="shared" ca="1" si="1"/>
        <v>585276.82167847839</v>
      </c>
    </row>
    <row r="30" spans="1:8" x14ac:dyDescent="0.55000000000000004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55000000000000004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55000000000000004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118114.29197271029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809194.23330461362</v>
      </c>
      <c r="F32">
        <f t="shared" si="2"/>
        <v>691079.94133190333</v>
      </c>
      <c r="G32">
        <f t="shared" si="3"/>
        <v>691079.94133190333</v>
      </c>
      <c r="H32">
        <f t="shared" si="1"/>
        <v>1010684.2499246729</v>
      </c>
    </row>
    <row r="33" spans="1:8" x14ac:dyDescent="0.55000000000000004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55000000000000004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55000000000000004">
      <c r="A35" t="str">
        <f t="shared" si="4"/>
        <v>Træ til energi</v>
      </c>
      <c r="B35" t="s">
        <v>24</v>
      </c>
      <c r="C35">
        <f t="shared" si="6"/>
        <v>2050</v>
      </c>
      <c r="D35" s="168">
        <f ca="1"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585276.82167847839</v>
      </c>
      <c r="G35">
        <f t="shared" ca="1" si="3"/>
        <v>585276.82167847839</v>
      </c>
      <c r="H35">
        <f t="shared" ca="1" si="1"/>
        <v>2001119.0505128279</v>
      </c>
    </row>
    <row r="36" spans="1:8" x14ac:dyDescent="0.55000000000000004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55000000000000004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78" zoomScale="80" zoomScaleNormal="80" workbookViewId="0">
      <selection activeCell="H498" sqref="H498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2.578125" bestFit="1" customWidth="1"/>
    <col min="11" max="11" width="4.41796875" bestFit="1" customWidth="1"/>
    <col min="12" max="12" width="10.68359375" bestFit="1" customWidth="1"/>
    <col min="13" max="13" width="11.578125" customWidth="1"/>
  </cols>
  <sheetData>
    <row r="1" spans="1:21" x14ac:dyDescent="0.55000000000000004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5290666613.2844982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5290666613.2844973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5290666613.2844973</v>
      </c>
      <c r="N440" s="168"/>
      <c r="O440" s="168"/>
    </row>
    <row r="441" spans="1:15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146913194.13793731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146913194.13793728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146913194.13793728</v>
      </c>
      <c r="M441" s="168"/>
      <c r="N441" s="168"/>
      <c r="O441" s="168"/>
    </row>
    <row r="442" spans="1:15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  <c r="M442" s="168"/>
      <c r="N442" s="168"/>
      <c r="O442" s="168"/>
    </row>
    <row r="443" spans="1:15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69873348.431457981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69873348.431457967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69873348.431457967</v>
      </c>
      <c r="M443" s="168"/>
      <c r="N443" s="168"/>
      <c r="O443" s="168"/>
    </row>
    <row r="444" spans="1:15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128101138.7910063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128101138.7910063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128101138.7910063</v>
      </c>
      <c r="M444" s="168"/>
      <c r="N444" s="168"/>
      <c r="O444" s="168"/>
    </row>
    <row r="445" spans="1:15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1498693742.6388359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1498693742.6388357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1498693742.6388357</v>
      </c>
      <c r="M445" s="168"/>
      <c r="N445" s="168"/>
      <c r="O445" s="168"/>
    </row>
    <row r="446" spans="1:15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215890730.41001761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215890730.41001758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215890730.41001758</v>
      </c>
      <c r="M446" s="168"/>
      <c r="N446" s="168"/>
      <c r="O446" s="168"/>
    </row>
    <row r="447" spans="1:15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  <c r="M447" s="168"/>
      <c r="N447" s="168"/>
      <c r="O447" s="168"/>
    </row>
    <row r="448" spans="1:15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  <c r="M448" s="168"/>
      <c r="N448" s="168"/>
      <c r="O448" s="168"/>
    </row>
    <row r="449" spans="1:15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2035285226.1060581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2035285226.1060579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2035285226.1060579</v>
      </c>
      <c r="M449" s="168"/>
      <c r="N449" s="168"/>
      <c r="O449" s="168"/>
    </row>
    <row r="450" spans="1:15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146017381.97855964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146017381.97855961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146017381.97855961</v>
      </c>
      <c r="M450" s="168"/>
      <c r="N450" s="168"/>
      <c r="O450" s="168"/>
    </row>
    <row r="451" spans="1:15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  <c r="M451" s="168"/>
      <c r="N451" s="168"/>
      <c r="O451" s="168"/>
    </row>
    <row r="452" spans="1:15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  <c r="M452" s="168"/>
      <c r="N452" s="168"/>
      <c r="O452" s="168"/>
    </row>
    <row r="453" spans="1:15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108393271.28469765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108393271.28469765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108393271.28469765</v>
      </c>
      <c r="M453" s="168"/>
      <c r="N453" s="168"/>
      <c r="O453" s="168"/>
    </row>
    <row r="454" spans="1:15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3588623510.4669328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3588623510.4669318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3588623510.4669318</v>
      </c>
      <c r="M454" s="168"/>
      <c r="N454" s="168"/>
      <c r="O454" s="168"/>
    </row>
    <row r="455" spans="1:15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8543101.6798546687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8507486.5991519224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8465090.4635093808</v>
      </c>
      <c r="L455" s="129"/>
      <c r="M455" s="123"/>
    </row>
    <row r="456" spans="1:15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271259.74236183573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270827.7836134762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270263.65983297006</v>
      </c>
      <c r="L456" s="124"/>
      <c r="M456" s="123"/>
    </row>
    <row r="457" spans="1:15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3864207.3728631018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3859706.2780138706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3856243.1993456278</v>
      </c>
      <c r="L457" s="124"/>
      <c r="M457" s="123"/>
    </row>
    <row r="458" spans="1:15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30413304.875726663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95875938.998603612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91789375.641806006</v>
      </c>
      <c r="L458" s="124"/>
      <c r="M458" s="123"/>
    </row>
    <row r="459" spans="1:15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-32257.365042424757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-101689.21712719031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-97354.871796820575</v>
      </c>
      <c r="L459" s="124"/>
      <c r="M459" s="123"/>
    </row>
    <row r="460" spans="1:15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57342790.956111364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139131150.75867423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136472616.08132389</v>
      </c>
      <c r="L460" s="124"/>
      <c r="M460" s="123"/>
    </row>
    <row r="461" spans="1:15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-119673.00061953654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-290363.30484303256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-284815.00806875952</v>
      </c>
      <c r="L461" s="124"/>
      <c r="M461" s="123"/>
    </row>
    <row r="462" spans="1:15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53759.86093242302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54644.856187822908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56431.73278225986</v>
      </c>
      <c r="L462" s="124"/>
      <c r="M462" s="123"/>
    </row>
    <row r="463" spans="1:15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40271680.293017551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79587774.553765386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83339331.830657274</v>
      </c>
      <c r="L463" s="124"/>
      <c r="M463" s="123"/>
    </row>
    <row r="464" spans="1:15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31487494.627501383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31478200.911940057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31466148.085110582</v>
      </c>
      <c r="L464" s="125"/>
      <c r="M464" s="123"/>
    </row>
    <row r="465" spans="1:14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313132.77855375624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311731.2069853631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309417.12444767234</v>
      </c>
      <c r="L465" s="124"/>
      <c r="M465" s="123"/>
    </row>
    <row r="466" spans="1:14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37347291.841013692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18513304.683122173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18741253.763228893</v>
      </c>
      <c r="L466" s="124"/>
      <c r="M466" s="123"/>
    </row>
    <row r="467" spans="1:14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73468664.440101922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53663046.353516184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53318329.420310877</v>
      </c>
      <c r="L467" s="124"/>
      <c r="M467" s="123"/>
    </row>
    <row r="468" spans="1:14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  <c r="L468" s="124"/>
      <c r="M468" s="123"/>
    </row>
    <row r="469" spans="1:14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  <c r="L469" s="124"/>
      <c r="M469" s="123"/>
    </row>
    <row r="470" spans="1:14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1991.3211030641837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1977.3250193561946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1970.3722276763394</v>
      </c>
      <c r="L470" s="124"/>
      <c r="M470" s="123"/>
    </row>
    <row r="471" spans="1:14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  <c r="L471" s="125"/>
      <c r="M471" s="123"/>
    </row>
    <row r="472" spans="1:14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48345002.496000007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48345002.496000007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48345002.496000007</v>
      </c>
      <c r="L472" s="124"/>
      <c r="M472" s="123"/>
    </row>
    <row r="473" spans="1:14" ht="14.7" thickBot="1" x14ac:dyDescent="0.6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20296537.965774857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20948706.0181107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21728483.45145556</v>
      </c>
      <c r="L473" s="139"/>
      <c r="M473" s="123"/>
    </row>
    <row r="474" spans="1:14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9570947.4163383078</v>
      </c>
      <c r="I474" s="282">
        <f ca="1">SUMIFS('Forbrug af biomasse'!$E$1:$E$431,'Forbrug af biomasse'!$A$1:$A$431,"Biogas",'Forbrug af biomasse'!$B$1:$B$431,$A$1,'Forbrug af biomasse'!$D$1:$D$431,I$2)*'[1]Processer - data'!I474</f>
        <v>20203693.34554347</v>
      </c>
      <c r="J474" s="283">
        <f ca="1">SUMIFS('Forbrug af biomasse'!$E$1:$E$431,'Forbrug af biomasse'!$A$1:$A$431,"Biogas",'Forbrug af biomasse'!$B$1:$B$431,$A$1,'Forbrug af biomasse'!$D$1:$D$431,J$2)*'[1]Processer - data'!J474</f>
        <v>19825143.262106888</v>
      </c>
    </row>
    <row r="475" spans="1:14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68"/>
      <c r="N476" s="168"/>
    </row>
    <row r="477" spans="1:14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123978132.67297257</v>
      </c>
      <c r="J479" s="283">
        <f ca="1">J474*'[1]Processer - data'!J$479*Biogasanlæg!AC$3</f>
        <v>120557856.79102887</v>
      </c>
    </row>
    <row r="480" spans="1:14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91377420.696500778</v>
      </c>
      <c r="J480" s="283">
        <f ca="1">-SUMIFS('Resultater - Vestdanmark'!J$3:J$504,'Resultater - Vestdanmark'!$F$3:$F$504,"Gødning",'Resultater - Vestdanmark'!$A$3:$A$504,"&lt;&gt;Gødning")-SUM(J475:J479)</f>
        <v>87971889.953548789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12.018877995102612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11.274893587492029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10.446236677234696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2.8290779018212735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5.7011254682299599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5.8945208280749375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3.146524797754445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3.2466189709661259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3.3717941796028947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33.750841721162331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31.9402636353806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29.003356837261759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9.4691817325671721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9.4026271924825835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9.3695650972414288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0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0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0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17.955652322196347</v>
      </c>
      <c r="J489" s="283">
        <f ca="1">SUM(J455:J473)*'[1]Processer - data'!$H$489</f>
        <v>17.870222569174011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x14ac:dyDescent="0.55000000000000004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0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0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0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0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0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0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m3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0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0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m3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0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0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m3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0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0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85" zoomScale="80" zoomScaleNormal="80" workbookViewId="0">
      <selection activeCell="A497" sqref="A497:J500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16.41796875" bestFit="1" customWidth="1"/>
    <col min="7" max="7" width="16" bestFit="1" customWidth="1"/>
    <col min="8" max="8" width="35.15625" bestFit="1" customWidth="1"/>
    <col min="9" max="10" width="14.41796875" bestFit="1" customWidth="1"/>
    <col min="11" max="11" width="4.41796875" bestFit="1" customWidth="1"/>
    <col min="12" max="12" width="10.68359375" bestFit="1" customWidth="1"/>
  </cols>
  <sheetData>
    <row r="1" spans="1:21" x14ac:dyDescent="0.55000000000000004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4.7" thickBot="1" x14ac:dyDescent="0.6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55000000000000004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55000000000000004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55000000000000004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55000000000000004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55000000000000004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55000000000000004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55000000000000004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55000000000000004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55000000000000004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55000000000000004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55000000000000004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55000000000000004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55000000000000004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55000000000000004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55000000000000004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55000000000000004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55000000000000004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55000000000000004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55000000000000004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55000000000000004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55000000000000004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55000000000000004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55000000000000004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55000000000000004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55000000000000004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55000000000000004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55000000000000004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55000000000000004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55000000000000004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55000000000000004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55000000000000004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55000000000000004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55000000000000004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55000000000000004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55000000000000004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55000000000000004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55000000000000004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55000000000000004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55000000000000004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55000000000000004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55000000000000004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55000000000000004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55000000000000004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55000000000000004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55000000000000004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55000000000000004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55000000000000004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55000000000000004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55000000000000004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55000000000000004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55000000000000004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55000000000000004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55000000000000004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55000000000000004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55000000000000004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55000000000000004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55000000000000004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55000000000000004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55000000000000004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55000000000000004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55000000000000004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55000000000000004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55000000000000004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55000000000000004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55000000000000004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55000000000000004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55000000000000004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55000000000000004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55000000000000004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55000000000000004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55000000000000004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55000000000000004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55000000000000004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55000000000000004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55000000000000004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55000000000000004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55000000000000004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55000000000000004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55000000000000004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55000000000000004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55000000000000004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55000000000000004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55000000000000004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55000000000000004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55000000000000004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55000000000000004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55000000000000004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55000000000000004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55000000000000004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55000000000000004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55000000000000004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55000000000000004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55000000000000004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55000000000000004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55000000000000004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55000000000000004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55000000000000004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55000000000000004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55000000000000004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55000000000000004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55000000000000004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55000000000000004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55000000000000004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55000000000000004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55000000000000004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55000000000000004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55000000000000004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55000000000000004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55000000000000004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55000000000000004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55000000000000004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55000000000000004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55000000000000004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55000000000000004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55000000000000004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55000000000000004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55000000000000004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55000000000000004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55000000000000004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55000000000000004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55000000000000004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55000000000000004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55000000000000004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55000000000000004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55000000000000004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55000000000000004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55000000000000004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55000000000000004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55000000000000004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55000000000000004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55000000000000004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55000000000000004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55000000000000004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55000000000000004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55000000000000004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55000000000000004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55000000000000004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55000000000000004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55000000000000004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55000000000000004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55000000000000004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55000000000000004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55000000000000004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55000000000000004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55000000000000004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55000000000000004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55000000000000004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55000000000000004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55000000000000004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55000000000000004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55000000000000004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55000000000000004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55000000000000004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55000000000000004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55000000000000004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55000000000000004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55000000000000004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55000000000000004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55000000000000004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55000000000000004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55000000000000004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55000000000000004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55000000000000004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55000000000000004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55000000000000004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55000000000000004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55000000000000004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55000000000000004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55000000000000004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55000000000000004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55000000000000004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55000000000000004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55000000000000004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55000000000000004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55000000000000004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55000000000000004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55000000000000004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55000000000000004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55000000000000004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55000000000000004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55000000000000004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55000000000000004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55000000000000004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55000000000000004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55000000000000004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55000000000000004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55000000000000004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55000000000000004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55000000000000004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55000000000000004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55000000000000004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55000000000000004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55000000000000004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55000000000000004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55000000000000004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55000000000000004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55000000000000004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55000000000000004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55000000000000004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55000000000000004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55000000000000004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55000000000000004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55000000000000004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55000000000000004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55000000000000004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55000000000000004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55000000000000004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55000000000000004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55000000000000004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55000000000000004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55000000000000004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55000000000000004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55000000000000004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55000000000000004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55000000000000004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55000000000000004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55000000000000004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55000000000000004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55000000000000004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55000000000000004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55000000000000004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55000000000000004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55000000000000004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55000000000000004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55000000000000004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55000000000000004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55000000000000004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55000000000000004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55000000000000004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55000000000000004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55000000000000004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55000000000000004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55000000000000004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55000000000000004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55000000000000004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55000000000000004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55000000000000004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55000000000000004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55000000000000004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55000000000000004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55000000000000004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55000000000000004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55000000000000004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55000000000000004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55000000000000004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55000000000000004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55000000000000004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55000000000000004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55000000000000004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55000000000000004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55000000000000004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55000000000000004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55000000000000004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55000000000000004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55000000000000004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55000000000000004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55000000000000004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55000000000000004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55000000000000004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55000000000000004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55000000000000004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55000000000000004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55000000000000004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55000000000000004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55000000000000004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55000000000000004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55000000000000004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55000000000000004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55000000000000004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55000000000000004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55000000000000004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55000000000000004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55000000000000004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55000000000000004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55000000000000004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55000000000000004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55000000000000004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55000000000000004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55000000000000004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55000000000000004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55000000000000004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55000000000000004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55000000000000004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55000000000000004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55000000000000004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55000000000000004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55000000000000004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55000000000000004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55000000000000004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55000000000000004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55000000000000004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55000000000000004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55000000000000004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55000000000000004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55000000000000004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55000000000000004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55000000000000004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55000000000000004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55000000000000004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55000000000000004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55000000000000004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55000000000000004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55000000000000004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55000000000000004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55000000000000004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55000000000000004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55000000000000004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55000000000000004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55000000000000004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55000000000000004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55000000000000004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55000000000000004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55000000000000004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55000000000000004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55000000000000004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55000000000000004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55000000000000004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55000000000000004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55000000000000004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55000000000000004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55000000000000004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55000000000000004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55000000000000004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55000000000000004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55000000000000004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55000000000000004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55000000000000004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55000000000000004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55000000000000004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55000000000000004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55000000000000004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55000000000000004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55000000000000004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55000000000000004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55000000000000004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55000000000000004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55000000000000004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55000000000000004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55000000000000004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55000000000000004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55000000000000004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55000000000000004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55000000000000004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55000000000000004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55000000000000004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55000000000000004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55000000000000004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55000000000000004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55000000000000004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55000000000000004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55000000000000004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55000000000000004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55000000000000004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55000000000000004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55000000000000004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55000000000000004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55000000000000004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55000000000000004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55000000000000004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55000000000000004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55000000000000004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55000000000000004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55000000000000004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55000000000000004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55000000000000004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55000000000000004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55000000000000004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55000000000000004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55000000000000004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55000000000000004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55000000000000004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55000000000000004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55000000000000004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55000000000000004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55000000000000004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55000000000000004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55000000000000004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55000000000000004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55000000000000004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55000000000000004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55000000000000004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55000000000000004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55000000000000004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55000000000000004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55000000000000004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55000000000000004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55000000000000004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55000000000000004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55000000000000004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55000000000000004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55000000000000004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55000000000000004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55000000000000004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55000000000000004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55000000000000004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55000000000000004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55000000000000004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55000000000000004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55000000000000004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55000000000000004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55000000000000004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55000000000000004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55000000000000004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55000000000000004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55000000000000004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55000000000000004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55000000000000004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55000000000000004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55000000000000004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55000000000000004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55000000000000004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55000000000000004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55000000000000004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55000000000000004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55000000000000004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55000000000000004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55000000000000004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55000000000000004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55000000000000004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55000000000000004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55000000000000004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4.7" thickBot="1" x14ac:dyDescent="0.6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4.7" thickBot="1" x14ac:dyDescent="0.6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55000000000000004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55000000000000004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55000000000000004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55000000000000004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55000000000000004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55000000000000004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55000000000000004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55000000000000004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55000000000000004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55000000000000004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55000000000000004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55000000000000004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55000000000000004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4.7" thickBot="1" x14ac:dyDescent="0.6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55000000000000004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biomasse'!$E$1:$E$431,'Forbrug af biomasse'!$A$1:$A$431,$F440,'Forbrug af biomasse'!$C$1:$C$431,$D440,'Forbrug af biomasse'!$B$1:$B$431,$A$1,'Forbrug af biomasse'!$D$1:$D$431,H$2)*'[1]Processer - data'!H440</f>
        <v>649382479.82762504</v>
      </c>
      <c r="I440" s="273">
        <f>SUMIFS('Forbrug af biomasse'!$E$1:$E$431,'Forbrug af biomasse'!$A$1:$A$431,$F440,'Forbrug af biomasse'!$C$1:$C$431,$D440,'Forbrug af biomasse'!$B$1:$B$431,$A$1,'Forbrug af biomasse'!$D$1:$D$431,I$2)*'[1]Processer - data'!I440</f>
        <v>649382479.82762516</v>
      </c>
      <c r="J440" s="274">
        <f>SUMIFS('Forbrug af biomasse'!$E$1:$E$431,'Forbrug af biomasse'!$A$1:$A$431,$F440,'Forbrug af biomasse'!$C$1:$C$431,$D440,'Forbrug af biomasse'!$B$1:$B$431,$A$1,'Forbrug af biomasse'!$D$1:$D$431,J$2)*'[1]Processer - data'!J440</f>
        <v>649382479.82762504</v>
      </c>
    </row>
    <row r="441" spans="1:10" x14ac:dyDescent="0.55000000000000004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biomasse'!$E$1:$E$431,'Forbrug af biomasse'!$A$1:$A$431,$F441,'Forbrug af biomasse'!$C$1:$C$431,$D441,'Forbrug af biomasse'!$B$1:$B$431,$A$1,'Forbrug af biomasse'!$D$1:$D$431,H$2)*'[1]Processer - data'!H441</f>
        <v>18032293.716852441</v>
      </c>
      <c r="I441" s="276">
        <f>SUMIFS('Forbrug af biomasse'!$E$1:$E$431,'Forbrug af biomasse'!$A$1:$A$431,$F441,'Forbrug af biomasse'!$C$1:$C$431,$D441,'Forbrug af biomasse'!$B$1:$B$431,$A$1,'Forbrug af biomasse'!$D$1:$D$431,I$2)*'[1]Processer - data'!I441</f>
        <v>18032293.716852445</v>
      </c>
      <c r="J441" s="277">
        <f>SUMIFS('Forbrug af biomasse'!$E$1:$E$431,'Forbrug af biomasse'!$A$1:$A$431,$F441,'Forbrug af biomasse'!$C$1:$C$431,$D441,'Forbrug af biomasse'!$B$1:$B$431,$A$1,'Forbrug af biomasse'!$D$1:$D$431,J$2)*'[1]Processer - data'!J441</f>
        <v>18032293.716852441</v>
      </c>
    </row>
    <row r="442" spans="1:10" x14ac:dyDescent="0.55000000000000004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biomasse'!$E$1:$E$431,'Forbrug af biomasse'!$A$1:$A$431,$F442,'Forbrug af biomasse'!$C$1:$C$431,$D442,'Forbrug af biomasse'!$B$1:$B$431,$A$1,'Forbrug af biomasse'!$D$1:$D$431,H$2)*'[1]Processer - data'!H442</f>
        <v>0</v>
      </c>
      <c r="I442" s="276">
        <f>SUMIFS('Forbrug af biomasse'!$E$1:$E$431,'Forbrug af biomasse'!$A$1:$A$431,$F442,'Forbrug af biomasse'!$C$1:$C$431,$D442,'Forbrug af biomasse'!$B$1:$B$431,$A$1,'Forbrug af biomasse'!$D$1:$D$431,I$2)*'[1]Processer - data'!I442</f>
        <v>0</v>
      </c>
      <c r="J442" s="277">
        <f>SUMIFS('Forbrug af biomasse'!$E$1:$E$431,'Forbrug af biomasse'!$A$1:$A$431,$F442,'Forbrug af biomasse'!$C$1:$C$431,$D442,'Forbrug af biomasse'!$B$1:$B$431,$A$1,'Forbrug af biomasse'!$D$1:$D$431,J$2)*'[1]Processer - data'!J442</f>
        <v>0</v>
      </c>
    </row>
    <row r="443" spans="1:10" x14ac:dyDescent="0.55000000000000004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biomasse'!$E$1:$E$431,'Forbrug af biomasse'!$A$1:$A$431,$F443,'Forbrug af biomasse'!$C$1:$C$431,$D443,'Forbrug af biomasse'!$B$1:$B$431,$A$1,'Forbrug af biomasse'!$D$1:$D$431,H$2)*'[1]Processer - data'!H443</f>
        <v>8576334.816551771</v>
      </c>
      <c r="I443" s="276">
        <f>SUMIFS('Forbrug af biomasse'!$E$1:$E$431,'Forbrug af biomasse'!$A$1:$A$431,$F443,'Forbrug af biomasse'!$C$1:$C$431,$D443,'Forbrug af biomasse'!$B$1:$B$431,$A$1,'Forbrug af biomasse'!$D$1:$D$431,I$2)*'[1]Processer - data'!I443</f>
        <v>8576334.816551771</v>
      </c>
      <c r="J443" s="277">
        <f>SUMIFS('Forbrug af biomasse'!$E$1:$E$431,'Forbrug af biomasse'!$A$1:$A$431,$F443,'Forbrug af biomasse'!$C$1:$C$431,$D443,'Forbrug af biomasse'!$B$1:$B$431,$A$1,'Forbrug af biomasse'!$D$1:$D$431,J$2)*'[1]Processer - data'!J443</f>
        <v>8576334.816551771</v>
      </c>
    </row>
    <row r="444" spans="1:10" x14ac:dyDescent="0.55000000000000004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biomasse'!$E$1:$E$431,'Forbrug af biomasse'!$A$1:$A$431,$F444,'Forbrug af biomasse'!$C$1:$C$431,$D444,'Forbrug af biomasse'!$B$1:$B$431,$A$1,'Forbrug af biomasse'!$D$1:$D$431,H$2)*'[1]Processer - data'!H444</f>
        <v>15723280.49701158</v>
      </c>
      <c r="I444" s="276">
        <f>SUMIFS('Forbrug af biomasse'!$E$1:$E$431,'Forbrug af biomasse'!$A$1:$A$431,$F444,'Forbrug af biomasse'!$C$1:$C$431,$D444,'Forbrug af biomasse'!$B$1:$B$431,$A$1,'Forbrug af biomasse'!$D$1:$D$431,I$2)*'[1]Processer - data'!I444</f>
        <v>15723280.497011581</v>
      </c>
      <c r="J444" s="277">
        <f>SUMIFS('Forbrug af biomasse'!$E$1:$E$431,'Forbrug af biomasse'!$A$1:$A$431,$F444,'Forbrug af biomasse'!$C$1:$C$431,$D444,'Forbrug af biomasse'!$B$1:$B$431,$A$1,'Forbrug af biomasse'!$D$1:$D$431,J$2)*'[1]Processer - data'!J444</f>
        <v>15723280.49701158</v>
      </c>
    </row>
    <row r="445" spans="1:10" x14ac:dyDescent="0.55000000000000004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biomasse'!$E$1:$E$431,'Forbrug af biomasse'!$A$1:$A$431,$F445,'Forbrug af biomasse'!$C$1:$C$431,$D445,'Forbrug af biomasse'!$B$1:$B$431,$A$1,'Forbrug af biomasse'!$D$1:$D$431,H$2)*'[1]Processer - data'!H445</f>
        <v>183951386.51398861</v>
      </c>
      <c r="I445" s="276">
        <f>SUMIFS('Forbrug af biomasse'!$E$1:$E$431,'Forbrug af biomasse'!$A$1:$A$431,$F445,'Forbrug af biomasse'!$C$1:$C$431,$D445,'Forbrug af biomasse'!$B$1:$B$431,$A$1,'Forbrug af biomasse'!$D$1:$D$431,I$2)*'[1]Processer - data'!I445</f>
        <v>183951386.51398864</v>
      </c>
      <c r="J445" s="277">
        <f>SUMIFS('Forbrug af biomasse'!$E$1:$E$431,'Forbrug af biomasse'!$A$1:$A$431,$F445,'Forbrug af biomasse'!$C$1:$C$431,$D445,'Forbrug af biomasse'!$B$1:$B$431,$A$1,'Forbrug af biomasse'!$D$1:$D$431,J$2)*'[1]Processer - data'!J445</f>
        <v>183951386.51398861</v>
      </c>
    </row>
    <row r="446" spans="1:10" x14ac:dyDescent="0.55000000000000004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biomasse'!$E$1:$E$431,'Forbrug af biomasse'!$A$1:$A$431,$F446,'Forbrug af biomasse'!$C$1:$C$431,$D446,'Forbrug af biomasse'!$B$1:$B$431,$A$1,'Forbrug af biomasse'!$D$1:$D$431,H$2)*'[1]Processer - data'!H446</f>
        <v>26498675.522935595</v>
      </c>
      <c r="I446" s="276">
        <f>SUMIFS('Forbrug af biomasse'!$E$1:$E$431,'Forbrug af biomasse'!$A$1:$A$431,$F446,'Forbrug af biomasse'!$C$1:$C$431,$D446,'Forbrug af biomasse'!$B$1:$B$431,$A$1,'Forbrug af biomasse'!$D$1:$D$431,I$2)*'[1]Processer - data'!I446</f>
        <v>26498675.522935599</v>
      </c>
      <c r="J446" s="277">
        <f>SUMIFS('Forbrug af biomasse'!$E$1:$E$431,'Forbrug af biomasse'!$A$1:$A$431,$F446,'Forbrug af biomasse'!$C$1:$C$431,$D446,'Forbrug af biomasse'!$B$1:$B$431,$A$1,'Forbrug af biomasse'!$D$1:$D$431,J$2)*'[1]Processer - data'!J446</f>
        <v>26498675.522935595</v>
      </c>
    </row>
    <row r="447" spans="1:10" x14ac:dyDescent="0.55000000000000004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biomasse'!$E$1:$E$431,'Forbrug af biomasse'!$A$1:$A$431,$F447,'Forbrug af biomasse'!$C$1:$C$431,$D447,'Forbrug af biomasse'!$B$1:$B$431,$A$1,'Forbrug af biomasse'!$D$1:$D$431,H$2)*'[1]Processer - data'!H447</f>
        <v>0</v>
      </c>
      <c r="I447" s="276">
        <f>SUMIFS('Forbrug af biomasse'!$E$1:$E$431,'Forbrug af biomasse'!$A$1:$A$431,$F447,'Forbrug af biomasse'!$C$1:$C$431,$D447,'Forbrug af biomasse'!$B$1:$B$431,$A$1,'Forbrug af biomasse'!$D$1:$D$431,I$2)*'[1]Processer - data'!I447</f>
        <v>0</v>
      </c>
      <c r="J447" s="277">
        <f>SUMIFS('Forbrug af biomasse'!$E$1:$E$431,'Forbrug af biomasse'!$A$1:$A$431,$F447,'Forbrug af biomasse'!$C$1:$C$431,$D447,'Forbrug af biomasse'!$B$1:$B$431,$A$1,'Forbrug af biomasse'!$D$1:$D$431,J$2)*'[1]Processer - data'!J447</f>
        <v>0</v>
      </c>
    </row>
    <row r="448" spans="1:10" x14ac:dyDescent="0.55000000000000004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biomasse'!$E$1:$E$431,'Forbrug af biomasse'!$A$1:$A$431,$F448,'Forbrug af biomasse'!$C$1:$C$431,$D448,'Forbrug af biomasse'!$B$1:$B$431,$A$1,'Forbrug af biomasse'!$D$1:$D$431,H$2)*'[1]Processer - data'!H448</f>
        <v>0</v>
      </c>
      <c r="I448" s="276">
        <f>SUMIFS('Forbrug af biomasse'!$E$1:$E$431,'Forbrug af biomasse'!$A$1:$A$431,$F448,'Forbrug af biomasse'!$C$1:$C$431,$D448,'Forbrug af biomasse'!$B$1:$B$431,$A$1,'Forbrug af biomasse'!$D$1:$D$431,I$2)*'[1]Processer - data'!I448</f>
        <v>0</v>
      </c>
      <c r="J448" s="277">
        <f>SUMIFS('Forbrug af biomasse'!$E$1:$E$431,'Forbrug af biomasse'!$A$1:$A$431,$F448,'Forbrug af biomasse'!$C$1:$C$431,$D448,'Forbrug af biomasse'!$B$1:$B$431,$A$1,'Forbrug af biomasse'!$D$1:$D$431,J$2)*'[1]Processer - data'!J448</f>
        <v>0</v>
      </c>
    </row>
    <row r="449" spans="1:10" x14ac:dyDescent="0.55000000000000004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biomasse'!$E$1:$E$431,'Forbrug af biomasse'!$A$1:$A$431,$F449,'Forbrug af biomasse'!$C$1:$C$431,$D449,'Forbrug af biomasse'!$B$1:$B$431,$A$1,'Forbrug af biomasse'!$D$1:$D$431,H$2)*'[1]Processer - data'!H449</f>
        <v>249813239.78468746</v>
      </c>
      <c r="I449" s="276">
        <f>SUMIFS('Forbrug af biomasse'!$E$1:$E$431,'Forbrug af biomasse'!$A$1:$A$431,$F449,'Forbrug af biomasse'!$C$1:$C$431,$D449,'Forbrug af biomasse'!$B$1:$B$431,$A$1,'Forbrug af biomasse'!$D$1:$D$431,I$2)*'[1]Processer - data'!I449</f>
        <v>249813239.78468749</v>
      </c>
      <c r="J449" s="277">
        <f>SUMIFS('Forbrug af biomasse'!$E$1:$E$431,'Forbrug af biomasse'!$A$1:$A$431,$F449,'Forbrug af biomasse'!$C$1:$C$431,$D449,'Forbrug af biomasse'!$B$1:$B$431,$A$1,'Forbrug af biomasse'!$D$1:$D$431,J$2)*'[1]Processer - data'!J449</f>
        <v>249813239.78468746</v>
      </c>
    </row>
    <row r="450" spans="1:10" x14ac:dyDescent="0.55000000000000004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biomasse'!$E$1:$E$431,'Forbrug af biomasse'!$A$1:$A$431,$F450,'Forbrug af biomasse'!$C$1:$C$431,$D450,'Forbrug af biomasse'!$B$1:$B$431,$A$1,'Forbrug af biomasse'!$D$1:$D$431,H$2)*'[1]Processer - data'!H450</f>
        <v>17922340.706383828</v>
      </c>
      <c r="I450" s="276">
        <f>SUMIFS('Forbrug af biomasse'!$E$1:$E$431,'Forbrug af biomasse'!$A$1:$A$431,$F450,'Forbrug af biomasse'!$C$1:$C$431,$D450,'Forbrug af biomasse'!$B$1:$B$431,$A$1,'Forbrug af biomasse'!$D$1:$D$431,I$2)*'[1]Processer - data'!I450</f>
        <v>17922340.706383832</v>
      </c>
      <c r="J450" s="277">
        <f>SUMIFS('Forbrug af biomasse'!$E$1:$E$431,'Forbrug af biomasse'!$A$1:$A$431,$F450,'Forbrug af biomasse'!$C$1:$C$431,$D450,'Forbrug af biomasse'!$B$1:$B$431,$A$1,'Forbrug af biomasse'!$D$1:$D$431,J$2)*'[1]Processer - data'!J450</f>
        <v>17922340.706383828</v>
      </c>
    </row>
    <row r="451" spans="1:10" x14ac:dyDescent="0.55000000000000004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biomasse'!$E$1:$E$431,'Forbrug af biomasse'!$A$1:$A$431,$F451,'Forbrug af biomasse'!$C$1:$C$431,$D451,'Forbrug af biomasse'!$B$1:$B$431,$A$1,'Forbrug af biomasse'!$D$1:$D$431,H$2)*'[1]Processer - data'!H451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SUMIFS('Forbrug af biomasse'!$E$1:$E$431,'Forbrug af biomasse'!$A$1:$A$431,$F451,'Forbrug af biomasse'!$C$1:$C$431,$D451,'Forbrug af biomasse'!$B$1:$B$431,$A$1,'Forbrug af biomasse'!$D$1:$D$431,J$2)*'[1]Processer - data'!J451</f>
        <v>0</v>
      </c>
    </row>
    <row r="452" spans="1:10" x14ac:dyDescent="0.55000000000000004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biomasse'!$E$1:$E$431,'Forbrug af biomasse'!$A$1:$A$431,$F452,'Forbrug af biomasse'!$C$1:$C$431,$D452,'Forbrug af biomasse'!$B$1:$B$431,$A$1,'Forbrug af biomasse'!$D$1:$D$431,H$2)*'[1]Processer - data'!H452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SUMIFS('Forbrug af biomasse'!$E$1:$E$431,'Forbrug af biomasse'!$A$1:$A$431,$F452,'Forbrug af biomasse'!$C$1:$C$431,$D452,'Forbrug af biomasse'!$B$1:$B$431,$A$1,'Forbrug af biomasse'!$D$1:$D$431,J$2)*'[1]Processer - data'!J452</f>
        <v>0</v>
      </c>
    </row>
    <row r="453" spans="1:10" x14ac:dyDescent="0.55000000000000004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biomasse'!$E$1:$E$431,'Forbrug af biomasse'!$A$1:$A$431,$F453,'Forbrug af biomasse'!$C$1:$C$431,$D453,'Forbrug af biomasse'!$B$1:$B$431,$A$1,'Forbrug af biomasse'!$D$1:$D$431,H$2)*'[1]Processer - data'!H453</f>
        <v>13304314.266702106</v>
      </c>
      <c r="I453" s="276">
        <f>SUMIFS('Forbrug af biomasse'!$E$1:$E$431,'Forbrug af biomasse'!$A$1:$A$431,$F453,'Forbrug af biomasse'!$C$1:$C$431,$D453,'Forbrug af biomasse'!$B$1:$B$431,$A$1,'Forbrug af biomasse'!$D$1:$D$431,I$2)*'[1]Processer - data'!I453</f>
        <v>13304314.266702108</v>
      </c>
      <c r="J453" s="277">
        <f>SUMIFS('Forbrug af biomasse'!$E$1:$E$431,'Forbrug af biomasse'!$A$1:$A$431,$F453,'Forbrug af biomasse'!$C$1:$C$431,$D453,'Forbrug af biomasse'!$B$1:$B$431,$A$1,'Forbrug af biomasse'!$D$1:$D$431,J$2)*'[1]Processer - data'!J453</f>
        <v>13304314.266702106</v>
      </c>
    </row>
    <row r="454" spans="1:10" x14ac:dyDescent="0.55000000000000004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biomasse'!$E$1:$E$431,'Forbrug af biomasse'!$A$1:$A$431,$F454,'Forbrug af biomasse'!$C$1:$C$431,$D454,'Forbrug af biomasse'!$B$1:$B$431,$A$1,'Forbrug af biomasse'!$D$1:$D$431,H$2)*'[1]Processer - data'!H454</f>
        <v>440471759.93726146</v>
      </c>
      <c r="I454" s="276">
        <f>SUMIFS('Forbrug af biomasse'!$E$1:$E$431,'Forbrug af biomasse'!$A$1:$A$431,$F454,'Forbrug af biomasse'!$C$1:$C$431,$D454,'Forbrug af biomasse'!$B$1:$B$431,$A$1,'Forbrug af biomasse'!$D$1:$D$431,I$2)*'[1]Processer - data'!I454</f>
        <v>440471759.93726152</v>
      </c>
      <c r="J454" s="277">
        <f>SUMIFS('Forbrug af biomasse'!$E$1:$E$431,'Forbrug af biomasse'!$A$1:$A$431,$F454,'Forbrug af biomasse'!$C$1:$C$431,$D454,'Forbrug af biomasse'!$B$1:$B$431,$A$1,'Forbrug af biomasse'!$D$1:$D$431,J$2)*'[1]Processer - data'!J454</f>
        <v>440471759.93726146</v>
      </c>
    </row>
    <row r="455" spans="1:10" x14ac:dyDescent="0.55000000000000004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biomasse'!$E$1:$E$431,'Forbrug af biomasse'!$A$1:$A$431,$F455,'Forbrug af biomasse'!$C$1:$C$431,$D455,'Forbrug af biomasse'!$B$1:$B$431,$A$1,'Forbrug af biomasse'!$D$1:$D$431,H$2)*'[1]Processer - data'!H455*IFERROR(VLOOKUP($D455,Biogasanlæg!$F$3:$G$8,2,FALSE),1)</f>
        <v>3651898.7201453252</v>
      </c>
      <c r="I455" s="276">
        <f>SUMIFS('Forbrug af biomasse'!$E$1:$E$431,'Forbrug af biomasse'!$A$1:$A$431,$F455,'Forbrug af biomasse'!$C$1:$C$431,$D455,'Forbrug af biomasse'!$B$1:$B$431,$A$1,'Forbrug af biomasse'!$D$1:$D$431,I$2)*'[1]Processer - data'!I455*IFERROR(VLOOKUP($D455,Biogasanlæg!$F$3:$G$8,2,FALSE),1)</f>
        <v>3687513.8008480752</v>
      </c>
      <c r="J455" s="277">
        <f>SUMIFS('Forbrug af biomasse'!$E$1:$E$431,'Forbrug af biomasse'!$A$1:$A$431,$F455,'Forbrug af biomasse'!$C$1:$C$431,$D455,'Forbrug af biomasse'!$B$1:$B$431,$A$1,'Forbrug af biomasse'!$D$1:$D$431,J$2)*'[1]Processer - data'!J455*IFERROR(VLOOKUP($D455,Biogasanlæg!$F$3:$G$8,2,FALSE),1)</f>
        <v>3729909.9364906172</v>
      </c>
    </row>
    <row r="456" spans="1:10" x14ac:dyDescent="0.55000000000000004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biomasse'!$E$1:$E$431,'Forbrug af biomasse'!$A$1:$A$431,$F456,'Forbrug af biomasse'!$C$1:$C$431,$D456,'Forbrug af biomasse'!$B$1:$B$431,$A$1,'Forbrug af biomasse'!$D$1:$D$431,H$2)*'[1]Processer - data'!H456*IFERROR(VLOOKUP($D456,Biogasanlæg!$F$3:$G$8,2,FALSE),1)</f>
        <v>89924.65763816431</v>
      </c>
      <c r="I456" s="276">
        <f>SUMIFS('Forbrug af biomasse'!$E$1:$E$431,'Forbrug af biomasse'!$A$1:$A$431,$F456,'Forbrug af biomasse'!$C$1:$C$431,$D456,'Forbrug af biomasse'!$B$1:$B$431,$A$1,'Forbrug af biomasse'!$D$1:$D$431,I$2)*'[1]Processer - data'!I456*IFERROR(VLOOKUP($D456,Biogasanlæg!$F$3:$G$8,2,FALSE),1)</f>
        <v>90356.61638652379</v>
      </c>
      <c r="J456" s="277">
        <f>SUMIFS('Forbrug af biomasse'!$E$1:$E$431,'Forbrug af biomasse'!$A$1:$A$431,$F456,'Forbrug af biomasse'!$C$1:$C$431,$D456,'Forbrug af biomasse'!$B$1:$B$431,$A$1,'Forbrug af biomasse'!$D$1:$D$431,J$2)*'[1]Processer - data'!J456*IFERROR(VLOOKUP($D456,Biogasanlæg!$F$3:$G$8,2,FALSE),1)</f>
        <v>90920.740167029988</v>
      </c>
    </row>
    <row r="457" spans="1:10" x14ac:dyDescent="0.55000000000000004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biomasse'!$E$1:$E$431,'Forbrug af biomasse'!$A$1:$A$431,$F457,'Forbrug af biomasse'!$C$1:$C$431,$D457,'Forbrug af biomasse'!$B$1:$B$431,$A$1,'Forbrug af biomasse'!$D$1:$D$431,H$2)*'[1]Processer - data'!H457*IFERROR(VLOOKUP($D457,Biogasanlæg!$F$3:$G$8,2,FALSE),1)</f>
        <v>526738.87713689636</v>
      </c>
      <c r="I457" s="276">
        <f>SUMIFS('Forbrug af biomasse'!$E$1:$E$431,'Forbrug af biomasse'!$A$1:$A$431,$F457,'Forbrug af biomasse'!$C$1:$C$431,$D457,'Forbrug af biomasse'!$B$1:$B$431,$A$1,'Forbrug af biomasse'!$D$1:$D$431,I$2)*'[1]Processer - data'!I457*IFERROR(VLOOKUP($D457,Biogasanlæg!$F$3:$G$8,2,FALSE),1)</f>
        <v>531239.97198612941</v>
      </c>
      <c r="J457" s="277">
        <f>SUMIFS('Forbrug af biomasse'!$E$1:$E$431,'Forbrug af biomasse'!$A$1:$A$431,$F457,'Forbrug af biomasse'!$C$1:$C$431,$D457,'Forbrug af biomasse'!$B$1:$B$431,$A$1,'Forbrug af biomasse'!$D$1:$D$431,J$2)*'[1]Processer - data'!J457*IFERROR(VLOOKUP($D457,Biogasanlæg!$F$3:$G$8,2,FALSE),1)</f>
        <v>534703.0506543722</v>
      </c>
    </row>
    <row r="458" spans="1:10" x14ac:dyDescent="0.55000000000000004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biomasse'!$E$1:$E$431,'Forbrug af biomasse'!$A$1:$A$431,$F458,'Forbrug af biomasse'!$C$1:$C$431,$D458,'Forbrug af biomasse'!$B$1:$B$431,$A$1,'Forbrug af biomasse'!$D$1:$D$431,H$2)*'[1]Processer - data'!H458*IFERROR(VLOOKUP($D458,Biogasanlæg!$F$3:$G$8,2,FALSE),1)</f>
        <v>4565127.1242733356</v>
      </c>
      <c r="I458" s="276">
        <f>SUMIFS('Forbrug af biomasse'!$E$1:$E$431,'Forbrug af biomasse'!$A$1:$A$431,$F458,'Forbrug af biomasse'!$C$1:$C$431,$D458,'Forbrug af biomasse'!$B$1:$B$431,$A$1,'Forbrug af biomasse'!$D$1:$D$431,I$2)*'[1]Processer - data'!I458*IFERROR(VLOOKUP($D458,Biogasanlæg!$F$3:$G$8,2,FALSE),1)</f>
        <v>13892146.969952501</v>
      </c>
      <c r="J458" s="277">
        <f>SUMIFS('Forbrug af biomasse'!$E$1:$E$431,'Forbrug af biomasse'!$A$1:$A$431,$F458,'Forbrug af biomasse'!$C$1:$C$431,$D458,'Forbrug af biomasse'!$B$1:$B$431,$A$1,'Forbrug af biomasse'!$D$1:$D$431,J$2)*'[1]Processer - data'!J458*IFERROR(VLOOKUP($D458,Biogasanlæg!$F$3:$G$8,2,FALSE),1)</f>
        <v>13300015.728813034</v>
      </c>
    </row>
    <row r="459" spans="1:10" s="168" customFormat="1" x14ac:dyDescent="0.55000000000000004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biomasse'!$E$1:$E$431,'Forbrug af biomasse'!$A$1:$A$431,"Biogas",'Forbrug af biomasse'!$C$1:$C$431,$D459,'Forbrug af biomasse'!$B$1:$B$431,$A$1,'Forbrug af biomasse'!$D$1:$D$431,H$2)*'[1]Processer - data'!H459*IFERROR(VLOOKUP($D459,Biogasanlæg!$F$3:$G$8,2,FALSE),1)</f>
        <v>-4841.9260160802014</v>
      </c>
      <c r="I459" s="282">
        <f>SUMIFS('Forbrug af biomasse'!$E$1:$E$431,'Forbrug af biomasse'!$A$1:$A$431,"Biogas",'Forbrug af biomasse'!$C$1:$C$431,$D459,'Forbrug af biomasse'!$B$1:$B$431,$A$1,'Forbrug af biomasse'!$D$1:$D$431,I$2)*'[1]Processer - data'!I459*IFERROR(VLOOKUP($D459,Biogasanlæg!$F$3:$G$8,2,FALSE),1)</f>
        <v>-14734.474200152699</v>
      </c>
      <c r="J459" s="283">
        <f>SUMIFS('Forbrug af biomasse'!$E$1:$E$431,'Forbrug af biomasse'!$A$1:$A$431,"Biogas",'Forbrug af biomasse'!$C$1:$C$431,$D459,'Forbrug af biomasse'!$B$1:$B$431,$A$1,'Forbrug af biomasse'!$D$1:$D$431,J$2)*'[1]Processer - data'!J459*IFERROR(VLOOKUP($D459,Biogasanlæg!$F$3:$G$8,2,FALSE),1)</f>
        <v>-14106.440065864836</v>
      </c>
    </row>
    <row r="460" spans="1:10" x14ac:dyDescent="0.55000000000000004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biomasse'!$E$1:$E$431,'Forbrug af biomasse'!$A$1:$A$431,$F460,'Forbrug af biomasse'!$C$1:$C$431,$D460,'Forbrug af biomasse'!$B$1:$B$431,$A$1,'Forbrug af biomasse'!$D$1:$D$431,H$2)*'[1]Processer - data'!H460*IFERROR(VLOOKUP($D460,Biogasanlæg!$F$3:$G$8,2,FALSE),1)</f>
        <v>4041695.3438886409</v>
      </c>
      <c r="I460" s="276">
        <f>SUMIFS('Forbrug af biomasse'!$E$1:$E$431,'Forbrug af biomasse'!$A$1:$A$431,$F460,'Forbrug af biomasse'!$C$1:$C$431,$D460,'Forbrug af biomasse'!$B$1:$B$431,$A$1,'Forbrug af biomasse'!$D$1:$D$431,I$2)*'[1]Processer - data'!I460*IFERROR(VLOOKUP($D460,Biogasanlæg!$F$3:$G$8,2,FALSE),1)</f>
        <v>9888608.7742910944</v>
      </c>
      <c r="J460" s="277">
        <f>SUMIFS('Forbrug af biomasse'!$E$1:$E$431,'Forbrug af biomasse'!$A$1:$A$431,$F460,'Forbrug af biomasse'!$C$1:$C$431,$D460,'Forbrug af biomasse'!$B$1:$B$431,$A$1,'Forbrug af biomasse'!$D$1:$D$431,J$2)*'[1]Processer - data'!J460*IFERROR(VLOOKUP($D460,Biogasanlæg!$F$3:$G$8,2,FALSE),1)</f>
        <v>9699656.0545453709</v>
      </c>
    </row>
    <row r="461" spans="1:10" s="168" customFormat="1" x14ac:dyDescent="0.55000000000000004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biomasse'!$E$1:$E$431,'Forbrug af biomasse'!$A$1:$A$431,"Biogas",'Forbrug af biomasse'!$C$1:$C$431,$D461,'Forbrug af biomasse'!$B$1:$B$431,$A$1,'Forbrug af biomasse'!$D$1:$D$431,H$2)*'[1]Processer - data'!H461*IFERROR(VLOOKUP($D461,Biogasanlæg!$F$3:$G$8,2,FALSE),1)</f>
        <v>-8434.9192170182378</v>
      </c>
      <c r="I461" s="282">
        <f>SUMIFS('Forbrug af biomasse'!$E$1:$E$431,'Forbrug af biomasse'!$A$1:$A$431,"Biogas",'Forbrug af biomasse'!$C$1:$C$431,$D461,'Forbrug af biomasse'!$B$1:$B$431,$A$1,'Forbrug af biomasse'!$D$1:$D$431,I$2)*'[1]Processer - data'!I461*IFERROR(VLOOKUP($D461,Biogasanlæg!$F$3:$G$8,2,FALSE),1)</f>
        <v>-20637.28437769684</v>
      </c>
      <c r="J461" s="283">
        <f>SUMIFS('Forbrug af biomasse'!$E$1:$E$431,'Forbrug af biomasse'!$A$1:$A$431,"Biogas",'Forbrug af biomasse'!$C$1:$C$431,$D461,'Forbrug af biomasse'!$B$1:$B$431,$A$1,'Forbrug af biomasse'!$D$1:$D$431,J$2)*'[1]Processer - data'!J461*IFERROR(VLOOKUP($D461,Biogasanlæg!$F$3:$G$8,2,FALSE),1)</f>
        <v>-20242.944678317715</v>
      </c>
    </row>
    <row r="462" spans="1:10" x14ac:dyDescent="0.55000000000000004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biomasse'!$E$1:$E$431,'Forbrug af biomasse'!$A$1:$A$431,$F462,'Forbrug af biomasse'!$C$1:$C$431,$D462,'Forbrug af biomasse'!$B$1:$B$431,$A$1,'Forbrug af biomasse'!$D$1:$D$431,H$2)*'[1]Processer - data'!H462*IFERROR(VLOOKUP($D462,Biogasanlæg!$F$3:$G$8,2,FALSE),1)</f>
        <v>4423.7890675769768</v>
      </c>
      <c r="I462" s="276">
        <f>SUMIFS('Forbrug af biomasse'!$E$1:$E$431,'Forbrug af biomasse'!$A$1:$A$431,$F462,'Forbrug af biomasse'!$C$1:$C$431,$D462,'Forbrug af biomasse'!$B$1:$B$431,$A$1,'Forbrug af biomasse'!$D$1:$D$431,I$2)*'[1]Processer - data'!I462*IFERROR(VLOOKUP($D462,Biogasanlæg!$F$3:$G$8,2,FALSE),1)</f>
        <v>4586.3226097511979</v>
      </c>
      <c r="J462" s="277">
        <f>SUMIFS('Forbrug af biomasse'!$E$1:$E$431,'Forbrug af biomasse'!$A$1:$A$431,$F462,'Forbrug af biomasse'!$C$1:$C$431,$D462,'Forbrug af biomasse'!$B$1:$B$431,$A$1,'Forbrug af biomasse'!$D$1:$D$431,J$2)*'[1]Processer - data'!J462*IFERROR(VLOOKUP($D462,Biogasanlæg!$F$3:$G$8,2,FALSE),1)</f>
        <v>4736.2945027640226</v>
      </c>
    </row>
    <row r="463" spans="1:10" x14ac:dyDescent="0.55000000000000004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biomasse'!$E$1:$E$431,'Forbrug af biomasse'!$A$1:$A$431,$F463,'Forbrug af biomasse'!$C$1:$C$431,$D463,'Forbrug af biomasse'!$B$1:$B$431,$A$1,'Forbrug af biomasse'!$D$1:$D$431,H$2)*'[1]Processer - data'!H463*IFERROR(VLOOKUP($D463,Biogasanlæg!$F$3:$G$8,2,FALSE),1)</f>
        <v>5153539.7069824543</v>
      </c>
      <c r="I463" s="276">
        <f>SUMIFS('Forbrug af biomasse'!$E$1:$E$431,'Forbrug af biomasse'!$A$1:$A$431,$F463,'Forbrug af biomasse'!$C$1:$C$431,$D463,'Forbrug af biomasse'!$B$1:$B$431,$A$1,'Forbrug af biomasse'!$D$1:$D$431,I$2)*'[1]Processer - data'!I463*IFERROR(VLOOKUP($D463,Biogasanlæg!$F$3:$G$8,2,FALSE),1)</f>
        <v>10741653.287765445</v>
      </c>
      <c r="J463" s="277">
        <f>SUMIFS('Forbrug af biomasse'!$E$1:$E$431,'Forbrug af biomasse'!$A$1:$A$431,$F463,'Forbrug af biomasse'!$C$1:$C$431,$D463,'Forbrug af biomasse'!$B$1:$B$431,$A$1,'Forbrug af biomasse'!$D$1:$D$431,J$2)*'[1]Processer - data'!J463*IFERROR(VLOOKUP($D463,Biogasanlæg!$F$3:$G$8,2,FALSE),1)</f>
        <v>11311743.210479997</v>
      </c>
    </row>
    <row r="464" spans="1:10" x14ac:dyDescent="0.55000000000000004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biomasse'!$E$1:$E$431,'Forbrug af biomasse'!$A$1:$A$431,$F464,'Forbrug af biomasse'!$C$1:$C$431,$D464,'Forbrug af biomasse'!$B$1:$B$431,$A$1,'Forbrug af biomasse'!$D$1:$D$431,H$2)*'[1]Processer - data'!H464*IFERROR(VLOOKUP($D464,Biogasanlæg!$F$3:$G$8,2,FALSE),1)</f>
        <v>1515105.3724986184</v>
      </c>
      <c r="I464" s="276">
        <f>SUMIFS('Forbrug af biomasse'!$E$1:$E$431,'Forbrug af biomasse'!$A$1:$A$431,$F464,'Forbrug af biomasse'!$C$1:$C$431,$D464,'Forbrug af biomasse'!$B$1:$B$431,$A$1,'Forbrug af biomasse'!$D$1:$D$431,I$2)*'[1]Processer - data'!I464*IFERROR(VLOOKUP($D464,Biogasanlæg!$F$3:$G$8,2,FALSE),1)</f>
        <v>1524399.0880599462</v>
      </c>
      <c r="J464" s="277">
        <f>SUMIFS('Forbrug af biomasse'!$E$1:$E$431,'Forbrug af biomasse'!$A$1:$A$431,$F464,'Forbrug af biomasse'!$C$1:$C$431,$D464,'Forbrug af biomasse'!$B$1:$B$431,$A$1,'Forbrug af biomasse'!$D$1:$D$431,J$2)*'[1]Processer - data'!J464*IFERROR(VLOOKUP($D464,Biogasanlæg!$F$3:$G$8,2,FALSE),1)</f>
        <v>1536451.9148894225</v>
      </c>
    </row>
    <row r="465" spans="1:10" x14ac:dyDescent="0.55000000000000004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biomasse'!$E$1:$E$431,'Forbrug af biomasse'!$A$1:$A$431,$F465,'Forbrug af biomasse'!$C$1:$C$431,$D465,'Forbrug af biomasse'!$B$1:$B$431,$A$1,'Forbrug af biomasse'!$D$1:$D$431,H$2)*'[1]Processer - data'!H465*IFERROR(VLOOKUP($D465,Biogasanlæg!$F$3:$G$8,2,FALSE),1)</f>
        <v>1852429.2214462431</v>
      </c>
      <c r="I465" s="276">
        <f>SUMIFS('Forbrug af biomasse'!$E$1:$E$431,'Forbrug af biomasse'!$A$1:$A$431,$F465,'Forbrug af biomasse'!$C$1:$C$431,$D465,'Forbrug af biomasse'!$B$1:$B$431,$A$1,'Forbrug af biomasse'!$D$1:$D$431,I$2)*'[1]Processer - data'!I465*IFERROR(VLOOKUP($D465,Biogasanlæg!$F$3:$G$8,2,FALSE),1)</f>
        <v>1853830.793014637</v>
      </c>
      <c r="J465" s="277">
        <f>SUMIFS('Forbrug af biomasse'!$E$1:$E$431,'Forbrug af biomasse'!$A$1:$A$431,$F465,'Forbrug af biomasse'!$C$1:$C$431,$D465,'Forbrug af biomasse'!$B$1:$B$431,$A$1,'Forbrug af biomasse'!$D$1:$D$431,J$2)*'[1]Processer - data'!J465*IFERROR(VLOOKUP($D465,Biogasanlæg!$F$3:$G$8,2,FALSE),1)</f>
        <v>1856144.8755523276</v>
      </c>
    </row>
    <row r="466" spans="1:10" x14ac:dyDescent="0.55000000000000004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biomasse'!$E$1:$E$431,'Forbrug af biomasse'!$A$1:$A$431,$F466,'Forbrug af biomasse'!$C$1:$C$431,$D466,'Forbrug af biomasse'!$B$1:$B$431,$A$1,'Forbrug af biomasse'!$D$1:$D$431,H$2)*'[1]Processer - data'!H466*IFERROR(VLOOKUP($D466,Biogasanlæg!$F$3:$G$8,2,FALSE),1)</f>
        <v>31847524.758986317</v>
      </c>
      <c r="I466" s="276">
        <f ca="1">SUMIFS('Forbrug af biomasse'!$E$1:$E$431,'Forbrug af biomasse'!$A$1:$A$431,$F466,'Forbrug af biomasse'!$C$1:$C$431,$D466,'Forbrug af biomasse'!$B$1:$B$431,$A$1,'Forbrug af biomasse'!$D$1:$D$431,I$2)*'[1]Processer - data'!I466*IFERROR(VLOOKUP($D466,Biogasanlæg!$F$3:$G$8,2,FALSE),1)</f>
        <v>16029820.816877825</v>
      </c>
      <c r="J466" s="277">
        <f ca="1">SUMIFS('Forbrug af biomasse'!$E$1:$E$431,'Forbrug af biomasse'!$A$1:$A$431,$F466,'Forbrug af biomasse'!$C$1:$C$431,$D466,'Forbrug af biomasse'!$B$1:$B$431,$A$1,'Forbrug af biomasse'!$D$1:$D$431,J$2)*'[1]Processer - data'!J466*IFERROR(VLOOKUP($D466,Biogasanlæg!$F$3:$G$8,2,FALSE),1)</f>
        <v>16350583.536771111</v>
      </c>
    </row>
    <row r="467" spans="1:10" x14ac:dyDescent="0.55000000000000004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biomasse'!$E$1:$E$431,'Forbrug af biomasse'!$A$1:$A$431,$F467,'Forbrug af biomasse'!$C$1:$C$431,$D467,'Forbrug af biomasse'!$B$1:$B$431,$A$1,'Forbrug af biomasse'!$D$1:$D$431,H$2)*'[1]Processer - data'!H467*IFERROR(VLOOKUP($D467,Biogasanlæg!$F$3:$G$8,2,FALSE),1)</f>
        <v>28680457.689898066</v>
      </c>
      <c r="I467" s="276">
        <f>SUMIFS('Forbrug af biomasse'!$E$1:$E$431,'Forbrug af biomasse'!$A$1:$A$431,$F467,'Forbrug af biomasse'!$C$1:$C$431,$D467,'Forbrug af biomasse'!$B$1:$B$431,$A$1,'Forbrug af biomasse'!$D$1:$D$431,I$2)*'[1]Processer - data'!I467*IFERROR(VLOOKUP($D467,Biogasanlæg!$F$3:$G$8,2,FALSE),1)</f>
        <v>20817640.606483798</v>
      </c>
      <c r="J467" s="277">
        <f>SUMIFS('Forbrug af biomasse'!$E$1:$E$431,'Forbrug af biomasse'!$A$1:$A$431,$F467,'Forbrug af biomasse'!$C$1:$C$431,$D467,'Forbrug af biomasse'!$B$1:$B$431,$A$1,'Forbrug af biomasse'!$D$1:$D$431,J$2)*'[1]Processer - data'!J467*IFERROR(VLOOKUP($D467,Biogasanlæg!$F$3:$G$8,2,FALSE),1)</f>
        <v>20861138.619689144</v>
      </c>
    </row>
    <row r="468" spans="1:10" x14ac:dyDescent="0.55000000000000004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biomasse'!$E$1:$E$431,'Forbrug af biomasse'!$A$1:$A$431,$F468,'Forbrug af biomasse'!$C$1:$C$431,$D468,'Forbrug af biomasse'!$B$1:$B$431,$A$1,'Forbrug af biomasse'!$D$1:$D$431,H$2)*'[1]Processer - data'!H468*IFERROR(VLOOKUP($D468,Biogasanlæg!$F$3:$G$8,2,FALSE),1)</f>
        <v>0</v>
      </c>
      <c r="I468" s="276">
        <f>SUMIFS('Forbrug af biomasse'!$E$1:$E$431,'Forbrug af biomasse'!$A$1:$A$431,$F468,'Forbrug af biomasse'!$C$1:$C$431,$D468,'Forbrug af biomasse'!$B$1:$B$431,$A$1,'Forbrug af biomasse'!$D$1:$D$431,I$2)*'[1]Processer - data'!I468*IFERROR(VLOOKUP($D468,Biogasanlæg!$F$3:$G$8,2,FALSE),1)</f>
        <v>0</v>
      </c>
      <c r="J468" s="277">
        <f>SUMIFS('Forbrug af biomasse'!$E$1:$E$431,'Forbrug af biomasse'!$A$1:$A$431,$F468,'Forbrug af biomasse'!$C$1:$C$431,$D468,'Forbrug af biomasse'!$B$1:$B$431,$A$1,'Forbrug af biomasse'!$D$1:$D$431,J$2)*'[1]Processer - data'!J468*IFERROR(VLOOKUP($D468,Biogasanlæg!$F$3:$G$8,2,FALSE),1)</f>
        <v>0</v>
      </c>
    </row>
    <row r="469" spans="1:10" x14ac:dyDescent="0.55000000000000004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biomasse'!$E$1:$E$431,'Forbrug af biomasse'!$A$1:$A$431,$F469,'Forbrug af biomasse'!$C$1:$C$431,$D469,'Forbrug af biomasse'!$B$1:$B$431,$A$1,'Forbrug af biomasse'!$D$1:$D$431,H$2)*'[1]Processer - data'!H469*IFERROR(VLOOKUP($D469,Biogasanlæg!$F$3:$G$8,2,FALSE),1)</f>
        <v>0</v>
      </c>
      <c r="I469" s="276">
        <f>SUMIFS('Forbrug af biomasse'!$E$1:$E$431,'Forbrug af biomasse'!$A$1:$A$431,$F469,'Forbrug af biomasse'!$C$1:$C$431,$D469,'Forbrug af biomasse'!$B$1:$B$431,$A$1,'Forbrug af biomasse'!$D$1:$D$431,I$2)*'[1]Processer - data'!I469*IFERROR(VLOOKUP($D469,Biogasanlæg!$F$3:$G$8,2,FALSE),1)</f>
        <v>0</v>
      </c>
      <c r="J469" s="277">
        <f>SUMIFS('Forbrug af biomasse'!$E$1:$E$431,'Forbrug af biomasse'!$A$1:$A$431,$F469,'Forbrug af biomasse'!$C$1:$C$431,$D469,'Forbrug af biomasse'!$B$1:$B$431,$A$1,'Forbrug af biomasse'!$D$1:$D$431,J$2)*'[1]Processer - data'!J469*IFERROR(VLOOKUP($D469,Biogasanlæg!$F$3:$G$8,2,FALSE),1)</f>
        <v>0</v>
      </c>
    </row>
    <row r="470" spans="1:10" x14ac:dyDescent="0.55000000000000004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biomasse'!$E$1:$E$431,'Forbrug af biomasse'!$A$1:$A$431,$F470,'Forbrug af biomasse'!$C$1:$C$431,$D470,'Forbrug af biomasse'!$B$1:$B$431,$A$1,'Forbrug af biomasse'!$D$1:$D$431,H$2)*'[1]Processer - data'!H470*IFERROR(VLOOKUP($D470,Biogasanlæg!$F$3:$G$8,2,FALSE),1)</f>
        <v>1698.0788969358161</v>
      </c>
      <c r="I470" s="276">
        <f>SUMIFS('Forbrug af biomasse'!$E$1:$E$431,'Forbrug af biomasse'!$A$1:$A$431,$F470,'Forbrug af biomasse'!$C$1:$C$431,$D470,'Forbrug af biomasse'!$B$1:$B$431,$A$1,'Forbrug af biomasse'!$D$1:$D$431,I$2)*'[1]Processer - data'!I470*IFERROR(VLOOKUP($D470,Biogasanlæg!$F$3:$G$8,2,FALSE),1)</f>
        <v>1712.0749806438052</v>
      </c>
      <c r="J470" s="277">
        <f>SUMIFS('Forbrug af biomasse'!$E$1:$E$431,'Forbrug af biomasse'!$A$1:$A$431,$F470,'Forbrug af biomasse'!$C$1:$C$431,$D470,'Forbrug af biomasse'!$B$1:$B$431,$A$1,'Forbrug af biomasse'!$D$1:$D$431,J$2)*'[1]Processer - data'!J470*IFERROR(VLOOKUP($D470,Biogasanlæg!$F$3:$G$8,2,FALSE),1)</f>
        <v>1719.0277723236602</v>
      </c>
    </row>
    <row r="471" spans="1:10" x14ac:dyDescent="0.55000000000000004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biomasse'!$E$1:$E$431,'Forbrug af biomasse'!$A$1:$A$431,$F471,'Forbrug af biomasse'!$C$1:$C$431,$D471,'Forbrug af biomasse'!$B$1:$B$431,$A$1,'Forbrug af biomasse'!$D$1:$D$431,H$2)*'[1]Processer - data'!H471*IFERROR(VLOOKUP($D471,Biogasanlæg!$F$3:$G$8,2,FALSE),1)</f>
        <v>0</v>
      </c>
      <c r="I471" s="276">
        <f>SUMIFS('Forbrug af biomasse'!$E$1:$E$431,'Forbrug af biomasse'!$A$1:$A$431,$F471,'Forbrug af biomasse'!$C$1:$C$431,$D471,'Forbrug af biomasse'!$B$1:$B$431,$A$1,'Forbrug af biomasse'!$D$1:$D$431,I$2)*'[1]Processer - data'!I471*IFERROR(VLOOKUP($D471,Biogasanlæg!$F$3:$G$8,2,FALSE),1)</f>
        <v>0</v>
      </c>
      <c r="J471" s="277">
        <f>SUMIFS('Forbrug af biomasse'!$E$1:$E$431,'Forbrug af biomasse'!$A$1:$A$431,$F471,'Forbrug af biomasse'!$C$1:$C$431,$D471,'Forbrug af biomasse'!$B$1:$B$431,$A$1,'Forbrug af biomasse'!$D$1:$D$431,J$2)*'[1]Processer - data'!J471*IFERROR(VLOOKUP($D471,Biogasanlæg!$F$3:$G$8,2,FALSE),1)</f>
        <v>0</v>
      </c>
    </row>
    <row r="472" spans="1:10" x14ac:dyDescent="0.55000000000000004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biomasse'!$E$1:$E$431,'Forbrug af biomasse'!$A$1:$A$431,$F472,'Forbrug af biomasse'!$C$1:$C$431,$D472,'Forbrug af biomasse'!$B$1:$B$431,$A$1,'Forbrug af biomasse'!$D$1:$D$431,H$2)*'[1]Processer - data'!H472*IFERROR(VLOOKUP($D472,Biogasanlæg!$F$3:$G$8,2,FALSE),1)</f>
        <v>12086250.624000002</v>
      </c>
      <c r="I472" s="276">
        <f>SUMIFS('Forbrug af biomasse'!$E$1:$E$431,'Forbrug af biomasse'!$A$1:$A$431,$F472,'Forbrug af biomasse'!$C$1:$C$431,$D472,'Forbrug af biomasse'!$B$1:$B$431,$A$1,'Forbrug af biomasse'!$D$1:$D$431,I$2)*'[1]Processer - data'!I472*IFERROR(VLOOKUP($D472,Biogasanlæg!$F$3:$G$8,2,FALSE),1)</f>
        <v>12086250.624000002</v>
      </c>
      <c r="J472" s="277">
        <f>SUMIFS('Forbrug af biomasse'!$E$1:$E$431,'Forbrug af biomasse'!$A$1:$A$431,$F472,'Forbrug af biomasse'!$C$1:$C$431,$D472,'Forbrug af biomasse'!$B$1:$B$431,$A$1,'Forbrug af biomasse'!$D$1:$D$431,J$2)*'[1]Processer - data'!J472*IFERROR(VLOOKUP($D472,Biogasanlæg!$F$3:$G$8,2,FALSE),1)</f>
        <v>12086250.624000002</v>
      </c>
    </row>
    <row r="473" spans="1:10" x14ac:dyDescent="0.55000000000000004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biomasse'!$E$1:$E$431,'Forbrug af biomasse'!$A$1:$A$431,$F473,'Forbrug af biomasse'!$C$1:$C$431,$D473,'Forbrug af biomasse'!$B$1:$B$431,$A$1,'Forbrug af biomasse'!$D$1:$D$431,H$2)*'[1]Processer - data'!H473*IFERROR(VLOOKUP($D473,Biogasanlæg!$F$3:$G$8,2,FALSE),1)</f>
        <v>16800254.634225141</v>
      </c>
      <c r="I473" s="276">
        <f>SUMIFS('Forbrug af biomasse'!$E$1:$E$431,'Forbrug af biomasse'!$A$1:$A$431,$F473,'Forbrug af biomasse'!$C$1:$C$431,$D473,'Forbrug af biomasse'!$B$1:$B$431,$A$1,'Forbrug af biomasse'!$D$1:$D$431,I$2)*'[1]Processer - data'!I473*IFERROR(VLOOKUP($D473,Biogasanlæg!$F$3:$G$8,2,FALSE),1)</f>
        <v>17628378.214828786</v>
      </c>
      <c r="J473" s="277">
        <f>SUMIFS('Forbrug af biomasse'!$E$1:$E$431,'Forbrug af biomasse'!$A$1:$A$431,$F473,'Forbrug af biomasse'!$C$1:$C$431,$D473,'Forbrug af biomasse'!$B$1:$B$431,$A$1,'Forbrug af biomasse'!$D$1:$D$431,J$2)*'[1]Processer - data'!J473*IFERROR(VLOOKUP($D473,Biogasanlæg!$F$3:$G$8,2,FALSE),1)</f>
        <v>18451940.166548576</v>
      </c>
    </row>
    <row r="474" spans="1:10" x14ac:dyDescent="0.55000000000000004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biomasse'!$E$1:$E$431,'Forbrug af biomasse'!$A$1:$A$431,"Biogas",'Forbrug af biomasse'!$B$1:$B$431,$A$1,'Forbrug af biomasse'!$D$1:$D$431,H$2)*'[1]Processer - data'!H474</f>
        <v>2463073.3914116896</v>
      </c>
      <c r="I474" s="282">
        <f ca="1">SUMIFS('Forbrug af biomasse'!$E$1:$E$431,'Forbrug af biomasse'!$A$1:$A$431,"Biogas",'Forbrug af biomasse'!$B$1:$B$431,$A$1,'Forbrug af biomasse'!$D$1:$D$431,I$2)*'[1]Processer - data'!I474</f>
        <v>3475921.4954590979</v>
      </c>
      <c r="J474" s="283">
        <f ca="1">SUMIFS('Forbrug af biomasse'!$E$1:$E$431,'Forbrug af biomasse'!$A$1:$A$431,"Biogas",'Forbrug af biomasse'!$B$1:$B$431,$A$1,'Forbrug af biomasse'!$D$1:$D$431,J$2)*'[1]Processer - data'!J474</f>
        <v>3485399.0902783498</v>
      </c>
    </row>
    <row r="475" spans="1:10" x14ac:dyDescent="0.55000000000000004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55000000000000004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55000000000000004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55000000000000004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55000000000000004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21329677.151327465</v>
      </c>
      <c r="J479" s="283">
        <f ca="1">J474*'[1]Processer - data'!J$479*Biogasanlæg!AC$3</f>
        <v>21194915.912083264</v>
      </c>
    </row>
    <row r="480" spans="1:10" x14ac:dyDescent="0.55000000000000004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58386976.576658495</v>
      </c>
      <c r="J480" s="283">
        <f ca="1">-SUMIFS('Resultater - Østdanmark'!J$3:J$504,'Resultater - Østdanmark'!$F$3:$F$504,"Gødning",'Resultater - Østdanmark'!$A$3:$A$504,"&lt;&gt;Gødning")-SUM(J475:J479)</f>
        <v>56663811.000201233</v>
      </c>
    </row>
    <row r="481" spans="1:10" x14ac:dyDescent="0.55000000000000004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biomasse'!$E$1:$E$431,'Forbrug af biomasse'!$A$1:$A$431,$F481,'Forbrug af biomasse'!$C$1:$C$431,$D481,'Forbrug af biomasse'!$B$1:$B$431,$A$1,'Forbrug af biomasse'!$D$1:$D$431,H$2)*'[1]Processer - data'!H481</f>
        <v>7.5725862730126234</v>
      </c>
      <c r="I481" s="286">
        <f>SUMIFS('Forbrug af biomasse'!$E$1:$E$431,'Forbrug af biomasse'!$A$1:$A$431,$F481,'Forbrug af biomasse'!$C$1:$C$431,$D481,'Forbrug af biomasse'!$B$1:$B$431,$A$1,'Forbrug af biomasse'!$D$1:$D$431,I$2)*'[1]Processer - data'!I481</f>
        <v>7.3696837746251198</v>
      </c>
      <c r="J481" s="287">
        <f>SUMIFS('Forbrug af biomasse'!$E$1:$E$431,'Forbrug af biomasse'!$A$1:$A$431,$F481,'Forbrug af biomasse'!$C$1:$C$431,$D481,'Forbrug af biomasse'!$B$1:$B$431,$A$1,'Forbrug af biomasse'!$D$1:$D$431,J$2)*'[1]Processer - data'!J481</f>
        <v>7.1428684384668921</v>
      </c>
    </row>
    <row r="482" spans="1:10" x14ac:dyDescent="0.55000000000000004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biomasse'!$E$1:$E$431,'Forbrug af biomasse'!$A$1:$A$431,$F482,'Forbrug af biomasse'!$C$1:$C$431,$D482,'Forbrug af biomasse'!$B$1:$B$431,$A$1,'Forbrug af biomasse'!$D$1:$D$431,H$2)*'[1]Processer - data'!H482</f>
        <v>1.1214882290282282</v>
      </c>
      <c r="I482" s="286">
        <f>SUMIFS('Forbrug af biomasse'!$E$1:$E$431,'Forbrug af biomasse'!$A$1:$A$431,$F482,'Forbrug af biomasse'!$C$1:$C$431,$D482,'Forbrug af biomasse'!$B$1:$B$431,$A$1,'Forbrug af biomasse'!$D$1:$D$431,I$2)*'[1]Processer - data'!I482</f>
        <v>2.2734759288099871</v>
      </c>
      <c r="J482" s="287">
        <f>SUMIFS('Forbrug af biomasse'!$E$1:$E$431,'Forbrug af biomasse'!$A$1:$A$431,$F482,'Forbrug af biomasse'!$C$1:$C$431,$D482,'Forbrug af biomasse'!$B$1:$B$431,$A$1,'Forbrug af biomasse'!$D$1:$D$431,J$2)*'[1]Processer - data'!J482</f>
        <v>2.3705452991476244</v>
      </c>
    </row>
    <row r="483" spans="1:10" x14ac:dyDescent="0.55000000000000004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biomasse'!$E$1:$E$431,'Forbrug af biomasse'!$A$1:$A$431,$F483,'Forbrug af biomasse'!$C$1:$C$431,$D483,'Forbrug af biomasse'!$B$1:$B$431,$A$1,'Forbrug af biomasse'!$D$1:$D$431,H$2)*'[1]Processer - data'!H483</f>
        <v>0.71503055390133141</v>
      </c>
      <c r="I483" s="286">
        <f>SUMIFS('Forbrug af biomasse'!$E$1:$E$431,'Forbrug af biomasse'!$A$1:$A$431,$F483,'Forbrug af biomasse'!$C$1:$C$431,$D483,'Forbrug af biomasse'!$B$1:$B$431,$A$1,'Forbrug af biomasse'!$D$1:$D$431,I$2)*'[1]Processer - data'!I483</f>
        <v>0.74731515806140647</v>
      </c>
      <c r="J483" s="287">
        <f>SUMIFS('Forbrug af biomasse'!$E$1:$E$431,'Forbrug af biomasse'!$A$1:$A$431,$F483,'Forbrug af biomasse'!$C$1:$C$431,$D483,'Forbrug af biomasse'!$B$1:$B$431,$A$1,'Forbrug af biomasse'!$D$1:$D$431,J$2)*'[1]Processer - data'!J483</f>
        <v>0.78090359520639019</v>
      </c>
    </row>
    <row r="484" spans="1:10" x14ac:dyDescent="0.55000000000000004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biomasse'!$E$1:$E$431,'Forbrug af biomasse'!$A$1:$A$431,$F484,'Forbrug af biomasse'!$C$1:$C$431,$D484,'Forbrug af biomasse'!$B$1:$B$431,$A$1,'Forbrug af biomasse'!$D$1:$D$431,H$2)*'[1]Processer - data'!H484</f>
        <v>9.8790337317585379</v>
      </c>
      <c r="I484" s="286">
        <f ca="1">SUMIFS('Forbrug af biomasse'!$E$1:$E$431,'Forbrug af biomasse'!$A$1:$A$431,$F484,'Forbrug af biomasse'!$C$1:$C$431,$D484,'Forbrug af biomasse'!$B$1:$B$431,$A$1,'Forbrug af biomasse'!$D$1:$D$431,I$2)*'[1]Processer - data'!I484</f>
        <v>9.3490688161811804</v>
      </c>
      <c r="J484" s="287">
        <f ca="1">SUMIFS('Forbrug af biomasse'!$E$1:$E$431,'Forbrug af biomasse'!$A$1:$A$431,$F484,'Forbrug af biomasse'!$C$1:$C$431,$D484,'Forbrug af biomasse'!$B$1:$B$431,$A$1,'Forbrug af biomasse'!$D$1:$D$431,J$2)*'[1]Processer - data'!J484</f>
        <v>8.4827499410238172</v>
      </c>
    </row>
    <row r="485" spans="1:10" x14ac:dyDescent="0.55000000000000004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biomasse'!$E$1:$E$431,'Forbrug af biomasse'!$A$1:$A$431,$F485,'Forbrug af biomasse'!$C$1:$C$431,$D485,'Forbrug af biomasse'!$B$1:$B$431,$A$1,'Forbrug af biomasse'!$D$1:$D$431,H$2)*'[1]Processer - data'!H485</f>
        <v>8.0747487919351268</v>
      </c>
      <c r="I485" s="286">
        <f>SUMIFS('Forbrug af biomasse'!$E$1:$E$431,'Forbrug af biomasse'!$A$1:$A$431,$F485,'Forbrug af biomasse'!$C$1:$C$431,$D485,'Forbrug af biomasse'!$B$1:$B$431,$A$1,'Forbrug af biomasse'!$D$1:$D$431,I$2)*'[1]Processer - data'!I485</f>
        <v>8.1413033320197155</v>
      </c>
      <c r="J485" s="287">
        <f>SUMIFS('Forbrug af biomasse'!$E$1:$E$431,'Forbrug af biomasse'!$A$1:$A$431,$F485,'Forbrug af biomasse'!$C$1:$C$431,$D485,'Forbrug af biomasse'!$B$1:$B$431,$A$1,'Forbrug af biomasse'!$D$1:$D$431,J$2)*'[1]Processer - data'!J485</f>
        <v>8.1743654272608701</v>
      </c>
    </row>
    <row r="486" spans="1:10" x14ac:dyDescent="0.55000000000000004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biomasse'!$E$1:$E$431,'Forbrug af biomasse'!$A$1:$A$431,$F486,'Forbrug af biomasse'!$C$1:$C$431,$D486,'Forbrug af biomasse'!$B$1:$B$431,$A$1,'Forbrug af biomasse'!$D$1:$D$431,H$2)*'[1]Processer - data'!H486</f>
        <v>0</v>
      </c>
      <c r="I486" s="286">
        <f ca="1">SUMIFS('Forbrug af biomasse'!$E$1:$E$431,'Forbrug af biomasse'!$A$1:$A$431,$F486,'Forbrug af biomasse'!$C$1:$C$431,$D486,'Forbrug af biomasse'!$B$1:$B$431,$A$1,'Forbrug af biomasse'!$D$1:$D$431,I$2)*'[1]Processer - data'!I486</f>
        <v>0</v>
      </c>
      <c r="J486" s="287">
        <f ca="1">SUMIFS('Forbrug af biomasse'!$E$1:$E$431,'Forbrug af biomasse'!$A$1:$A$431,$F486,'Forbrug af biomasse'!$C$1:$C$431,$D486,'Forbrug af biomasse'!$B$1:$B$431,$A$1,'Forbrug af biomasse'!$D$1:$D$431,J$2)*'[1]Processer - data'!J486</f>
        <v>0</v>
      </c>
    </row>
    <row r="487" spans="1:10" s="168" customFormat="1" x14ac:dyDescent="0.55000000000000004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 ca="1">SUMIFS('Forbrug af biomasse'!$E$1:$E$431,'Forbrug af biomasse'!$A$1:$A$431,$F487,'Forbrug af biomasse'!$C$1:$C$431,$D487,'Forbrug af biomasse'!$B$1:$B$431,$A$1,'Forbrug af biomasse'!$D$1:$D$431,H$2)*'[1]Processer - data'!H487</f>
        <v>0</v>
      </c>
      <c r="I487" s="286">
        <f ca="1">SUMIFS('Forbrug af biomasse'!$E$1:$E$431,'Forbrug af biomasse'!$A$1:$A$431,$F487,'Forbrug af biomasse'!$C$1:$C$431,$D487,'Forbrug af biomasse'!$B$1:$B$431,$A$1,'Forbrug af biomasse'!$D$1:$D$431,I$2)*'[1]Processer - data'!I487</f>
        <v>0</v>
      </c>
      <c r="J487" s="287">
        <f ca="1">SUMIFS('Forbrug af biomasse'!$E$1:$E$431,'Forbrug af biomasse'!$A$1:$A$431,$F487,'Forbrug af biomasse'!$C$1:$C$431,$D487,'Forbrug af biomasse'!$B$1:$B$431,$A$1,'Forbrug af biomasse'!$D$1:$D$431,J$2)*'[1]Processer - data'!J487</f>
        <v>0</v>
      </c>
    </row>
    <row r="488" spans="1:10" s="168" customFormat="1" x14ac:dyDescent="0.55000000000000004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 ca="1">SUMIFS('Forbrug af biomasse'!$E$1:$E$431,'Forbrug af biomasse'!$A$1:$A$431,$F488,'Forbrug af biomasse'!$C$1:$C$431,$D488,'Forbrug af biomasse'!$B$1:$B$431,$A$1,'Forbrug af biomasse'!$D$1:$D$431,H$2)*'[1]Processer - data'!H488</f>
        <v>0</v>
      </c>
      <c r="I488" s="286">
        <f ca="1">SUMIFS('Forbrug af biomasse'!$E$1:$E$431,'Forbrug af biomasse'!$A$1:$A$431,$F488,'Forbrug af biomasse'!$C$1:$C$431,$D488,'Forbrug af biomasse'!$B$1:$B$431,$A$1,'Forbrug af biomasse'!$D$1:$D$431,I$2)*'[1]Processer - data'!I488</f>
        <v>0</v>
      </c>
      <c r="J488" s="287">
        <f ca="1">SUMIFS('Forbrug af biomasse'!$E$1:$E$431,'Forbrug af biomasse'!$A$1:$A$431,$F488,'Forbrug af biomasse'!$C$1:$C$431,$D488,'Forbrug af biomasse'!$B$1:$B$431,$A$1,'Forbrug af biomasse'!$D$1:$D$431,J$2)*'[1]Processer - data'!J488</f>
        <v>0</v>
      </c>
    </row>
    <row r="489" spans="1:10" x14ac:dyDescent="0.55000000000000004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3.9038653067059133</v>
      </c>
      <c r="J489" s="283">
        <f ca="1">SUM(J455:J473)*'[1]Processer - data'!$H$489</f>
        <v>3.9411581618211358</v>
      </c>
    </row>
    <row r="490" spans="1:10" x14ac:dyDescent="0.55000000000000004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biomasse'!$E$1:$E$431,'Forbrug af biomasse'!$A$1:$A$431,$A490,'Forbrug af biomasse'!$C$1:$C$431,$D490,'Forbrug af biomasse'!$B$1:$B$431,$A$1,'Forbrug af biomasse'!$D$1:$D$431,H$2)*'[1]Processer - data'!H490</f>
        <v>0</v>
      </c>
      <c r="I490" s="276">
        <f>SUMIFS('Forbrug af biomasse'!$E$1:$E$431,'Forbrug af biomasse'!$A$1:$A$431,$A490,'Forbrug af biomasse'!$C$1:$C$431,$D490,'Forbrug af biomasse'!$B$1:$B$431,$A$1,'Forbrug af biomasse'!$D$1:$D$431,I$2)*'[1]Processer - data'!I490</f>
        <v>0</v>
      </c>
      <c r="J490" s="277">
        <f>SUMIFS('Forbrug af biomasse'!$E$1:$E$431,'Forbrug af biomasse'!$A$1:$A$431,$A490,'Forbrug af biomasse'!$C$1:$C$431,$D490,'Forbrug af biomasse'!$B$1:$B$431,$A$1,'Forbrug af biomasse'!$D$1:$D$431,J$2)*'[1]Processer - data'!J490</f>
        <v>0</v>
      </c>
    </row>
    <row r="491" spans="1:10" x14ac:dyDescent="0.55000000000000004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biomasse'!$E$1:$E$431,'Forbrug af biomasse'!$A$1:$A$431,$A491,'Forbrug af biomasse'!$C$1:$C$431,$D491,'Forbrug af biomasse'!$B$1:$B$431,$A$1,'Forbrug af biomasse'!$D$1:$D$431,H$2)*'[1]Processer - data'!H491</f>
        <v>0</v>
      </c>
      <c r="I491" s="276">
        <f>SUMIFS('Forbrug af biomasse'!$E$1:$E$431,'Forbrug af biomasse'!$A$1:$A$431,$A491,'Forbrug af biomasse'!$C$1:$C$431,$D491,'Forbrug af biomasse'!$B$1:$B$431,$A$1,'Forbrug af biomasse'!$D$1:$D$431,I$2)*'[1]Processer - data'!I491</f>
        <v>0</v>
      </c>
      <c r="J491" s="277">
        <f>SUMIFS('Forbrug af biomasse'!$E$1:$E$431,'Forbrug af biomasse'!$A$1:$A$431,$A491,'Forbrug af biomasse'!$C$1:$C$431,$D491,'Forbrug af biomasse'!$B$1:$B$431,$A$1,'Forbrug af biomasse'!$D$1:$D$431,J$2)*'[1]Processer - data'!J491</f>
        <v>0</v>
      </c>
    </row>
    <row r="492" spans="1:10" ht="14.7" thickBot="1" x14ac:dyDescent="0.6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biomasse'!$E$1:$E$431,'Forbrug af biomasse'!$A$1:$A$431,$A492,'Forbrug af biomasse'!$C$1:$C$431,$D492,'Forbrug af biomasse'!$B$1:$B$431,$A$1,'Forbrug af biomasse'!$D$1:$D$431,H$2)*'[1]Processer - data'!H492</f>
        <v>0</v>
      </c>
      <c r="I492" s="276">
        <f>SUMIFS('Forbrug af biomasse'!$E$1:$E$431,'Forbrug af biomasse'!$A$1:$A$431,$A492,'Forbrug af biomasse'!$C$1:$C$431,$D492,'Forbrug af biomasse'!$B$1:$B$431,$A$1,'Forbrug af biomasse'!$D$1:$D$431,I$2)*'[1]Processer - data'!I492</f>
        <v>0</v>
      </c>
      <c r="J492" s="277">
        <f>SUMIFS('Forbrug af biomasse'!$E$1:$E$431,'Forbrug af biomasse'!$A$1:$A$431,$A492,'Forbrug af biomasse'!$C$1:$C$431,$D492,'Forbrug af biomasse'!$B$1:$B$431,$A$1,'Forbrug af biomasse'!$D$1:$D$431,J$2)*'[1]Processer - data'!J492</f>
        <v>0</v>
      </c>
    </row>
    <row r="493" spans="1:10" x14ac:dyDescent="0.55000000000000004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4.7" thickBot="1" x14ac:dyDescent="0.6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55000000000000004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biomasse'!$E$1:$E$431,'Forbrug af biomasse'!$A$1:$A$431,$A495,'Forbrug af biomasse'!$C$1:$C$431,$D495,'Forbrug af biomasse'!$B$1:$B$431,$A$1,'Forbrug af biomasse'!$D$1:$D$431,H$2)*'[1]Processer - data'!H495</f>
        <v>0</v>
      </c>
      <c r="I495" s="273">
        <f>SUMIFS('Forbrug af biomasse'!$E$1:$E$431,'Forbrug af biomasse'!$A$1:$A$431,$A495,'Forbrug af biomasse'!$C$1:$C$431,$D495,'Forbrug af biomasse'!$B$1:$B$431,$A$1,'Forbrug af biomasse'!$D$1:$D$431,I$2)*'[1]Processer - data'!I495</f>
        <v>0</v>
      </c>
      <c r="J495" s="274">
        <f>SUMIFS('Forbrug af biomasse'!$E$1:$E$431,'Forbrug af biomasse'!$A$1:$A$431,$A495,'Forbrug af biomasse'!$C$1:$C$431,$D495,'Forbrug af biomasse'!$B$1:$B$431,$A$1,'Forbrug af biomasse'!$D$1:$D$431,J$2)*'[1]Processer - data'!J495</f>
        <v>0</v>
      </c>
    </row>
    <row r="496" spans="1:10" x14ac:dyDescent="0.55000000000000004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biomasse'!$E$1:$E$431,'Forbrug af biomasse'!$A$1:$A$431,$A496,'Forbrug af biomasse'!$C$1:$C$431,$D496,'Forbrug af biomasse'!$B$1:$B$431,$A$1,'Forbrug af biomasse'!$D$1:$D$431,H$2)*'[1]Processer - data'!H496</f>
        <v>0</v>
      </c>
      <c r="I496" s="276">
        <f>SUMIFS('Forbrug af biomasse'!$E$1:$E$431,'Forbrug af biomasse'!$A$1:$A$431,$A496,'Forbrug af biomasse'!$C$1:$C$431,$D496,'Forbrug af biomasse'!$B$1:$B$431,$A$1,'Forbrug af biomasse'!$D$1:$D$431,I$2)*'[1]Processer - data'!I496</f>
        <v>0</v>
      </c>
      <c r="J496" s="277">
        <f>SUMIFS('Forbrug af biomasse'!$E$1:$E$431,'Forbrug af biomasse'!$A$1:$A$431,$A496,'Forbrug af biomasse'!$C$1:$C$431,$D496,'Forbrug af biomasse'!$B$1:$B$431,$A$1,'Forbrug af biomasse'!$D$1:$D$431,J$2)*'[1]Processer - data'!J496</f>
        <v>0</v>
      </c>
    </row>
    <row r="497" spans="1:10" ht="14.7" thickBot="1" x14ac:dyDescent="0.6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biomasse'!$E$1:$E$431,'Forbrug af biomasse'!$A$1:$A$431,$A497,'Forbrug af biomasse'!$C$1:$C$431,$D497,'Forbrug af biomasse'!$B$1:$B$431,$A$1,'Forbrug af biomasse'!$D$1:$D$431,H$2)*'[1]Processer - data'!H497</f>
        <v>0</v>
      </c>
      <c r="I497" s="279">
        <f>SUMIFS('Forbrug af biomasse'!$E$1:$E$431,'Forbrug af biomasse'!$A$1:$A$431,$A497,'Forbrug af biomasse'!$C$1:$C$431,$D497,'Forbrug af biomasse'!$B$1:$B$431,$A$1,'Forbrug af biomasse'!$D$1:$D$431,I$2)*'[1]Processer - data'!I497</f>
        <v>0</v>
      </c>
      <c r="J497" s="280">
        <f>SUMIFS('Forbrug af biomasse'!$E$1:$E$431,'Forbrug af biomasse'!$A$1:$A$431,$A497,'Forbrug af biomasse'!$C$1:$C$431,$D497,'Forbrug af biomasse'!$B$1:$B$431,$A$1,'Forbrug af biomasse'!$D$1:$D$431,J$2)*'[1]Processer - data'!J497</f>
        <v>0</v>
      </c>
    </row>
    <row r="498" spans="1:10" ht="14.7" thickBot="1" x14ac:dyDescent="0.6">
      <c r="A498" s="103" t="str">
        <f>IF('[1]Processer - data'!A498&lt;&gt;"",'[1]Processer - data'!A498,"")</f>
        <v>Pyrolyseproces</v>
      </c>
      <c r="B498" s="103" t="str">
        <f>IF('[1]Processer - data'!B498&lt;&gt;"",'[1]Processer - data'!B498,"")</f>
        <v/>
      </c>
      <c r="C498" s="103" t="str">
        <f>IF('[1]Processer - data'!C498&lt;&gt;"",'[1]Processer - data'!C498,"")</f>
        <v/>
      </c>
      <c r="D498" s="103" t="str">
        <f>IF('[1]Processer - data'!D498&lt;&gt;"",'[1]Processer - data'!D498,"")</f>
        <v>Træ til energi</v>
      </c>
      <c r="E498" s="103" t="str">
        <f>IF('[1]Processer - data'!E498&lt;&gt;"",'[1]Processer - data'!E498,"")</f>
        <v>m3</v>
      </c>
      <c r="F498" s="103" t="str">
        <f>IF('[1]Processer - data'!F498&lt;&gt;"",'[1]Processer - data'!F498,"")</f>
        <v>CO2 - atmosfære</v>
      </c>
      <c r="G498" s="103" t="str">
        <f>IF('[1]Processer - data'!G498&lt;&gt;"",'[1]Processer - data'!G498,"")</f>
        <v>t CO2-ækvivalenter</v>
      </c>
      <c r="H498" s="278">
        <f ca="1">SUMIFS('Forbrug af biomasse'!$E$1:$E$431,'Forbrug af biomasse'!$A$1:$A$431,$A498,'Forbrug af biomasse'!$C$1:$C$431,$D498,'Forbrug af biomasse'!$B$1:$B$431,$A$1,'Forbrug af biomasse'!$D$1:$D$431,H$2)*'[1]Processer - data'!H498</f>
        <v>0</v>
      </c>
      <c r="I498" s="279">
        <f ca="1">SUMIFS('Forbrug af biomasse'!$E$1:$E$431,'Forbrug af biomasse'!$A$1:$A$431,$A498,'Forbrug af biomasse'!$C$1:$C$431,$D498,'Forbrug af biomasse'!$B$1:$B$431,$A$1,'Forbrug af biomasse'!$D$1:$D$431,I$2)*'[1]Processer - data'!I498</f>
        <v>0</v>
      </c>
      <c r="J498" s="280">
        <f ca="1">SUMIFS('Forbrug af biomasse'!$E$1:$E$431,'Forbrug af biomasse'!$A$1:$A$431,$A498,'Forbrug af biomasse'!$C$1:$C$431,$D498,'Forbrug af biomasse'!$B$1:$B$431,$A$1,'Forbrug af biomasse'!$D$1:$D$431,J$2)*'[1]Processer - data'!J498</f>
        <v>0</v>
      </c>
    </row>
    <row r="499" spans="1:10" ht="14.7" thickBot="1" x14ac:dyDescent="0.6">
      <c r="A499" s="103" t="str">
        <f>IF('[1]Processer - data'!A499&lt;&gt;"",'[1]Processer - data'!A499,"")</f>
        <v>Pyrolyseproces</v>
      </c>
      <c r="B499" s="103" t="str">
        <f>IF('[1]Processer - data'!B499&lt;&gt;"",'[1]Processer - data'!B499,"")</f>
        <v/>
      </c>
      <c r="C499" s="103" t="str">
        <f>IF('[1]Processer - data'!C499&lt;&gt;"",'[1]Processer - data'!C499,"")</f>
        <v/>
      </c>
      <c r="D499" s="103" t="str">
        <f>IF('[1]Processer - data'!D499&lt;&gt;"",'[1]Processer - data'!D499,"")</f>
        <v>Træ til energi</v>
      </c>
      <c r="E499" s="103" t="str">
        <f>IF('[1]Processer - data'!E499&lt;&gt;"",'[1]Processer - data'!E499,"")</f>
        <v>m3</v>
      </c>
      <c r="F499" s="103" t="str">
        <f>IF('[1]Processer - data'!F499&lt;&gt;"",'[1]Processer - data'!F499,"")</f>
        <v>Pyrolyseolie</v>
      </c>
      <c r="G499" s="103" t="str">
        <f>IF('[1]Processer - data'!G499&lt;&gt;"",'[1]Processer - data'!G499,"")</f>
        <v>Ton</v>
      </c>
      <c r="H499" s="278">
        <f ca="1">SUMIFS('Forbrug af biomasse'!$E$1:$E$431,'Forbrug af biomasse'!$A$1:$A$431,$A499,'Forbrug af biomasse'!$C$1:$C$431,$D499,'Forbrug af biomasse'!$B$1:$B$431,$A$1,'Forbrug af biomasse'!$D$1:$D$431,H$2)*'[1]Processer - data'!H499</f>
        <v>0</v>
      </c>
      <c r="I499" s="279">
        <f ca="1">SUMIFS('Forbrug af biomasse'!$E$1:$E$431,'Forbrug af biomasse'!$A$1:$A$431,$A499,'Forbrug af biomasse'!$C$1:$C$431,$D499,'Forbrug af biomasse'!$B$1:$B$431,$A$1,'Forbrug af biomasse'!$D$1:$D$431,I$2)*'[1]Processer - data'!I499</f>
        <v>0</v>
      </c>
      <c r="J499" s="280">
        <f ca="1">SUMIFS('Forbrug af biomasse'!$E$1:$E$431,'Forbrug af biomasse'!$A$1:$A$431,$A499,'Forbrug af biomasse'!$C$1:$C$431,$D499,'Forbrug af biomasse'!$B$1:$B$431,$A$1,'Forbrug af biomasse'!$D$1:$D$431,J$2)*'[1]Processer - data'!J499</f>
        <v>0</v>
      </c>
    </row>
    <row r="500" spans="1:10" ht="14.7" thickBot="1" x14ac:dyDescent="0.6">
      <c r="A500" s="103" t="str">
        <f>IF('[1]Processer - data'!A500&lt;&gt;"",'[1]Processer - data'!A500,"")</f>
        <v>Pyrolyseproces</v>
      </c>
      <c r="B500" s="103" t="str">
        <f>IF('[1]Processer - data'!B500&lt;&gt;"",'[1]Processer - data'!B500,"")</f>
        <v/>
      </c>
      <c r="C500" s="103" t="str">
        <f>IF('[1]Processer - data'!C500&lt;&gt;"",'[1]Processer - data'!C500,"")</f>
        <v/>
      </c>
      <c r="D500" s="103" t="str">
        <f>IF('[1]Processer - data'!D500&lt;&gt;"",'[1]Processer - data'!D500,"")</f>
        <v>Træ til energi</v>
      </c>
      <c r="E500" s="103" t="str">
        <f>IF('[1]Processer - data'!E500&lt;&gt;"",'[1]Processer - data'!E500,"")</f>
        <v>m3</v>
      </c>
      <c r="F500" s="103" t="str">
        <f>IF('[1]Processer - data'!F500&lt;&gt;"",'[1]Processer - data'!F500,"")</f>
        <v>Pyrolysegas</v>
      </c>
      <c r="G500" s="103" t="str">
        <f>IF('[1]Processer - data'!G500&lt;&gt;"",'[1]Processer - data'!G500,"")</f>
        <v>Ton</v>
      </c>
      <c r="H500" s="278">
        <f ca="1">SUMIFS('Forbrug af biomasse'!$E$1:$E$431,'Forbrug af biomasse'!$A$1:$A$431,$A500,'Forbrug af biomasse'!$C$1:$C$431,$D500,'Forbrug af biomasse'!$B$1:$B$431,$A$1,'Forbrug af biomasse'!$D$1:$D$431,H$2)*'[1]Processer - data'!H500</f>
        <v>0</v>
      </c>
      <c r="I500" s="279">
        <f ca="1">SUMIFS('Forbrug af biomasse'!$E$1:$E$431,'Forbrug af biomasse'!$A$1:$A$431,$A500,'Forbrug af biomasse'!$C$1:$C$431,$D500,'Forbrug af biomasse'!$B$1:$B$431,$A$1,'Forbrug af biomasse'!$D$1:$D$431,I$2)*'[1]Processer - data'!I500</f>
        <v>0</v>
      </c>
      <c r="J500" s="280">
        <f ca="1">SUMIFS('Forbrug af biomasse'!$E$1:$E$431,'Forbrug af biomasse'!$A$1:$A$431,$A500,'Forbrug af biomasse'!$C$1:$C$431,$D500,'Forbrug af biomasse'!$B$1:$B$431,$A$1,'Forbrug af biomasse'!$D$1:$D$431,J$2)*'[1]Processer - data'!J500</f>
        <v>0</v>
      </c>
    </row>
    <row r="501" spans="1:10" x14ac:dyDescent="0.55000000000000004">
      <c r="H501" s="97"/>
      <c r="I501" s="97"/>
      <c r="J501" s="97"/>
    </row>
    <row r="502" spans="1:10" x14ac:dyDescent="0.55000000000000004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A497" sqref="A497:J500"/>
    </sheetView>
  </sheetViews>
  <sheetFormatPr defaultRowHeight="14.4" x14ac:dyDescent="0.55000000000000004"/>
  <cols>
    <col min="1" max="1" width="27.83984375" bestFit="1" customWidth="1"/>
    <col min="2" max="2" width="19.26171875" bestFit="1" customWidth="1"/>
    <col min="3" max="3" width="12.26171875" bestFit="1" customWidth="1"/>
    <col min="4" max="4" width="18.41796875" bestFit="1" customWidth="1"/>
    <col min="5" max="5" width="6" bestFit="1" customWidth="1"/>
    <col min="6" max="6" width="26.41796875" customWidth="1"/>
    <col min="7" max="7" width="16" bestFit="1" customWidth="1"/>
    <col min="8" max="8" width="35.15625" bestFit="1" customWidth="1"/>
    <col min="9" max="9" width="17.41796875" customWidth="1"/>
    <col min="10" max="10" width="15.83984375" customWidth="1"/>
    <col min="11" max="11" width="4.41796875" bestFit="1" customWidth="1"/>
    <col min="12" max="12" width="12.41796875" bestFit="1" customWidth="1"/>
    <col min="13" max="13" width="11.26171875" customWidth="1"/>
    <col min="14" max="14" width="12.26171875" customWidth="1"/>
    <col min="15" max="15" width="11.15625" customWidth="1"/>
    <col min="17" max="17" width="16.15625" customWidth="1"/>
  </cols>
  <sheetData>
    <row r="1" spans="1:21" x14ac:dyDescent="0.55000000000000004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4.7" thickBot="1" x14ac:dyDescent="0.6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55000000000000004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13079093.844208207</v>
      </c>
      <c r="O3" s="98">
        <f ca="1">SUMIF($F$3:$F$509,$L$3,J$3:J$509)</f>
        <v>12132641.200173642</v>
      </c>
      <c r="Q3" s="98"/>
      <c r="U3" s="98"/>
    </row>
    <row r="4" spans="1:21" x14ac:dyDescent="0.55000000000000004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55000000000000004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x14ac:dyDescent="0.55000000000000004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55000000000000004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55000000000000004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55000000000000004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55000000000000004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55000000000000004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55000000000000004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55000000000000004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55000000000000004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55000000000000004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55000000000000004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55000000000000004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55000000000000004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55000000000000004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55000000000000004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55000000000000004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55000000000000004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55000000000000004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55000000000000004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55000000000000004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55000000000000004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55000000000000004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55000000000000004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55000000000000004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55000000000000004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55000000000000004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55000000000000004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55000000000000004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55000000000000004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55000000000000004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55000000000000004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55000000000000004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55000000000000004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55000000000000004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55000000000000004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55000000000000004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55000000000000004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55000000000000004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55000000000000004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55000000000000004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55000000000000004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55000000000000004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55000000000000004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55000000000000004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55000000000000004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55000000000000004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55000000000000004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55000000000000004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55000000000000004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55000000000000004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55000000000000004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55000000000000004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55000000000000004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55000000000000004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55000000000000004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55000000000000004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55000000000000004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55000000000000004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55000000000000004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55000000000000004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55000000000000004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55000000000000004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55000000000000004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55000000000000004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55000000000000004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55000000000000004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55000000000000004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55000000000000004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55000000000000004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55000000000000004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55000000000000004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55000000000000004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55000000000000004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55000000000000004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55000000000000004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55000000000000004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55000000000000004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55000000000000004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55000000000000004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55000000000000004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55000000000000004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55000000000000004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55000000000000004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55000000000000004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55000000000000004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55000000000000004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55000000000000004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55000000000000004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55000000000000004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55000000000000004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x14ac:dyDescent="0.55000000000000004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x14ac:dyDescent="0.55000000000000004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x14ac:dyDescent="0.55000000000000004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x14ac:dyDescent="0.55000000000000004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x14ac:dyDescent="0.55000000000000004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x14ac:dyDescent="0.55000000000000004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x14ac:dyDescent="0.55000000000000004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x14ac:dyDescent="0.55000000000000004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55000000000000004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x14ac:dyDescent="0.55000000000000004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x14ac:dyDescent="0.55000000000000004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x14ac:dyDescent="0.55000000000000004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x14ac:dyDescent="0.55000000000000004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x14ac:dyDescent="0.55000000000000004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x14ac:dyDescent="0.55000000000000004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x14ac:dyDescent="0.55000000000000004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x14ac:dyDescent="0.55000000000000004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x14ac:dyDescent="0.55000000000000004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x14ac:dyDescent="0.55000000000000004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x14ac:dyDescent="0.55000000000000004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x14ac:dyDescent="0.55000000000000004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x14ac:dyDescent="0.55000000000000004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x14ac:dyDescent="0.55000000000000004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x14ac:dyDescent="0.55000000000000004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x14ac:dyDescent="0.55000000000000004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x14ac:dyDescent="0.55000000000000004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x14ac:dyDescent="0.55000000000000004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x14ac:dyDescent="0.55000000000000004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x14ac:dyDescent="0.55000000000000004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x14ac:dyDescent="0.55000000000000004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55000000000000004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55000000000000004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55000000000000004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55000000000000004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55000000000000004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55000000000000004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55000000000000004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55000000000000004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55000000000000004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55000000000000004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55000000000000004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55000000000000004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55000000000000004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55000000000000004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55000000000000004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55000000000000004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55000000000000004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55000000000000004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55000000000000004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55000000000000004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55000000000000004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55000000000000004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55000000000000004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55000000000000004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55000000000000004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55000000000000004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55000000000000004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55000000000000004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55000000000000004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55000000000000004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55000000000000004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55000000000000004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55000000000000004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55000000000000004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55000000000000004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55000000000000004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55000000000000004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55000000000000004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55000000000000004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55000000000000004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55000000000000004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55000000000000004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55000000000000004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55000000000000004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55000000000000004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55000000000000004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55000000000000004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55000000000000004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55000000000000004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55000000000000004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55000000000000004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55000000000000004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55000000000000004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55000000000000004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55000000000000004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55000000000000004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55000000000000004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55000000000000004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55000000000000004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55000000000000004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55000000000000004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55000000000000004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55000000000000004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55000000000000004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55000000000000004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55000000000000004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55000000000000004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55000000000000004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55000000000000004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55000000000000004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55000000000000004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55000000000000004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55000000000000004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55000000000000004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55000000000000004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55000000000000004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55000000000000004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55000000000000004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55000000000000004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55000000000000004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55000000000000004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55000000000000004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55000000000000004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55000000000000004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55000000000000004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55000000000000004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55000000000000004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55000000000000004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55000000000000004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55000000000000004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55000000000000004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55000000000000004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55000000000000004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55000000000000004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55000000000000004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55000000000000004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55000000000000004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55000000000000004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55000000000000004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55000000000000004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55000000000000004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55000000000000004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55000000000000004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55000000000000004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55000000000000004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55000000000000004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55000000000000004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55000000000000004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55000000000000004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55000000000000004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55000000000000004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55000000000000004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55000000000000004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55000000000000004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55000000000000004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55000000000000004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55000000000000004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55000000000000004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55000000000000004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55000000000000004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55000000000000004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55000000000000004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55000000000000004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55000000000000004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55000000000000004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55000000000000004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55000000000000004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55000000000000004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55000000000000004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55000000000000004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55000000000000004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55000000000000004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55000000000000004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55000000000000004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55000000000000004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55000000000000004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55000000000000004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55000000000000004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55000000000000004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55000000000000004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55000000000000004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55000000000000004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55000000000000004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55000000000000004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55000000000000004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55000000000000004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55000000000000004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55000000000000004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55000000000000004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55000000000000004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55000000000000004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55000000000000004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55000000000000004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55000000000000004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55000000000000004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55000000000000004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55000000000000004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55000000000000004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55000000000000004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55000000000000004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55000000000000004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55000000000000004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55000000000000004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55000000000000004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55000000000000004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55000000000000004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55000000000000004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55000000000000004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55000000000000004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55000000000000004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55000000000000004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55000000000000004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55000000000000004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55000000000000004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55000000000000004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55000000000000004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55000000000000004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55000000000000004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55000000000000004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55000000000000004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55000000000000004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55000000000000004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55000000000000004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55000000000000004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55000000000000004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55000000000000004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55000000000000004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55000000000000004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55000000000000004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55000000000000004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55000000000000004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55000000000000004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55000000000000004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55000000000000004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55000000000000004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55000000000000004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55000000000000004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55000000000000004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55000000000000004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55000000000000004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55000000000000004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55000000000000004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55000000000000004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55000000000000004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55000000000000004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55000000000000004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55000000000000004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55000000000000004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55000000000000004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55000000000000004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55000000000000004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55000000000000004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55000000000000004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55000000000000004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55000000000000004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55000000000000004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55000000000000004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55000000000000004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55000000000000004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55000000000000004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55000000000000004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55000000000000004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55000000000000004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55000000000000004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55000000000000004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55000000000000004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55000000000000004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55000000000000004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55000000000000004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55000000000000004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55000000000000004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55000000000000004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55000000000000004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55000000000000004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55000000000000004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55000000000000004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55000000000000004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55000000000000004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55000000000000004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55000000000000004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55000000000000004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55000000000000004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55000000000000004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55000000000000004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55000000000000004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55000000000000004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55000000000000004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55000000000000004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55000000000000004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55000000000000004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55000000000000004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55000000000000004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55000000000000004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55000000000000004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55000000000000004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55000000000000004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55000000000000004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55000000000000004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55000000000000004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55000000000000004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55000000000000004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55000000000000004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55000000000000004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55000000000000004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55000000000000004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55000000000000004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55000000000000004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55000000000000004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55000000000000004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55000000000000004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55000000000000004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55000000000000004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55000000000000004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55000000000000004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55000000000000004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55000000000000004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55000000000000004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55000000000000004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55000000000000004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55000000000000004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55000000000000004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55000000000000004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55000000000000004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55000000000000004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55000000000000004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55000000000000004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55000000000000004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55000000000000004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55000000000000004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55000000000000004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55000000000000004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55000000000000004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55000000000000004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55000000000000004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55000000000000004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55000000000000004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55000000000000004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55000000000000004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55000000000000004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55000000000000004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55000000000000004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x14ac:dyDescent="0.55000000000000004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x14ac:dyDescent="0.55000000000000004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x14ac:dyDescent="0.55000000000000004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x14ac:dyDescent="0.55000000000000004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x14ac:dyDescent="0.55000000000000004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x14ac:dyDescent="0.55000000000000004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x14ac:dyDescent="0.55000000000000004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x14ac:dyDescent="0.55000000000000004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x14ac:dyDescent="0.55000000000000004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x14ac:dyDescent="0.55000000000000004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x14ac:dyDescent="0.55000000000000004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x14ac:dyDescent="0.55000000000000004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4.7" thickBot="1" x14ac:dyDescent="0.6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55000000000000004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5940049093.1121225</v>
      </c>
      <c r="J440" s="274">
        <f>'Resultater - Vestdanmark'!J440+'Resultater - Østdanmark'!J440</f>
        <v>5940049093.1121225</v>
      </c>
    </row>
    <row r="441" spans="1:10" x14ac:dyDescent="0.55000000000000004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164945487.85478973</v>
      </c>
      <c r="J441" s="277">
        <f>'Resultater - Vestdanmark'!J441+'Resultater - Østdanmark'!J441</f>
        <v>164945487.85478973</v>
      </c>
    </row>
    <row r="442" spans="1:10" x14ac:dyDescent="0.55000000000000004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55000000000000004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x14ac:dyDescent="0.55000000000000004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143824419.28801787</v>
      </c>
      <c r="J444" s="277">
        <f>'Resultater - Vestdanmark'!J444+'Resultater - Østdanmark'!J444</f>
        <v>143824419.28801787</v>
      </c>
    </row>
    <row r="445" spans="1:10" x14ac:dyDescent="0.55000000000000004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1682645129.1528244</v>
      </c>
      <c r="J445" s="277">
        <f>'Resultater - Vestdanmark'!J445+'Resultater - Østdanmark'!J445</f>
        <v>1682645129.1528244</v>
      </c>
    </row>
    <row r="446" spans="1:10" x14ac:dyDescent="0.55000000000000004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242389405.93295318</v>
      </c>
      <c r="J446" s="277">
        <f>'Resultater - Vestdanmark'!J446+'Resultater - Østdanmark'!J446</f>
        <v>242389405.93295318</v>
      </c>
    </row>
    <row r="447" spans="1:10" x14ac:dyDescent="0.55000000000000004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55000000000000004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55000000000000004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2285098465.8907452</v>
      </c>
      <c r="J449" s="277">
        <f>'Resultater - Vestdanmark'!J449+'Resultater - Østdanmark'!J449</f>
        <v>2285098465.8907452</v>
      </c>
    </row>
    <row r="450" spans="1:10" x14ac:dyDescent="0.55000000000000004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163939722.68494344</v>
      </c>
      <c r="J450" s="277">
        <f>'Resultater - Vestdanmark'!J450+'Resultater - Østdanmark'!J450</f>
        <v>163939722.68494344</v>
      </c>
    </row>
    <row r="451" spans="1:10" x14ac:dyDescent="0.55000000000000004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biomasse'!$E$1:$E$431,'Forbrug af biomasse'!$A$1:$A$431,$F451,'Forbrug af biomasse'!$C$1:$C$431,$D451,'Forbrug af biomasse'!$B$1:$B$431,$A$1,'Forbrug af biomasse'!$D$1:$D$431,I$2)*'[1]Processer - data'!I451</f>
        <v>0</v>
      </c>
      <c r="J451" s="277">
        <f>'Resultater - Vestdanmark'!J451+'Resultater - Østdanmark'!J451</f>
        <v>0</v>
      </c>
    </row>
    <row r="452" spans="1:10" x14ac:dyDescent="0.55000000000000004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biomasse'!$E$1:$E$431,'Forbrug af biomasse'!$A$1:$A$431,$F452,'Forbrug af biomasse'!$C$1:$C$431,$D452,'Forbrug af biomasse'!$B$1:$B$431,$A$1,'Forbrug af biomasse'!$D$1:$D$431,I$2)*'[1]Processer - data'!I452</f>
        <v>0</v>
      </c>
      <c r="J452" s="277">
        <f>'Resultater - Vestdanmark'!J452+'Resultater - Østdanmark'!J452</f>
        <v>0</v>
      </c>
    </row>
    <row r="453" spans="1:10" x14ac:dyDescent="0.55000000000000004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121697585.55139977</v>
      </c>
      <c r="J453" s="277">
        <f>'Resultater - Vestdanmark'!J453+'Resultater - Østdanmark'!J453</f>
        <v>121697585.55139975</v>
      </c>
    </row>
    <row r="454" spans="1:10" x14ac:dyDescent="0.55000000000000004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4029095270.4041934</v>
      </c>
      <c r="J454" s="277">
        <f>'Resultater - Vestdanmark'!J454+'Resultater - Østdanmark'!J454</f>
        <v>4029095270.4041934</v>
      </c>
    </row>
    <row r="455" spans="1:10" x14ac:dyDescent="0.55000000000000004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12195000.399999999</v>
      </c>
    </row>
    <row r="456" spans="1:10" x14ac:dyDescent="0.55000000000000004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55000000000000004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55000000000000004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109768085.96855611</v>
      </c>
      <c r="J458" s="277">
        <f>'Resultater - Vestdanmark'!J458+'Resultater - Østdanmark'!J458</f>
        <v>105089391.37061904</v>
      </c>
    </row>
    <row r="459" spans="1:10" s="168" customFormat="1" x14ac:dyDescent="0.55000000000000004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-116423.69132734301</v>
      </c>
      <c r="J459" s="283">
        <f>'Resultater - Vestdanmark'!J459+'Resultater - Østdanmark'!J459</f>
        <v>-111461.31186268541</v>
      </c>
    </row>
    <row r="460" spans="1:10" x14ac:dyDescent="0.55000000000000004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149019759.53296533</v>
      </c>
      <c r="J460" s="277">
        <f>'Resultater - Vestdanmark'!J460+'Resultater - Østdanmark'!J460</f>
        <v>146172272.13586926</v>
      </c>
    </row>
    <row r="461" spans="1:10" s="168" customFormat="1" x14ac:dyDescent="0.55000000000000004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-311000.58922072942</v>
      </c>
      <c r="J461" s="283">
        <f>'Resultater - Vestdanmark'!J461+'Resultater - Østdanmark'!J461</f>
        <v>-305057.95274707722</v>
      </c>
    </row>
    <row r="462" spans="1:10" x14ac:dyDescent="0.55000000000000004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61168.027285023883</v>
      </c>
    </row>
    <row r="463" spans="1:10" x14ac:dyDescent="0.55000000000000004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90329427.84153083</v>
      </c>
      <c r="J463" s="277">
        <f>'Resultater - Vestdanmark'!J463+'Resultater - Østdanmark'!J463</f>
        <v>94651075.041137278</v>
      </c>
    </row>
    <row r="464" spans="1:10" x14ac:dyDescent="0.55000000000000004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55000000000000004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55000000000000004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55000000000000004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74179468.040000021</v>
      </c>
    </row>
    <row r="468" spans="1:12" x14ac:dyDescent="0.55000000000000004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55000000000000004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55000000000000004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55000000000000004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55000000000000004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55000000000000004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38577084.232939482</v>
      </c>
      <c r="J473" s="277">
        <f>'Resultater - Vestdanmark'!J473+'Resultater - Østdanmark'!J473</f>
        <v>40180423.618004136</v>
      </c>
      <c r="L473" s="98"/>
    </row>
    <row r="474" spans="1:12" x14ac:dyDescent="0.55000000000000004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23679614.841002569</v>
      </c>
      <c r="J474" s="283">
        <f ca="1">'Resultater - Vestdanmark'!J474+'Resultater - Østdanmark'!J474</f>
        <v>23310542.352385238</v>
      </c>
    </row>
    <row r="475" spans="1:12" x14ac:dyDescent="0.55000000000000004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42992500.337684467</v>
      </c>
      <c r="J475" s="283">
        <f>'Resultater - Vestdanmark'!J475+'Resultater - Østdanmark'!J475</f>
        <v>41160011.620159127</v>
      </c>
    </row>
    <row r="476" spans="1:12" x14ac:dyDescent="0.55000000000000004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26700068.897283822</v>
      </c>
      <c r="J476" s="283">
        <f>'Resultater - Vestdanmark'!J476+'Resultater - Østdanmark'!J476</f>
        <v>26189880.785822045</v>
      </c>
    </row>
    <row r="477" spans="1:12" x14ac:dyDescent="0.55000000000000004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32685.205419478407</v>
      </c>
    </row>
    <row r="478" spans="1:12" x14ac:dyDescent="0.55000000000000004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7979099.4593352228</v>
      </c>
      <c r="J478" s="283">
        <f>'Resultater - Vestdanmark'!J478+'Resultater - Østdanmark'!J478</f>
        <v>8360844.9619671246</v>
      </c>
    </row>
    <row r="479" spans="1:12" x14ac:dyDescent="0.55000000000000004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145307809.82430005</v>
      </c>
      <c r="J479" s="283">
        <f ca="1">'Resultater - Vestdanmark'!J479+'Resultater - Østdanmark'!J479</f>
        <v>141752772.70311213</v>
      </c>
    </row>
    <row r="480" spans="1:12" x14ac:dyDescent="0.55000000000000004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149764397.27315927</v>
      </c>
      <c r="J480" s="283">
        <f ca="1">'Resultater - Vestdanmark'!J480+'Resultater - Østdanmark'!J480</f>
        <v>144635700.95375001</v>
      </c>
    </row>
    <row r="481" spans="1:13" x14ac:dyDescent="0.55000000000000004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18.644577362117147</v>
      </c>
      <c r="J481" s="287">
        <f>'Resultater - Vestdanmark'!J481+'Resultater - Østdanmark'!J481</f>
        <v>17.589105115701589</v>
      </c>
      <c r="L481" s="167" t="s">
        <v>215</v>
      </c>
      <c r="M481" s="165">
        <v>17963.28</v>
      </c>
    </row>
    <row r="482" spans="1:13" x14ac:dyDescent="0.55000000000000004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55000000000000004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55000000000000004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37.486106778285574</v>
      </c>
      <c r="L484" s="167" t="s">
        <v>217</v>
      </c>
      <c r="M484" s="165">
        <v>8944.93</v>
      </c>
    </row>
    <row r="485" spans="1:13" x14ac:dyDescent="0.55000000000000004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55000000000000004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55000000000000004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 ca="1">'Resultater - Vestdanmark'!H487+'Resultater - Østdanmark'!H487</f>
        <v>0</v>
      </c>
      <c r="I487" s="286">
        <f ca="1">'Resultater - Vestdanmark'!I487+'Resultater - Østdanmark'!I487</f>
        <v>0</v>
      </c>
      <c r="J487" s="287">
        <f ca="1">'Resultater - Vestdanmark'!J487+'Resultater - Østdanmark'!J487</f>
        <v>0</v>
      </c>
      <c r="L487" s="166"/>
      <c r="M487" s="165"/>
    </row>
    <row r="488" spans="1:13" s="168" customFormat="1" x14ac:dyDescent="0.55000000000000004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 ca="1">'Resultater - Vestdanmark'!H488+'Resultater - Østdanmark'!H488</f>
        <v>0</v>
      </c>
      <c r="I488" s="286">
        <f ca="1">'Resultater - Vestdanmark'!I488+'Resultater - Østdanmark'!I488</f>
        <v>0</v>
      </c>
      <c r="J488" s="287">
        <f ca="1">'Resultater - Vestdanmark'!J488+'Resultater - Østdanmark'!J488</f>
        <v>0</v>
      </c>
      <c r="L488" s="166"/>
      <c r="M488" s="165"/>
    </row>
    <row r="489" spans="1:13" x14ac:dyDescent="0.55000000000000004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21.85951762890226</v>
      </c>
      <c r="J489" s="290">
        <f ca="1">'Resultater - Vestdanmark'!J489+'Resultater - Østdanmark'!J489</f>
        <v>21.811380730995147</v>
      </c>
    </row>
    <row r="490" spans="1:13" x14ac:dyDescent="0.55000000000000004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55000000000000004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55000000000000004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55000000000000004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55000000000000004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55000000000000004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55000000000000004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4.7" thickBot="1" x14ac:dyDescent="0.6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ht="14.7" thickBot="1" x14ac:dyDescent="0.6">
      <c r="A498" s="154" t="str">
        <f>'Resultater - Vestdanmark'!A498</f>
        <v>Pyrolyseproces</v>
      </c>
      <c r="B498" s="154" t="str">
        <f>'Resultater - Vestdanmark'!B498</f>
        <v/>
      </c>
      <c r="C498" s="154" t="str">
        <f>'Resultater - Vestdanmark'!C498</f>
        <v/>
      </c>
      <c r="D498" s="154" t="str">
        <f>'Resultater - Vestdanmark'!D498</f>
        <v>Træ til energi</v>
      </c>
      <c r="E498" s="154" t="str">
        <f>'Resultater - Vestdanmark'!E498</f>
        <v>m3</v>
      </c>
      <c r="F498" s="154" t="str">
        <f>'Resultater - Vestdanmark'!F498</f>
        <v>CO2 - atmosfære</v>
      </c>
      <c r="G498" s="154" t="str">
        <f>'Resultater - Vestdanmark'!G498</f>
        <v>t CO2-ækvivalenter</v>
      </c>
      <c r="H498" s="294">
        <f ca="1">'Resultater - Vestdanmark'!H498+'Resultater - Østdanmark'!H498</f>
        <v>0</v>
      </c>
      <c r="I498" s="295">
        <f ca="1">'Resultater - Vestdanmark'!I498+'Resultater - Østdanmark'!I498</f>
        <v>0</v>
      </c>
      <c r="J498" s="296">
        <f ca="1">'Resultater - Vestdanmark'!J498+'Resultater - Østdanmark'!J498</f>
        <v>0</v>
      </c>
    </row>
    <row r="499" spans="1:10" ht="14.7" thickBot="1" x14ac:dyDescent="0.6">
      <c r="A499" s="154" t="str">
        <f>'Resultater - Vestdanmark'!A499</f>
        <v>Pyrolyseproces</v>
      </c>
      <c r="B499" s="154" t="str">
        <f>'Resultater - Vestdanmark'!B499</f>
        <v/>
      </c>
      <c r="C499" s="154" t="str">
        <f>'Resultater - Vestdanmark'!C499</f>
        <v/>
      </c>
      <c r="D499" s="154" t="str">
        <f>'Resultater - Vestdanmark'!D499</f>
        <v>Træ til energi</v>
      </c>
      <c r="E499" s="154" t="str">
        <f>'Resultater - Vestdanmark'!E499</f>
        <v>m3</v>
      </c>
      <c r="F499" s="154" t="str">
        <f>'Resultater - Vestdanmark'!F499</f>
        <v>Pyrolyseolie</v>
      </c>
      <c r="G499" s="154" t="str">
        <f>'Resultater - Vestdanmark'!G499</f>
        <v>Ton</v>
      </c>
      <c r="H499" s="294">
        <f ca="1">'Resultater - Vestdanmark'!H499+'Resultater - Østdanmark'!H499</f>
        <v>0</v>
      </c>
      <c r="I499" s="295">
        <f ca="1">'Resultater - Vestdanmark'!I499+'Resultater - Østdanmark'!I499</f>
        <v>0</v>
      </c>
      <c r="J499" s="296">
        <f ca="1">'Resultater - Vestdanmark'!J499+'Resultater - Østdanmark'!J499</f>
        <v>0</v>
      </c>
    </row>
    <row r="500" spans="1:10" ht="14.7" thickBot="1" x14ac:dyDescent="0.6">
      <c r="A500" s="154" t="str">
        <f>'Resultater - Vestdanmark'!A500</f>
        <v>Pyrolyseproces</v>
      </c>
      <c r="B500" s="154" t="str">
        <f>'Resultater - Vestdanmark'!B500</f>
        <v/>
      </c>
      <c r="C500" s="154" t="str">
        <f>'Resultater - Vestdanmark'!C500</f>
        <v/>
      </c>
      <c r="D500" s="154" t="str">
        <f>'Resultater - Vestdanmark'!D500</f>
        <v>Træ til energi</v>
      </c>
      <c r="E500" s="154" t="str">
        <f>'Resultater - Vestdanmark'!E500</f>
        <v>m3</v>
      </c>
      <c r="F500" s="154" t="str">
        <f>'Resultater - Vestdanmark'!F500</f>
        <v>Pyrolysegas</v>
      </c>
      <c r="G500" s="154" t="str">
        <f>'Resultater - Vestdanmark'!G500</f>
        <v>Ton</v>
      </c>
      <c r="H500" s="294">
        <f ca="1">'Resultater - Vestdanmark'!H500+'Resultater - Østdanmark'!H500</f>
        <v>0</v>
      </c>
      <c r="I500" s="295">
        <f ca="1">'Resultater - Vestdanmark'!I500+'Resultater - Østdanmark'!I500</f>
        <v>0</v>
      </c>
      <c r="J500" s="296">
        <f ca="1">'Resultater - Vestdanmark'!J500+'Resultater - Østdanmark'!J500</f>
        <v>0</v>
      </c>
    </row>
    <row r="501" spans="1:10" x14ac:dyDescent="0.55000000000000004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55000000000000004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55000000000000004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55000000000000004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55000000000000004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55000000000000004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55000000000000004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55000000000000004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55000000000000004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55000000000000004">
      <c r="H510" s="97"/>
      <c r="I510" s="97"/>
      <c r="J510" s="97"/>
    </row>
    <row r="511" spans="1:10" x14ac:dyDescent="0.55000000000000004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P3" activePane="bottomRight" state="frozen"/>
      <selection pane="topRight" activeCell="F1" sqref="F1"/>
      <selection pane="bottomLeft" activeCell="A3" sqref="A3"/>
      <selection pane="bottomRight" activeCell="S9" sqref="S9"/>
    </sheetView>
  </sheetViews>
  <sheetFormatPr defaultColWidth="18" defaultRowHeight="14.4" x14ac:dyDescent="0.55000000000000004"/>
  <cols>
    <col min="1" max="2" width="18.15625" style="187" bestFit="1" customWidth="1"/>
    <col min="3" max="3" width="8.15625" style="187" bestFit="1" customWidth="1"/>
    <col min="4" max="4" width="7.83984375" style="187" customWidth="1"/>
    <col min="5" max="5" width="11.15625" style="187" bestFit="1" customWidth="1"/>
    <col min="6" max="6" width="14.26171875" style="187" bestFit="1" customWidth="1"/>
    <col min="7" max="7" width="10.68359375" style="187" bestFit="1" customWidth="1"/>
    <col min="8" max="8" width="11.68359375" style="187" bestFit="1" customWidth="1"/>
    <col min="9" max="9" width="9" style="187" bestFit="1" customWidth="1"/>
    <col min="10" max="11" width="9.578125" style="187" bestFit="1" customWidth="1"/>
    <col min="12" max="12" width="10.578125" style="187" bestFit="1" customWidth="1"/>
    <col min="13" max="13" width="20" style="103" bestFit="1" customWidth="1"/>
    <col min="14" max="14" width="26.41796875" style="103" bestFit="1" customWidth="1"/>
    <col min="15" max="15" width="21.41796875" style="103" bestFit="1" customWidth="1"/>
    <col min="16" max="16" width="20.578125" style="103" bestFit="1" customWidth="1"/>
    <col min="17" max="17" width="20.26171875" style="103" bestFit="1" customWidth="1"/>
    <col min="18" max="18" width="19.83984375" style="103" bestFit="1" customWidth="1"/>
    <col min="19" max="19" width="18.578125" style="103" bestFit="1" customWidth="1"/>
    <col min="20" max="20" width="23.68359375" style="103" bestFit="1" customWidth="1"/>
    <col min="21" max="21" width="24" style="103" bestFit="1" customWidth="1"/>
    <col min="22" max="22" width="23.41796875" style="103" bestFit="1" customWidth="1"/>
    <col min="23" max="23" width="22.26171875" style="103" bestFit="1" customWidth="1"/>
    <col min="24" max="24" width="27.41796875" style="103" bestFit="1" customWidth="1"/>
    <col min="25" max="16384" width="18" style="103"/>
  </cols>
  <sheetData>
    <row r="1" spans="1:26" ht="14.7" thickTop="1" x14ac:dyDescent="0.55000000000000004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55000000000000004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55000000000000004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forbrug'!G$2,'Forbrug af biomasse'!$B$2:$B$431,$E3)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forbrug'!I$2,'Forbrug af biomasse'!$B$2:$B$431,$E3)</f>
        <v>31522.55833067331</v>
      </c>
      <c r="J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forbrug'!J$2,'Forbrug af biomasse'!$B$2:$B$431,$E3)</f>
        <v>0</v>
      </c>
      <c r="K3" s="190">
        <f>SUMIFS('Forbrug af biomasse'!$E$2:$E$431,'Forbrug af biomasse'!$C$2:$C$431,'Resultat-Produktion &amp; forbrug'!$A3,'Forbrug af biomasse'!$D$2:$D$431,'Resultat-Produktion &amp; forbrug'!$D3,'Forbrug af biomasse'!$A$2:$A$431,'Resultat-Produktion &amp; forbrug'!K$2,'Forbrug af biomasse'!$B$2:$B$431,$E3)</f>
        <v>0</v>
      </c>
      <c r="L3" s="190">
        <f>IF(A3&lt;&gt;"Biogas",SUMIFS('Forbrug af biomasse'!$E$2:$E$431,'Forbrug af biomasse'!$C$2:$C$431,'Resultat-Produktion &amp; forbrug'!$A3,'Forbrug af biomasse'!$D$2:$D$431,'Resultat-Produktion &amp; forbrug'!$D3,'Forbrug af biomasse'!$A$2:$A$431,'Resultat-Produktion &amp; forbrug'!L$2,'Forbrug af biomasse'!$B$2:$B$431,$E3),F3)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55000000000000004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forbrug'!G$2,'Forbrug af biomasse'!$B$2:$B$431,$E4)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forbrug'!I$2,'Forbrug af biomasse'!$B$2:$B$431,$E4)</f>
        <v>0</v>
      </c>
      <c r="J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forbrug'!J$2,'Forbrug af biomasse'!$B$2:$B$431,$E4)</f>
        <v>0</v>
      </c>
      <c r="K4" s="190">
        <f>SUMIFS('Forbrug af biomasse'!$E$2:$E$431,'Forbrug af biomasse'!$C$2:$C$431,'Resultat-Produktion &amp; forbrug'!$A4,'Forbrug af biomasse'!$D$2:$D$431,'Resultat-Produktion &amp; forbrug'!$D4,'Forbrug af biomasse'!$A$2:$A$431,'Resultat-Produktion &amp; forbrug'!K$2,'Forbrug af biomasse'!$B$2:$B$431,$E4)</f>
        <v>0</v>
      </c>
      <c r="L4" s="190">
        <f>IF(A4&lt;&gt;"Biogas",SUMIFS('Forbrug af biomasse'!$E$2:$E$431,'Forbrug af biomasse'!$C$2:$C$431,'Resultat-Produktion &amp; forbrug'!$A4,'Forbrug af biomasse'!$D$2:$D$431,'Resultat-Produktion &amp; forbrug'!$D4,'Forbrug af biomasse'!$A$2:$A$431,'Resultat-Produktion &amp; forbrug'!L$2,'Forbrug af biomasse'!$B$2:$B$431,$E4),F4)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55000000000000004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forbrug'!G$2,'Forbrug af biomasse'!$B$2:$B$431,$E5)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forbrug'!I$2,'Forbrug af biomasse'!$B$2:$B$431,$E5)</f>
        <v>0</v>
      </c>
      <c r="J5" s="190">
        <f ca="1">SUMIFS('Forbrug af biomasse'!$E$2:$E$431,'Forbrug af biomasse'!$C$2:$C$431,'Resultat-Produktion &amp; forbrug'!$A5,'Forbrug af biomasse'!$D$2:$D$431,'Resultat-Produktion &amp; forbrug'!$D5,'Forbrug af biomasse'!$A$2:$A$431,'Resultat-Produktion &amp; forbrug'!J$2,'Forbrug af biomasse'!$B$2:$B$431,$E5)</f>
        <v>393543.64426779439</v>
      </c>
      <c r="K5" s="190">
        <f>SUMIFS('Forbrug af biomasse'!$E$2:$E$431,'Forbrug af biomasse'!$C$2:$C$431,'Resultat-Produktion &amp; forbrug'!$A5,'Forbrug af biomasse'!$D$2:$D$431,'Resultat-Produktion &amp; forbrug'!$D5,'Forbrug af biomasse'!$A$2:$A$431,'Resultat-Produktion &amp; forbrug'!K$2,'Forbrug af biomasse'!$B$2:$B$431,$E5)</f>
        <v>0</v>
      </c>
      <c r="L5" s="190">
        <f ca="1">IF(A5&lt;&gt;"Biogas",SUMIFS('Forbrug af biomasse'!$E$2:$E$431,'Forbrug af biomasse'!$C$2:$C$431,'Resultat-Produktion &amp; forbrug'!$A5,'Forbrug af biomasse'!$D$2:$D$431,'Resultat-Produktion &amp; forbrug'!$D5,'Forbrug af biomasse'!$A$2:$A$431,'Resultat-Produktion &amp; forbrug'!L$2,'Forbrug af biomasse'!$B$2:$B$431,$E5),F5)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55000000000000004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forbrug'!G$2,'Forbrug af biomasse'!$B$2:$B$431,$E6)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forbrug'!I$2,'Forbrug af biomasse'!$B$2:$B$431,$E6)</f>
        <v>0</v>
      </c>
      <c r="J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forbrug'!J$2,'Forbrug af biomasse'!$B$2:$B$431,$E6)</f>
        <v>0</v>
      </c>
      <c r="K6" s="190">
        <f>SUMIFS('Forbrug af biomasse'!$E$2:$E$431,'Forbrug af biomasse'!$C$2:$C$431,'Resultat-Produktion &amp; forbrug'!$A6,'Forbrug af biomasse'!$D$2:$D$431,'Resultat-Produktion &amp; forbrug'!$D6,'Forbrug af biomasse'!$A$2:$A$431,'Resultat-Produktion &amp; forbrug'!K$2,'Forbrug af biomasse'!$B$2:$B$431,$E6)</f>
        <v>0</v>
      </c>
      <c r="L6" s="190">
        <f ca="1">IF(A6&lt;&gt;"Biogas",SUMIFS('Forbrug af biomasse'!$E$2:$E$431,'Forbrug af biomasse'!$C$2:$C$431,'Resultat-Produktion &amp; forbrug'!$A6,'Forbrug af biomasse'!$D$2:$D$431,'Resultat-Produktion &amp; forbrug'!$D6,'Forbrug af biomasse'!$A$2:$A$431,'Resultat-Produktion &amp; forbrug'!L$2,'Forbrug af biomasse'!$B$2:$B$431,$E6),F6)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55000000000000004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forbrug'!G$2,'Forbrug af biomasse'!$B$2:$B$431,$E7)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forbrug'!I$2,'Forbrug af biomasse'!$B$2:$B$431,$E7)</f>
        <v>0</v>
      </c>
      <c r="J7" s="190">
        <f>SUMIFS('Forbrug af biomasse'!$E$2:$E$431,'Forbrug af biomasse'!$C$2:$C$431,'Resultat-Produktion &amp; forbrug'!$A7,'Forbrug af biomasse'!$D$2:$D$431,'Resultat-Produktion &amp; forbrug'!$D7,'Forbrug af biomasse'!$A$2:$A$431,'Resultat-Produktion &amp; forbrug'!J$2,'Forbrug af biomasse'!$B$2:$B$431,$E7)</f>
        <v>0</v>
      </c>
      <c r="K7" s="190">
        <f ca="1">SUMIFS('Forbrug af biomasse'!$E$2:$E$431,'Forbrug af biomasse'!$C$2:$C$431,'Resultat-Produktion &amp; forbrug'!$A7,'Forbrug af biomasse'!$D$2:$D$431,'Resultat-Produktion &amp; forbrug'!$D7,'Forbrug af biomasse'!$A$2:$A$431,'Resultat-Produktion &amp; forbrug'!K$2,'Forbrug af biomasse'!$B$2:$B$431,$E7)</f>
        <v>7001629.6154696662</v>
      </c>
      <c r="L7" s="190">
        <f>IF(A7&lt;&gt;"Biogas",SUMIFS('Forbrug af biomasse'!$E$2:$E$431,'Forbrug af biomasse'!$C$2:$C$431,'Resultat-Produktion &amp; forbrug'!$A7,'Forbrug af biomasse'!$D$2:$D$431,'Resultat-Produktion &amp; forbrug'!$D7,'Forbrug af biomasse'!$A$2:$A$431,'Resultat-Produktion &amp; forbrug'!L$2,'Forbrug af biomasse'!$B$2:$B$431,$E7),F7)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55000000000000004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forbrug'!G$2,'Forbrug af biomasse'!$B$2:$B$431,$E8)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forbrug'!I$2,'Forbrug af biomasse'!$B$2:$B$431,$E8)</f>
        <v>0</v>
      </c>
      <c r="J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forbrug'!J$2,'Forbrug af biomasse'!$B$2:$B$431,$E8)</f>
        <v>0</v>
      </c>
      <c r="K8" s="190">
        <f>SUMIFS('Forbrug af biomasse'!$E$2:$E$431,'Forbrug af biomasse'!$C$2:$C$431,'Resultat-Produktion &amp; forbrug'!$A8,'Forbrug af biomasse'!$D$2:$D$431,'Resultat-Produktion &amp; forbrug'!$D8,'Forbrug af biomasse'!$A$2:$A$431,'Resultat-Produktion &amp; forbrug'!K$2,'Forbrug af biomasse'!$B$2:$B$431,$E8)</f>
        <v>0</v>
      </c>
      <c r="L8" s="190">
        <f>IF(A8&lt;&gt;"Biogas",SUMIFS('Forbrug af biomasse'!$E$2:$E$431,'Forbrug af biomasse'!$C$2:$C$431,'Resultat-Produktion &amp; forbrug'!$A8,'Forbrug af biomasse'!$D$2:$D$431,'Resultat-Produktion &amp; forbrug'!$D8,'Forbrug af biomasse'!$A$2:$A$431,'Resultat-Produktion &amp; forbrug'!L$2,'Forbrug af biomasse'!$B$2:$B$431,$E8),F8)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55000000000000004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forbrug'!G$2,'Forbrug af biomasse'!$B$2:$B$431,$E9)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forbrug'!I$2,'Forbrug af biomasse'!$B$2:$B$431,$E9)</f>
        <v>0</v>
      </c>
      <c r="J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forbrug'!J$2,'Forbrug af biomasse'!$B$2:$B$431,$E9)</f>
        <v>671194.67155029252</v>
      </c>
      <c r="K9" s="190">
        <f>SUMIFS('Forbrug af biomasse'!$E$2:$E$431,'Forbrug af biomasse'!$C$2:$C$431,'Resultat-Produktion &amp; forbrug'!$A9,'Forbrug af biomasse'!$D$2:$D$431,'Resultat-Produktion &amp; forbrug'!$D9,'Forbrug af biomasse'!$A$2:$A$431,'Resultat-Produktion &amp; forbrug'!K$2,'Forbrug af biomasse'!$B$2:$B$431,$E9)</f>
        <v>730307.97492940596</v>
      </c>
      <c r="L9" s="190">
        <f>IF(A9&lt;&gt;"Biogas",SUMIFS('Forbrug af biomasse'!$E$2:$E$431,'Forbrug af biomasse'!$C$2:$C$431,'Resultat-Produktion &amp; forbrug'!$A9,'Forbrug af biomasse'!$D$2:$D$431,'Resultat-Produktion &amp; forbrug'!$D9,'Forbrug af biomasse'!$A$2:$A$431,'Resultat-Produktion &amp; forbrug'!L$2,'Forbrug af biomasse'!$B$2:$B$431,$E9),F9)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55000000000000004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forbrug'!G$2,'Forbrug af biomasse'!$B$2:$B$431,$E10)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forbrug'!I$2,'Forbrug af biomasse'!$B$2:$B$431,$E10)</f>
        <v>0</v>
      </c>
      <c r="J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forbrug'!J$2,'Forbrug af biomasse'!$B$2:$B$431,$E10)</f>
        <v>0</v>
      </c>
      <c r="K10" s="190">
        <f>SUMIFS('Forbrug af biomasse'!$E$2:$E$431,'Forbrug af biomasse'!$C$2:$C$431,'Resultat-Produktion &amp; forbrug'!$A10,'Forbrug af biomasse'!$D$2:$D$431,'Resultat-Produktion &amp; forbrug'!$D10,'Forbrug af biomasse'!$A$2:$A$431,'Resultat-Produktion &amp; forbrug'!K$2,'Forbrug af biomasse'!$B$2:$B$431,$E10)</f>
        <v>0</v>
      </c>
      <c r="L10" s="190">
        <f>IF(A10&lt;&gt;"Biogas",SUMIFS('Forbrug af biomasse'!$E$2:$E$431,'Forbrug af biomasse'!$C$2:$C$431,'Resultat-Produktion &amp; forbrug'!$A10,'Forbrug af biomasse'!$D$2:$D$431,'Resultat-Produktion &amp; forbrug'!$D10,'Forbrug af biomasse'!$A$2:$A$431,'Resultat-Produktion &amp; forbrug'!L$2,'Forbrug af biomasse'!$B$2:$B$431,$E10),F10)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55000000000000004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forbrug'!G$2,'Forbrug af biomasse'!$B$2:$B$431,$E11)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forbrug'!I$2,'Forbrug af biomasse'!$B$2:$B$431,$E11)</f>
        <v>0</v>
      </c>
      <c r="J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forbrug'!J$2,'Forbrug af biomasse'!$B$2:$B$431,$E11)</f>
        <v>4103.8061780475591</v>
      </c>
      <c r="K11" s="190">
        <f>SUMIFS('Forbrug af biomasse'!$E$2:$E$431,'Forbrug af biomasse'!$C$2:$C$431,'Resultat-Produktion &amp; forbrug'!$A11,'Forbrug af biomasse'!$D$2:$D$431,'Resultat-Produktion &amp; forbrug'!$D11,'Forbrug af biomasse'!$A$2:$A$431,'Resultat-Produktion &amp; forbrug'!K$2,'Forbrug af biomasse'!$B$2:$B$431,$E11)</f>
        <v>4103.8061780475591</v>
      </c>
      <c r="L11" s="190">
        <f>IF(A11&lt;&gt;"Biogas",SUMIFS('Forbrug af biomasse'!$E$2:$E$431,'Forbrug af biomasse'!$C$2:$C$431,'Resultat-Produktion &amp; forbrug'!$A11,'Forbrug af biomasse'!$D$2:$D$431,'Resultat-Produktion &amp; forbrug'!$D11,'Forbrug af biomasse'!$A$2:$A$431,'Resultat-Produktion &amp; forbrug'!L$2,'Forbrug af biomasse'!$B$2:$B$431,$E11),F11)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55000000000000004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forbrug'!G$2,'Forbrug af biomasse'!$B$2:$B$431,$E12)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forbrug'!I$2,'Forbrug af biomasse'!$B$2:$B$431,$E12)</f>
        <v>34149.438191562753</v>
      </c>
      <c r="J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forbrug'!J$2,'Forbrug af biomasse'!$B$2:$B$431,$E12)</f>
        <v>0</v>
      </c>
      <c r="K12" s="190">
        <f>SUMIFS('Forbrug af biomasse'!$E$2:$E$431,'Forbrug af biomasse'!$C$2:$C$431,'Resultat-Produktion &amp; forbrug'!$A12,'Forbrug af biomasse'!$D$2:$D$431,'Resultat-Produktion &amp; forbrug'!$D12,'Forbrug af biomasse'!$A$2:$A$431,'Resultat-Produktion &amp; forbrug'!K$2,'Forbrug af biomasse'!$B$2:$B$431,$E12)</f>
        <v>0</v>
      </c>
      <c r="L12" s="190">
        <f>IF(A12&lt;&gt;"Biogas",SUMIFS('Forbrug af biomasse'!$E$2:$E$431,'Forbrug af biomasse'!$C$2:$C$431,'Resultat-Produktion &amp; forbrug'!$A12,'Forbrug af biomasse'!$D$2:$D$431,'Resultat-Produktion &amp; forbrug'!$D12,'Forbrug af biomasse'!$A$2:$A$431,'Resultat-Produktion &amp; forbrug'!L$2,'Forbrug af biomasse'!$B$2:$B$431,$E12),F12)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55000000000000004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forbrug'!G$2,'Forbrug af biomasse'!$B$2:$B$431,$E13)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forbrug'!I$2,'Forbrug af biomasse'!$B$2:$B$431,$E13)</f>
        <v>0</v>
      </c>
      <c r="J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forbrug'!J$2,'Forbrug af biomasse'!$B$2:$B$431,$E13)</f>
        <v>0</v>
      </c>
      <c r="K13" s="190">
        <f>SUMIFS('Forbrug af biomasse'!$E$2:$E$431,'Forbrug af biomasse'!$C$2:$C$431,'Resultat-Produktion &amp; forbrug'!$A13,'Forbrug af biomasse'!$D$2:$D$431,'Resultat-Produktion &amp; forbrug'!$D13,'Forbrug af biomasse'!$A$2:$A$431,'Resultat-Produktion &amp; forbrug'!K$2,'Forbrug af biomasse'!$B$2:$B$431,$E13)</f>
        <v>0</v>
      </c>
      <c r="L13" s="190">
        <f>IF(A13&lt;&gt;"Biogas",SUMIFS('Forbrug af biomasse'!$E$2:$E$431,'Forbrug af biomasse'!$C$2:$C$431,'Resultat-Produktion &amp; forbrug'!$A13,'Forbrug af biomasse'!$D$2:$D$431,'Resultat-Produktion &amp; forbrug'!$D13,'Forbrug af biomasse'!$A$2:$A$431,'Resultat-Produktion &amp; forbrug'!L$2,'Forbrug af biomasse'!$B$2:$B$431,$E13),F13)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55000000000000004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forbrug'!G$2,'Forbrug af biomasse'!$B$2:$B$431,$E14)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forbrug'!I$2,'Forbrug af biomasse'!$B$2:$B$431,$E14)</f>
        <v>249553.58678449702</v>
      </c>
      <c r="J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forbrug'!J$2,'Forbrug af biomasse'!$B$2:$B$431,$E14)</f>
        <v>0</v>
      </c>
      <c r="K14" s="190">
        <f>SUMIFS('Forbrug af biomasse'!$E$2:$E$431,'Forbrug af biomasse'!$C$2:$C$431,'Resultat-Produktion &amp; forbrug'!$A14,'Forbrug af biomasse'!$D$2:$D$431,'Resultat-Produktion &amp; forbrug'!$D14,'Forbrug af biomasse'!$A$2:$A$431,'Resultat-Produktion &amp; forbrug'!K$2,'Forbrug af biomasse'!$B$2:$B$431,$E14)</f>
        <v>0</v>
      </c>
      <c r="L14" s="190">
        <f>IF(A14&lt;&gt;"Biogas",SUMIFS('Forbrug af biomasse'!$E$2:$E$431,'Forbrug af biomasse'!$C$2:$C$431,'Resultat-Produktion &amp; forbrug'!$A14,'Forbrug af biomasse'!$D$2:$D$431,'Resultat-Produktion &amp; forbrug'!$D14,'Forbrug af biomasse'!$A$2:$A$431,'Resultat-Produktion &amp; forbrug'!L$2,'Forbrug af biomasse'!$B$2:$B$431,$E14),F14)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55000000000000004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forbrug'!G$2,'Forbrug af biomasse'!$B$2:$B$431,$E15)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forbrug'!I$2,'Forbrug af biomasse'!$B$2:$B$431,$E15)</f>
        <v>0</v>
      </c>
      <c r="J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forbrug'!J$2,'Forbrug af biomasse'!$B$2:$B$431,$E15)</f>
        <v>114193.60000000001</v>
      </c>
      <c r="K15" s="190">
        <f>SUMIFS('Forbrug af biomasse'!$E$2:$E$431,'Forbrug af biomasse'!$C$2:$C$431,'Resultat-Produktion &amp; forbrug'!$A15,'Forbrug af biomasse'!$D$2:$D$431,'Resultat-Produktion &amp; forbrug'!$D15,'Forbrug af biomasse'!$A$2:$A$431,'Resultat-Produktion &amp; forbrug'!K$2,'Forbrug af biomasse'!$B$2:$B$431,$E15)</f>
        <v>0</v>
      </c>
      <c r="L15" s="190">
        <f>IF(A15&lt;&gt;"Biogas",SUMIFS('Forbrug af biomasse'!$E$2:$E$431,'Forbrug af biomasse'!$C$2:$C$431,'Resultat-Produktion &amp; forbrug'!$A15,'Forbrug af biomasse'!$D$2:$D$431,'Resultat-Produktion &amp; forbrug'!$D15,'Forbrug af biomasse'!$A$2:$A$431,'Resultat-Produktion &amp; forbrug'!L$2,'Forbrug af biomasse'!$B$2:$B$431,$E15),F15)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55000000000000004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forbrug'!G$2,'Forbrug af biomasse'!$B$2:$B$431,$E16)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forbrug'!I$2,'Forbrug af biomasse'!$B$2:$B$431,$E16)</f>
        <v>0</v>
      </c>
      <c r="J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forbrug'!J$2,'Forbrug af biomasse'!$B$2:$B$431,$E16)</f>
        <v>75399.16825098735</v>
      </c>
      <c r="K16" s="190">
        <f>SUMIFS('Forbrug af biomasse'!$E$2:$E$431,'Forbrug af biomasse'!$C$2:$C$431,'Resultat-Produktion &amp; forbrug'!$A16,'Forbrug af biomasse'!$D$2:$D$431,'Resultat-Produktion &amp; forbrug'!$D16,'Forbrug af biomasse'!$A$2:$A$431,'Resultat-Produktion &amp; forbrug'!K$2,'Forbrug af biomasse'!$B$2:$B$431,$E16)</f>
        <v>0</v>
      </c>
      <c r="L16" s="190">
        <f>IF(A16&lt;&gt;"Biogas",SUMIFS('Forbrug af biomasse'!$E$2:$E$431,'Forbrug af biomasse'!$C$2:$C$431,'Resultat-Produktion &amp; forbrug'!$A16,'Forbrug af biomasse'!$D$2:$D$431,'Resultat-Produktion &amp; forbrug'!$D16,'Forbrug af biomasse'!$A$2:$A$431,'Resultat-Produktion &amp; forbrug'!L$2,'Forbrug af biomasse'!$B$2:$B$431,$E16),F16)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55000000000000004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forbrug'!G$2,'Forbrug af biomasse'!$B$2:$B$431,$E17)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forbrug'!I$2,'Forbrug af biomasse'!$B$2:$B$431,$E17)</f>
        <v>0</v>
      </c>
      <c r="J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forbrug'!J$2,'Forbrug af biomasse'!$B$2:$B$431,$E17)</f>
        <v>0</v>
      </c>
      <c r="K17" s="190">
        <f>SUMIFS('Forbrug af biomasse'!$E$2:$E$431,'Forbrug af biomasse'!$C$2:$C$431,'Resultat-Produktion &amp; forbrug'!$A17,'Forbrug af biomasse'!$D$2:$D$431,'Resultat-Produktion &amp; forbrug'!$D17,'Forbrug af biomasse'!$A$2:$A$431,'Resultat-Produktion &amp; forbrug'!K$2,'Forbrug af biomasse'!$B$2:$B$431,$E17)</f>
        <v>0</v>
      </c>
      <c r="L17" s="190">
        <f>IF(A17&lt;&gt;"Biogas",SUMIFS('Forbrug af biomasse'!$E$2:$E$431,'Forbrug af biomasse'!$C$2:$C$431,'Resultat-Produktion &amp; forbrug'!$A17,'Forbrug af biomasse'!$D$2:$D$431,'Resultat-Produktion &amp; forbrug'!$D17,'Forbrug af biomasse'!$A$2:$A$431,'Resultat-Produktion &amp; forbrug'!L$2,'Forbrug af biomasse'!$B$2:$B$431,$E17),F17)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55000000000000004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forbrug'!G$2,'Forbrug af biomasse'!$B$2:$B$431,$E18)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forbrug'!I$2,'Forbrug af biomasse'!$B$2:$B$431,$E18)</f>
        <v>261374.54615849949</v>
      </c>
      <c r="J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forbrug'!J$2,'Forbrug af biomasse'!$B$2:$B$431,$E18)</f>
        <v>0</v>
      </c>
      <c r="K18" s="190">
        <f>SUMIFS('Forbrug af biomasse'!$E$2:$E$431,'Forbrug af biomasse'!$C$2:$C$431,'Resultat-Produktion &amp; forbrug'!$A18,'Forbrug af biomasse'!$D$2:$D$431,'Resultat-Produktion &amp; forbrug'!$D18,'Forbrug af biomasse'!$A$2:$A$431,'Resultat-Produktion &amp; forbrug'!K$2,'Forbrug af biomasse'!$B$2:$B$431,$E18)</f>
        <v>0</v>
      </c>
      <c r="L18" s="190">
        <f>IF(A18&lt;&gt;"Biogas",SUMIFS('Forbrug af biomasse'!$E$2:$E$431,'Forbrug af biomasse'!$C$2:$C$431,'Resultat-Produktion &amp; forbrug'!$A18,'Forbrug af biomasse'!$D$2:$D$431,'Resultat-Produktion &amp; forbrug'!$D18,'Forbrug af biomasse'!$A$2:$A$431,'Resultat-Produktion &amp; forbrug'!L$2,'Forbrug af biomasse'!$B$2:$B$431,$E18),F18)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55000000000000004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forbrug'!G$2,'Forbrug af biomasse'!$B$2:$B$431,$E19)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forbrug'!I$2,'Forbrug af biomasse'!$B$2:$B$431,$E19)</f>
        <v>0</v>
      </c>
      <c r="J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forbrug'!J$2,'Forbrug af biomasse'!$B$2:$B$431,$E19)</f>
        <v>53194.904606816119</v>
      </c>
      <c r="K19" s="190">
        <f>SUMIFS('Forbrug af biomasse'!$E$2:$E$431,'Forbrug af biomasse'!$C$2:$C$431,'Resultat-Produktion &amp; forbrug'!$A19,'Forbrug af biomasse'!$D$2:$D$431,'Resultat-Produktion &amp; forbrug'!$D19,'Forbrug af biomasse'!$A$2:$A$431,'Resultat-Produktion &amp; forbrug'!K$2,'Forbrug af biomasse'!$B$2:$B$431,$E19)</f>
        <v>0</v>
      </c>
      <c r="L19" s="190">
        <f>IF(A19&lt;&gt;"Biogas",SUMIFS('Forbrug af biomasse'!$E$2:$E$431,'Forbrug af biomasse'!$C$2:$C$431,'Resultat-Produktion &amp; forbrug'!$A19,'Forbrug af biomasse'!$D$2:$D$431,'Resultat-Produktion &amp; forbrug'!$D19,'Forbrug af biomasse'!$A$2:$A$431,'Resultat-Produktion &amp; forbrug'!L$2,'Forbrug af biomasse'!$B$2:$B$431,$E19),F19)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55000000000000004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forbrug'!G$2,'Forbrug af biomasse'!$B$2:$B$431,$E20)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forbrug'!I$2,'Forbrug af biomasse'!$B$2:$B$431,$E20)</f>
        <v>0</v>
      </c>
      <c r="J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forbrug'!J$2,'Forbrug af biomasse'!$B$2:$B$431,$E20)</f>
        <v>42.099811904105366</v>
      </c>
      <c r="K20" s="190">
        <f>SUMIFS('Forbrug af biomasse'!$E$2:$E$431,'Forbrug af biomasse'!$C$2:$C$431,'Resultat-Produktion &amp; forbrug'!$A20,'Forbrug af biomasse'!$D$2:$D$431,'Resultat-Produktion &amp; forbrug'!$D20,'Forbrug af biomasse'!$A$2:$A$431,'Resultat-Produktion &amp; forbrug'!K$2,'Forbrug af biomasse'!$B$2:$B$431,$E20)</f>
        <v>0</v>
      </c>
      <c r="L20" s="190">
        <f>IF(A20&lt;&gt;"Biogas",SUMIFS('Forbrug af biomasse'!$E$2:$E$431,'Forbrug af biomasse'!$C$2:$C$431,'Resultat-Produktion &amp; forbrug'!$A20,'Forbrug af biomasse'!$D$2:$D$431,'Resultat-Produktion &amp; forbrug'!$D20,'Forbrug af biomasse'!$A$2:$A$431,'Resultat-Produktion &amp; forbrug'!L$2,'Forbrug af biomasse'!$B$2:$B$431,$E20),F20)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55000000000000004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forbrug'!G$2,'Forbrug af biomasse'!$B$2:$B$431,$E21)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forbrug'!I$2,'Forbrug af biomasse'!$B$2:$B$431,$E21)</f>
        <v>0</v>
      </c>
      <c r="J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forbrug'!J$2,'Forbrug af biomasse'!$B$2:$B$431,$E21)</f>
        <v>0</v>
      </c>
      <c r="K21" s="190">
        <f>SUMIFS('Forbrug af biomasse'!$E$2:$E$431,'Forbrug af biomasse'!$C$2:$C$431,'Resultat-Produktion &amp; forbrug'!$A21,'Forbrug af biomasse'!$D$2:$D$431,'Resultat-Produktion &amp; forbrug'!$D21,'Forbrug af biomasse'!$A$2:$A$431,'Resultat-Produktion &amp; forbrug'!K$2,'Forbrug af biomasse'!$B$2:$B$431,$E21)</f>
        <v>0</v>
      </c>
      <c r="L21" s="190">
        <f>IF(A21&lt;&gt;"Biogas",SUMIFS('Forbrug af biomasse'!$E$2:$E$431,'Forbrug af biomasse'!$C$2:$C$431,'Resultat-Produktion &amp; forbrug'!$A21,'Forbrug af biomasse'!$D$2:$D$431,'Resultat-Produktion &amp; forbrug'!$D21,'Forbrug af biomasse'!$A$2:$A$431,'Resultat-Produktion &amp; forbrug'!L$2,'Forbrug af biomasse'!$B$2:$B$431,$E21),F21)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55000000000000004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forbrug'!G$2,'Forbrug af biomasse'!$B$2:$B$431,$E22)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forbrug'!I$2,'Forbrug af biomasse'!$B$2:$B$431,$E22)</f>
        <v>0</v>
      </c>
      <c r="J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forbrug'!J$2,'Forbrug af biomasse'!$B$2:$B$431,$E22)</f>
        <v>716103.75203569303</v>
      </c>
      <c r="K22" s="190">
        <f>SUMIFS('Forbrug af biomasse'!$E$2:$E$431,'Forbrug af biomasse'!$C$2:$C$431,'Resultat-Produktion &amp; forbrug'!$A22,'Forbrug af biomasse'!$D$2:$D$431,'Resultat-Produktion &amp; forbrug'!$D22,'Forbrug af biomasse'!$A$2:$A$431,'Resultat-Produktion &amp; forbrug'!K$2,'Forbrug af biomasse'!$B$2:$B$431,$E22)</f>
        <v>0</v>
      </c>
      <c r="L22" s="190">
        <f>IF(A22&lt;&gt;"Biogas",SUMIFS('Forbrug af biomasse'!$E$2:$E$431,'Forbrug af biomasse'!$C$2:$C$431,'Resultat-Produktion &amp; forbrug'!$A22,'Forbrug af biomasse'!$D$2:$D$431,'Resultat-Produktion &amp; forbrug'!$D22,'Forbrug af biomasse'!$A$2:$A$431,'Resultat-Produktion &amp; forbrug'!L$2,'Forbrug af biomasse'!$B$2:$B$431,$E22),F22)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55000000000000004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forbrug'!G$2,'Forbrug af biomasse'!$B$2:$B$431,$E23)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forbrug'!I$2,'Forbrug af biomasse'!$B$2:$B$431,$E23)</f>
        <v>0</v>
      </c>
      <c r="J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forbrug'!J$2,'Forbrug af biomasse'!$B$2:$B$431,$E23)</f>
        <v>0</v>
      </c>
      <c r="K23" s="190">
        <f>SUMIFS('Forbrug af biomasse'!$E$2:$E$431,'Forbrug af biomasse'!$C$2:$C$431,'Resultat-Produktion &amp; forbrug'!$A23,'Forbrug af biomasse'!$D$2:$D$431,'Resultat-Produktion &amp; forbrug'!$D23,'Forbrug af biomasse'!$A$2:$A$431,'Resultat-Produktion &amp; forbrug'!K$2,'Forbrug af biomasse'!$B$2:$B$431,$E23)</f>
        <v>0</v>
      </c>
      <c r="L23" s="190">
        <f>IF(A23&lt;&gt;"Biogas",SUMIFS('Forbrug af biomasse'!$E$2:$E$431,'Forbrug af biomasse'!$C$2:$C$431,'Resultat-Produktion &amp; forbrug'!$A23,'Forbrug af biomasse'!$D$2:$D$431,'Resultat-Produktion &amp; forbrug'!$D23,'Forbrug af biomasse'!$A$2:$A$431,'Resultat-Produktion &amp; forbrug'!L$2,'Forbrug af biomasse'!$B$2:$B$431,$E23),F23)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55000000000000004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forbrug'!G$2,'Forbrug af biomasse'!$B$2:$B$431,$E24)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forbrug'!I$2,'Forbrug af biomasse'!$B$2:$B$431,$E24)</f>
        <v>119523.03367046962</v>
      </c>
      <c r="J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forbrug'!J$2,'Forbrug af biomasse'!$B$2:$B$431,$E24)</f>
        <v>0</v>
      </c>
      <c r="K24" s="190">
        <f>SUMIFS('Forbrug af biomasse'!$E$2:$E$431,'Forbrug af biomasse'!$C$2:$C$431,'Resultat-Produktion &amp; forbrug'!$A24,'Forbrug af biomasse'!$D$2:$D$431,'Resultat-Produktion &amp; forbrug'!$D24,'Forbrug af biomasse'!$A$2:$A$431,'Resultat-Produktion &amp; forbrug'!K$2,'Forbrug af biomasse'!$B$2:$B$431,$E24)</f>
        <v>0</v>
      </c>
      <c r="L24" s="190">
        <f>IF(A24&lt;&gt;"Biogas",SUMIFS('Forbrug af biomasse'!$E$2:$E$431,'Forbrug af biomasse'!$C$2:$C$431,'Resultat-Produktion &amp; forbrug'!$A24,'Forbrug af biomasse'!$D$2:$D$431,'Resultat-Produktion &amp; forbrug'!$D24,'Forbrug af biomasse'!$A$2:$A$431,'Resultat-Produktion &amp; forbrug'!L$2,'Forbrug af biomasse'!$B$2:$B$431,$E24),F24)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55000000000000004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forbrug'!G$2,'Forbrug af biomasse'!$B$2:$B$431,$E25)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forbrug'!I$2,'Forbrug af biomasse'!$B$2:$B$431,$E25)</f>
        <v>286329.90483694919</v>
      </c>
      <c r="J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forbrug'!J$2,'Forbrug af biomasse'!$B$2:$B$431,$E25)</f>
        <v>2843.3935258054057</v>
      </c>
      <c r="K25" s="190">
        <f>SUMIFS('Forbrug af biomasse'!$E$2:$E$431,'Forbrug af biomasse'!$C$2:$C$431,'Resultat-Produktion &amp; forbrug'!$A25,'Forbrug af biomasse'!$D$2:$D$431,'Resultat-Produktion &amp; forbrug'!$D25,'Forbrug af biomasse'!$A$2:$A$431,'Resultat-Produktion &amp; forbrug'!K$2,'Forbrug af biomasse'!$B$2:$B$431,$E25)</f>
        <v>0</v>
      </c>
      <c r="L25" s="190">
        <f>IF(A25&lt;&gt;"Biogas",SUMIFS('Forbrug af biomasse'!$E$2:$E$431,'Forbrug af biomasse'!$C$2:$C$431,'Resultat-Produktion &amp; forbrug'!$A25,'Forbrug af biomasse'!$D$2:$D$431,'Resultat-Produktion &amp; forbrug'!$D25,'Forbrug af biomasse'!$A$2:$A$431,'Resultat-Produktion &amp; forbrug'!L$2,'Forbrug af biomasse'!$B$2:$B$431,$E25),F25)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55000000000000004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forbrug'!G$2,'Forbrug af biomasse'!$B$2:$B$431,$E26)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forbrug'!I$2,'Forbrug af biomasse'!$B$2:$B$431,$E26)</f>
        <v>0</v>
      </c>
      <c r="J26" s="190">
        <f>SUMIFS('Forbrug af biomasse'!$E$2:$E$431,'Forbrug af biomasse'!$C$2:$C$431,'Resultat-Produktion &amp; forbrug'!$A26,'Forbrug af biomasse'!$D$2:$D$431,'Resultat-Produktion &amp; forbrug'!$D26,'Forbrug af biomasse'!$A$2:$A$431,'Resultat-Produktion &amp; forbrug'!J$2,'Forbrug af biomasse'!$B$2:$B$431,$E26)</f>
        <v>0</v>
      </c>
      <c r="K26" s="190">
        <f ca="1">SUMIFS('Forbrug af biomasse'!$E$2:$E$431,'Forbrug af biomasse'!$C$2:$C$431,'Resultat-Produktion &amp; forbrug'!$A26,'Forbrug af biomasse'!$D$2:$D$431,'Resultat-Produktion &amp; forbrug'!$D26,'Forbrug af biomasse'!$A$2:$A$431,'Resultat-Produktion &amp; forbrug'!K$2,'Forbrug af biomasse'!$B$2:$B$431,$E26)</f>
        <v>569996.93502990273</v>
      </c>
      <c r="L26" s="190">
        <f>IF(A26&lt;&gt;"Biogas",SUMIFS('Forbrug af biomasse'!$E$2:$E$431,'Forbrug af biomasse'!$C$2:$C$431,'Resultat-Produktion &amp; forbrug'!$A26,'Forbrug af biomasse'!$D$2:$D$431,'Resultat-Produktion &amp; forbrug'!$D26,'Forbrug af biomasse'!$A$2:$A$431,'Resultat-Produktion &amp; forbrug'!L$2,'Forbrug af biomasse'!$B$2:$B$431,$E26),F26)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55000000000000004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forbrug'!G$2,'Forbrug af biomasse'!$B$2:$B$431,$E27)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forbrug'!I$2,'Forbrug af biomasse'!$B$2:$B$431,$E27)</f>
        <v>0</v>
      </c>
      <c r="J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forbrug'!J$2,'Forbrug af biomasse'!$B$2:$B$431,$E27)</f>
        <v>4066864.6068164087</v>
      </c>
      <c r="K27" s="190">
        <f>SUMIFS('Forbrug af biomasse'!$E$2:$E$431,'Forbrug af biomasse'!$C$2:$C$431,'Resultat-Produktion &amp; forbrug'!$A27,'Forbrug af biomasse'!$D$2:$D$431,'Resultat-Produktion &amp; forbrug'!$D27,'Forbrug af biomasse'!$A$2:$A$431,'Resultat-Produktion &amp; forbrug'!K$2,'Forbrug af biomasse'!$B$2:$B$431,$E27)</f>
        <v>9058051.1739541572</v>
      </c>
      <c r="L27" s="190">
        <f>IF(A27&lt;&gt;"Biogas",SUMIFS('Forbrug af biomasse'!$E$2:$E$431,'Forbrug af biomasse'!$C$2:$C$431,'Resultat-Produktion &amp; forbrug'!$A27,'Forbrug af biomasse'!$D$2:$D$431,'Resultat-Produktion &amp; forbrug'!$D27,'Forbrug af biomasse'!$A$2:$A$431,'Resultat-Produktion &amp; forbrug'!L$2,'Forbrug af biomasse'!$B$2:$B$431,$E27),F27)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55000000000000004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forbrug'!G$2,'Forbrug af biomasse'!$B$2:$B$431,$E28)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forbrug'!I$2,'Forbrug af biomasse'!$B$2:$B$431,$E28)</f>
        <v>0</v>
      </c>
      <c r="J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forbrug'!J$2,'Forbrug af biomasse'!$B$2:$B$431,$E28)</f>
        <v>0</v>
      </c>
      <c r="K28" s="190">
        <f>SUMIFS('Forbrug af biomasse'!$E$2:$E$431,'Forbrug af biomasse'!$C$2:$C$431,'Resultat-Produktion &amp; forbrug'!$A28,'Forbrug af biomasse'!$D$2:$D$431,'Resultat-Produktion &amp; forbrug'!$D28,'Forbrug af biomasse'!$A$2:$A$431,'Resultat-Produktion &amp; forbrug'!K$2,'Forbrug af biomasse'!$B$2:$B$431,$E28)</f>
        <v>0</v>
      </c>
      <c r="L28" s="190">
        <f>IF(A28&lt;&gt;"Biogas",SUMIFS('Forbrug af biomasse'!$E$2:$E$431,'Forbrug af biomasse'!$C$2:$C$431,'Resultat-Produktion &amp; forbrug'!$A28,'Forbrug af biomasse'!$D$2:$D$431,'Resultat-Produktion &amp; forbrug'!$D28,'Forbrug af biomasse'!$A$2:$A$431,'Resultat-Produktion &amp; forbrug'!L$2,'Forbrug af biomasse'!$B$2:$B$431,$E28),F28)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55000000000000004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forbrug'!G$2,'Forbrug af biomasse'!$B$2:$B$431,$E29)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forbrug'!I$2,'Forbrug af biomasse'!$B$2:$B$431,$E29)</f>
        <v>0</v>
      </c>
      <c r="J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forbrug'!J$2,'Forbrug af biomasse'!$B$2:$B$431,$E29)</f>
        <v>314874.94627501385</v>
      </c>
      <c r="K29" s="190">
        <f>SUMIFS('Forbrug af biomasse'!$E$2:$E$431,'Forbrug af biomasse'!$C$2:$C$431,'Resultat-Produktion &amp; forbrug'!$A29,'Forbrug af biomasse'!$D$2:$D$431,'Resultat-Produktion &amp; forbrug'!$D29,'Forbrug af biomasse'!$A$2:$A$431,'Resultat-Produktion &amp; forbrug'!K$2,'Forbrug af biomasse'!$B$2:$B$431,$E29)</f>
        <v>0</v>
      </c>
      <c r="L29" s="190">
        <f>IF(A29&lt;&gt;"Biogas",SUMIFS('Forbrug af biomasse'!$E$2:$E$431,'Forbrug af biomasse'!$C$2:$C$431,'Resultat-Produktion &amp; forbrug'!$A29,'Forbrug af biomasse'!$D$2:$D$431,'Resultat-Produktion &amp; forbrug'!$D29,'Forbrug af biomasse'!$A$2:$A$431,'Resultat-Produktion &amp; forbrug'!L$2,'Forbrug af biomasse'!$B$2:$B$431,$E29),F29)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55000000000000004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forbrug'!G$2,'Forbrug af biomasse'!$B$2:$B$431,$E30)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forbrug'!I$2,'Forbrug af biomasse'!$B$2:$B$431,$E30)</f>
        <v>457077.09579476295</v>
      </c>
      <c r="J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forbrug'!J$2,'Forbrug af biomasse'!$B$2:$B$431,$E30)</f>
        <v>0</v>
      </c>
      <c r="K30" s="190">
        <f>SUMIFS('Forbrug af biomasse'!$E$2:$E$431,'Forbrug af biomasse'!$C$2:$C$431,'Resultat-Produktion &amp; forbrug'!$A30,'Forbrug af biomasse'!$D$2:$D$431,'Resultat-Produktion &amp; forbrug'!$D30,'Forbrug af biomasse'!$A$2:$A$431,'Resultat-Produktion &amp; forbrug'!K$2,'Forbrug af biomasse'!$B$2:$B$431,$E30)</f>
        <v>0</v>
      </c>
      <c r="L30" s="190">
        <f>IF(A30&lt;&gt;"Biogas",SUMIFS('Forbrug af biomasse'!$E$2:$E$431,'Forbrug af biomasse'!$C$2:$C$431,'Resultat-Produktion &amp; forbrug'!$A30,'Forbrug af biomasse'!$D$2:$D$431,'Resultat-Produktion &amp; forbrug'!$D30,'Forbrug af biomasse'!$A$2:$A$431,'Resultat-Produktion &amp; forbrug'!L$2,'Forbrug af biomasse'!$B$2:$B$431,$E30),F30)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55000000000000004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forbrug'!G$2,'Forbrug af biomasse'!$B$2:$B$431,$E31)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forbrug'!I$2,'Forbrug af biomasse'!$B$2:$B$431,$E31)</f>
        <v>0</v>
      </c>
      <c r="J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forbrug'!J$2,'Forbrug af biomasse'!$B$2:$B$431,$E31)</f>
        <v>0</v>
      </c>
      <c r="K31" s="190">
        <f>SUMIFS('Forbrug af biomasse'!$E$2:$E$431,'Forbrug af biomasse'!$C$2:$C$431,'Resultat-Produktion &amp; forbrug'!$A31,'Forbrug af biomasse'!$D$2:$D$431,'Resultat-Produktion &amp; forbrug'!$D31,'Forbrug af biomasse'!$A$2:$A$431,'Resultat-Produktion &amp; forbrug'!K$2,'Forbrug af biomasse'!$B$2:$B$431,$E31)</f>
        <v>0</v>
      </c>
      <c r="L31" s="190">
        <f>IF(A31&lt;&gt;"Biogas",SUMIFS('Forbrug af biomasse'!$E$2:$E$431,'Forbrug af biomasse'!$C$2:$C$431,'Resultat-Produktion &amp; forbrug'!$A31,'Forbrug af biomasse'!$D$2:$D$431,'Resultat-Produktion &amp; forbrug'!$D31,'Forbrug af biomasse'!$A$2:$A$431,'Resultat-Produktion &amp; forbrug'!L$2,'Forbrug af biomasse'!$B$2:$B$431,$E31),F31)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55000000000000004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forbrug'!G$2,'Forbrug af biomasse'!$B$2:$B$431,$E32)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forbrug'!I$2,'Forbrug af biomasse'!$B$2:$B$431,$E32)</f>
        <v>58080.313724265572</v>
      </c>
      <c r="J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forbrug'!J$2,'Forbrug af biomasse'!$B$2:$B$431,$E32)</f>
        <v>0</v>
      </c>
      <c r="K32" s="190">
        <f>SUMIFS('Forbrug af biomasse'!$E$2:$E$431,'Forbrug af biomasse'!$C$2:$C$431,'Resultat-Produktion &amp; forbrug'!$A32,'Forbrug af biomasse'!$D$2:$D$431,'Resultat-Produktion &amp; forbrug'!$D32,'Forbrug af biomasse'!$A$2:$A$431,'Resultat-Produktion &amp; forbrug'!K$2,'Forbrug af biomasse'!$B$2:$B$431,$E32)</f>
        <v>0</v>
      </c>
      <c r="L32" s="190">
        <f>IF(A32&lt;&gt;"Biogas",SUMIFS('Forbrug af biomasse'!$E$2:$E$431,'Forbrug af biomasse'!$C$2:$C$431,'Resultat-Produktion &amp; forbrug'!$A32,'Forbrug af biomasse'!$D$2:$D$431,'Resultat-Produktion &amp; forbrug'!$D32,'Forbrug af biomasse'!$A$2:$A$431,'Resultat-Produktion &amp; forbrug'!L$2,'Forbrug af biomasse'!$B$2:$B$431,$E32),F32)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55000000000000004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forbrug'!G$2,'Forbrug af biomasse'!$B$2:$B$431,$E33)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forbrug'!I$2,'Forbrug af biomasse'!$B$2:$B$431,$E33)</f>
        <v>0</v>
      </c>
      <c r="J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forbrug'!J$2,'Forbrug af biomasse'!$B$2:$B$431,$E33)</f>
        <v>0</v>
      </c>
      <c r="K33" s="190">
        <f>SUMIFS('Forbrug af biomasse'!$E$2:$E$431,'Forbrug af biomasse'!$C$2:$C$431,'Resultat-Produktion &amp; forbrug'!$A33,'Forbrug af biomasse'!$D$2:$D$431,'Resultat-Produktion &amp; forbrug'!$D33,'Forbrug af biomasse'!$A$2:$A$431,'Resultat-Produktion &amp; forbrug'!K$2,'Forbrug af biomasse'!$B$2:$B$431,$E33)</f>
        <v>0</v>
      </c>
      <c r="L33" s="190">
        <f>IF(A33&lt;&gt;"Biogas",SUMIFS('Forbrug af biomasse'!$E$2:$E$431,'Forbrug af biomasse'!$C$2:$C$431,'Resultat-Produktion &amp; forbrug'!$A33,'Forbrug af biomasse'!$D$2:$D$431,'Resultat-Produktion &amp; forbrug'!$D33,'Forbrug af biomasse'!$A$2:$A$431,'Resultat-Produktion &amp; forbrug'!L$2,'Forbrug af biomasse'!$B$2:$B$431,$E33),F33)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55000000000000004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forbrug'!G$2,'Forbrug af biomasse'!$B$2:$B$431,$E34)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forbrug'!I$2,'Forbrug af biomasse'!$B$2:$B$431,$E34)</f>
        <v>0</v>
      </c>
      <c r="J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forbrug'!J$2,'Forbrug af biomasse'!$B$2:$B$431,$E34)</f>
        <v>0</v>
      </c>
      <c r="K34" s="190">
        <f>SUMIFS('Forbrug af biomasse'!$E$2:$E$431,'Forbrug af biomasse'!$C$2:$C$431,'Resultat-Produktion &amp; forbrug'!$A34,'Forbrug af biomasse'!$D$2:$D$431,'Resultat-Produktion &amp; forbrug'!$D34,'Forbrug af biomasse'!$A$2:$A$431,'Resultat-Produktion &amp; forbrug'!K$2,'Forbrug af biomasse'!$B$2:$B$431,$E34)</f>
        <v>0</v>
      </c>
      <c r="L34" s="190">
        <f>IF(A34&lt;&gt;"Biogas",SUMIFS('Forbrug af biomasse'!$E$2:$E$431,'Forbrug af biomasse'!$C$2:$C$431,'Resultat-Produktion &amp; forbrug'!$A34,'Forbrug af biomasse'!$D$2:$D$431,'Resultat-Produktion &amp; forbrug'!$D34,'Forbrug af biomasse'!$A$2:$A$431,'Resultat-Produktion &amp; forbrug'!L$2,'Forbrug af biomasse'!$B$2:$B$431,$E34),F34)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55000000000000004">
      <c r="A35" s="189" t="s">
        <v>310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 ca="1"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forbrug'!G$2,'Forbrug af biomasse'!$B$2:$B$431,$E35)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forbrug'!I$2,'Forbrug af biomasse'!$B$2:$B$431,$E35)</f>
        <v>0</v>
      </c>
      <c r="J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forbrug'!J$2,'Forbrug af biomasse'!$B$2:$B$431,$E35)</f>
        <v>0</v>
      </c>
      <c r="K35" s="190">
        <f>SUMIFS('Forbrug af biomasse'!$E$2:$E$431,'Forbrug af biomasse'!$C$2:$C$431,'Resultat-Produktion &amp; forbrug'!$A35,'Forbrug af biomasse'!$D$2:$D$431,'Resultat-Produktion &amp; forbrug'!$D35,'Forbrug af biomasse'!$A$2:$A$431,'Resultat-Produktion &amp; forbrug'!K$2,'Forbrug af biomasse'!$B$2:$B$431,$E35)</f>
        <v>0</v>
      </c>
      <c r="L35" s="190">
        <f ca="1">IF(A35&lt;&gt;"Biogas",SUMIFS('Forbrug af biomasse'!$E$2:$E$431,'Forbrug af biomasse'!$C$2:$C$431,'Resultat-Produktion &amp; forbrug'!$A35,'Forbrug af biomasse'!$D$2:$D$431,'Resultat-Produktion &amp; forbrug'!$D35,'Forbrug af biomasse'!$A$2:$A$431,'Resultat-Produktion &amp; forbrug'!L$2,'Forbrug af biomasse'!$B$2:$B$431,$E35),F35)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ca="1" si="13">F35-SUM(G35:M35)</f>
        <v>0</v>
      </c>
      <c r="O35" s="190">
        <f t="shared" ca="1" si="1"/>
        <v>0</v>
      </c>
      <c r="P35" s="200">
        <f t="shared" ref="P35:P36" ca="1" si="14">SUM(J35,L35)</f>
        <v>0</v>
      </c>
      <c r="Q35" s="187">
        <f ca="1">IFERROR(VLOOKUP(A35,[1]Energiindhold!$A$2:$C$11,3,FALSE),IFERROR(VLOOKUP(A35,[1]Biogasudbytte!$A$2:$B$18,2,FALSE)*[1]Energiindhold!$C$10,0))*O35</f>
        <v>0</v>
      </c>
      <c r="R35" s="187">
        <f ca="1"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ca="1" si="15">R35-S35</f>
        <v>0</v>
      </c>
      <c r="U35" s="186">
        <f ca="1">O35*IFERROR(VLOOKUP(A35,[1]Tørstofindhold!A$2:B$24,2,FALSE),0)</f>
        <v>0</v>
      </c>
      <c r="V35" s="187">
        <f ca="1"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ca="1" si="16">V35-W35</f>
        <v>0</v>
      </c>
      <c r="Y35" s="168">
        <f t="shared" ca="1" si="2"/>
        <v>0</v>
      </c>
      <c r="Z35" s="103">
        <f t="shared" ca="1" si="3"/>
        <v>0</v>
      </c>
    </row>
    <row r="36" spans="1:26" x14ac:dyDescent="0.55000000000000004">
      <c r="A36" s="189" t="s">
        <v>311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 ca="1"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forbrug'!G$2,'Forbrug af biomasse'!$B$2:$B$431,$E36)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forbrug'!I$2,'Forbrug af biomasse'!$B$2:$B$431,$E36)</f>
        <v>0</v>
      </c>
      <c r="J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forbrug'!J$2,'Forbrug af biomasse'!$B$2:$B$431,$E36)</f>
        <v>0</v>
      </c>
      <c r="K36" s="190">
        <f>SUMIFS('Forbrug af biomasse'!$E$2:$E$431,'Forbrug af biomasse'!$C$2:$C$431,'Resultat-Produktion &amp; forbrug'!$A36,'Forbrug af biomasse'!$D$2:$D$431,'Resultat-Produktion &amp; forbrug'!$D36,'Forbrug af biomasse'!$A$2:$A$431,'Resultat-Produktion &amp; forbrug'!K$2,'Forbrug af biomasse'!$B$2:$B$431,$E36)</f>
        <v>0</v>
      </c>
      <c r="L36" s="190">
        <f ca="1">IF(A36&lt;&gt;"Biogas",SUMIFS('Forbrug af biomasse'!$E$2:$E$431,'Forbrug af biomasse'!$C$2:$C$431,'Resultat-Produktion &amp; forbrug'!$A36,'Forbrug af biomasse'!$D$2:$D$431,'Resultat-Produktion &amp; forbrug'!$D36,'Forbrug af biomasse'!$A$2:$A$431,'Resultat-Produktion &amp; forbrug'!L$2,'Forbrug af biomasse'!$B$2:$B$431,$E36),F36)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ca="1" si="13"/>
        <v>0</v>
      </c>
      <c r="O36" s="190">
        <f t="shared" ca="1" si="1"/>
        <v>0</v>
      </c>
      <c r="P36" s="200">
        <f t="shared" ca="1" si="14"/>
        <v>0</v>
      </c>
      <c r="Q36" s="187">
        <f ca="1">IFERROR(VLOOKUP(A36,[1]Energiindhold!$A$2:$C$11,3,FALSE),IFERROR(VLOOKUP(A36,[1]Biogasudbytte!$A$2:$B$18,2,FALSE)*[1]Energiindhold!$C$10,0))*O36</f>
        <v>0</v>
      </c>
      <c r="R36" s="187">
        <f ca="1"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ca="1" si="15"/>
        <v>0</v>
      </c>
      <c r="U36" s="186">
        <f ca="1">O36*IFERROR(VLOOKUP(A36,[1]Tørstofindhold!A$2:B$24,2,FALSE),0)</f>
        <v>0</v>
      </c>
      <c r="V36" s="187">
        <f ca="1"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ca="1" si="16"/>
        <v>0</v>
      </c>
      <c r="Y36" s="168">
        <f t="shared" ca="1" si="2"/>
        <v>0</v>
      </c>
      <c r="Z36" s="103">
        <f t="shared" ca="1" si="3"/>
        <v>0</v>
      </c>
    </row>
    <row r="37" spans="1:26" x14ac:dyDescent="0.55000000000000004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forbrug'!G$2,'Forbrug af biomasse'!$B$2:$B$431,$E37)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forbrug'!I$2,'Forbrug af biomasse'!$B$2:$B$431,$E37)</f>
        <v>0</v>
      </c>
      <c r="J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forbrug'!J$2,'Forbrug af biomasse'!$B$2:$B$431,$E37)</f>
        <v>0</v>
      </c>
      <c r="K37" s="190">
        <f>SUMIFS('Forbrug af biomasse'!$E$2:$E$431,'Forbrug af biomasse'!$C$2:$C$431,'Resultat-Produktion &amp; forbrug'!$A37,'Forbrug af biomasse'!$D$2:$D$431,'Resultat-Produktion &amp; forbrug'!$D37,'Forbrug af biomasse'!$A$2:$A$431,'Resultat-Produktion &amp; forbrug'!K$2,'Forbrug af biomasse'!$B$2:$B$431,$E37)</f>
        <v>0</v>
      </c>
      <c r="L37" s="190">
        <f>IF(A37&lt;&gt;"Biogas",SUMIFS('Forbrug af biomasse'!$E$2:$E$431,'Forbrug af biomasse'!$C$2:$C$431,'Resultat-Produktion &amp; forbrug'!$A37,'Forbrug af biomasse'!$D$2:$D$431,'Resultat-Produktion &amp; forbrug'!$D37,'Forbrug af biomasse'!$A$2:$A$431,'Resultat-Produktion &amp; forbrug'!L$2,'Forbrug af biomasse'!$B$2:$B$431,$E37),F37)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55000000000000004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forbrug'!G$2,'Forbrug af biomasse'!$B$2:$B$431,$E38)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forbrug'!I$2,'Forbrug af biomasse'!$B$2:$B$431,$E38)</f>
        <v>0</v>
      </c>
      <c r="J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forbrug'!J$2,'Forbrug af biomasse'!$B$2:$B$431,$E38)</f>
        <v>0</v>
      </c>
      <c r="K38" s="190">
        <f>SUMIFS('Forbrug af biomasse'!$E$2:$E$431,'Forbrug af biomasse'!$C$2:$C$431,'Resultat-Produktion &amp; forbrug'!$A38,'Forbrug af biomasse'!$D$2:$D$431,'Resultat-Produktion &amp; forbrug'!$D38,'Forbrug af biomasse'!$A$2:$A$431,'Resultat-Produktion &amp; forbrug'!K$2,'Forbrug af biomasse'!$B$2:$B$431,$E38)</f>
        <v>0</v>
      </c>
      <c r="L38" s="190">
        <f>IF(A38&lt;&gt;"Biogas",SUMIFS('Forbrug af biomasse'!$E$2:$E$431,'Forbrug af biomasse'!$C$2:$C$431,'Resultat-Produktion &amp; forbrug'!$A38,'Forbrug af biomasse'!$D$2:$D$431,'Resultat-Produktion &amp; forbrug'!$D38,'Forbrug af biomasse'!$A$2:$A$431,'Resultat-Produktion &amp; forbrug'!L$2,'Forbrug af biomasse'!$B$2:$B$431,$E38),F38)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55000000000000004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forbrug'!G$2,'Forbrug af biomasse'!$B$2:$B$431,$E39)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forbrug'!I$2,'Forbrug af biomasse'!$B$2:$B$431,$E39)</f>
        <v>0</v>
      </c>
      <c r="J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forbrug'!J$2,'Forbrug af biomasse'!$B$2:$B$431,$E39)</f>
        <v>0</v>
      </c>
      <c r="K39" s="190">
        <f>SUMIFS('Forbrug af biomasse'!$E$2:$E$431,'Forbrug af biomasse'!$C$2:$C$431,'Resultat-Produktion &amp; forbrug'!$A39,'Forbrug af biomasse'!$D$2:$D$431,'Resultat-Produktion &amp; forbrug'!$D39,'Forbrug af biomasse'!$A$2:$A$431,'Resultat-Produktion &amp; forbrug'!K$2,'Forbrug af biomasse'!$B$2:$B$431,$E39)</f>
        <v>0</v>
      </c>
      <c r="L39" s="190">
        <f>IF(A39&lt;&gt;"Biogas",SUMIFS('Forbrug af biomasse'!$E$2:$E$431,'Forbrug af biomasse'!$C$2:$C$431,'Resultat-Produktion &amp; forbrug'!$A39,'Forbrug af biomasse'!$D$2:$D$431,'Resultat-Produktion &amp; forbrug'!$D39,'Forbrug af biomasse'!$A$2:$A$431,'Resultat-Produktion &amp; forbrug'!L$2,'Forbrug af biomasse'!$B$2:$B$431,$E39),F39)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55000000000000004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forbrug'!G$2,'Forbrug af biomasse'!$B$2:$B$431,$E40)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forbrug'!I$2,'Forbrug af biomasse'!$B$2:$B$431,$E40)</f>
        <v>0</v>
      </c>
      <c r="J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forbrug'!J$2,'Forbrug af biomasse'!$B$2:$B$431,$E40)</f>
        <v>0</v>
      </c>
      <c r="K40" s="190">
        <f>SUMIFS('Forbrug af biomasse'!$E$2:$E$431,'Forbrug af biomasse'!$C$2:$C$431,'Resultat-Produktion &amp; forbrug'!$A40,'Forbrug af biomasse'!$D$2:$D$431,'Resultat-Produktion &amp; forbrug'!$D40,'Forbrug af biomasse'!$A$2:$A$431,'Resultat-Produktion &amp; forbrug'!K$2,'Forbrug af biomasse'!$B$2:$B$431,$E40)</f>
        <v>0</v>
      </c>
      <c r="L40" s="190">
        <f>IF(A40&lt;&gt;"Biogas",SUMIFS('Forbrug af biomasse'!$E$2:$E$431,'Forbrug af biomasse'!$C$2:$C$431,'Resultat-Produktion &amp; forbrug'!$A40,'Forbrug af biomasse'!$D$2:$D$431,'Resultat-Produktion &amp; forbrug'!$D40,'Forbrug af biomasse'!$A$2:$A$431,'Resultat-Produktion &amp; forbrug'!L$2,'Forbrug af biomasse'!$B$2:$B$431,$E40),F40)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55000000000000004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forbrug'!G$2,'Forbrug af biomasse'!$B$2:$B$431,$E41)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forbrug'!I$2,'Forbrug af biomasse'!$B$2:$B$431,$E41)</f>
        <v>0</v>
      </c>
      <c r="J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forbrug'!J$2,'Forbrug af biomasse'!$B$2:$B$431,$E41)</f>
        <v>4141.9679702877811</v>
      </c>
      <c r="K41" s="190">
        <f>SUMIFS('Forbrug af biomasse'!$E$2:$E$431,'Forbrug af biomasse'!$C$2:$C$431,'Resultat-Produktion &amp; forbrug'!$A41,'Forbrug af biomasse'!$D$2:$D$431,'Resultat-Produktion &amp; forbrug'!$D41,'Forbrug af biomasse'!$A$2:$A$431,'Resultat-Produktion &amp; forbrug'!K$2,'Forbrug af biomasse'!$B$2:$B$431,$E41)</f>
        <v>0</v>
      </c>
      <c r="L41" s="190">
        <f>IF(A41&lt;&gt;"Biogas",SUMIFS('Forbrug af biomasse'!$E$2:$E$431,'Forbrug af biomasse'!$C$2:$C$431,'Resultat-Produktion &amp; forbrug'!$A41,'Forbrug af biomasse'!$D$2:$D$431,'Resultat-Produktion &amp; forbrug'!$D41,'Forbrug af biomasse'!$A$2:$A$431,'Resultat-Produktion &amp; forbrug'!L$2,'Forbrug af biomasse'!$B$2:$B$431,$E41),F41)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55000000000000004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forbrug'!G$2,'Forbrug af biomasse'!$B$2:$B$431,$E42)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forbrug'!I$2,'Forbrug af biomasse'!$B$2:$B$431,$E42)</f>
        <v>0</v>
      </c>
      <c r="J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forbrug'!J$2,'Forbrug af biomasse'!$B$2:$B$431,$E42)</f>
        <v>0</v>
      </c>
      <c r="K42" s="190">
        <f>SUMIFS('Forbrug af biomasse'!$E$2:$E$431,'Forbrug af biomasse'!$C$2:$C$431,'Resultat-Produktion &amp; forbrug'!$A42,'Forbrug af biomasse'!$D$2:$D$431,'Resultat-Produktion &amp; forbrug'!$D42,'Forbrug af biomasse'!$A$2:$A$431,'Resultat-Produktion &amp; forbrug'!K$2,'Forbrug af biomasse'!$B$2:$B$431,$E42)</f>
        <v>0</v>
      </c>
      <c r="L42" s="190">
        <f>IF(A42&lt;&gt;"Biogas",SUMIFS('Forbrug af biomasse'!$E$2:$E$431,'Forbrug af biomasse'!$C$2:$C$431,'Resultat-Produktion &amp; forbrug'!$A42,'Forbrug af biomasse'!$D$2:$D$431,'Resultat-Produktion &amp; forbrug'!$D42,'Forbrug af biomasse'!$A$2:$A$431,'Resultat-Produktion &amp; forbrug'!L$2,'Forbrug af biomasse'!$B$2:$B$431,$E42),F42)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55000000000000004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forbrug'!G$2,'Forbrug af biomasse'!$B$2:$B$431,$E43)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forbrug'!I$2,'Forbrug af biomasse'!$B$2:$B$431,$E43)</f>
        <v>0</v>
      </c>
      <c r="J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forbrug'!J$2,'Forbrug af biomasse'!$B$2:$B$431,$E43)</f>
        <v>0</v>
      </c>
      <c r="K43" s="190">
        <f>SUMIFS('Forbrug af biomasse'!$E$2:$E$431,'Forbrug af biomasse'!$C$2:$C$431,'Resultat-Produktion &amp; forbrug'!$A43,'Forbrug af biomasse'!$D$2:$D$431,'Resultat-Produktion &amp; forbrug'!$D43,'Forbrug af biomasse'!$A$2:$A$431,'Resultat-Produktion &amp; forbrug'!K$2,'Forbrug af biomasse'!$B$2:$B$431,$E43)</f>
        <v>0</v>
      </c>
      <c r="L43" s="190">
        <f>IF(A43&lt;&gt;"Biogas",SUMIFS('Forbrug af biomasse'!$E$2:$E$431,'Forbrug af biomasse'!$C$2:$C$431,'Resultat-Produktion &amp; forbrug'!$A43,'Forbrug af biomasse'!$D$2:$D$431,'Resultat-Produktion &amp; forbrug'!$D43,'Forbrug af biomasse'!$A$2:$A$431,'Resultat-Produktion &amp; forbrug'!L$2,'Forbrug af biomasse'!$B$2:$B$431,$E43),F43)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55000000000000004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forbrug'!G$2,'Forbrug af biomasse'!$B$2:$B$431,$E44)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forbrug'!I$2,'Forbrug af biomasse'!$B$2:$B$431,$E44)</f>
        <v>0</v>
      </c>
      <c r="J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forbrug'!J$2,'Forbrug af biomasse'!$B$2:$B$431,$E44)</f>
        <v>1460182.5874658169</v>
      </c>
      <c r="K44" s="190">
        <f>SUMIFS('Forbrug af biomasse'!$E$2:$E$431,'Forbrug af biomasse'!$C$2:$C$431,'Resultat-Produktion &amp; forbrug'!$A44,'Forbrug af biomasse'!$D$2:$D$431,'Resultat-Produktion &amp; forbrug'!$D44,'Forbrug af biomasse'!$A$2:$A$431,'Resultat-Produktion &amp; forbrug'!K$2,'Forbrug af biomasse'!$B$2:$B$431,$E44)</f>
        <v>0</v>
      </c>
      <c r="L44" s="190">
        <f>IF(A44&lt;&gt;"Biogas",SUMIFS('Forbrug af biomasse'!$E$2:$E$431,'Forbrug af biomasse'!$C$2:$C$431,'Resultat-Produktion &amp; forbrug'!$A44,'Forbrug af biomasse'!$D$2:$D$431,'Resultat-Produktion &amp; forbrug'!$D44,'Forbrug af biomasse'!$A$2:$A$431,'Resultat-Produktion &amp; forbrug'!L$2,'Forbrug af biomasse'!$B$2:$B$431,$E44),F44)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55000000000000004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forbrug'!G$2,'Forbrug af biomasse'!$B$2:$B$431,$E45)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forbrug'!I$2,'Forbrug af biomasse'!$B$2:$B$431,$E45)</f>
        <v>0</v>
      </c>
      <c r="J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forbrug'!J$2,'Forbrug af biomasse'!$B$2:$B$431,$E45)</f>
        <v>2534442.072977222</v>
      </c>
      <c r="K45" s="190">
        <f>SUMIFS('Forbrug af biomasse'!$E$2:$E$431,'Forbrug af biomasse'!$C$2:$C$431,'Resultat-Produktion &amp; forbrug'!$A45,'Forbrug af biomasse'!$D$2:$D$431,'Resultat-Produktion &amp; forbrug'!$D45,'Forbrug af biomasse'!$A$2:$A$431,'Resultat-Produktion &amp; forbrug'!K$2,'Forbrug af biomasse'!$B$2:$B$431,$E45)</f>
        <v>12818096.433914844</v>
      </c>
      <c r="L45" s="190">
        <f>IF(A45&lt;&gt;"Biogas",SUMIFS('Forbrug af biomasse'!$E$2:$E$431,'Forbrug af biomasse'!$C$2:$C$431,'Resultat-Produktion &amp; forbrug'!$A45,'Forbrug af biomasse'!$D$2:$D$431,'Resultat-Produktion &amp; forbrug'!$D45,'Forbrug af biomasse'!$A$2:$A$431,'Resultat-Produktion &amp; forbrug'!L$2,'Forbrug af biomasse'!$B$2:$B$431,$E45),F45)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55000000000000004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forbrug'!G$2,'Forbrug af biomasse'!$B$2:$B$431,$E46)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forbrug'!I$2,'Forbrug af biomasse'!$B$2:$B$431,$E46)</f>
        <v>117920.63695532705</v>
      </c>
      <c r="J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forbrug'!J$2,'Forbrug af biomasse'!$B$2:$B$431,$E46)</f>
        <v>0</v>
      </c>
      <c r="K46" s="190">
        <f>SUMIFS('Forbrug af biomasse'!$E$2:$E$431,'Forbrug af biomasse'!$C$2:$C$431,'Resultat-Produktion &amp; forbrug'!$A46,'Forbrug af biomasse'!$D$2:$D$431,'Resultat-Produktion &amp; forbrug'!$D46,'Forbrug af biomasse'!$A$2:$A$431,'Resultat-Produktion &amp; forbrug'!K$2,'Forbrug af biomasse'!$B$2:$B$431,$E46)</f>
        <v>0</v>
      </c>
      <c r="L46" s="190">
        <f>IF(A46&lt;&gt;"Biogas",SUMIFS('Forbrug af biomasse'!$E$2:$E$431,'Forbrug af biomasse'!$C$2:$C$431,'Resultat-Produktion &amp; forbrug'!$A46,'Forbrug af biomasse'!$D$2:$D$431,'Resultat-Produktion &amp; forbrug'!$D46,'Forbrug af biomasse'!$A$2:$A$431,'Resultat-Produktion &amp; forbrug'!L$2,'Forbrug af biomasse'!$B$2:$B$431,$E46),F46)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55000000000000004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forbrug'!G$2,'Forbrug af biomasse'!$B$2:$B$431,$E47)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forbrug'!I$2,'Forbrug af biomasse'!$B$2:$B$431,$E47)</f>
        <v>0</v>
      </c>
      <c r="J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forbrug'!J$2,'Forbrug af biomasse'!$B$2:$B$431,$E47)</f>
        <v>0</v>
      </c>
      <c r="K47" s="190">
        <f>SUMIFS('Forbrug af biomasse'!$E$2:$E$431,'Forbrug af biomasse'!$C$2:$C$431,'Resultat-Produktion &amp; forbrug'!$A47,'Forbrug af biomasse'!$D$2:$D$431,'Resultat-Produktion &amp; forbrug'!$D47,'Forbrug af biomasse'!$A$2:$A$431,'Resultat-Produktion &amp; forbrug'!K$2,'Forbrug af biomasse'!$B$2:$B$431,$E47)</f>
        <v>0</v>
      </c>
      <c r="L47" s="190">
        <f>IF(A47&lt;&gt;"Biogas",SUMIFS('Forbrug af biomasse'!$E$2:$E$431,'Forbrug af biomasse'!$C$2:$C$431,'Resultat-Produktion &amp; forbrug'!$A47,'Forbrug af biomasse'!$D$2:$D$431,'Resultat-Produktion &amp; forbrug'!$D47,'Forbrug af biomasse'!$A$2:$A$431,'Resultat-Produktion &amp; forbrug'!L$2,'Forbrug af biomasse'!$B$2:$B$431,$E47),F47)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55000000000000004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forbrug'!G$2,'Forbrug af biomasse'!$B$2:$B$431,$E48)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forbrug'!I$2,'Forbrug af biomasse'!$B$2:$B$431,$E48)</f>
        <v>0</v>
      </c>
      <c r="J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forbrug'!J$2,'Forbrug af biomasse'!$B$2:$B$431,$E48)</f>
        <v>0</v>
      </c>
      <c r="K48" s="190">
        <f>SUMIFS('Forbrug af biomasse'!$E$2:$E$431,'Forbrug af biomasse'!$C$2:$C$431,'Resultat-Produktion &amp; forbrug'!$A48,'Forbrug af biomasse'!$D$2:$D$431,'Resultat-Produktion &amp; forbrug'!$D48,'Forbrug af biomasse'!$A$2:$A$431,'Resultat-Produktion &amp; forbrug'!K$2,'Forbrug af biomasse'!$B$2:$B$431,$E48)</f>
        <v>0</v>
      </c>
      <c r="L48" s="190">
        <f>IF(A48&lt;&gt;"Biogas",SUMIFS('Forbrug af biomasse'!$E$2:$E$431,'Forbrug af biomasse'!$C$2:$C$431,'Resultat-Produktion &amp; forbrug'!$A48,'Forbrug af biomasse'!$D$2:$D$431,'Resultat-Produktion &amp; forbrug'!$D48,'Forbrug af biomasse'!$A$2:$A$431,'Resultat-Produktion &amp; forbrug'!L$2,'Forbrug af biomasse'!$B$2:$B$431,$E48),F48)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55000000000000004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forbrug'!G$2,'Forbrug af biomasse'!$B$2:$B$431,$E49)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forbrug'!I$2,'Forbrug af biomasse'!$B$2:$B$431,$E49)</f>
        <v>0</v>
      </c>
      <c r="J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forbrug'!J$2,'Forbrug af biomasse'!$B$2:$B$431,$E49)</f>
        <v>0</v>
      </c>
      <c r="K49" s="190">
        <f>SUMIFS('Forbrug af biomasse'!$E$2:$E$431,'Forbrug af biomasse'!$C$2:$C$431,'Resultat-Produktion &amp; forbrug'!$A49,'Forbrug af biomasse'!$D$2:$D$431,'Resultat-Produktion &amp; forbrug'!$D49,'Forbrug af biomasse'!$A$2:$A$431,'Resultat-Produktion &amp; forbrug'!K$2,'Forbrug af biomasse'!$B$2:$B$431,$E49)</f>
        <v>0</v>
      </c>
      <c r="L49" s="190">
        <f ca="1">IF(A49&lt;&gt;"Biogas",SUMIFS('Forbrug af biomasse'!$E$2:$E$431,'Forbrug af biomasse'!$C$2:$C$431,'Resultat-Produktion &amp; forbrug'!$A49,'Forbrug af biomasse'!$D$2:$D$431,'Resultat-Produktion &amp; forbrug'!$D49,'Forbrug af biomasse'!$A$2:$A$431,'Resultat-Produktion &amp; forbrug'!L$2,'Forbrug af biomasse'!$B$2:$B$431,$E49),F49)</f>
        <v>2328677.081002241</v>
      </c>
      <c r="M49" s="154">
        <f ca="1"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55000000000000004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forbrug'!G$2,'Forbrug af biomasse'!$B$2:$B$431,$E50)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forbrug'!I$2,'Forbrug af biomasse'!$B$2:$B$431,$E50)</f>
        <v>0</v>
      </c>
      <c r="J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forbrug'!J$2,'Forbrug af biomasse'!$B$2:$B$431,$E50)</f>
        <v>0</v>
      </c>
      <c r="K50" s="190">
        <f>SUMIFS('Forbrug af biomasse'!$E$2:$E$431,'Forbrug af biomasse'!$C$2:$C$431,'Resultat-Produktion &amp; forbrug'!$A50,'Forbrug af biomasse'!$D$2:$D$431,'Resultat-Produktion &amp; forbrug'!$D50,'Forbrug af biomasse'!$A$2:$A$431,'Resultat-Produktion &amp; forbrug'!K$2,'Forbrug af biomasse'!$B$2:$B$431,$E50)</f>
        <v>0</v>
      </c>
      <c r="L50" s="190">
        <f>IF(A50&lt;&gt;"Biogas",SUMIFS('Forbrug af biomasse'!$E$2:$E$431,'Forbrug af biomasse'!$C$2:$C$431,'Resultat-Produktion &amp; forbrug'!$A50,'Forbrug af biomasse'!$D$2:$D$431,'Resultat-Produktion &amp; forbrug'!$D50,'Forbrug af biomasse'!$A$2:$A$431,'Resultat-Produktion &amp; forbrug'!L$2,'Forbrug af biomasse'!$B$2:$B$431,$E50),F50)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55000000000000004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forbrug'!G$2,'Forbrug af biomasse'!$B$2:$B$431,$E51)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forbrug'!I$2,'Forbrug af biomasse'!$B$2:$B$431,$E51)</f>
        <v>32579.784552999867</v>
      </c>
      <c r="J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forbrug'!J$2,'Forbrug af biomasse'!$B$2:$B$431,$E51)</f>
        <v>0</v>
      </c>
      <c r="K51" s="190">
        <f>SUMIFS('Forbrug af biomasse'!$E$2:$E$431,'Forbrug af biomasse'!$C$2:$C$431,'Resultat-Produktion &amp; forbrug'!$A51,'Forbrug af biomasse'!$D$2:$D$431,'Resultat-Produktion &amp; forbrug'!$D51,'Forbrug af biomasse'!$A$2:$A$431,'Resultat-Produktion &amp; forbrug'!K$2,'Forbrug af biomasse'!$B$2:$B$431,$E51)</f>
        <v>0</v>
      </c>
      <c r="L51" s="190">
        <f>IF(A51&lt;&gt;"Biogas",SUMIFS('Forbrug af biomasse'!$E$2:$E$431,'Forbrug af biomasse'!$C$2:$C$431,'Resultat-Produktion &amp; forbrug'!$A51,'Forbrug af biomasse'!$D$2:$D$431,'Resultat-Produktion &amp; forbrug'!$D51,'Forbrug af biomasse'!$A$2:$A$431,'Resultat-Produktion &amp; forbrug'!L$2,'Forbrug af biomasse'!$B$2:$B$431,$E51),F51)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55000000000000004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forbrug'!G$2,'Forbrug af biomasse'!$B$2:$B$431,$E52)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forbrug'!I$2,'Forbrug af biomasse'!$B$2:$B$431,$E52)</f>
        <v>0</v>
      </c>
      <c r="J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forbrug'!J$2,'Forbrug af biomasse'!$B$2:$B$431,$E52)</f>
        <v>0</v>
      </c>
      <c r="K52" s="190">
        <f>SUMIFS('Forbrug af biomasse'!$E$2:$E$431,'Forbrug af biomasse'!$C$2:$C$431,'Resultat-Produktion &amp; forbrug'!$A52,'Forbrug af biomasse'!$D$2:$D$431,'Resultat-Produktion &amp; forbrug'!$D52,'Forbrug af biomasse'!$A$2:$A$431,'Resultat-Produktion &amp; forbrug'!K$2,'Forbrug af biomasse'!$B$2:$B$431,$E52)</f>
        <v>0</v>
      </c>
      <c r="L52" s="190">
        <f>IF(A52&lt;&gt;"Biogas",SUMIFS('Forbrug af biomasse'!$E$2:$E$431,'Forbrug af biomasse'!$C$2:$C$431,'Resultat-Produktion &amp; forbrug'!$A52,'Forbrug af biomasse'!$D$2:$D$431,'Resultat-Produktion &amp; forbrug'!$D52,'Forbrug af biomasse'!$A$2:$A$431,'Resultat-Produktion &amp; forbrug'!L$2,'Forbrug af biomasse'!$B$2:$B$431,$E52),F52)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206097.31370548965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55000000000000004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forbrug'!G$2,'Forbrug af biomasse'!$B$2:$B$431,$E53)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forbrug'!I$2,'Forbrug af biomasse'!$B$2:$B$431,$E53)</f>
        <v>0</v>
      </c>
      <c r="J53" s="190">
        <f ca="1">SUMIFS('Forbrug af biomasse'!$E$2:$E$431,'Forbrug af biomasse'!$C$2:$C$431,'Resultat-Produktion &amp; forbrug'!$A53,'Forbrug af biomasse'!$D$2:$D$431,'Resultat-Produktion &amp; forbrug'!$D53,'Forbrug af biomasse'!$A$2:$A$431,'Resultat-Produktion &amp; forbrug'!J$2,'Forbrug af biomasse'!$B$2:$B$431,$E53)</f>
        <v>195082.24112879002</v>
      </c>
      <c r="K53" s="190">
        <f>SUMIFS('Forbrug af biomasse'!$E$2:$E$431,'Forbrug af biomasse'!$C$2:$C$431,'Resultat-Produktion &amp; forbrug'!$A53,'Forbrug af biomasse'!$D$2:$D$431,'Resultat-Produktion &amp; forbrug'!$D53,'Forbrug af biomasse'!$A$2:$A$431,'Resultat-Produktion &amp; forbrug'!K$2,'Forbrug af biomasse'!$B$2:$B$431,$E53)</f>
        <v>0</v>
      </c>
      <c r="L53" s="190">
        <f ca="1">IF(A53&lt;&gt;"Biogas",SUMIFS('Forbrug af biomasse'!$E$2:$E$431,'Forbrug af biomasse'!$C$2:$C$431,'Resultat-Produktion &amp; forbrug'!$A53,'Forbrug af biomasse'!$D$2:$D$431,'Resultat-Produktion &amp; forbrug'!$D53,'Forbrug af biomasse'!$A$2:$A$431,'Resultat-Produktion &amp; forbrug'!L$2,'Forbrug af biomasse'!$B$2:$B$431,$E53),F53)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55000000000000004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500549498.82270408</v>
      </c>
      <c r="G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forbrug'!G$2,'Forbrug af biomasse'!$B$2:$B$431,$E54)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forbrug'!I$2,'Forbrug af biomasse'!$B$2:$B$431,$E54)</f>
        <v>0</v>
      </c>
      <c r="J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forbrug'!J$2,'Forbrug af biomasse'!$B$2:$B$431,$E54)</f>
        <v>0</v>
      </c>
      <c r="K54" s="190">
        <f>SUMIFS('Forbrug af biomasse'!$E$2:$E$431,'Forbrug af biomasse'!$C$2:$C$431,'Resultat-Produktion &amp; forbrug'!$A54,'Forbrug af biomasse'!$D$2:$D$431,'Resultat-Produktion &amp; forbrug'!$D54,'Forbrug af biomasse'!$A$2:$A$431,'Resultat-Produktion &amp; forbrug'!K$2,'Forbrug af biomasse'!$B$2:$B$431,$E54)</f>
        <v>0</v>
      </c>
      <c r="L54" s="190">
        <f ca="1">IF(A54&lt;&gt;"Biogas",SUMIFS('Forbrug af biomasse'!$E$2:$E$431,'Forbrug af biomasse'!$C$2:$C$431,'Resultat-Produktion &amp; forbrug'!$A54,'Forbrug af biomasse'!$D$2:$D$431,'Resultat-Produktion &amp; forbrug'!$D54,'Forbrug af biomasse'!$A$2:$A$431,'Resultat-Produktion &amp; forbrug'!L$2,'Forbrug af biomasse'!$B$2:$B$431,$E54),F54)</f>
        <v>500549498.82270408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500549498.82270408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55000000000000004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20203693.34554347</v>
      </c>
      <c r="G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forbrug'!G$2,'Forbrug af biomasse'!$B$2:$B$431,$E55)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forbrug'!I$2,'Forbrug af biomasse'!$B$2:$B$431,$E55)</f>
        <v>0</v>
      </c>
      <c r="J55" s="190">
        <f>SUMIFS('Forbrug af biomasse'!$E$2:$E$431,'Forbrug af biomasse'!$C$2:$C$431,'Resultat-Produktion &amp; forbrug'!$A55,'Forbrug af biomasse'!$D$2:$D$431,'Resultat-Produktion &amp; forbrug'!$D55,'Forbrug af biomasse'!$A$2:$A$431,'Resultat-Produktion &amp; forbrug'!J$2,'Forbrug af biomasse'!$B$2:$B$431,$E55)</f>
        <v>0</v>
      </c>
      <c r="K55" s="190">
        <f ca="1">SUMIFS('Forbrug af biomasse'!$E$2:$E$431,'Forbrug af biomasse'!$C$2:$C$431,'Resultat-Produktion &amp; forbrug'!$A55,'Forbrug af biomasse'!$D$2:$D$431,'Resultat-Produktion &amp; forbrug'!$D55,'Forbrug af biomasse'!$A$2:$A$431,'Resultat-Produktion &amp; forbrug'!K$2,'Forbrug af biomasse'!$B$2:$B$431,$E55)</f>
        <v>17711161.810424652</v>
      </c>
      <c r="L55" s="190">
        <f>IF(A55&lt;&gt;"Biogas",SUMIFS('Forbrug af biomasse'!$E$2:$E$431,'Forbrug af biomasse'!$C$2:$C$431,'Resultat-Produktion &amp; forbrug'!$A55,'Forbrug af biomasse'!$D$2:$D$431,'Resultat-Produktion &amp; forbrug'!$D55,'Forbrug af biomasse'!$A$2:$A$431,'Resultat-Produktion &amp; forbrug'!L$2,'Forbrug af biomasse'!$B$2:$B$431,$E55),F55)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2492531.5351188183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55000000000000004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forbrug'!G$2,'Forbrug af biomasse'!$B$2:$B$431,$E56)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forbrug'!I$2,'Forbrug af biomasse'!$B$2:$B$431,$E56)</f>
        <v>0</v>
      </c>
      <c r="J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forbrug'!J$2,'Forbrug af biomasse'!$B$2:$B$431,$E56)</f>
        <v>0</v>
      </c>
      <c r="K56" s="190">
        <f>SUMIFS('Forbrug af biomasse'!$E$2:$E$431,'Forbrug af biomasse'!$C$2:$C$431,'Resultat-Produktion &amp; forbrug'!$A56,'Forbrug af biomasse'!$D$2:$D$431,'Resultat-Produktion &amp; forbrug'!$D56,'Forbrug af biomasse'!$A$2:$A$431,'Resultat-Produktion &amp; forbrug'!K$2,'Forbrug af biomasse'!$B$2:$B$431,$E56)</f>
        <v>0</v>
      </c>
      <c r="L56" s="190">
        <f>IF(A56&lt;&gt;"Biogas",SUMIFS('Forbrug af biomasse'!$E$2:$E$431,'Forbrug af biomasse'!$C$2:$C$431,'Resultat-Produktion &amp; forbrug'!$A56,'Forbrug af biomasse'!$D$2:$D$431,'Resultat-Produktion &amp; forbrug'!$D56,'Forbrug af biomasse'!$A$2:$A$431,'Resultat-Produktion &amp; forbrug'!L$2,'Forbrug af biomasse'!$B$2:$B$431,$E56),F56)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55000000000000004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forbrug'!G$2,'Forbrug af biomasse'!$B$2:$B$431,$E57)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forbrug'!I$2,'Forbrug af biomasse'!$B$2:$B$431,$E57)</f>
        <v>0</v>
      </c>
      <c r="J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forbrug'!J$2,'Forbrug af biomasse'!$B$2:$B$431,$E57)</f>
        <v>1326462.9092294232</v>
      </c>
      <c r="K57" s="190">
        <f>SUMIFS('Forbrug af biomasse'!$E$2:$E$431,'Forbrug af biomasse'!$C$2:$C$431,'Resultat-Produktion &amp; forbrug'!$A57,'Forbrug af biomasse'!$D$2:$D$431,'Resultat-Produktion &amp; forbrug'!$D57,'Forbrug af biomasse'!$A$2:$A$431,'Resultat-Produktion &amp; forbrug'!K$2,'Forbrug af biomasse'!$B$2:$B$431,$E57)</f>
        <v>502160.95849399589</v>
      </c>
      <c r="L57" s="190">
        <f>IF(A57&lt;&gt;"Biogas",SUMIFS('Forbrug af biomasse'!$E$2:$E$431,'Forbrug af biomasse'!$C$2:$C$431,'Resultat-Produktion &amp; forbrug'!$A57,'Forbrug af biomasse'!$D$2:$D$431,'Resultat-Produktion &amp; forbrug'!$D57,'Forbrug af biomasse'!$A$2:$A$431,'Resultat-Produktion &amp; forbrug'!L$2,'Forbrug af biomasse'!$B$2:$B$431,$E57),F57)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824301.95073542721</v>
      </c>
      <c r="O57" s="190">
        <f t="shared" si="1"/>
        <v>824301.95073542721</v>
      </c>
      <c r="P57" s="200">
        <f t="shared" si="10"/>
        <v>1326462.9092294232</v>
      </c>
      <c r="Q57" s="187">
        <f>IFERROR(VLOOKUP(A57,[1]Energiindhold!$A$2:$C$11,3,FALSE),IFERROR(VLOOKUP(A57,[1]Biogasudbytte!$A$2:$B$18,2,FALSE)*[1]Energiindhold!$C$10,0))*O57</f>
        <v>1.7755464018841103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87">
        <f>IFERROR(VLOOKUP(A57,[1]Biogasudbytte!$A$2:$B$18,2,FALSE)*[1]Energiindhold!$C$10,0)*J57*IFERROR(VLOOKUP(A57,Biogasanlæg!$F$3:$G$8,2,FALSE),1)</f>
        <v>2.8572011064801774</v>
      </c>
      <c r="T57" s="188">
        <f t="shared" si="11"/>
        <v>1.7755464018841103</v>
      </c>
      <c r="U57" s="186">
        <f>O57*IFERROR(VLOOKUP(A57,[1]Tørstofindhold!A$2:B$24,2,FALSE),0)</f>
        <v>247290.58522062816</v>
      </c>
      <c r="V57" s="187">
        <f>IF(D57=År1,P57,SUM(O57,P57))*IFERROR(VLOOKUP(A57,[1]Tørstofindhold!A$2:B$24,2,FALSE),0)</f>
        <v>645229.45798945508</v>
      </c>
      <c r="W57" s="187">
        <f>J57*IFERROR(VLOOKUP(A57,[1]Tørstofindhold!A$2:B$24,2,FALSE),0)</f>
        <v>397938.87276882696</v>
      </c>
      <c r="X57" s="188">
        <f t="shared" si="12"/>
        <v>247290.58522062813</v>
      </c>
      <c r="Y57" s="168">
        <f t="shared" si="2"/>
        <v>0</v>
      </c>
      <c r="Z57" s="103">
        <f t="shared" si="3"/>
        <v>1</v>
      </c>
    </row>
    <row r="58" spans="1:26" x14ac:dyDescent="0.55000000000000004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forbrug'!G$2,'Forbrug af biomasse'!$B$2:$B$431,$E58)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forbrug'!I$2,'Forbrug af biomasse'!$B$2:$B$431,$E58)</f>
        <v>0</v>
      </c>
      <c r="J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forbrug'!J$2,'Forbrug af biomasse'!$B$2:$B$431,$E58)</f>
        <v>0</v>
      </c>
      <c r="K58" s="190">
        <f>SUMIFS('Forbrug af biomasse'!$E$2:$E$431,'Forbrug af biomasse'!$C$2:$C$431,'Resultat-Produktion &amp; forbrug'!$A58,'Forbrug af biomasse'!$D$2:$D$431,'Resultat-Produktion &amp; forbrug'!$D58,'Forbrug af biomasse'!$A$2:$A$431,'Resultat-Produktion &amp; forbrug'!K$2,'Forbrug af biomasse'!$B$2:$B$431,$E58)</f>
        <v>0</v>
      </c>
      <c r="L58" s="190">
        <f>IF(A58&lt;&gt;"Biogas",SUMIFS('Forbrug af biomasse'!$E$2:$E$431,'Forbrug af biomasse'!$C$2:$C$431,'Resultat-Produktion &amp; forbrug'!$A58,'Forbrug af biomasse'!$D$2:$D$431,'Resultat-Produktion &amp; forbrug'!$D58,'Forbrug af biomasse'!$A$2:$A$431,'Resultat-Produktion &amp; forbrug'!L$2,'Forbrug af biomasse'!$B$2:$B$431,$E58),F58)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55000000000000004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forbrug'!G$2,'Forbrug af biomasse'!$B$2:$B$431,$E59)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forbrug'!I$2,'Forbrug af biomasse'!$B$2:$B$431,$E59)</f>
        <v>0</v>
      </c>
      <c r="J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forbrug'!J$2,'Forbrug af biomasse'!$B$2:$B$431,$E59)</f>
        <v>4171.3630677727415</v>
      </c>
      <c r="K59" s="190">
        <f>SUMIFS('Forbrug af biomasse'!$E$2:$E$431,'Forbrug af biomasse'!$C$2:$C$431,'Resultat-Produktion &amp; forbrug'!$A59,'Forbrug af biomasse'!$D$2:$D$431,'Resultat-Produktion &amp; forbrug'!$D59,'Forbrug af biomasse'!$A$2:$A$431,'Resultat-Produktion &amp; forbrug'!K$2,'Forbrug af biomasse'!$B$2:$B$431,$E59)</f>
        <v>4171.3630677727415</v>
      </c>
      <c r="L59" s="190">
        <f>IF(A59&lt;&gt;"Biogas",SUMIFS('Forbrug af biomasse'!$E$2:$E$431,'Forbrug af biomasse'!$C$2:$C$431,'Resultat-Produktion &amp; forbrug'!$A59,'Forbrug af biomasse'!$D$2:$D$431,'Resultat-Produktion &amp; forbrug'!$D59,'Forbrug af biomasse'!$A$2:$A$431,'Resultat-Produktion &amp; forbrug'!L$2,'Forbrug af biomasse'!$B$2:$B$431,$E59),F59)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55000000000000004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forbrug'!G$2,'Forbrug af biomasse'!$B$2:$B$431,$E60)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forbrug'!I$2,'Forbrug af biomasse'!$B$2:$B$431,$E60)</f>
        <v>35294.766599083188</v>
      </c>
      <c r="J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forbrug'!J$2,'Forbrug af biomasse'!$B$2:$B$431,$E60)</f>
        <v>0</v>
      </c>
      <c r="K60" s="190">
        <f>SUMIFS('Forbrug af biomasse'!$E$2:$E$431,'Forbrug af biomasse'!$C$2:$C$431,'Resultat-Produktion &amp; forbrug'!$A60,'Forbrug af biomasse'!$D$2:$D$431,'Resultat-Produktion &amp; forbrug'!$D60,'Forbrug af biomasse'!$A$2:$A$431,'Resultat-Produktion &amp; forbrug'!K$2,'Forbrug af biomasse'!$B$2:$B$431,$E60)</f>
        <v>0</v>
      </c>
      <c r="L60" s="190">
        <f>IF(A60&lt;&gt;"Biogas",SUMIFS('Forbrug af biomasse'!$E$2:$E$431,'Forbrug af biomasse'!$C$2:$C$431,'Resultat-Produktion &amp; forbrug'!$A60,'Forbrug af biomasse'!$D$2:$D$431,'Resultat-Produktion &amp; forbrug'!$D60,'Forbrug af biomasse'!$A$2:$A$431,'Resultat-Produktion &amp; forbrug'!L$2,'Forbrug af biomasse'!$B$2:$B$431,$E60),F60)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146334.12296443019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55000000000000004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forbrug'!G$2,'Forbrug af biomasse'!$B$2:$B$431,$E61)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forbrug'!I$2,'Forbrug af biomasse'!$B$2:$B$431,$E61)</f>
        <v>0</v>
      </c>
      <c r="J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forbrug'!J$2,'Forbrug af biomasse'!$B$2:$B$431,$E61)</f>
        <v>0</v>
      </c>
      <c r="K61" s="190">
        <f>SUMIFS('Forbrug af biomasse'!$E$2:$E$431,'Forbrug af biomasse'!$C$2:$C$431,'Resultat-Produktion &amp; forbrug'!$A61,'Forbrug af biomasse'!$D$2:$D$431,'Resultat-Produktion &amp; forbrug'!$D61,'Forbrug af biomasse'!$A$2:$A$431,'Resultat-Produktion &amp; forbrug'!K$2,'Forbrug af biomasse'!$B$2:$B$431,$E61)</f>
        <v>0</v>
      </c>
      <c r="L61" s="190">
        <f>IF(A61&lt;&gt;"Biogas",SUMIFS('Forbrug af biomasse'!$E$2:$E$431,'Forbrug af biomasse'!$C$2:$C$431,'Resultat-Produktion &amp; forbrug'!$A61,'Forbrug af biomasse'!$D$2:$D$431,'Resultat-Produktion &amp; forbrug'!$D61,'Forbrug af biomasse'!$A$2:$A$431,'Resultat-Produktion &amp; forbrug'!L$2,'Forbrug af biomasse'!$B$2:$B$431,$E61),F61)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55000000000000004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forbrug'!G$2,'Forbrug af biomasse'!$B$2:$B$431,$E62)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forbrug'!I$2,'Forbrug af biomasse'!$B$2:$B$431,$E62)</f>
        <v>257923.29437791562</v>
      </c>
      <c r="J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forbrug'!J$2,'Forbrug af biomasse'!$B$2:$B$431,$E62)</f>
        <v>0</v>
      </c>
      <c r="K62" s="190">
        <f>SUMIFS('Forbrug af biomasse'!$E$2:$E$431,'Forbrug af biomasse'!$C$2:$C$431,'Resultat-Produktion &amp; forbrug'!$A62,'Forbrug af biomasse'!$D$2:$D$431,'Resultat-Produktion &amp; forbrug'!$D62,'Forbrug af biomasse'!$A$2:$A$431,'Resultat-Produktion &amp; forbrug'!K$2,'Forbrug af biomasse'!$B$2:$B$431,$E62)</f>
        <v>0</v>
      </c>
      <c r="L62" s="190">
        <f>IF(A62&lt;&gt;"Biogas",SUMIFS('Forbrug af biomasse'!$E$2:$E$431,'Forbrug af biomasse'!$C$2:$C$431,'Resultat-Produktion &amp; forbrug'!$A62,'Forbrug af biomasse'!$D$2:$D$431,'Resultat-Produktion &amp; forbrug'!$D62,'Forbrug af biomasse'!$A$2:$A$431,'Resultat-Produktion &amp; forbrug'!L$2,'Forbrug af biomasse'!$B$2:$B$431,$E62),F62)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55000000000000004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forbrug'!G$2,'Forbrug af biomasse'!$B$2:$B$431,$E63)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forbrug'!I$2,'Forbrug af biomasse'!$B$2:$B$431,$E63)</f>
        <v>0</v>
      </c>
      <c r="J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forbrug'!J$2,'Forbrug af biomasse'!$B$2:$B$431,$E63)</f>
        <v>114193.60000000001</v>
      </c>
      <c r="K63" s="190">
        <f>SUMIFS('Forbrug af biomasse'!$E$2:$E$431,'Forbrug af biomasse'!$C$2:$C$431,'Resultat-Produktion &amp; forbrug'!$A63,'Forbrug af biomasse'!$D$2:$D$431,'Resultat-Produktion &amp; forbrug'!$D63,'Forbrug af biomasse'!$A$2:$A$431,'Resultat-Produktion &amp; forbrug'!K$2,'Forbrug af biomasse'!$B$2:$B$431,$E63)</f>
        <v>0</v>
      </c>
      <c r="L63" s="190">
        <f>IF(A63&lt;&gt;"Biogas",SUMIFS('Forbrug af biomasse'!$E$2:$E$431,'Forbrug af biomasse'!$C$2:$C$431,'Resultat-Produktion &amp; forbrug'!$A63,'Forbrug af biomasse'!$D$2:$D$431,'Resultat-Produktion &amp; forbrug'!$D63,'Forbrug af biomasse'!$A$2:$A$431,'Resultat-Produktion &amp; forbrug'!L$2,'Forbrug af biomasse'!$B$2:$B$431,$E63),F63)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55000000000000004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forbrug'!G$2,'Forbrug af biomasse'!$B$2:$B$431,$E64)</f>
        <v>12237689.909258299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forbrug'!I$2,'Forbrug af biomasse'!$B$2:$B$431,$E64)</f>
        <v>0</v>
      </c>
      <c r="J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forbrug'!J$2,'Forbrug af biomasse'!$B$2:$B$431,$E64)</f>
        <v>75311.342010026739</v>
      </c>
      <c r="K64" s="190">
        <f>SUMIFS('Forbrug af biomasse'!$E$2:$E$431,'Forbrug af biomasse'!$C$2:$C$431,'Resultat-Produktion &amp; forbrug'!$A64,'Forbrug af biomasse'!$D$2:$D$431,'Resultat-Produktion &amp; forbrug'!$D64,'Forbrug af biomasse'!$A$2:$A$431,'Resultat-Produktion &amp; forbrug'!K$2,'Forbrug af biomasse'!$B$2:$B$431,$E64)</f>
        <v>0</v>
      </c>
      <c r="L64" s="190">
        <f>IF(A64&lt;&gt;"Biogas",SUMIFS('Forbrug af biomasse'!$E$2:$E$431,'Forbrug af biomasse'!$C$2:$C$431,'Resultat-Produktion &amp; forbrug'!$A64,'Forbrug af biomasse'!$D$2:$D$431,'Resultat-Produktion &amp; forbrug'!$D64,'Forbrug af biomasse'!$A$2:$A$431,'Resultat-Produktion &amp; forbrug'!L$2,'Forbrug af biomasse'!$B$2:$B$431,$E64),F64)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4062261.4264890756</v>
      </c>
      <c r="O64" s="190">
        <f t="shared" si="1"/>
        <v>4062261.4264890756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7.4740532420615882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7.6126166974422862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7.4740532420615882</v>
      </c>
      <c r="U64" s="186">
        <f>O64*IFERROR(VLOOKUP(A64,[1]Tørstofindhold!A$2:B$24,2,FALSE),0)</f>
        <v>1137433.1994169413</v>
      </c>
      <c r="V64" s="187">
        <f>IF(D64=År1,P64,SUM(O64,P64))*IFERROR(VLOOKUP(A64,[1]Tørstofindhold!A$2:B$24,2,FALSE),0)</f>
        <v>1158520.3751797487</v>
      </c>
      <c r="W64" s="187">
        <f>J64*IFERROR(VLOOKUP(A64,[1]Tørstofindhold!A$2:B$24,2,FALSE),0)</f>
        <v>21087.175762807488</v>
      </c>
      <c r="X64" s="188">
        <f t="shared" si="12"/>
        <v>1137433.1994169413</v>
      </c>
      <c r="Y64" s="168">
        <f t="shared" si="2"/>
        <v>0</v>
      </c>
      <c r="Z64" s="103">
        <f t="shared" si="3"/>
        <v>1</v>
      </c>
    </row>
    <row r="65" spans="1:26" x14ac:dyDescent="0.55000000000000004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forbrug'!G$2,'Forbrug af biomasse'!$B$2:$B$431,$E65)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forbrug'!I$2,'Forbrug af biomasse'!$B$2:$B$431,$E65)</f>
        <v>0</v>
      </c>
      <c r="J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forbrug'!J$2,'Forbrug af biomasse'!$B$2:$B$431,$E65)</f>
        <v>0</v>
      </c>
      <c r="K65" s="190">
        <f>SUMIFS('Forbrug af biomasse'!$E$2:$E$431,'Forbrug af biomasse'!$C$2:$C$431,'Resultat-Produktion &amp; forbrug'!$A65,'Forbrug af biomasse'!$D$2:$D$431,'Resultat-Produktion &amp; forbrug'!$D65,'Forbrug af biomasse'!$A$2:$A$431,'Resultat-Produktion &amp; forbrug'!K$2,'Forbrug af biomasse'!$B$2:$B$431,$E65)</f>
        <v>0</v>
      </c>
      <c r="L65" s="190">
        <f>IF(A65&lt;&gt;"Biogas",SUMIFS('Forbrug af biomasse'!$E$2:$E$431,'Forbrug af biomasse'!$C$2:$C$431,'Resultat-Produktion &amp; forbrug'!$A65,'Forbrug af biomasse'!$D$2:$D$431,'Resultat-Produktion &amp; forbrug'!$D65,'Forbrug af biomasse'!$A$2:$A$431,'Resultat-Produktion &amp; forbrug'!L$2,'Forbrug af biomasse'!$B$2:$B$431,$E65),F65)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55000000000000004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forbrug'!G$2,'Forbrug af biomasse'!$B$2:$B$431,$E66)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forbrug'!I$2,'Forbrug af biomasse'!$B$2:$B$431,$E66)</f>
        <v>270140.71358529059</v>
      </c>
      <c r="J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forbrug'!J$2,'Forbrug af biomasse'!$B$2:$B$431,$E66)</f>
        <v>0</v>
      </c>
      <c r="K66" s="190">
        <f>SUMIFS('Forbrug af biomasse'!$E$2:$E$431,'Forbrug af biomasse'!$C$2:$C$431,'Resultat-Produktion &amp; forbrug'!$A66,'Forbrug af biomasse'!$D$2:$D$431,'Resultat-Produktion &amp; forbrug'!$D66,'Forbrug af biomasse'!$A$2:$A$431,'Resultat-Produktion &amp; forbrug'!K$2,'Forbrug af biomasse'!$B$2:$B$431,$E66)</f>
        <v>0</v>
      </c>
      <c r="L66" s="190">
        <f>IF(A66&lt;&gt;"Biogas",SUMIFS('Forbrug af biomasse'!$E$2:$E$431,'Forbrug af biomasse'!$C$2:$C$431,'Resultat-Produktion &amp; forbrug'!$A66,'Forbrug af biomasse'!$D$2:$D$431,'Resultat-Produktion &amp; forbrug'!$D66,'Forbrug af biomasse'!$A$2:$A$431,'Resultat-Produktion &amp; forbrug'!L$2,'Forbrug af biomasse'!$B$2:$B$431,$E66),F66)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55000000000000004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forbrug'!G$2,'Forbrug af biomasse'!$B$2:$B$431,$E67)</f>
        <v>773085.89354292606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forbrug'!I$2,'Forbrug af biomasse'!$B$2:$B$431,$E67)</f>
        <v>0</v>
      </c>
      <c r="J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forbrug'!J$2,'Forbrug af biomasse'!$B$2:$B$431,$E67)</f>
        <v>52973.141962340742</v>
      </c>
      <c r="K67" s="190">
        <f>SUMIFS('Forbrug af biomasse'!$E$2:$E$431,'Forbrug af biomasse'!$C$2:$C$431,'Resultat-Produktion &amp; forbrug'!$A67,'Forbrug af biomasse'!$D$2:$D$431,'Resultat-Produktion &amp; forbrug'!$D67,'Forbrug af biomasse'!$A$2:$A$431,'Resultat-Produktion &amp; forbrug'!K$2,'Forbrug af biomasse'!$B$2:$B$431,$E67)</f>
        <v>0</v>
      </c>
      <c r="L67" s="190">
        <f>IF(A67&lt;&gt;"Biogas",SUMIFS('Forbrug af biomasse'!$E$2:$E$431,'Forbrug af biomasse'!$C$2:$C$431,'Resultat-Produktion &amp; forbrug'!$A67,'Forbrug af biomasse'!$D$2:$D$431,'Resultat-Produktion &amp; forbrug'!$D67,'Forbrug af biomasse'!$A$2:$A$431,'Resultat-Produktion &amp; forbrug'!L$2,'Forbrug af biomasse'!$B$2:$B$431,$E67),F67)</f>
        <v>1090857.6667890928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1143830.8087514336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11.580312356401583</v>
      </c>
      <c r="S67" s="187">
        <f>IFERROR(VLOOKUP(A67,[1]Biogasudbytte!$A$2:$B$18,2,FALSE)*[1]Energiindhold!$C$10,0)*J67*IFERROR(VLOOKUP(A67,Biogasanlæg!$F$3:$G$8,2,FALSE),1)</f>
        <v>0.30541876890955405</v>
      </c>
      <c r="T67" s="188">
        <f t="shared" si="11"/>
        <v>11.274893587492029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972256.18743871851</v>
      </c>
      <c r="W67" s="187">
        <f>J67*IFERROR(VLOOKUP(A67,[1]Tørstofindhold!A$2:B$24,2,FALSE),0)</f>
        <v>45027.170667989631</v>
      </c>
      <c r="X67" s="188">
        <f t="shared" si="12"/>
        <v>927229.01677072886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55000000000000004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forbrug'!G$2,'Forbrug af biomasse'!$B$2:$B$431,$E68)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forbrug'!I$2,'Forbrug af biomasse'!$B$2:$B$431,$E68)</f>
        <v>0</v>
      </c>
      <c r="J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forbrug'!J$2,'Forbrug af biomasse'!$B$2:$B$431,$E68)</f>
        <v>41.80391161429587</v>
      </c>
      <c r="K68" s="190">
        <f>SUMIFS('Forbrug af biomasse'!$E$2:$E$431,'Forbrug af biomasse'!$C$2:$C$431,'Resultat-Produktion &amp; forbrug'!$A68,'Forbrug af biomasse'!$D$2:$D$431,'Resultat-Produktion &amp; forbrug'!$D68,'Forbrug af biomasse'!$A$2:$A$431,'Resultat-Produktion &amp; forbrug'!K$2,'Forbrug af biomasse'!$B$2:$B$431,$E68)</f>
        <v>0</v>
      </c>
      <c r="L68" s="190">
        <f>IF(A68&lt;&gt;"Biogas",SUMIFS('Forbrug af biomasse'!$E$2:$E$431,'Forbrug af biomasse'!$C$2:$C$431,'Resultat-Produktion &amp; forbrug'!$A68,'Forbrug af biomasse'!$D$2:$D$431,'Resultat-Produktion &amp; forbrug'!$D68,'Forbrug af biomasse'!$A$2:$A$431,'Resultat-Produktion &amp; forbrug'!L$2,'Forbrug af biomasse'!$B$2:$B$431,$E68),F68)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55000000000000004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forbrug'!G$2,'Forbrug af biomasse'!$B$2:$B$431,$E69)</f>
        <v>4828427.5390456226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forbrug'!I$2,'Forbrug af biomasse'!$B$2:$B$431,$E69)</f>
        <v>0</v>
      </c>
      <c r="J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forbrug'!J$2,'Forbrug af biomasse'!$B$2:$B$431,$E69)</f>
        <v>0</v>
      </c>
      <c r="K69" s="190">
        <f>SUMIFS('Forbrug af biomasse'!$E$2:$E$431,'Forbrug af biomasse'!$C$2:$C$431,'Resultat-Produktion &amp; forbrug'!$A69,'Forbrug af biomasse'!$D$2:$D$431,'Resultat-Produktion &amp; forbrug'!$D69,'Forbrug af biomasse'!$A$2:$A$431,'Resultat-Produktion &amp; forbrug'!K$2,'Forbrug af biomasse'!$B$2:$B$431,$E69)</f>
        <v>0</v>
      </c>
      <c r="L69" s="190">
        <f>IF(A69&lt;&gt;"Biogas",SUMIFS('Forbrug af biomasse'!$E$2:$E$431,'Forbrug af biomasse'!$C$2:$C$431,'Resultat-Produktion &amp; forbrug'!$A69,'Forbrug af biomasse'!$D$2:$D$431,'Resultat-Produktion &amp; forbrug'!$D69,'Forbrug af biomasse'!$A$2:$A$431,'Resultat-Produktion &amp; forbrug'!L$2,'Forbrug af biomasse'!$B$2:$B$431,$E69),F69)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-4828427.5390456226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55000000000000004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forbrug'!G$2,'Forbrug af biomasse'!$B$2:$B$431,$E70)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forbrug'!I$2,'Forbrug af biomasse'!$B$2:$B$431,$E70)</f>
        <v>0</v>
      </c>
      <c r="J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forbrug'!J$2,'Forbrug af biomasse'!$B$2:$B$431,$E70)</f>
        <v>523057.13098607323</v>
      </c>
      <c r="K70" s="190">
        <f>SUMIFS('Forbrug af biomasse'!$E$2:$E$431,'Forbrug af biomasse'!$C$2:$C$431,'Resultat-Produktion &amp; forbrug'!$A70,'Forbrug af biomasse'!$D$2:$D$431,'Resultat-Produktion &amp; forbrug'!$D70,'Forbrug af biomasse'!$A$2:$A$431,'Resultat-Produktion &amp; forbrug'!K$2,'Forbrug af biomasse'!$B$2:$B$431,$E70)</f>
        <v>0</v>
      </c>
      <c r="L70" s="190">
        <f>IF(A70&lt;&gt;"Biogas",SUMIFS('Forbrug af biomasse'!$E$2:$E$431,'Forbrug af biomasse'!$C$2:$C$431,'Resultat-Produktion &amp; forbrug'!$A70,'Forbrug af biomasse'!$D$2:$D$431,'Resultat-Produktion &amp; forbrug'!$D70,'Forbrug af biomasse'!$A$2:$A$431,'Resultat-Produktion &amp; forbrug'!L$2,'Forbrug af biomasse'!$B$2:$B$431,$E70),F70)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0.29027753113768995</v>
      </c>
      <c r="O70" s="190">
        <f t="shared" si="20"/>
        <v>0.29027753113768995</v>
      </c>
      <c r="P70" s="200">
        <f t="shared" si="10"/>
        <v>523057.13098607323</v>
      </c>
      <c r="Q70" s="187">
        <f>IFERROR(VLOOKUP(A70,[1]Energiindhold!$A$2:$C$11,3,FALSE),IFERROR(VLOOKUP(A70,[1]Biogasudbytte!$A$2:$B$18,2,FALSE)*[1]Energiindhold!$C$10,0))*O70</f>
        <v>1.2578102784986585E-6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87">
        <f>IFERROR(VLOOKUP(A70,[1]Biogasudbytte!$A$2:$B$18,2,FALSE)*[1]Energiindhold!$C$10,0)*J70*IFERROR(VLOOKUP(A70,Biogasanlæg!$F$3:$G$8,2,FALSE),1)</f>
        <v>1.9265033640912312</v>
      </c>
      <c r="T70" s="188">
        <f t="shared" si="11"/>
        <v>1.2578102785987255E-6</v>
      </c>
      <c r="U70" s="186">
        <f>O70*IFERROR(VLOOKUP(A70,[1]Tørstofindhold!A$2:B$24,2,FALSE),0)</f>
        <v>0.12191656307782978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219683.99501415074</v>
      </c>
      <c r="X70" s="188">
        <f t="shared" si="12"/>
        <v>0.12191656307550147</v>
      </c>
      <c r="Y70" s="168">
        <f t="shared" si="21"/>
        <v>0</v>
      </c>
      <c r="Z70" s="103">
        <f t="shared" si="22"/>
        <v>1</v>
      </c>
    </row>
    <row r="71" spans="1:26" x14ac:dyDescent="0.55000000000000004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forbrug'!G$2,'Forbrug af biomasse'!$B$2:$B$431,$E71)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forbrug'!I$2,'Forbrug af biomasse'!$B$2:$B$431,$E71)</f>
        <v>0</v>
      </c>
      <c r="J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forbrug'!J$2,'Forbrug af biomasse'!$B$2:$B$431,$E71)</f>
        <v>0</v>
      </c>
      <c r="K71" s="190">
        <f>SUMIFS('Forbrug af biomasse'!$E$2:$E$431,'Forbrug af biomasse'!$C$2:$C$431,'Resultat-Produktion &amp; forbrug'!$A71,'Forbrug af biomasse'!$D$2:$D$431,'Resultat-Produktion &amp; forbrug'!$D71,'Forbrug af biomasse'!$A$2:$A$431,'Resultat-Produktion &amp; forbrug'!K$2,'Forbrug af biomasse'!$B$2:$B$431,$E71)</f>
        <v>0</v>
      </c>
      <c r="L71" s="190">
        <f>IF(A71&lt;&gt;"Biogas",SUMIFS('Forbrug af biomasse'!$E$2:$E$431,'Forbrug af biomasse'!$C$2:$C$431,'Resultat-Produktion &amp; forbrug'!$A71,'Forbrug af biomasse'!$D$2:$D$431,'Resultat-Produktion &amp; forbrug'!$D71,'Forbrug af biomasse'!$A$2:$A$431,'Resultat-Produktion &amp; forbrug'!L$2,'Forbrug af biomasse'!$B$2:$B$431,$E71),F71)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55000000000000004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forbrug'!G$2,'Forbrug af biomasse'!$B$2:$B$431,$E72)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forbrug'!I$2,'Forbrug af biomasse'!$B$2:$B$431,$E72)</f>
        <v>123531.68309679118</v>
      </c>
      <c r="J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forbrug'!J$2,'Forbrug af biomasse'!$B$2:$B$431,$E72)</f>
        <v>0</v>
      </c>
      <c r="K72" s="190">
        <f>SUMIFS('Forbrug af biomasse'!$E$2:$E$431,'Forbrug af biomasse'!$C$2:$C$431,'Resultat-Produktion &amp; forbrug'!$A72,'Forbrug af biomasse'!$D$2:$D$431,'Resultat-Produktion &amp; forbrug'!$D72,'Forbrug af biomasse'!$A$2:$A$431,'Resultat-Produktion &amp; forbrug'!K$2,'Forbrug af biomasse'!$B$2:$B$431,$E72)</f>
        <v>0</v>
      </c>
      <c r="L72" s="190">
        <f>IF(A72&lt;&gt;"Biogas",SUMIFS('Forbrug af biomasse'!$E$2:$E$431,'Forbrug af biomasse'!$C$2:$C$431,'Resultat-Produktion &amp; forbrug'!$A72,'Forbrug af biomasse'!$D$2:$D$431,'Resultat-Produktion &amp; forbrug'!$D72,'Forbrug af biomasse'!$A$2:$A$431,'Resultat-Produktion &amp; forbrug'!L$2,'Forbrug af biomasse'!$B$2:$B$431,$E72),F72)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55000000000000004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forbrug'!G$2,'Forbrug af biomasse'!$B$2:$B$431,$E73)</f>
        <v>5879215.2019956233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forbrug'!I$2,'Forbrug af biomasse'!$B$2:$B$431,$E73)</f>
        <v>295933.04302308214</v>
      </c>
      <c r="J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forbrug'!J$2,'Forbrug af biomasse'!$B$2:$B$431,$E73)</f>
        <v>2838.8656563257464</v>
      </c>
      <c r="K73" s="190">
        <f>SUMIFS('Forbrug af biomasse'!$E$2:$E$431,'Forbrug af biomasse'!$C$2:$C$431,'Resultat-Produktion &amp; forbrug'!$A73,'Forbrug af biomasse'!$D$2:$D$431,'Resultat-Produktion &amp; forbrug'!$D73,'Forbrug af biomasse'!$A$2:$A$431,'Resultat-Produktion &amp; forbrug'!K$2,'Forbrug af biomasse'!$B$2:$B$431,$E73)</f>
        <v>0</v>
      </c>
      <c r="L73" s="190">
        <f>IF(A73&lt;&gt;"Biogas",SUMIFS('Forbrug af biomasse'!$E$2:$E$431,'Forbrug af biomasse'!$C$2:$C$431,'Resultat-Produktion &amp; forbrug'!$A73,'Forbrug af biomasse'!$D$2:$D$431,'Resultat-Produktion &amp; forbrug'!$D73,'Forbrug af biomasse'!$A$2:$A$431,'Resultat-Produktion &amp; forbrug'!L$2,'Forbrug af biomasse'!$B$2:$B$431,$E73),F73)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1007069.1349568693</v>
      </c>
      <c r="O73" s="190">
        <f t="shared" si="20"/>
        <v>1007069.1349568693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3.4490707975483841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3.4587935149801079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3.4490707975483841</v>
      </c>
      <c r="U73" s="186">
        <f>O73*IFERROR(VLOOKUP(A73,[1]Tørstofindhold!A$2:B$24,2,FALSE),0)</f>
        <v>312191.43183662946</v>
      </c>
      <c r="V73" s="187">
        <f>IF(D73=År1,P73,SUM(O73,P73))*IFERROR(VLOOKUP(A73,[1]Tørstofindhold!A$2:B$24,2,FALSE),0)</f>
        <v>313071.48019009043</v>
      </c>
      <c r="W73" s="187">
        <f>J73*IFERROR(VLOOKUP(A73,[1]Tørstofindhold!A$2:B$24,2,FALSE),0)</f>
        <v>880.04835346098139</v>
      </c>
      <c r="X73" s="188">
        <f t="shared" si="12"/>
        <v>312191.43183662946</v>
      </c>
      <c r="Y73" s="168">
        <f t="shared" si="21"/>
        <v>0</v>
      </c>
      <c r="Z73" s="103">
        <f t="shared" si="22"/>
        <v>1</v>
      </c>
    </row>
    <row r="74" spans="1:26" x14ac:dyDescent="0.55000000000000004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forbrug'!G$2,'Forbrug af biomasse'!$B$2:$B$431,$E74)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forbrug'!I$2,'Forbrug af biomasse'!$B$2:$B$431,$E74)</f>
        <v>0</v>
      </c>
      <c r="J74" s="190">
        <f>SUMIFS('Forbrug af biomasse'!$E$2:$E$431,'Forbrug af biomasse'!$C$2:$C$431,'Resultat-Produktion &amp; forbrug'!$A74,'Forbrug af biomasse'!$D$2:$D$431,'Resultat-Produktion &amp; forbrug'!$D74,'Forbrug af biomasse'!$A$2:$A$431,'Resultat-Produktion &amp; forbrug'!J$2,'Forbrug af biomasse'!$B$2:$B$431,$E74)</f>
        <v>0</v>
      </c>
      <c r="K74" s="190">
        <f ca="1">SUMIFS('Forbrug af biomasse'!$E$2:$E$431,'Forbrug af biomasse'!$C$2:$C$431,'Resultat-Produktion &amp; forbrug'!$A74,'Forbrug af biomasse'!$D$2:$D$431,'Resultat-Produktion &amp; forbrug'!$D74,'Forbrug af biomasse'!$A$2:$A$431,'Resultat-Produktion &amp; forbrug'!K$2,'Forbrug af biomasse'!$B$2:$B$431,$E74)</f>
        <v>571108.87935312989</v>
      </c>
      <c r="L74" s="190">
        <f>IF(A74&lt;&gt;"Biogas",SUMIFS('Forbrug af biomasse'!$E$2:$E$431,'Forbrug af biomasse'!$C$2:$C$431,'Resultat-Produktion &amp; forbrug'!$A74,'Forbrug af biomasse'!$D$2:$D$431,'Resultat-Produktion &amp; forbrug'!$D74,'Forbrug af biomasse'!$A$2:$A$431,'Resultat-Produktion &amp; forbrug'!L$2,'Forbrug af biomasse'!$B$2:$B$431,$E74),F74)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-571108.87935312989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55000000000000004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forbrug'!G$2,'Forbrug af biomasse'!$B$2:$B$431,$E75)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forbrug'!I$2,'Forbrug af biomasse'!$B$2:$B$431,$E75)</f>
        <v>0</v>
      </c>
      <c r="J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forbrug'!J$2,'Forbrug af biomasse'!$B$2:$B$431,$E75)</f>
        <v>9867457.5006151944</v>
      </c>
      <c r="K75" s="190">
        <f>SUMIFS('Forbrug af biomasse'!$E$2:$E$431,'Forbrug af biomasse'!$C$2:$C$431,'Resultat-Produktion &amp; forbrug'!$A75,'Forbrug af biomasse'!$D$2:$D$431,'Resultat-Produktion &amp; forbrug'!$D75,'Forbrug af biomasse'!$A$2:$A$431,'Resultat-Produktion &amp; forbrug'!K$2,'Forbrug af biomasse'!$B$2:$B$431,$E75)</f>
        <v>3116039.2107205875</v>
      </c>
      <c r="L75" s="190">
        <f>IF(A75&lt;&gt;"Biogas",SUMIFS('Forbrug af biomasse'!$E$2:$E$431,'Forbrug af biomasse'!$C$2:$C$431,'Resultat-Produktion &amp; forbrug'!$A75,'Forbrug af biomasse'!$D$2:$D$431,'Resultat-Produktion &amp; forbrug'!$D75,'Forbrug af biomasse'!$A$2:$A$431,'Resultat-Produktion &amp; forbrug'!L$2,'Forbrug af biomasse'!$B$2:$B$431,$E75),F75)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9867457.5006151944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87">
        <f>IFERROR(VLOOKUP(A75,[1]Biogasudbytte!$A$2:$B$18,2,FALSE)*[1]Energiindhold!$C$10,0)*J75*IFERROR(VLOOKUP(A75,Biogasanlæg!$F$3:$G$8,2,FALSE),1)</f>
        <v>4.9948083122364055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749926.77004675474</v>
      </c>
      <c r="W75" s="187">
        <f>J75*IFERROR(VLOOKUP(A75,[1]Tørstofindhold!A$2:B$24,2,FALSE),0)</f>
        <v>749926.77004675474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55000000000000004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forbrug'!G$2,'Forbrug af biomasse'!$B$2:$B$431,$E76)</f>
        <v>1515714.1736670113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forbrug'!I$2,'Forbrug af biomasse'!$B$2:$B$431,$E76)</f>
        <v>0</v>
      </c>
      <c r="J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forbrug'!J$2,'Forbrug af biomasse'!$B$2:$B$431,$E76)</f>
        <v>0</v>
      </c>
      <c r="K76" s="190">
        <f>SUMIFS('Forbrug af biomasse'!$E$2:$E$431,'Forbrug af biomasse'!$C$2:$C$431,'Resultat-Produktion &amp; forbrug'!$A76,'Forbrug af biomasse'!$D$2:$D$431,'Resultat-Produktion &amp; forbrug'!$D76,'Forbrug af biomasse'!$A$2:$A$431,'Resultat-Produktion &amp; forbrug'!K$2,'Forbrug af biomasse'!$B$2:$B$431,$E76)</f>
        <v>0</v>
      </c>
      <c r="L76" s="190">
        <f>IF(A76&lt;&gt;"Biogas",SUMIFS('Forbrug af biomasse'!$E$2:$E$431,'Forbrug af biomasse'!$C$2:$C$431,'Resultat-Produktion &amp; forbrug'!$A76,'Forbrug af biomasse'!$D$2:$D$431,'Resultat-Produktion &amp; forbrug'!$D76,'Forbrug af biomasse'!$A$2:$A$431,'Resultat-Produktion &amp; forbrug'!L$2,'Forbrug af biomasse'!$B$2:$B$431,$E76),F76)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105279.69169965154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55000000000000004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forbrug'!G$2,'Forbrug af biomasse'!$B$2:$B$431,$E77)</f>
        <v>5657053.7864699624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forbrug'!I$2,'Forbrug af biomasse'!$B$2:$B$431,$E77)</f>
        <v>0</v>
      </c>
      <c r="J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forbrug'!J$2,'Forbrug af biomasse'!$B$2:$B$431,$E77)</f>
        <v>314782.00911940058</v>
      </c>
      <c r="K77" s="190">
        <f>SUMIFS('Forbrug af biomasse'!$E$2:$E$431,'Forbrug af biomasse'!$C$2:$C$431,'Resultat-Produktion &amp; forbrug'!$A77,'Forbrug af biomasse'!$D$2:$D$431,'Resultat-Produktion &amp; forbrug'!$D77,'Forbrug af biomasse'!$A$2:$A$431,'Resultat-Produktion &amp; forbrug'!K$2,'Forbrug af biomasse'!$B$2:$B$431,$E77)</f>
        <v>0</v>
      </c>
      <c r="L77" s="190">
        <f>IF(A77&lt;&gt;"Biogas",SUMIFS('Forbrug af biomasse'!$E$2:$E$431,'Forbrug af biomasse'!$C$2:$C$431,'Resultat-Produktion &amp; forbrug'!$A77,'Forbrug af biomasse'!$D$2:$D$431,'Resultat-Produktion &amp; forbrug'!$D77,'Forbrug af biomasse'!$A$2:$A$431,'Resultat-Produktion &amp; forbrug'!L$2,'Forbrug af biomasse'!$B$2:$B$431,$E77),F77)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2025579.8457683008</v>
      </c>
      <c r="O77" s="190">
        <f t="shared" si="20"/>
        <v>1703274.5214405721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6.1147555319716549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7.244822944710303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6.1147555319716549</v>
      </c>
      <c r="U77" s="186">
        <f>O77*IFERROR(VLOOKUP(A77,[1]Tørstofindhold!A$2:B$24,2,FALSE),0)</f>
        <v>510982.3564321716</v>
      </c>
      <c r="V77" s="187">
        <f>IF(D77=År1,P77,SUM(O77,P77))*IFERROR(VLOOKUP(A77,[1]Tørstofindhold!A$2:B$24,2,FALSE),0)</f>
        <v>605416.95916799176</v>
      </c>
      <c r="W77" s="187">
        <f>J77*IFERROR(VLOOKUP(A77,[1]Tørstofindhold!A$2:B$24,2,FALSE),0)</f>
        <v>94434.602735820168</v>
      </c>
      <c r="X77" s="188">
        <f t="shared" si="12"/>
        <v>510982.3564321716</v>
      </c>
      <c r="Y77" s="168">
        <f t="shared" si="21"/>
        <v>0</v>
      </c>
      <c r="Z77" s="103">
        <f t="shared" si="22"/>
        <v>1</v>
      </c>
    </row>
    <row r="78" spans="1:26" x14ac:dyDescent="0.55000000000000004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forbrug'!G$2,'Forbrug af biomasse'!$B$2:$B$431,$E78)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forbrug'!I$2,'Forbrug af biomasse'!$B$2:$B$431,$E78)</f>
        <v>472406.87601849809</v>
      </c>
      <c r="J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forbrug'!J$2,'Forbrug af biomasse'!$B$2:$B$431,$E78)</f>
        <v>0</v>
      </c>
      <c r="K78" s="190">
        <f>SUMIFS('Forbrug af biomasse'!$E$2:$E$431,'Forbrug af biomasse'!$C$2:$C$431,'Resultat-Produktion &amp; forbrug'!$A78,'Forbrug af biomasse'!$D$2:$D$431,'Resultat-Produktion &amp; forbrug'!$D78,'Forbrug af biomasse'!$A$2:$A$431,'Resultat-Produktion &amp; forbrug'!K$2,'Forbrug af biomasse'!$B$2:$B$431,$E78)</f>
        <v>0</v>
      </c>
      <c r="L78" s="190">
        <f>IF(A78&lt;&gt;"Biogas",SUMIFS('Forbrug af biomasse'!$E$2:$E$431,'Forbrug af biomasse'!$C$2:$C$431,'Resultat-Produktion &amp; forbrug'!$A78,'Forbrug af biomasse'!$D$2:$D$431,'Resultat-Produktion &amp; forbrug'!$D78,'Forbrug af biomasse'!$A$2:$A$431,'Resultat-Produktion &amp; forbrug'!L$2,'Forbrug af biomasse'!$B$2:$B$431,$E78),F78)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55000000000000004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forbrug'!G$2,'Forbrug af biomasse'!$B$2:$B$431,$E79)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forbrug'!I$2,'Forbrug af biomasse'!$B$2:$B$431,$E79)</f>
        <v>0</v>
      </c>
      <c r="J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forbrug'!J$2,'Forbrug af biomasse'!$B$2:$B$431,$E79)</f>
        <v>0</v>
      </c>
      <c r="K79" s="190">
        <f>SUMIFS('Forbrug af biomasse'!$E$2:$E$431,'Forbrug af biomasse'!$C$2:$C$431,'Resultat-Produktion &amp; forbrug'!$A79,'Forbrug af biomasse'!$D$2:$D$431,'Resultat-Produktion &amp; forbrug'!$D79,'Forbrug af biomasse'!$A$2:$A$431,'Resultat-Produktion &amp; forbrug'!K$2,'Forbrug af biomasse'!$B$2:$B$431,$E79)</f>
        <v>0</v>
      </c>
      <c r="L79" s="190">
        <f>IF(A79&lt;&gt;"Biogas",SUMIFS('Forbrug af biomasse'!$E$2:$E$431,'Forbrug af biomasse'!$C$2:$C$431,'Resultat-Produktion &amp; forbrug'!$A79,'Forbrug af biomasse'!$D$2:$D$431,'Resultat-Produktion &amp; forbrug'!$D79,'Forbrug af biomasse'!$A$2:$A$431,'Resultat-Produktion &amp; forbrug'!L$2,'Forbrug af biomasse'!$B$2:$B$431,$E79),F79)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55000000000000004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forbrug'!G$2,'Forbrug af biomasse'!$B$2:$B$431,$E80)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forbrug'!I$2,'Forbrug af biomasse'!$B$2:$B$431,$E80)</f>
        <v>60028.253038902265</v>
      </c>
      <c r="J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forbrug'!J$2,'Forbrug af biomasse'!$B$2:$B$431,$E80)</f>
        <v>0</v>
      </c>
      <c r="K80" s="190">
        <f>SUMIFS('Forbrug af biomasse'!$E$2:$E$431,'Forbrug af biomasse'!$C$2:$C$431,'Resultat-Produktion &amp; forbrug'!$A80,'Forbrug af biomasse'!$D$2:$D$431,'Resultat-Produktion &amp; forbrug'!$D80,'Forbrug af biomasse'!$A$2:$A$431,'Resultat-Produktion &amp; forbrug'!K$2,'Forbrug af biomasse'!$B$2:$B$431,$E80)</f>
        <v>0</v>
      </c>
      <c r="L80" s="190">
        <f>IF(A80&lt;&gt;"Biogas",SUMIFS('Forbrug af biomasse'!$E$2:$E$431,'Forbrug af biomasse'!$C$2:$C$431,'Resultat-Produktion &amp; forbrug'!$A80,'Forbrug af biomasse'!$D$2:$D$431,'Resultat-Produktion &amp; forbrug'!$D80,'Forbrug af biomasse'!$A$2:$A$431,'Resultat-Produktion &amp; forbrug'!L$2,'Forbrug af biomasse'!$B$2:$B$431,$E80),F80)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46139.885502582598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55000000000000004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forbrug'!G$2,'Forbrug af biomasse'!$B$2:$B$431,$E81)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forbrug'!I$2,'Forbrug af biomasse'!$B$2:$B$431,$E81)</f>
        <v>0</v>
      </c>
      <c r="J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forbrug'!J$2,'Forbrug af biomasse'!$B$2:$B$431,$E81)</f>
        <v>0</v>
      </c>
      <c r="K81" s="190">
        <f>SUMIFS('Forbrug af biomasse'!$E$2:$E$431,'Forbrug af biomasse'!$C$2:$C$431,'Resultat-Produktion &amp; forbrug'!$A81,'Forbrug af biomasse'!$D$2:$D$431,'Resultat-Produktion &amp; forbrug'!$D81,'Forbrug af biomasse'!$A$2:$A$431,'Resultat-Produktion &amp; forbrug'!K$2,'Forbrug af biomasse'!$B$2:$B$431,$E81)</f>
        <v>0</v>
      </c>
      <c r="L81" s="190">
        <f>IF(A81&lt;&gt;"Biogas",SUMIFS('Forbrug af biomasse'!$E$2:$E$431,'Forbrug af biomasse'!$C$2:$C$431,'Resultat-Produktion &amp; forbrug'!$A81,'Forbrug af biomasse'!$D$2:$D$431,'Resultat-Produktion &amp; forbrug'!$D81,'Forbrug af biomasse'!$A$2:$A$431,'Resultat-Produktion &amp; forbrug'!L$2,'Forbrug af biomasse'!$B$2:$B$431,$E81),F81)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55000000000000004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forbrug'!G$2,'Forbrug af biomasse'!$B$2:$B$431,$E82)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forbrug'!I$2,'Forbrug af biomasse'!$B$2:$B$431,$E82)</f>
        <v>0</v>
      </c>
      <c r="J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forbrug'!J$2,'Forbrug af biomasse'!$B$2:$B$431,$E82)</f>
        <v>0</v>
      </c>
      <c r="K82" s="190">
        <f>SUMIFS('Forbrug af biomasse'!$E$2:$E$431,'Forbrug af biomasse'!$C$2:$C$431,'Resultat-Produktion &amp; forbrug'!$A82,'Forbrug af biomasse'!$D$2:$D$431,'Resultat-Produktion &amp; forbrug'!$D82,'Forbrug af biomasse'!$A$2:$A$431,'Resultat-Produktion &amp; forbrug'!K$2,'Forbrug af biomasse'!$B$2:$B$431,$E82)</f>
        <v>0</v>
      </c>
      <c r="L82" s="190">
        <f>IF(A82&lt;&gt;"Biogas",SUMIFS('Forbrug af biomasse'!$E$2:$E$431,'Forbrug af biomasse'!$C$2:$C$431,'Resultat-Produktion &amp; forbrug'!$A82,'Forbrug af biomasse'!$D$2:$D$431,'Resultat-Produktion &amp; forbrug'!$D82,'Forbrug af biomasse'!$A$2:$A$431,'Resultat-Produktion &amp; forbrug'!L$2,'Forbrug af biomasse'!$B$2:$B$431,$E82),F82)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55000000000000004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 ca="1"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forbrug'!G$2,'Forbrug af biomasse'!$B$2:$B$431,$E83)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forbrug'!I$2,'Forbrug af biomasse'!$B$2:$B$431,$E83)</f>
        <v>0</v>
      </c>
      <c r="J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forbrug'!J$2,'Forbrug af biomasse'!$B$2:$B$431,$E83)</f>
        <v>0</v>
      </c>
      <c r="K83" s="190">
        <f>SUMIFS('Forbrug af biomasse'!$E$2:$E$431,'Forbrug af biomasse'!$C$2:$C$431,'Resultat-Produktion &amp; forbrug'!$A83,'Forbrug af biomasse'!$D$2:$D$431,'Resultat-Produktion &amp; forbrug'!$D83,'Forbrug af biomasse'!$A$2:$A$431,'Resultat-Produktion &amp; forbrug'!K$2,'Forbrug af biomasse'!$B$2:$B$431,$E83)</f>
        <v>0</v>
      </c>
      <c r="L83" s="190">
        <f ca="1">IF(A83&lt;&gt;"Biogas",SUMIFS('Forbrug af biomasse'!$E$2:$E$431,'Forbrug af biomasse'!$C$2:$C$431,'Resultat-Produktion &amp; forbrug'!$A83,'Forbrug af biomasse'!$D$2:$D$431,'Resultat-Produktion &amp; forbrug'!$D83,'Forbrug af biomasse'!$A$2:$A$431,'Resultat-Produktion &amp; forbrug'!L$2,'Forbrug af biomasse'!$B$2:$B$431,$E83),F83)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ca="1" si="29">F83-SUM(G83:M83)</f>
        <v>0</v>
      </c>
      <c r="O83" s="190">
        <f t="shared" ca="1" si="20"/>
        <v>0</v>
      </c>
      <c r="P83" s="200">
        <f t="shared" ref="P83:P84" ca="1" si="30">SUM(J83,L83)</f>
        <v>0</v>
      </c>
      <c r="Q83" s="187">
        <f ca="1">IFERROR(VLOOKUP(A83,[1]Energiindhold!$A$2:$C$11,3,FALSE),IFERROR(VLOOKUP(A83,[1]Biogasudbytte!$A$2:$B$18,2,FALSE)*[1]Energiindhold!$C$10,0))*O83</f>
        <v>0</v>
      </c>
      <c r="R83" s="187">
        <f ca="1"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ca="1" si="31">R83-S83</f>
        <v>0</v>
      </c>
      <c r="U83" s="186">
        <f ca="1">O83*IFERROR(VLOOKUP(A83,[1]Tørstofindhold!A$2:B$24,2,FALSE),0)</f>
        <v>0</v>
      </c>
      <c r="V83" s="187">
        <f ca="1"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ca="1" si="32">V83-W83</f>
        <v>0</v>
      </c>
      <c r="Y83" s="168">
        <f t="shared" ca="1" si="21"/>
        <v>0</v>
      </c>
      <c r="Z83" s="103">
        <f t="shared" ca="1" si="22"/>
        <v>0</v>
      </c>
    </row>
    <row r="84" spans="1:26" x14ac:dyDescent="0.55000000000000004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 ca="1"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forbrug'!G$2,'Forbrug af biomasse'!$B$2:$B$431,$E84)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forbrug'!I$2,'Forbrug af biomasse'!$B$2:$B$431,$E84)</f>
        <v>0</v>
      </c>
      <c r="J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forbrug'!J$2,'Forbrug af biomasse'!$B$2:$B$431,$E84)</f>
        <v>0</v>
      </c>
      <c r="K84" s="190">
        <f>SUMIFS('Forbrug af biomasse'!$E$2:$E$431,'Forbrug af biomasse'!$C$2:$C$431,'Resultat-Produktion &amp; forbrug'!$A84,'Forbrug af biomasse'!$D$2:$D$431,'Resultat-Produktion &amp; forbrug'!$D84,'Forbrug af biomasse'!$A$2:$A$431,'Resultat-Produktion &amp; forbrug'!K$2,'Forbrug af biomasse'!$B$2:$B$431,$E84)</f>
        <v>0</v>
      </c>
      <c r="L84" s="190">
        <f ca="1">IF(A84&lt;&gt;"Biogas",SUMIFS('Forbrug af biomasse'!$E$2:$E$431,'Forbrug af biomasse'!$C$2:$C$431,'Resultat-Produktion &amp; forbrug'!$A84,'Forbrug af biomasse'!$D$2:$D$431,'Resultat-Produktion &amp; forbrug'!$D84,'Forbrug af biomasse'!$A$2:$A$431,'Resultat-Produktion &amp; forbrug'!L$2,'Forbrug af biomasse'!$B$2:$B$431,$E84),F84)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ca="1" si="29"/>
        <v>0</v>
      </c>
      <c r="O84" s="190">
        <f t="shared" ca="1" si="20"/>
        <v>0</v>
      </c>
      <c r="P84" s="200">
        <f t="shared" ca="1" si="30"/>
        <v>0</v>
      </c>
      <c r="Q84" s="187">
        <f ca="1">IFERROR(VLOOKUP(A84,[1]Energiindhold!$A$2:$C$11,3,FALSE),IFERROR(VLOOKUP(A84,[1]Biogasudbytte!$A$2:$B$18,2,FALSE)*[1]Energiindhold!$C$10,0))*O84</f>
        <v>0</v>
      </c>
      <c r="R84" s="187">
        <f ca="1"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ca="1" si="31"/>
        <v>0</v>
      </c>
      <c r="U84" s="186">
        <f ca="1">O84*IFERROR(VLOOKUP(A84,[1]Tørstofindhold!A$2:B$24,2,FALSE),0)</f>
        <v>0</v>
      </c>
      <c r="V84" s="187">
        <f ca="1"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ca="1" si="32"/>
        <v>0</v>
      </c>
      <c r="Y84" s="168">
        <f t="shared" ca="1" si="21"/>
        <v>0</v>
      </c>
      <c r="Z84" s="103">
        <f t="shared" ca="1" si="22"/>
        <v>0</v>
      </c>
    </row>
    <row r="85" spans="1:26" x14ac:dyDescent="0.55000000000000004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forbrug'!G$2,'Forbrug af biomasse'!$B$2:$B$431,$E85)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forbrug'!I$2,'Forbrug af biomasse'!$B$2:$B$431,$E85)</f>
        <v>0</v>
      </c>
      <c r="J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forbrug'!J$2,'Forbrug af biomasse'!$B$2:$B$431,$E85)</f>
        <v>0</v>
      </c>
      <c r="K85" s="190">
        <f>SUMIFS('Forbrug af biomasse'!$E$2:$E$431,'Forbrug af biomasse'!$C$2:$C$431,'Resultat-Produktion &amp; forbrug'!$A85,'Forbrug af biomasse'!$D$2:$D$431,'Resultat-Produktion &amp; forbrug'!$D85,'Forbrug af biomasse'!$A$2:$A$431,'Resultat-Produktion &amp; forbrug'!K$2,'Forbrug af biomasse'!$B$2:$B$431,$E85)</f>
        <v>0</v>
      </c>
      <c r="L85" s="190">
        <f>IF(A85&lt;&gt;"Biogas",SUMIFS('Forbrug af biomasse'!$E$2:$E$431,'Forbrug af biomasse'!$C$2:$C$431,'Resultat-Produktion &amp; forbrug'!$A85,'Forbrug af biomasse'!$D$2:$D$431,'Resultat-Produktion &amp; forbrug'!$D85,'Forbrug af biomasse'!$A$2:$A$431,'Resultat-Produktion &amp; forbrug'!L$2,'Forbrug af biomasse'!$B$2:$B$431,$E85),F85)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55000000000000004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forbrug'!G$2,'Forbrug af biomasse'!$B$2:$B$431,$E86)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forbrug'!I$2,'Forbrug af biomasse'!$B$2:$B$431,$E86)</f>
        <v>0</v>
      </c>
      <c r="J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forbrug'!J$2,'Forbrug af biomasse'!$B$2:$B$431,$E86)</f>
        <v>0</v>
      </c>
      <c r="K86" s="190">
        <f>SUMIFS('Forbrug af biomasse'!$E$2:$E$431,'Forbrug af biomasse'!$C$2:$C$431,'Resultat-Produktion &amp; forbrug'!$A86,'Forbrug af biomasse'!$D$2:$D$431,'Resultat-Produktion &amp; forbrug'!$D86,'Forbrug af biomasse'!$A$2:$A$431,'Resultat-Produktion &amp; forbrug'!K$2,'Forbrug af biomasse'!$B$2:$B$431,$E86)</f>
        <v>0</v>
      </c>
      <c r="L86" s="190">
        <f>IF(A86&lt;&gt;"Biogas",SUMIFS('Forbrug af biomasse'!$E$2:$E$431,'Forbrug af biomasse'!$C$2:$C$431,'Resultat-Produktion &amp; forbrug'!$A86,'Forbrug af biomasse'!$D$2:$D$431,'Resultat-Produktion &amp; forbrug'!$D86,'Forbrug af biomasse'!$A$2:$A$431,'Resultat-Produktion &amp; forbrug'!L$2,'Forbrug af biomasse'!$B$2:$B$431,$E86),F86)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55000000000000004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forbrug'!G$2,'Forbrug af biomasse'!$B$2:$B$431,$E87)</f>
        <v>214099.10609126225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forbrug'!I$2,'Forbrug af biomasse'!$B$2:$B$431,$E87)</f>
        <v>0</v>
      </c>
      <c r="J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forbrug'!J$2,'Forbrug af biomasse'!$B$2:$B$431,$E87)</f>
        <v>0</v>
      </c>
      <c r="K87" s="190">
        <f>SUMIFS('Forbrug af biomasse'!$E$2:$E$431,'Forbrug af biomasse'!$C$2:$C$431,'Resultat-Produktion &amp; forbrug'!$A87,'Forbrug af biomasse'!$D$2:$D$431,'Resultat-Produktion &amp; forbrug'!$D87,'Forbrug af biomasse'!$A$2:$A$431,'Resultat-Produktion &amp; forbrug'!K$2,'Forbrug af biomasse'!$B$2:$B$431,$E87)</f>
        <v>0</v>
      </c>
      <c r="L87" s="190">
        <f>IF(A87&lt;&gt;"Biogas",SUMIFS('Forbrug af biomasse'!$E$2:$E$431,'Forbrug af biomasse'!$C$2:$C$431,'Resultat-Produktion &amp; forbrug'!$A87,'Forbrug af biomasse'!$D$2:$D$431,'Resultat-Produktion &amp; forbrug'!$D87,'Forbrug af biomasse'!$A$2:$A$431,'Resultat-Produktion &amp; forbrug'!L$2,'Forbrug af biomasse'!$B$2:$B$431,$E87),F87)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40415.423740432394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55000000000000004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forbrug'!G$2,'Forbrug af biomasse'!$B$2:$B$431,$E88)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forbrug'!I$2,'Forbrug af biomasse'!$B$2:$B$431,$E88)</f>
        <v>0</v>
      </c>
      <c r="J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forbrug'!J$2,'Forbrug af biomasse'!$B$2:$B$431,$E88)</f>
        <v>0</v>
      </c>
      <c r="K88" s="190">
        <f>SUMIFS('Forbrug af biomasse'!$E$2:$E$431,'Forbrug af biomasse'!$C$2:$C$431,'Resultat-Produktion &amp; forbrug'!$A88,'Forbrug af biomasse'!$D$2:$D$431,'Resultat-Produktion &amp; forbrug'!$D88,'Forbrug af biomasse'!$A$2:$A$431,'Resultat-Produktion &amp; forbrug'!K$2,'Forbrug af biomasse'!$B$2:$B$431,$E88)</f>
        <v>0</v>
      </c>
      <c r="L88" s="190">
        <f>IF(A88&lt;&gt;"Biogas",SUMIFS('Forbrug af biomasse'!$E$2:$E$431,'Forbrug af biomasse'!$C$2:$C$431,'Resultat-Produktion &amp; forbrug'!$A88,'Forbrug af biomasse'!$D$2:$D$431,'Resultat-Produktion &amp; forbrug'!$D88,'Forbrug af biomasse'!$A$2:$A$431,'Resultat-Produktion &amp; forbrug'!L$2,'Forbrug af biomasse'!$B$2:$B$431,$E88),F88)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55000000000000004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forbrug'!G$2,'Forbrug af biomasse'!$B$2:$B$431,$E89)</f>
        <v>841167.61765562883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forbrug'!I$2,'Forbrug af biomasse'!$B$2:$B$431,$E89)</f>
        <v>0</v>
      </c>
      <c r="J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forbrug'!J$2,'Forbrug af biomasse'!$B$2:$B$431,$E89)</f>
        <v>4123.4286638275544</v>
      </c>
      <c r="K89" s="190">
        <f>SUMIFS('Forbrug af biomasse'!$E$2:$E$431,'Forbrug af biomasse'!$C$2:$C$431,'Resultat-Produktion &amp; forbrug'!$A89,'Forbrug af biomasse'!$D$2:$D$431,'Resultat-Produktion &amp; forbrug'!$D89,'Forbrug af biomasse'!$A$2:$A$431,'Resultat-Produktion &amp; forbrug'!K$2,'Forbrug af biomasse'!$B$2:$B$431,$E89)</f>
        <v>0</v>
      </c>
      <c r="L89" s="190">
        <f>IF(A89&lt;&gt;"Biogas",SUMIFS('Forbrug af biomasse'!$E$2:$E$431,'Forbrug af biomasse'!$C$2:$C$431,'Resultat-Produktion &amp; forbrug'!$A89,'Forbrug af biomasse'!$D$2:$D$431,'Resultat-Produktion &amp; forbrug'!$D89,'Forbrug af biomasse'!$A$2:$A$431,'Resultat-Produktion &amp; forbrug'!L$2,'Forbrug af biomasse'!$B$2:$B$431,$E89),F89)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-448885.40904082556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55000000000000004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forbrug'!G$2,'Forbrug af biomasse'!$B$2:$B$431,$E90)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forbrug'!I$2,'Forbrug af biomasse'!$B$2:$B$431,$E90)</f>
        <v>0</v>
      </c>
      <c r="J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forbrug'!J$2,'Forbrug af biomasse'!$B$2:$B$431,$E90)</f>
        <v>0</v>
      </c>
      <c r="K90" s="190">
        <f>SUMIFS('Forbrug af biomasse'!$E$2:$E$431,'Forbrug af biomasse'!$C$2:$C$431,'Resultat-Produktion &amp; forbrug'!$A90,'Forbrug af biomasse'!$D$2:$D$431,'Resultat-Produktion &amp; forbrug'!$D90,'Forbrug af biomasse'!$A$2:$A$431,'Resultat-Produktion &amp; forbrug'!K$2,'Forbrug af biomasse'!$B$2:$B$431,$E90)</f>
        <v>0</v>
      </c>
      <c r="L90" s="190">
        <f>IF(A90&lt;&gt;"Biogas",SUMIFS('Forbrug af biomasse'!$E$2:$E$431,'Forbrug af biomasse'!$C$2:$C$431,'Resultat-Produktion &amp; forbrug'!$A90,'Forbrug af biomasse'!$D$2:$D$431,'Resultat-Produktion &amp; forbrug'!$D90,'Forbrug af biomasse'!$A$2:$A$431,'Resultat-Produktion &amp; forbrug'!L$2,'Forbrug af biomasse'!$B$2:$B$431,$E90),F90)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55000000000000004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forbrug'!G$2,'Forbrug af biomasse'!$B$2:$B$431,$E91)</f>
        <v>39415.735012617326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forbrug'!I$2,'Forbrug af biomasse'!$B$2:$B$431,$E91)</f>
        <v>0</v>
      </c>
      <c r="J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forbrug'!J$2,'Forbrug af biomasse'!$B$2:$B$431,$E91)</f>
        <v>0</v>
      </c>
      <c r="K91" s="190">
        <f>SUMIFS('Forbrug af biomasse'!$E$2:$E$431,'Forbrug af biomasse'!$C$2:$C$431,'Resultat-Produktion &amp; forbrug'!$A91,'Forbrug af biomasse'!$D$2:$D$431,'Resultat-Produktion &amp; forbrug'!$D91,'Forbrug af biomasse'!$A$2:$A$431,'Resultat-Produktion &amp; forbrug'!K$2,'Forbrug af biomasse'!$B$2:$B$431,$E91)</f>
        <v>0</v>
      </c>
      <c r="L91" s="190">
        <f>IF(A91&lt;&gt;"Biogas",SUMIFS('Forbrug af biomasse'!$E$2:$E$431,'Forbrug af biomasse'!$C$2:$C$431,'Resultat-Produktion &amp; forbrug'!$A91,'Forbrug af biomasse'!$D$2:$D$431,'Resultat-Produktion &amp; forbrug'!$D91,'Forbrug af biomasse'!$A$2:$A$431,'Resultat-Produktion &amp; forbrug'!L$2,'Forbrug af biomasse'!$B$2:$B$431,$E91),F91)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90277.592701158952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55000000000000004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forbrug'!G$2,'Forbrug af biomasse'!$B$2:$B$431,$E92)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forbrug'!I$2,'Forbrug af biomasse'!$B$2:$B$431,$E92)</f>
        <v>0</v>
      </c>
      <c r="J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forbrug'!J$2,'Forbrug af biomasse'!$B$2:$B$431,$E92)</f>
        <v>1507101.1523820646</v>
      </c>
      <c r="K92" s="190">
        <f>SUMIFS('Forbrug af biomasse'!$E$2:$E$431,'Forbrug af biomasse'!$C$2:$C$431,'Resultat-Produktion &amp; forbrug'!$A92,'Forbrug af biomasse'!$D$2:$D$431,'Resultat-Produktion &amp; forbrug'!$D92,'Forbrug af biomasse'!$A$2:$A$431,'Resultat-Produktion &amp; forbrug'!K$2,'Forbrug af biomasse'!$B$2:$B$431,$E92)</f>
        <v>0</v>
      </c>
      <c r="L92" s="190">
        <f>IF(A92&lt;&gt;"Biogas",SUMIFS('Forbrug af biomasse'!$E$2:$E$431,'Forbrug af biomasse'!$C$2:$C$431,'Resultat-Produktion &amp; forbrug'!$A92,'Forbrug af biomasse'!$D$2:$D$431,'Resultat-Produktion &amp; forbrug'!$D92,'Forbrug af biomasse'!$A$2:$A$431,'Resultat-Produktion &amp; forbrug'!L$2,'Forbrug af biomasse'!$B$2:$B$431,$E92),F92)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2466809.8451226354</v>
      </c>
      <c r="O92" s="190">
        <f t="shared" si="20"/>
        <v>2466809.8451226354</v>
      </c>
      <c r="P92" s="200">
        <f t="shared" si="24"/>
        <v>1507101.1523820646</v>
      </c>
      <c r="Q92" s="187">
        <f>IFERROR(VLOOKUP(A92,[1]Energiindhold!$A$2:$C$11,3,FALSE),IFERROR(VLOOKUP(A92,[1]Biogasudbytte!$A$2:$B$18,2,FALSE)*[1]Energiindhold!$C$10,0))*O92</f>
        <v>1.2309627808146464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87">
        <f>IFERROR(VLOOKUP(A92,[1]Biogasudbytte!$A$2:$B$18,2,FALSE)*[1]Energiindhold!$C$10,0)*J92*IFERROR(VLOOKUP(A92,Biogasanlæg!$F$3:$G$8,2,FALSE),1)</f>
        <v>0.75205854605017419</v>
      </c>
      <c r="T92" s="188">
        <f t="shared" si="25"/>
        <v>1.2309627808146462</v>
      </c>
      <c r="U92" s="186">
        <f>O92*IFERROR(VLOOKUP(A92,[1]Tørstofindhold!A$2:B$24,2,FALSE),0)</f>
        <v>148008.59070735812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90426.06914292388</v>
      </c>
      <c r="X92" s="188">
        <f t="shared" si="26"/>
        <v>148008.59070735809</v>
      </c>
      <c r="Y92" s="168">
        <f t="shared" si="21"/>
        <v>0</v>
      </c>
      <c r="Z92" s="103">
        <f t="shared" si="22"/>
        <v>1</v>
      </c>
    </row>
    <row r="93" spans="1:26" x14ac:dyDescent="0.55000000000000004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forbrug'!G$2,'Forbrug af biomasse'!$B$2:$B$431,$E93)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forbrug'!I$2,'Forbrug af biomasse'!$B$2:$B$431,$E93)</f>
        <v>0</v>
      </c>
      <c r="J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forbrug'!J$2,'Forbrug af biomasse'!$B$2:$B$431,$E93)</f>
        <v>7989661.5832169671</v>
      </c>
      <c r="K93" s="190">
        <f>SUMIFS('Forbrug af biomasse'!$E$2:$E$431,'Forbrug af biomasse'!$C$2:$C$431,'Resultat-Produktion &amp; forbrug'!$A93,'Forbrug af biomasse'!$D$2:$D$431,'Resultat-Produktion &amp; forbrug'!$D93,'Forbrug af biomasse'!$A$2:$A$431,'Resultat-Produktion &amp; forbrug'!K$2,'Forbrug af biomasse'!$B$2:$B$431,$E93)</f>
        <v>7085171.5926641021</v>
      </c>
      <c r="L93" s="190">
        <f>IF(A93&lt;&gt;"Biogas",SUMIFS('Forbrug af biomasse'!$E$2:$E$431,'Forbrug af biomasse'!$C$2:$C$431,'Resultat-Produktion &amp; forbrug'!$A93,'Forbrug af biomasse'!$D$2:$D$431,'Resultat-Produktion &amp; forbrug'!$D93,'Forbrug af biomasse'!$A$2:$A$431,'Resultat-Produktion &amp; forbrug'!L$2,'Forbrug af biomasse'!$B$2:$B$431,$E93),F93)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7989661.5832169671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87">
        <f>IFERROR(VLOOKUP(A93,[1]Biogasudbytte!$A$2:$B$18,2,FALSE)*[1]Energiindhold!$C$10,0)*J93*IFERROR(VLOOKUP(A93,Biogasanlæg!$F$3:$G$8,2,FALSE),1)</f>
        <v>3.4419462100498701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399483.0791608484</v>
      </c>
      <c r="W93" s="187">
        <f>J93*IFERROR(VLOOKUP(A93,[1]Tørstofindhold!A$2:B$24,2,FALSE),0)</f>
        <v>399483.0791608484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55000000000000004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forbrug'!G$2,'Forbrug af biomasse'!$B$2:$B$431,$E94)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forbrug'!I$2,'Forbrug af biomasse'!$B$2:$B$431,$E94)</f>
        <v>121875.54404868034</v>
      </c>
      <c r="J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forbrug'!J$2,'Forbrug af biomasse'!$B$2:$B$431,$E94)</f>
        <v>0</v>
      </c>
      <c r="K94" s="190">
        <f>SUMIFS('Forbrug af biomasse'!$E$2:$E$431,'Forbrug af biomasse'!$C$2:$C$431,'Resultat-Produktion &amp; forbrug'!$A94,'Forbrug af biomasse'!$D$2:$D$431,'Resultat-Produktion &amp; forbrug'!$D94,'Forbrug af biomasse'!$A$2:$A$431,'Resultat-Produktion &amp; forbrug'!K$2,'Forbrug af biomasse'!$B$2:$B$431,$E94)</f>
        <v>0</v>
      </c>
      <c r="L94" s="190">
        <f>IF(A94&lt;&gt;"Biogas",SUMIFS('Forbrug af biomasse'!$E$2:$E$431,'Forbrug af biomasse'!$C$2:$C$431,'Resultat-Produktion &amp; forbrug'!$A94,'Forbrug af biomasse'!$D$2:$D$431,'Resultat-Produktion &amp; forbrug'!$D94,'Forbrug af biomasse'!$A$2:$A$431,'Resultat-Produktion &amp; forbrug'!L$2,'Forbrug af biomasse'!$B$2:$B$431,$E94),F94)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1256137.4817331168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55000000000000004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forbrug'!G$2,'Forbrug af biomasse'!$B$2:$B$431,$E95)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forbrug'!I$2,'Forbrug af biomasse'!$B$2:$B$431,$E95)</f>
        <v>0</v>
      </c>
      <c r="J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forbrug'!J$2,'Forbrug af biomasse'!$B$2:$B$431,$E95)</f>
        <v>0</v>
      </c>
      <c r="K95" s="190">
        <f>SUMIFS('Forbrug af biomasse'!$E$2:$E$431,'Forbrug af biomasse'!$C$2:$C$431,'Resultat-Produktion &amp; forbrug'!$A95,'Forbrug af biomasse'!$D$2:$D$431,'Resultat-Produktion &amp; forbrug'!$D95,'Forbrug af biomasse'!$A$2:$A$431,'Resultat-Produktion &amp; forbrug'!K$2,'Forbrug af biomasse'!$B$2:$B$431,$E95)</f>
        <v>0</v>
      </c>
      <c r="L95" s="190">
        <f>IF(A95&lt;&gt;"Biogas",SUMIFS('Forbrug af biomasse'!$E$2:$E$431,'Forbrug af biomasse'!$C$2:$C$431,'Resultat-Produktion &amp; forbrug'!$A95,'Forbrug af biomasse'!$D$2:$D$431,'Resultat-Produktion &amp; forbrug'!$D95,'Forbrug af biomasse'!$A$2:$A$431,'Resultat-Produktion &amp; forbrug'!L$2,'Forbrug af biomasse'!$B$2:$B$431,$E95),F95)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55000000000000004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forbrug'!G$2,'Forbrug af biomasse'!$B$2:$B$431,$E96)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forbrug'!I$2,'Forbrug af biomasse'!$B$2:$B$431,$E96)</f>
        <v>0</v>
      </c>
      <c r="J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forbrug'!J$2,'Forbrug af biomasse'!$B$2:$B$431,$E96)</f>
        <v>0</v>
      </c>
      <c r="K96" s="190">
        <f>SUMIFS('Forbrug af biomasse'!$E$2:$E$431,'Forbrug af biomasse'!$C$2:$C$431,'Resultat-Produktion &amp; forbrug'!$A96,'Forbrug af biomasse'!$D$2:$D$431,'Resultat-Produktion &amp; forbrug'!$D96,'Forbrug af biomasse'!$A$2:$A$431,'Resultat-Produktion &amp; forbrug'!K$2,'Forbrug af biomasse'!$B$2:$B$431,$E96)</f>
        <v>0</v>
      </c>
      <c r="L96" s="190">
        <f>IF(A96&lt;&gt;"Biogas",SUMIFS('Forbrug af biomasse'!$E$2:$E$431,'Forbrug af biomasse'!$C$2:$C$431,'Resultat-Produktion &amp; forbrug'!$A96,'Forbrug af biomasse'!$D$2:$D$431,'Resultat-Produktion &amp; forbrug'!$D96,'Forbrug af biomasse'!$A$2:$A$431,'Resultat-Produktion &amp; forbrug'!L$2,'Forbrug af biomasse'!$B$2:$B$431,$E96),F96)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55000000000000004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forbrug'!G$2,'Forbrug af biomasse'!$B$2:$B$431,$E97)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forbrug'!I$2,'Forbrug af biomasse'!$B$2:$B$431,$E97)</f>
        <v>0</v>
      </c>
      <c r="J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forbrug'!J$2,'Forbrug af biomasse'!$B$2:$B$431,$E97)</f>
        <v>0</v>
      </c>
      <c r="K97" s="190">
        <f>SUMIFS('Forbrug af biomasse'!$E$2:$E$431,'Forbrug af biomasse'!$C$2:$C$431,'Resultat-Produktion &amp; forbrug'!$A97,'Forbrug af biomasse'!$D$2:$D$431,'Resultat-Produktion &amp; forbrug'!$D97,'Forbrug af biomasse'!$A$2:$A$431,'Resultat-Produktion &amp; forbrug'!K$2,'Forbrug af biomasse'!$B$2:$B$431,$E97)</f>
        <v>0</v>
      </c>
      <c r="L97" s="190">
        <f ca="1">IF(A97&lt;&gt;"Biogas",SUMIFS('Forbrug af biomasse'!$E$2:$E$431,'Forbrug af biomasse'!$C$2:$C$431,'Resultat-Produktion &amp; forbrug'!$A97,'Forbrug af biomasse'!$D$2:$D$431,'Resultat-Produktion &amp; forbrug'!$D97,'Forbrug af biomasse'!$A$2:$A$431,'Resultat-Produktion &amp; forbrug'!L$2,'Forbrug af biomasse'!$B$2:$B$431,$E97),F97)</f>
        <v>2203754.2205130709</v>
      </c>
      <c r="M97" s="154">
        <f ca="1"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55000000000000004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forbrug'!G$2,'Forbrug af biomasse'!$B$2:$B$431,$E98)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forbrug'!I$2,'Forbrug af biomasse'!$B$2:$B$431,$E98)</f>
        <v>0</v>
      </c>
      <c r="J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forbrug'!J$2,'Forbrug af biomasse'!$B$2:$B$431,$E98)</f>
        <v>0</v>
      </c>
      <c r="K98" s="190">
        <f>SUMIFS('Forbrug af biomasse'!$E$2:$E$431,'Forbrug af biomasse'!$C$2:$C$431,'Resultat-Produktion &amp; forbrug'!$A98,'Forbrug af biomasse'!$D$2:$D$431,'Resultat-Produktion &amp; forbrug'!$D98,'Forbrug af biomasse'!$A$2:$A$431,'Resultat-Produktion &amp; forbrug'!K$2,'Forbrug af biomasse'!$B$2:$B$431,$E98)</f>
        <v>0</v>
      </c>
      <c r="L98" s="190">
        <f>IF(A98&lt;&gt;"Biogas",SUMIFS('Forbrug af biomasse'!$E$2:$E$431,'Forbrug af biomasse'!$C$2:$C$431,'Resultat-Produktion &amp; forbrug'!$A98,'Forbrug af biomasse'!$D$2:$D$431,'Resultat-Produktion &amp; forbrug'!$D98,'Forbrug af biomasse'!$A$2:$A$431,'Resultat-Produktion &amp; forbrug'!L$2,'Forbrug af biomasse'!$B$2:$B$431,$E98),F98)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55000000000000004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forbrug'!G$2,'Forbrug af biomasse'!$B$2:$B$431,$E99)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forbrug'!I$2,'Forbrug af biomasse'!$B$2:$B$431,$E99)</f>
        <v>33849.968886444818</v>
      </c>
      <c r="J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forbrug'!J$2,'Forbrug af biomasse'!$B$2:$B$431,$E99)</f>
        <v>0</v>
      </c>
      <c r="K99" s="190">
        <f>SUMIFS('Forbrug af biomasse'!$E$2:$E$431,'Forbrug af biomasse'!$C$2:$C$431,'Resultat-Produktion &amp; forbrug'!$A99,'Forbrug af biomasse'!$D$2:$D$431,'Resultat-Produktion &amp; forbrug'!$D99,'Forbrug af biomasse'!$A$2:$A$431,'Resultat-Produktion &amp; forbrug'!K$2,'Forbrug af biomasse'!$B$2:$B$431,$E99)</f>
        <v>0</v>
      </c>
      <c r="L99" s="190">
        <f>IF(A99&lt;&gt;"Biogas",SUMIFS('Forbrug af biomasse'!$E$2:$E$431,'Forbrug af biomasse'!$C$2:$C$431,'Resultat-Produktion &amp; forbrug'!$A99,'Forbrug af biomasse'!$D$2:$D$431,'Resultat-Produktion &amp; forbrug'!$D99,'Forbrug af biomasse'!$A$2:$A$431,'Resultat-Produktion &amp; forbrug'!L$2,'Forbrug af biomasse'!$B$2:$B$431,$E99),F99)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55000000000000004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forbrug'!G$2,'Forbrug af biomasse'!$B$2:$B$431,$E100)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forbrug'!I$2,'Forbrug af biomasse'!$B$2:$B$431,$E100)</f>
        <v>0</v>
      </c>
      <c r="J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forbrug'!J$2,'Forbrug af biomasse'!$B$2:$B$431,$E100)</f>
        <v>0</v>
      </c>
      <c r="K100" s="190">
        <f>SUMIFS('Forbrug af biomasse'!$E$2:$E$431,'Forbrug af biomasse'!$C$2:$C$431,'Resultat-Produktion &amp; forbrug'!$A100,'Forbrug af biomasse'!$D$2:$D$431,'Resultat-Produktion &amp; forbrug'!$D100,'Forbrug af biomasse'!$A$2:$A$431,'Resultat-Produktion &amp; forbrug'!K$2,'Forbrug af biomasse'!$B$2:$B$431,$E100)</f>
        <v>0</v>
      </c>
      <c r="L100" s="190">
        <f>IF(A100&lt;&gt;"Biogas",SUMIFS('Forbrug af biomasse'!$E$2:$E$431,'Forbrug af biomasse'!$C$2:$C$431,'Resultat-Produktion &amp; forbrug'!$A100,'Forbrug af biomasse'!$D$2:$D$431,'Resultat-Produktion &amp; forbrug'!$D100,'Forbrug af biomasse'!$A$2:$A$431,'Resultat-Produktion &amp; forbrug'!L$2,'Forbrug af biomasse'!$B$2:$B$431,$E100),F100)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215612.8569739282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55000000000000004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forbrug'!G$2,'Forbrug af biomasse'!$B$2:$B$431,$E101)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forbrug'!I$2,'Forbrug af biomasse'!$B$2:$B$431,$E101)</f>
        <v>0</v>
      </c>
      <c r="J101" s="190">
        <f ca="1">SUMIFS('Forbrug af biomasse'!$E$2:$E$431,'Forbrug af biomasse'!$C$2:$C$431,'Resultat-Produktion &amp; forbrug'!$A101,'Forbrug af biomasse'!$D$2:$D$431,'Resultat-Produktion &amp; forbrug'!$D101,'Forbrug af biomasse'!$A$2:$A$431,'Resultat-Produktion &amp; forbrug'!J$2,'Forbrug af biomasse'!$B$2:$B$431,$E101)</f>
        <v>197484.23354298095</v>
      </c>
      <c r="K101" s="190">
        <f>SUMIFS('Forbrug af biomasse'!$E$2:$E$431,'Forbrug af biomasse'!$C$2:$C$431,'Resultat-Produktion &amp; forbrug'!$A101,'Forbrug af biomasse'!$D$2:$D$431,'Resultat-Produktion &amp; forbrug'!$D101,'Forbrug af biomasse'!$A$2:$A$431,'Resultat-Produktion &amp; forbrug'!K$2,'Forbrug af biomasse'!$B$2:$B$431,$E101)</f>
        <v>0</v>
      </c>
      <c r="L101" s="190">
        <f ca="1">IF(A101&lt;&gt;"Biogas",SUMIFS('Forbrug af biomasse'!$E$2:$E$431,'Forbrug af biomasse'!$C$2:$C$431,'Resultat-Produktion &amp; forbrug'!$A101,'Forbrug af biomasse'!$D$2:$D$431,'Resultat-Produktion &amp; forbrug'!$D101,'Forbrug af biomasse'!$A$2:$A$431,'Resultat-Produktion &amp; forbrug'!L$2,'Forbrug af biomasse'!$B$2:$B$431,$E101),F101)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55000000000000004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498159957.32203865</v>
      </c>
      <c r="G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forbrug'!G$2,'Forbrug af biomasse'!$B$2:$B$431,$E102)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forbrug'!I$2,'Forbrug af biomasse'!$B$2:$B$431,$E102)</f>
        <v>0</v>
      </c>
      <c r="J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forbrug'!J$2,'Forbrug af biomasse'!$B$2:$B$431,$E102)</f>
        <v>0</v>
      </c>
      <c r="K102" s="190">
        <f>SUMIFS('Forbrug af biomasse'!$E$2:$E$431,'Forbrug af biomasse'!$C$2:$C$431,'Resultat-Produktion &amp; forbrug'!$A102,'Forbrug af biomasse'!$D$2:$D$431,'Resultat-Produktion &amp; forbrug'!$D102,'Forbrug af biomasse'!$A$2:$A$431,'Resultat-Produktion &amp; forbrug'!K$2,'Forbrug af biomasse'!$B$2:$B$431,$E102)</f>
        <v>0</v>
      </c>
      <c r="L102" s="190">
        <f ca="1">IF(A102&lt;&gt;"Biogas",SUMIFS('Forbrug af biomasse'!$E$2:$E$431,'Forbrug af biomasse'!$C$2:$C$431,'Resultat-Produktion &amp; forbrug'!$A102,'Forbrug af biomasse'!$D$2:$D$431,'Resultat-Produktion &amp; forbrug'!$D102,'Forbrug af biomasse'!$A$2:$A$431,'Resultat-Produktion &amp; forbrug'!L$2,'Forbrug af biomasse'!$B$2:$B$431,$E102),F102)</f>
        <v>498159957.32203865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498159957.32203865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55000000000000004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19825143.262106888</v>
      </c>
      <c r="G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forbrug'!G$2,'Forbrug af biomasse'!$B$2:$B$431,$E103)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forbrug'!I$2,'Forbrug af biomasse'!$B$2:$B$431,$E103)</f>
        <v>0</v>
      </c>
      <c r="J103" s="190">
        <f>SUMIFS('Forbrug af biomasse'!$E$2:$E$431,'Forbrug af biomasse'!$C$2:$C$431,'Resultat-Produktion &amp; forbrug'!$A103,'Forbrug af biomasse'!$D$2:$D$431,'Resultat-Produktion &amp; forbrug'!$D103,'Forbrug af biomasse'!$A$2:$A$431,'Resultat-Produktion &amp; forbrug'!J$2,'Forbrug af biomasse'!$B$2:$B$431,$E103)</f>
        <v>0</v>
      </c>
      <c r="K103" s="190">
        <f ca="1">SUMIFS('Forbrug af biomasse'!$E$2:$E$431,'Forbrug af biomasse'!$C$2:$C$431,'Resultat-Produktion &amp; forbrug'!$A103,'Forbrug af biomasse'!$D$2:$D$431,'Resultat-Produktion &amp; forbrug'!$D103,'Forbrug af biomasse'!$A$2:$A$431,'Resultat-Produktion &amp; forbrug'!K$2,'Forbrug af biomasse'!$B$2:$B$431,$E103)</f>
        <v>17222550.97014698</v>
      </c>
      <c r="L103" s="190">
        <f>IF(A103&lt;&gt;"Biogas",SUMIFS('Forbrug af biomasse'!$E$2:$E$431,'Forbrug af biomasse'!$C$2:$C$431,'Resultat-Produktion &amp; forbrug'!$A103,'Forbrug af biomasse'!$D$2:$D$431,'Resultat-Produktion &amp; forbrug'!$D103,'Forbrug af biomasse'!$A$2:$A$431,'Resultat-Produktion &amp; forbrug'!L$2,'Forbrug af biomasse'!$B$2:$B$431,$E103),F103)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2602592.2919599079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55000000000000004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forbrug'!G$2,'Forbrug af biomasse'!$B$2:$B$431,$E104)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forbrug'!I$2,'Forbrug af biomasse'!$B$2:$B$431,$E104)</f>
        <v>0</v>
      </c>
      <c r="J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forbrug'!J$2,'Forbrug af biomasse'!$B$2:$B$431,$E104)</f>
        <v>0</v>
      </c>
      <c r="K104" s="190">
        <f>SUMIFS('Forbrug af biomasse'!$E$2:$E$431,'Forbrug af biomasse'!$C$2:$C$431,'Resultat-Produktion &amp; forbrug'!$A104,'Forbrug af biomasse'!$D$2:$D$431,'Resultat-Produktion &amp; forbrug'!$D104,'Forbrug af biomasse'!$A$2:$A$431,'Resultat-Produktion &amp; forbrug'!K$2,'Forbrug af biomasse'!$B$2:$B$431,$E104)</f>
        <v>0</v>
      </c>
      <c r="L104" s="190">
        <f>IF(A104&lt;&gt;"Biogas",SUMIFS('Forbrug af biomasse'!$E$2:$E$431,'Forbrug af biomasse'!$C$2:$C$431,'Resultat-Produktion &amp; forbrug'!$A104,'Forbrug af biomasse'!$D$2:$D$431,'Resultat-Produktion &amp; forbrug'!$D104,'Forbrug af biomasse'!$A$2:$A$431,'Resultat-Produktion &amp; forbrug'!L$2,'Forbrug af biomasse'!$B$2:$B$431,$E104),F104)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55000000000000004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forbrug'!G$2,'Forbrug af biomasse'!$B$2:$B$431,$E105)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forbrug'!I$2,'Forbrug af biomasse'!$B$2:$B$431,$E105)</f>
        <v>0</v>
      </c>
      <c r="J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forbrug'!J$2,'Forbrug af biomasse'!$B$2:$B$431,$E105)</f>
        <v>1388988.8638442878</v>
      </c>
      <c r="K105" s="190">
        <f>SUMIFS('Forbrug af biomasse'!$E$2:$E$431,'Forbrug af biomasse'!$C$2:$C$431,'Resultat-Produktion &amp; forbrug'!$A105,'Forbrug af biomasse'!$D$2:$D$431,'Resultat-Produktion &amp; forbrug'!$D105,'Forbrug af biomasse'!$A$2:$A$431,'Resultat-Produktion &amp; forbrug'!K$2,'Forbrug af biomasse'!$B$2:$B$431,$E105)</f>
        <v>525831.49845533748</v>
      </c>
      <c r="L105" s="190">
        <f>IF(A105&lt;&gt;"Biogas",SUMIFS('Forbrug af biomasse'!$E$2:$E$431,'Forbrug af biomasse'!$C$2:$C$431,'Resultat-Produktion &amp; forbrug'!$A105,'Forbrug af biomasse'!$D$2:$D$431,'Resultat-Produktion &amp; forbrug'!$D105,'Forbrug af biomasse'!$A$2:$A$431,'Resultat-Produktion &amp; forbrug'!L$2,'Forbrug af biomasse'!$B$2:$B$431,$E105),F105)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863157.36538895033</v>
      </c>
      <c r="O105" s="190">
        <f t="shared" si="20"/>
        <v>863157.36538895033</v>
      </c>
      <c r="P105" s="200">
        <f t="shared" si="24"/>
        <v>1388988.8638442878</v>
      </c>
      <c r="Q105" s="187">
        <f>IFERROR(VLOOKUP(A105,[1]Energiindhold!$A$2:$C$11,3,FALSE),IFERROR(VLOOKUP(A105,[1]Biogasudbytte!$A$2:$B$18,2,FALSE)*[1]Energiindhold!$C$10,0))*O105</f>
        <v>1.859240965047799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87">
        <f>IFERROR(VLOOKUP(A105,[1]Biogasudbytte!$A$2:$B$18,2,FALSE)*[1]Energiindhold!$C$10,0)*J105*IFERROR(VLOOKUP(A105,Biogasanlæg!$F$3:$G$8,2,FALSE),1)</f>
        <v>2.9918820127205961</v>
      </c>
      <c r="T105" s="188">
        <f t="shared" si="25"/>
        <v>1.8592409650477992</v>
      </c>
      <c r="U105" s="186">
        <f>O105*IFERROR(VLOOKUP(A105,[1]Tørstofindhold!A$2:B$24,2,FALSE),0)</f>
        <v>258947.20961668508</v>
      </c>
      <c r="V105" s="187">
        <f>IF(D105=År1,P105,SUM(O105,P105))*IFERROR(VLOOKUP(A105,[1]Tørstofindhold!A$2:B$24,2,FALSE),0)</f>
        <v>675643.8687699713</v>
      </c>
      <c r="W105" s="187">
        <f>J105*IFERROR(VLOOKUP(A105,[1]Tørstofindhold!A$2:B$24,2,FALSE),0)</f>
        <v>416696.65915328631</v>
      </c>
      <c r="X105" s="188">
        <f t="shared" si="26"/>
        <v>258947.209616685</v>
      </c>
      <c r="Y105" s="168">
        <f t="shared" si="21"/>
        <v>0</v>
      </c>
      <c r="Z105" s="103">
        <f t="shared" si="22"/>
        <v>1</v>
      </c>
    </row>
    <row r="106" spans="1:26" x14ac:dyDescent="0.55000000000000004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forbrug'!G$2,'Forbrug af biomasse'!$B$2:$B$431,$E106)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forbrug'!I$2,'Forbrug af biomasse'!$B$2:$B$431,$E106)</f>
        <v>0</v>
      </c>
      <c r="J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forbrug'!J$2,'Forbrug af biomasse'!$B$2:$B$431,$E106)</f>
        <v>0</v>
      </c>
      <c r="K106" s="190">
        <f>SUMIFS('Forbrug af biomasse'!$E$2:$E$431,'Forbrug af biomasse'!$C$2:$C$431,'Resultat-Produktion &amp; forbrug'!$A106,'Forbrug af biomasse'!$D$2:$D$431,'Resultat-Produktion &amp; forbrug'!$D106,'Forbrug af biomasse'!$A$2:$A$431,'Resultat-Produktion &amp; forbrug'!K$2,'Forbrug af biomasse'!$B$2:$B$431,$E106)</f>
        <v>0</v>
      </c>
      <c r="L106" s="190">
        <f>IF(A106&lt;&gt;"Biogas",SUMIFS('Forbrug af biomasse'!$E$2:$E$431,'Forbrug af biomasse'!$C$2:$C$431,'Resultat-Produktion &amp; forbrug'!$A106,'Forbrug af biomasse'!$D$2:$D$431,'Resultat-Produktion &amp; forbrug'!$D106,'Forbrug af biomasse'!$A$2:$A$431,'Resultat-Produktion &amp; forbrug'!L$2,'Forbrug af biomasse'!$B$2:$B$431,$E106),F106)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55000000000000004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forbrug'!G$2,'Forbrug af biomasse'!$B$2:$B$431,$E107)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forbrug'!I$2,'Forbrug af biomasse'!$B$2:$B$431,$E107)</f>
        <v>0</v>
      </c>
      <c r="J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forbrug'!J$2,'Forbrug af biomasse'!$B$2:$B$431,$E107)</f>
        <v>4307.7658612412106</v>
      </c>
      <c r="K107" s="190">
        <f>SUMIFS('Forbrug af biomasse'!$E$2:$E$431,'Forbrug af biomasse'!$C$2:$C$431,'Resultat-Produktion &amp; forbrug'!$A107,'Forbrug af biomasse'!$D$2:$D$431,'Resultat-Produktion &amp; forbrug'!$D107,'Forbrug af biomasse'!$A$2:$A$431,'Resultat-Produktion &amp; forbrug'!K$2,'Forbrug af biomasse'!$B$2:$B$431,$E107)</f>
        <v>4307.7658612412106</v>
      </c>
      <c r="L107" s="190">
        <f>IF(A107&lt;&gt;"Biogas",SUMIFS('Forbrug af biomasse'!$E$2:$E$431,'Forbrug af biomasse'!$C$2:$C$431,'Resultat-Produktion &amp; forbrug'!$A107,'Forbrug af biomasse'!$D$2:$D$431,'Resultat-Produktion &amp; forbrug'!$D107,'Forbrug af biomasse'!$A$2:$A$431,'Resultat-Produktion &amp; forbrug'!L$2,'Forbrug af biomasse'!$B$2:$B$431,$E107),F107)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4307.7658612412106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87">
        <f>IFERROR(VLOOKUP(A107,[1]Biogasudbytte!$A$2:$B$18,2,FALSE)*[1]Energiindhold!$C$10,0)*J107*IFERROR(VLOOKUP(A107,Biogasanlæg!$F$3:$G$8,2,FALSE),1)</f>
        <v>2.025899206883129E-3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271.38924925819629</v>
      </c>
      <c r="W107" s="187">
        <f>J107*IFERROR(VLOOKUP(A107,[1]Tørstofindhold!A$2:B$24,2,FALSE),0)</f>
        <v>271.38924925819629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55000000000000004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forbrug'!G$2,'Forbrug af biomasse'!$B$2:$B$431,$E108)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forbrug'!I$2,'Forbrug af biomasse'!$B$2:$B$431,$E108)</f>
        <v>36670.799626981883</v>
      </c>
      <c r="J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forbrug'!J$2,'Forbrug af biomasse'!$B$2:$B$431,$E108)</f>
        <v>0</v>
      </c>
      <c r="K108" s="190">
        <f>SUMIFS('Forbrug af biomasse'!$E$2:$E$431,'Forbrug af biomasse'!$C$2:$C$431,'Resultat-Produktion &amp; forbrug'!$A108,'Forbrug af biomasse'!$D$2:$D$431,'Resultat-Produktion &amp; forbrug'!$D108,'Forbrug af biomasse'!$A$2:$A$431,'Resultat-Produktion &amp; forbrug'!K$2,'Forbrug af biomasse'!$B$2:$B$431,$E108)</f>
        <v>0</v>
      </c>
      <c r="L108" s="190">
        <f>IF(A108&lt;&gt;"Biogas",SUMIFS('Forbrug af biomasse'!$E$2:$E$431,'Forbrug af biomasse'!$C$2:$C$431,'Resultat-Produktion &amp; forbrug'!$A108,'Forbrug af biomasse'!$D$2:$D$431,'Resultat-Produktion &amp; forbrug'!$D108,'Forbrug af biomasse'!$A$2:$A$431,'Resultat-Produktion &amp; forbrug'!L$2,'Forbrug af biomasse'!$B$2:$B$431,$E108),F108)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136987.951622947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55000000000000004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forbrug'!G$2,'Forbrug af biomasse'!$B$2:$B$431,$E109)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forbrug'!I$2,'Forbrug af biomasse'!$B$2:$B$431,$E109)</f>
        <v>0</v>
      </c>
      <c r="J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forbrug'!J$2,'Forbrug af biomasse'!$B$2:$B$431,$E109)</f>
        <v>0</v>
      </c>
      <c r="K109" s="190">
        <f>SUMIFS('Forbrug af biomasse'!$E$2:$E$431,'Forbrug af biomasse'!$C$2:$C$431,'Resultat-Produktion &amp; forbrug'!$A109,'Forbrug af biomasse'!$D$2:$D$431,'Resultat-Produktion &amp; forbrug'!$D109,'Forbrug af biomasse'!$A$2:$A$431,'Resultat-Produktion &amp; forbrug'!K$2,'Forbrug af biomasse'!$B$2:$B$431,$E109)</f>
        <v>0</v>
      </c>
      <c r="L109" s="190">
        <f>IF(A109&lt;&gt;"Biogas",SUMIFS('Forbrug af biomasse'!$E$2:$E$431,'Forbrug af biomasse'!$C$2:$C$431,'Resultat-Produktion &amp; forbrug'!$A109,'Forbrug af biomasse'!$D$2:$D$431,'Resultat-Produktion &amp; forbrug'!$D109,'Forbrug af biomasse'!$A$2:$A$431,'Resultat-Produktion &amp; forbrug'!L$2,'Forbrug af biomasse'!$B$2:$B$431,$E109),F109)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55000000000000004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forbrug'!G$2,'Forbrug af biomasse'!$B$2:$B$431,$E110)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forbrug'!I$2,'Forbrug af biomasse'!$B$2:$B$431,$E110)</f>
        <v>267978.92035102146</v>
      </c>
      <c r="J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forbrug'!J$2,'Forbrug af biomasse'!$B$2:$B$431,$E110)</f>
        <v>0</v>
      </c>
      <c r="K110" s="190">
        <f>SUMIFS('Forbrug af biomasse'!$E$2:$E$431,'Forbrug af biomasse'!$C$2:$C$431,'Resultat-Produktion &amp; forbrug'!$A110,'Forbrug af biomasse'!$D$2:$D$431,'Resultat-Produktion &amp; forbrug'!$D110,'Forbrug af biomasse'!$A$2:$A$431,'Resultat-Produktion &amp; forbrug'!K$2,'Forbrug af biomasse'!$B$2:$B$431,$E110)</f>
        <v>0</v>
      </c>
      <c r="L110" s="190">
        <f>IF(A110&lt;&gt;"Biogas",SUMIFS('Forbrug af biomasse'!$E$2:$E$431,'Forbrug af biomasse'!$C$2:$C$431,'Resultat-Produktion &amp; forbrug'!$A110,'Forbrug af biomasse'!$D$2:$D$431,'Resultat-Produktion &amp; forbrug'!$D110,'Forbrug af biomasse'!$A$2:$A$431,'Resultat-Produktion &amp; forbrug'!L$2,'Forbrug af biomasse'!$B$2:$B$431,$E110),F110)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55000000000000004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forbrug'!G$2,'Forbrug af biomasse'!$B$2:$B$431,$E111)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forbrug'!I$2,'Forbrug af biomasse'!$B$2:$B$431,$E111)</f>
        <v>0</v>
      </c>
      <c r="J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forbrug'!J$2,'Forbrug af biomasse'!$B$2:$B$431,$E111)</f>
        <v>114193.60000000001</v>
      </c>
      <c r="K111" s="190">
        <f>SUMIFS('Forbrug af biomasse'!$E$2:$E$431,'Forbrug af biomasse'!$C$2:$C$431,'Resultat-Produktion &amp; forbrug'!$A111,'Forbrug af biomasse'!$D$2:$D$431,'Resultat-Produktion &amp; forbrug'!$D111,'Forbrug af biomasse'!$A$2:$A$431,'Resultat-Produktion &amp; forbrug'!K$2,'Forbrug af biomasse'!$B$2:$B$431,$E111)</f>
        <v>0</v>
      </c>
      <c r="L111" s="190">
        <f>IF(A111&lt;&gt;"Biogas",SUMIFS('Forbrug af biomasse'!$E$2:$E$431,'Forbrug af biomasse'!$C$2:$C$431,'Resultat-Produktion &amp; forbrug'!$A111,'Forbrug af biomasse'!$D$2:$D$431,'Resultat-Produktion &amp; forbrug'!$D111,'Forbrug af biomasse'!$A$2:$A$431,'Resultat-Produktion &amp; forbrug'!L$2,'Forbrug af biomasse'!$B$2:$B$431,$E111),F111)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55000000000000004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forbrug'!G$2,'Forbrug af biomasse'!$B$2:$B$431,$E112)</f>
        <v>12237689.909258299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forbrug'!I$2,'Forbrug af biomasse'!$B$2:$B$431,$E112)</f>
        <v>0</v>
      </c>
      <c r="J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forbrug'!J$2,'Forbrug af biomasse'!$B$2:$B$431,$E112)</f>
        <v>75243.769743329321</v>
      </c>
      <c r="K112" s="190">
        <f>SUMIFS('Forbrug af biomasse'!$E$2:$E$431,'Forbrug af biomasse'!$C$2:$C$431,'Resultat-Produktion &amp; forbrug'!$A112,'Forbrug af biomasse'!$D$2:$D$431,'Resultat-Produktion &amp; forbrug'!$D112,'Forbrug af biomasse'!$A$2:$A$431,'Resultat-Produktion &amp; forbrug'!K$2,'Forbrug af biomasse'!$B$2:$B$431,$E112)</f>
        <v>0</v>
      </c>
      <c r="L112" s="190">
        <f>IF(A112&lt;&gt;"Biogas",SUMIFS('Forbrug af biomasse'!$E$2:$E$431,'Forbrug af biomasse'!$C$2:$C$431,'Resultat-Produktion &amp; forbrug'!$A112,'Forbrug af biomasse'!$D$2:$D$431,'Resultat-Produktion &amp; forbrug'!$D112,'Forbrug af biomasse'!$A$2:$A$431,'Resultat-Produktion &amp; forbrug'!L$2,'Forbrug af biomasse'!$B$2:$B$431,$E112),F112)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4874463.8662249763</v>
      </c>
      <c r="O112" s="190">
        <f t="shared" si="20"/>
        <v>4874463.8662249763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8.9684042058706783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9.1068433367271862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8.9684042058706783</v>
      </c>
      <c r="U112" s="186">
        <f>O112*IFERROR(VLOOKUP(A112,[1]Tørstofindhold!A$2:B$24,2,FALSE),0)</f>
        <v>1364849.8825429934</v>
      </c>
      <c r="V112" s="187">
        <f>IF(D112=År1,P112,SUM(O112,P112))*IFERROR(VLOOKUP(A112,[1]Tørstofindhold!A$2:B$24,2,FALSE),0)</f>
        <v>1385918.1380711256</v>
      </c>
      <c r="W112" s="187">
        <f>J112*IFERROR(VLOOKUP(A112,[1]Tørstofindhold!A$2:B$24,2,FALSE),0)</f>
        <v>21068.255528132213</v>
      </c>
      <c r="X112" s="188">
        <f t="shared" si="26"/>
        <v>1364849.8825429934</v>
      </c>
      <c r="Y112" s="168">
        <f t="shared" si="21"/>
        <v>0</v>
      </c>
      <c r="Z112" s="103">
        <f t="shared" si="22"/>
        <v>1</v>
      </c>
    </row>
    <row r="113" spans="1:26" x14ac:dyDescent="0.55000000000000004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forbrug'!G$2,'Forbrug af biomasse'!$B$2:$B$431,$E113)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forbrug'!I$2,'Forbrug af biomasse'!$B$2:$B$431,$E113)</f>
        <v>0</v>
      </c>
      <c r="J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forbrug'!J$2,'Forbrug af biomasse'!$B$2:$B$431,$E113)</f>
        <v>0</v>
      </c>
      <c r="K113" s="190">
        <f>SUMIFS('Forbrug af biomasse'!$E$2:$E$431,'Forbrug af biomasse'!$C$2:$C$431,'Resultat-Produktion &amp; forbrug'!$A113,'Forbrug af biomasse'!$D$2:$D$431,'Resultat-Produktion &amp; forbrug'!$D113,'Forbrug af biomasse'!$A$2:$A$431,'Resultat-Produktion &amp; forbrug'!K$2,'Forbrug af biomasse'!$B$2:$B$431,$E113)</f>
        <v>0</v>
      </c>
      <c r="L113" s="190">
        <f>IF(A113&lt;&gt;"Biogas",SUMIFS('Forbrug af biomasse'!$E$2:$E$431,'Forbrug af biomasse'!$C$2:$C$431,'Resultat-Produktion &amp; forbrug'!$A113,'Forbrug af biomasse'!$D$2:$D$431,'Resultat-Produktion &amp; forbrug'!$D113,'Forbrug af biomasse'!$A$2:$A$431,'Resultat-Produktion &amp; forbrug'!L$2,'Forbrug af biomasse'!$B$2:$B$431,$E113),F113)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55000000000000004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forbrug'!G$2,'Forbrug af biomasse'!$B$2:$B$431,$E114)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forbrug'!I$2,'Forbrug af biomasse'!$B$2:$B$431,$E114)</f>
        <v>280672.65868343826</v>
      </c>
      <c r="J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forbrug'!J$2,'Forbrug af biomasse'!$B$2:$B$431,$E114)</f>
        <v>0</v>
      </c>
      <c r="K114" s="190">
        <f>SUMIFS('Forbrug af biomasse'!$E$2:$E$431,'Forbrug af biomasse'!$C$2:$C$431,'Resultat-Produktion &amp; forbrug'!$A114,'Forbrug af biomasse'!$D$2:$D$431,'Resultat-Produktion &amp; forbrug'!$D114,'Forbrug af biomasse'!$A$2:$A$431,'Resultat-Produktion &amp; forbrug'!K$2,'Forbrug af biomasse'!$B$2:$B$431,$E114)</f>
        <v>0</v>
      </c>
      <c r="L114" s="190">
        <f>IF(A114&lt;&gt;"Biogas",SUMIFS('Forbrug af biomasse'!$E$2:$E$431,'Forbrug af biomasse'!$C$2:$C$431,'Resultat-Produktion &amp; forbrug'!$A114,'Forbrug af biomasse'!$D$2:$D$431,'Resultat-Produktion &amp; forbrug'!$D114,'Forbrug af biomasse'!$A$2:$A$431,'Resultat-Produktion &amp; forbrug'!L$2,'Forbrug af biomasse'!$B$2:$B$431,$E114),F114)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55000000000000004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forbrug'!G$2,'Forbrug af biomasse'!$B$2:$B$431,$E115)</f>
        <v>773085.89354292606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forbrug'!I$2,'Forbrug af biomasse'!$B$2:$B$431,$E115)</f>
        <v>0</v>
      </c>
      <c r="J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forbrug'!J$2,'Forbrug af biomasse'!$B$2:$B$431,$E115)</f>
        <v>52709.156061702248</v>
      </c>
      <c r="K115" s="190">
        <f>SUMIFS('Forbrug af biomasse'!$E$2:$E$431,'Forbrug af biomasse'!$C$2:$C$431,'Resultat-Produktion &amp; forbrug'!$A115,'Forbrug af biomasse'!$D$2:$D$431,'Resultat-Produktion &amp; forbrug'!$D115,'Forbrug af biomasse'!$A$2:$A$431,'Resultat-Produktion &amp; forbrug'!K$2,'Forbrug af biomasse'!$B$2:$B$431,$E115)</f>
        <v>0</v>
      </c>
      <c r="L115" s="190">
        <f>IF(A115&lt;&gt;"Biogas",SUMIFS('Forbrug af biomasse'!$E$2:$E$431,'Forbrug af biomasse'!$C$2:$C$431,'Resultat-Produktion &amp; forbrug'!$A115,'Forbrug af biomasse'!$D$2:$D$431,'Resultat-Produktion &amp; forbrug'!$D115,'Forbrug af biomasse'!$A$2:$A$431,'Resultat-Produktion &amp; forbrug'!L$2,'Forbrug af biomasse'!$B$2:$B$431,$E115),F115)</f>
        <v>1010684.2499246729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1063393.4059863752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10.750133424874683</v>
      </c>
      <c r="S115" s="187">
        <f>IFERROR(VLOOKUP(A115,[1]Biogasudbytte!$A$2:$B$18,2,FALSE)*[1]Energiindhold!$C$10,0)*J115*IFERROR(VLOOKUP(A115,Biogasanlæg!$F$3:$G$8,2,FALSE),1)</f>
        <v>0.30389674763998681</v>
      </c>
      <c r="T115" s="188">
        <f t="shared" si="25"/>
        <v>10.446236677234696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903884.39508841885</v>
      </c>
      <c r="W115" s="187">
        <f>J115*IFERROR(VLOOKUP(A115,[1]Tørstofindhold!A$2:B$24,2,FALSE),0)</f>
        <v>44802.782652446913</v>
      </c>
      <c r="X115" s="188">
        <f t="shared" si="26"/>
        <v>859081.61243597197</v>
      </c>
      <c r="Y115" s="168">
        <f t="shared" si="21"/>
        <v>0</v>
      </c>
      <c r="Z115" s="103">
        <f t="shared" si="22"/>
        <v>0</v>
      </c>
    </row>
    <row r="116" spans="1:26" x14ac:dyDescent="0.55000000000000004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forbrug'!G$2,'Forbrug af biomasse'!$B$2:$B$431,$E116)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forbrug'!I$2,'Forbrug af biomasse'!$B$2:$B$431,$E116)</f>
        <v>0</v>
      </c>
      <c r="J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forbrug'!J$2,'Forbrug af biomasse'!$B$2:$B$431,$E116)</f>
        <v>41.656918132692169</v>
      </c>
      <c r="K116" s="190">
        <f>SUMIFS('Forbrug af biomasse'!$E$2:$E$431,'Forbrug af biomasse'!$C$2:$C$431,'Resultat-Produktion &amp; forbrug'!$A116,'Forbrug af biomasse'!$D$2:$D$431,'Resultat-Produktion &amp; forbrug'!$D116,'Forbrug af biomasse'!$A$2:$A$431,'Resultat-Produktion &amp; forbrug'!K$2,'Forbrug af biomasse'!$B$2:$B$431,$E116)</f>
        <v>0</v>
      </c>
      <c r="L116" s="190">
        <f>IF(A116&lt;&gt;"Biogas",SUMIFS('Forbrug af biomasse'!$E$2:$E$431,'Forbrug af biomasse'!$C$2:$C$431,'Resultat-Produktion &amp; forbrug'!$A116,'Forbrug af biomasse'!$D$2:$D$431,'Resultat-Produktion &amp; forbrug'!$D116,'Forbrug af biomasse'!$A$2:$A$431,'Resultat-Produktion &amp; forbrug'!L$2,'Forbrug af biomasse'!$B$2:$B$431,$E116),F116)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55000000000000004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forbrug'!G$2,'Forbrug af biomasse'!$B$2:$B$431,$E117)</f>
        <v>4828427.5390456226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forbrug'!I$2,'Forbrug af biomasse'!$B$2:$B$431,$E117)</f>
        <v>0</v>
      </c>
      <c r="J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forbrug'!J$2,'Forbrug af biomasse'!$B$2:$B$431,$E117)</f>
        <v>0</v>
      </c>
      <c r="K117" s="190">
        <f>SUMIFS('Forbrug af biomasse'!$E$2:$E$431,'Forbrug af biomasse'!$C$2:$C$431,'Resultat-Produktion &amp; forbrug'!$A117,'Forbrug af biomasse'!$D$2:$D$431,'Resultat-Produktion &amp; forbrug'!$D117,'Forbrug af biomasse'!$A$2:$A$431,'Resultat-Produktion &amp; forbrug'!K$2,'Forbrug af biomasse'!$B$2:$B$431,$E117)</f>
        <v>0</v>
      </c>
      <c r="L117" s="190">
        <f>IF(A117&lt;&gt;"Biogas",SUMIFS('Forbrug af biomasse'!$E$2:$E$431,'Forbrug af biomasse'!$C$2:$C$431,'Resultat-Produktion &amp; forbrug'!$A117,'Forbrug af biomasse'!$D$2:$D$431,'Resultat-Produktion &amp; forbrug'!$D117,'Forbrug af biomasse'!$A$2:$A$431,'Resultat-Produktion &amp; forbrug'!L$2,'Forbrug af biomasse'!$B$2:$B$431,$E117),F117)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-4828427.5390456226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55000000000000004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forbrug'!G$2,'Forbrug af biomasse'!$B$2:$B$431,$E118)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forbrug'!I$2,'Forbrug af biomasse'!$B$2:$B$431,$E118)</f>
        <v>0</v>
      </c>
      <c r="J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forbrug'!J$2,'Forbrug af biomasse'!$B$2:$B$431,$E118)</f>
        <v>519697.15308066551</v>
      </c>
      <c r="K118" s="190">
        <f>SUMIFS('Forbrug af biomasse'!$E$2:$E$431,'Forbrug af biomasse'!$C$2:$C$431,'Resultat-Produktion &amp; forbrug'!$A118,'Forbrug af biomasse'!$D$2:$D$431,'Resultat-Produktion &amp; forbrug'!$D118,'Forbrug af biomasse'!$A$2:$A$431,'Resultat-Produktion &amp; forbrug'!K$2,'Forbrug af biomasse'!$B$2:$B$431,$E118)</f>
        <v>0</v>
      </c>
      <c r="L118" s="190">
        <f>IF(A118&lt;&gt;"Biogas",SUMIFS('Forbrug af biomasse'!$E$2:$E$431,'Forbrug af biomasse'!$C$2:$C$431,'Resultat-Produktion &amp; forbrug'!$A118,'Forbrug af biomasse'!$D$2:$D$431,'Resultat-Produktion &amp; forbrug'!$D118,'Forbrug af biomasse'!$A$2:$A$431,'Resultat-Produktion &amp; forbrug'!L$2,'Forbrug af biomasse'!$B$2:$B$431,$E118),F118)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-8.2607434829697013E-2</v>
      </c>
      <c r="O118" s="190">
        <f t="shared" si="20"/>
        <v>0</v>
      </c>
      <c r="P118" s="200">
        <f t="shared" si="24"/>
        <v>519697.15308066551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87">
        <f>IFERROR(VLOOKUP(A118,[1]Biogasudbytte!$A$2:$B$18,2,FALSE)*[1]Energiindhold!$C$10,0)*J118*IFERROR(VLOOKUP(A118,Biogasanlæg!$F$3:$G$8,2,FALSE),1)</f>
        <v>1.9141280261891607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218272.80429387951</v>
      </c>
      <c r="W118" s="187">
        <f>J118*IFERROR(VLOOKUP(A118,[1]Tørstofindhold!A$2:B$24,2,FALSE),0)</f>
        <v>218272.80429387951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55000000000000004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forbrug'!G$2,'Forbrug af biomasse'!$B$2:$B$431,$E119)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forbrug'!I$2,'Forbrug af biomasse'!$B$2:$B$431,$E119)</f>
        <v>0</v>
      </c>
      <c r="J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forbrug'!J$2,'Forbrug af biomasse'!$B$2:$B$431,$E119)</f>
        <v>0</v>
      </c>
      <c r="K119" s="190">
        <f>SUMIFS('Forbrug af biomasse'!$E$2:$E$431,'Forbrug af biomasse'!$C$2:$C$431,'Resultat-Produktion &amp; forbrug'!$A119,'Forbrug af biomasse'!$D$2:$D$431,'Resultat-Produktion &amp; forbrug'!$D119,'Forbrug af biomasse'!$A$2:$A$431,'Resultat-Produktion &amp; forbrug'!K$2,'Forbrug af biomasse'!$B$2:$B$431,$E119)</f>
        <v>0</v>
      </c>
      <c r="L119" s="190">
        <f>IF(A119&lt;&gt;"Biogas",SUMIFS('Forbrug af biomasse'!$E$2:$E$431,'Forbrug af biomasse'!$C$2:$C$431,'Resultat-Produktion &amp; forbrug'!$A119,'Forbrug af biomasse'!$D$2:$D$431,'Resultat-Produktion &amp; forbrug'!$D119,'Forbrug af biomasse'!$A$2:$A$431,'Resultat-Produktion &amp; forbrug'!L$2,'Forbrug af biomasse'!$B$2:$B$431,$E119),F119)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55000000000000004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forbrug'!G$2,'Forbrug af biomasse'!$B$2:$B$431,$E120)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forbrug'!I$2,'Forbrug af biomasse'!$B$2:$B$431,$E120)</f>
        <v>128347.79869443661</v>
      </c>
      <c r="J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forbrug'!J$2,'Forbrug af biomasse'!$B$2:$B$431,$E120)</f>
        <v>0</v>
      </c>
      <c r="K120" s="190">
        <f>SUMIFS('Forbrug af biomasse'!$E$2:$E$431,'Forbrug af biomasse'!$C$2:$C$431,'Resultat-Produktion &amp; forbrug'!$A120,'Forbrug af biomasse'!$D$2:$D$431,'Resultat-Produktion &amp; forbrug'!$D120,'Forbrug af biomasse'!$A$2:$A$431,'Resultat-Produktion &amp; forbrug'!K$2,'Forbrug af biomasse'!$B$2:$B$431,$E120)</f>
        <v>0</v>
      </c>
      <c r="L120" s="190">
        <f>IF(A120&lt;&gt;"Biogas",SUMIFS('Forbrug af biomasse'!$E$2:$E$431,'Forbrug af biomasse'!$C$2:$C$431,'Resultat-Produktion &amp; forbrug'!$A120,'Forbrug af biomasse'!$D$2:$D$431,'Resultat-Produktion &amp; forbrug'!$D120,'Forbrug af biomasse'!$A$2:$A$431,'Resultat-Produktion &amp; forbrug'!L$2,'Forbrug af biomasse'!$B$2:$B$431,$E120),F120)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55000000000000004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forbrug'!G$2,'Forbrug af biomasse'!$B$2:$B$431,$E121)</f>
        <v>5879215.2019956233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forbrug'!I$2,'Forbrug af biomasse'!$B$2:$B$431,$E121)</f>
        <v>307470.55071854044</v>
      </c>
      <c r="J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forbrug'!J$2,'Forbrug af biomasse'!$B$2:$B$431,$E121)</f>
        <v>2832.9524091506291</v>
      </c>
      <c r="K121" s="190">
        <f>SUMIFS('Forbrug af biomasse'!$E$2:$E$431,'Forbrug af biomasse'!$C$2:$C$431,'Resultat-Produktion &amp; forbrug'!$A121,'Forbrug af biomasse'!$D$2:$D$431,'Resultat-Produktion &amp; forbrug'!$D121,'Forbrug af biomasse'!$A$2:$A$431,'Resultat-Produktion &amp; forbrug'!K$2,'Forbrug af biomasse'!$B$2:$B$431,$E121)</f>
        <v>0</v>
      </c>
      <c r="L121" s="190">
        <f>IF(A121&lt;&gt;"Biogas",SUMIFS('Forbrug af biomasse'!$E$2:$E$431,'Forbrug af biomasse'!$C$2:$C$431,'Resultat-Produktion &amp; forbrug'!$A121,'Forbrug af biomasse'!$D$2:$D$431,'Resultat-Produktion &amp; forbrug'!$D121,'Forbrug af biomasse'!$A$2:$A$431,'Resultat-Produktion &amp; forbrug'!L$2,'Forbrug af biomasse'!$B$2:$B$431,$E121),F121)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1281340.1795332497</v>
      </c>
      <c r="O121" s="190">
        <f t="shared" si="20"/>
        <v>1281340.1795332497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4.3884107272762467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4.3981131926642503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4.3884107272762467</v>
      </c>
      <c r="U121" s="186">
        <f>O121*IFERROR(VLOOKUP(A121,[1]Tørstofindhold!A$2:B$24,2,FALSE),0)</f>
        <v>397215.45565530739</v>
      </c>
      <c r="V121" s="187">
        <f>IF(D121=År1,P121,SUM(O121,P121))*IFERROR(VLOOKUP(A121,[1]Tørstofindhold!A$2:B$24,2,FALSE),0)</f>
        <v>398093.67090214405</v>
      </c>
      <c r="W121" s="187">
        <f>J121*IFERROR(VLOOKUP(A121,[1]Tørstofindhold!A$2:B$24,2,FALSE),0)</f>
        <v>878.21524683669497</v>
      </c>
      <c r="X121" s="188">
        <f t="shared" si="26"/>
        <v>397215.45565530733</v>
      </c>
      <c r="Y121" s="168">
        <f t="shared" si="21"/>
        <v>0</v>
      </c>
      <c r="Z121" s="103">
        <f t="shared" si="22"/>
        <v>1</v>
      </c>
    </row>
    <row r="122" spans="1:26" x14ac:dyDescent="0.55000000000000004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forbrug'!G$2,'Forbrug af biomasse'!$B$2:$B$431,$E122)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forbrug'!I$2,'Forbrug af biomasse'!$B$2:$B$431,$E122)</f>
        <v>0</v>
      </c>
      <c r="J122" s="190">
        <f>SUMIFS('Forbrug af biomasse'!$E$2:$E$431,'Forbrug af biomasse'!$C$2:$C$431,'Resultat-Produktion &amp; forbrug'!$A122,'Forbrug af biomasse'!$D$2:$D$431,'Resultat-Produktion &amp; forbrug'!$D122,'Forbrug af biomasse'!$A$2:$A$431,'Resultat-Produktion &amp; forbrug'!J$2,'Forbrug af biomasse'!$B$2:$B$431,$E122)</f>
        <v>0</v>
      </c>
      <c r="K122" s="190">
        <f ca="1">SUMIFS('Forbrug af biomasse'!$E$2:$E$431,'Forbrug af biomasse'!$C$2:$C$431,'Resultat-Produktion &amp; forbrug'!$A122,'Forbrug af biomasse'!$D$2:$D$431,'Resultat-Produktion &amp; forbrug'!$D122,'Forbrug af biomasse'!$A$2:$A$431,'Resultat-Produktion &amp; forbrug'!K$2,'Forbrug af biomasse'!$B$2:$B$431,$E122)</f>
        <v>549824.31220967998</v>
      </c>
      <c r="L122" s="190">
        <f>IF(A122&lt;&gt;"Biogas",SUMIFS('Forbrug af biomasse'!$E$2:$E$431,'Forbrug af biomasse'!$C$2:$C$431,'Resultat-Produktion &amp; forbrug'!$A122,'Forbrug af biomasse'!$D$2:$D$431,'Resultat-Produktion &amp; forbrug'!$D122,'Forbrug af biomasse'!$A$2:$A$431,'Resultat-Produktion &amp; forbrug'!L$2,'Forbrug af biomasse'!$B$2:$B$431,$E122),F122)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-549824.31220967998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55000000000000004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forbrug'!G$2,'Forbrug af biomasse'!$B$2:$B$431,$E123)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forbrug'!I$2,'Forbrug af biomasse'!$B$2:$B$431,$E123)</f>
        <v>0</v>
      </c>
      <c r="J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forbrug'!J$2,'Forbrug af biomasse'!$B$2:$B$431,$E123)</f>
        <v>9678908.9419378657</v>
      </c>
      <c r="K123" s="190">
        <f>SUMIFS('Forbrug af biomasse'!$E$2:$E$431,'Forbrug af biomasse'!$C$2:$C$431,'Resultat-Produktion &amp; forbrug'!$A123,'Forbrug af biomasse'!$D$2:$D$431,'Resultat-Produktion &amp; forbrug'!$D123,'Forbrug af biomasse'!$A$2:$A$431,'Resultat-Produktion &amp; forbrug'!K$2,'Forbrug af biomasse'!$B$2:$B$431,$E123)</f>
        <v>3056497.5606119577</v>
      </c>
      <c r="L123" s="190">
        <f>IF(A123&lt;&gt;"Biogas",SUMIFS('Forbrug af biomasse'!$E$2:$E$431,'Forbrug af biomasse'!$C$2:$C$431,'Resultat-Produktion &amp; forbrug'!$A123,'Forbrug af biomasse'!$D$2:$D$431,'Resultat-Produktion &amp; forbrug'!$D123,'Forbrug af biomasse'!$A$2:$A$431,'Resultat-Produktion &amp; forbrug'!L$2,'Forbrug af biomasse'!$B$2:$B$431,$E123),F123)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9678908.9419378657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87">
        <f>IFERROR(VLOOKUP(A123,[1]Biogasudbytte!$A$2:$B$18,2,FALSE)*[1]Energiindhold!$C$10,0)*J123*IFERROR(VLOOKUP(A123,Biogasanlæg!$F$3:$G$8,2,FALSE),1)</f>
        <v>4.8993669173195284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735597.07958727772</v>
      </c>
      <c r="W123" s="187">
        <f>J123*IFERROR(VLOOKUP(A123,[1]Tørstofindhold!A$2:B$24,2,FALSE),0)</f>
        <v>735597.07958727772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55000000000000004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forbrug'!G$2,'Forbrug af biomasse'!$B$2:$B$431,$E124)</f>
        <v>1515714.1736670113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forbrug'!I$2,'Forbrug af biomasse'!$B$2:$B$431,$E124)</f>
        <v>0</v>
      </c>
      <c r="J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forbrug'!J$2,'Forbrug af biomasse'!$B$2:$B$431,$E124)</f>
        <v>0</v>
      </c>
      <c r="K124" s="190">
        <f>SUMIFS('Forbrug af biomasse'!$E$2:$E$431,'Forbrug af biomasse'!$C$2:$C$431,'Resultat-Produktion &amp; forbrug'!$A124,'Forbrug af biomasse'!$D$2:$D$431,'Resultat-Produktion &amp; forbrug'!$D124,'Forbrug af biomasse'!$A$2:$A$431,'Resultat-Produktion &amp; forbrug'!K$2,'Forbrug af biomasse'!$B$2:$B$431,$E124)</f>
        <v>0</v>
      </c>
      <c r="L124" s="190">
        <f>IF(A124&lt;&gt;"Biogas",SUMIFS('Forbrug af biomasse'!$E$2:$E$431,'Forbrug af biomasse'!$C$2:$C$431,'Resultat-Produktion &amp; forbrug'!$A124,'Forbrug af biomasse'!$D$2:$D$431,'Resultat-Produktion &amp; forbrug'!$D124,'Forbrug af biomasse'!$A$2:$A$431,'Resultat-Produktion &amp; forbrug'!L$2,'Forbrug af biomasse'!$B$2:$B$431,$E124),F124)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75169.296411052346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55000000000000004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forbrug'!G$2,'Forbrug af biomasse'!$B$2:$B$431,$E125)</f>
        <v>5657053.7864699624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forbrug'!I$2,'Forbrug af biomasse'!$B$2:$B$431,$E125)</f>
        <v>0</v>
      </c>
      <c r="J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forbrug'!J$2,'Forbrug af biomasse'!$B$2:$B$431,$E125)</f>
        <v>314661.48085110582</v>
      </c>
      <c r="K125" s="190">
        <f>SUMIFS('Forbrug af biomasse'!$E$2:$E$431,'Forbrug af biomasse'!$C$2:$C$431,'Resultat-Produktion &amp; forbrug'!$A125,'Forbrug af biomasse'!$D$2:$D$431,'Resultat-Produktion &amp; forbrug'!$D125,'Forbrug af biomasse'!$A$2:$A$431,'Resultat-Produktion &amp; forbrug'!K$2,'Forbrug af biomasse'!$B$2:$B$431,$E125)</f>
        <v>0</v>
      </c>
      <c r="L125" s="190">
        <f>IF(A125&lt;&gt;"Biogas",SUMIFS('Forbrug af biomasse'!$E$2:$E$431,'Forbrug af biomasse'!$C$2:$C$431,'Resultat-Produktion &amp; forbrug'!$A125,'Forbrug af biomasse'!$D$2:$D$431,'Resultat-Produktion &amp; forbrug'!$D125,'Forbrug af biomasse'!$A$2:$A$431,'Resultat-Produktion &amp; forbrug'!L$2,'Forbrug af biomasse'!$B$2:$B$431,$E125),F125)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2402221.6672032755</v>
      </c>
      <c r="O125" s="190">
        <f t="shared" si="20"/>
        <v>2101392.556871023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7.5439992791669734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8.6736339954224437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7.5439992791669734</v>
      </c>
      <c r="U125" s="186">
        <f>O125*IFERROR(VLOOKUP(A125,[1]Tørstofindhold!A$2:B$24,2,FALSE),0)</f>
        <v>630417.76706130686</v>
      </c>
      <c r="V125" s="187">
        <f>IF(D125=År1,P125,SUM(O125,P125))*IFERROR(VLOOKUP(A125,[1]Tørstofindhold!A$2:B$24,2,FALSE),0)</f>
        <v>724816.21131663863</v>
      </c>
      <c r="W125" s="187">
        <f>J125*IFERROR(VLOOKUP(A125,[1]Tørstofindhold!A$2:B$24,2,FALSE),0)</f>
        <v>94398.444255331749</v>
      </c>
      <c r="X125" s="188">
        <f t="shared" si="26"/>
        <v>630417.76706130686</v>
      </c>
      <c r="Y125" s="168">
        <f t="shared" si="21"/>
        <v>0</v>
      </c>
      <c r="Z125" s="103">
        <f t="shared" si="22"/>
        <v>1</v>
      </c>
    </row>
    <row r="126" spans="1:26" x14ac:dyDescent="0.55000000000000004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forbrug'!G$2,'Forbrug af biomasse'!$B$2:$B$431,$E126)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forbrug'!I$2,'Forbrug af biomasse'!$B$2:$B$431,$E126)</f>
        <v>490824.54885344987</v>
      </c>
      <c r="J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forbrug'!J$2,'Forbrug af biomasse'!$B$2:$B$431,$E126)</f>
        <v>0</v>
      </c>
      <c r="K126" s="190">
        <f>SUMIFS('Forbrug af biomasse'!$E$2:$E$431,'Forbrug af biomasse'!$C$2:$C$431,'Resultat-Produktion &amp; forbrug'!$A126,'Forbrug af biomasse'!$D$2:$D$431,'Resultat-Produktion &amp; forbrug'!$D126,'Forbrug af biomasse'!$A$2:$A$431,'Resultat-Produktion &amp; forbrug'!K$2,'Forbrug af biomasse'!$B$2:$B$431,$E126)</f>
        <v>0</v>
      </c>
      <c r="L126" s="190">
        <f>IF(A126&lt;&gt;"Biogas",SUMIFS('Forbrug af biomasse'!$E$2:$E$431,'Forbrug af biomasse'!$C$2:$C$431,'Resultat-Produktion &amp; forbrug'!$A126,'Forbrug af biomasse'!$D$2:$D$431,'Resultat-Produktion &amp; forbrug'!$D126,'Forbrug af biomasse'!$A$2:$A$431,'Resultat-Produktion &amp; forbrug'!L$2,'Forbrug af biomasse'!$B$2:$B$431,$E126),F126)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55000000000000004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forbrug'!G$2,'Forbrug af biomasse'!$B$2:$B$431,$E127)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forbrug'!I$2,'Forbrug af biomasse'!$B$2:$B$431,$E127)</f>
        <v>0</v>
      </c>
      <c r="J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forbrug'!J$2,'Forbrug af biomasse'!$B$2:$B$431,$E127)</f>
        <v>0</v>
      </c>
      <c r="K127" s="190">
        <f>SUMIFS('Forbrug af biomasse'!$E$2:$E$431,'Forbrug af biomasse'!$C$2:$C$431,'Resultat-Produktion &amp; forbrug'!$A127,'Forbrug af biomasse'!$D$2:$D$431,'Resultat-Produktion &amp; forbrug'!$D127,'Forbrug af biomasse'!$A$2:$A$431,'Resultat-Produktion &amp; forbrug'!K$2,'Forbrug af biomasse'!$B$2:$B$431,$E127)</f>
        <v>0</v>
      </c>
      <c r="L127" s="190">
        <f>IF(A127&lt;&gt;"Biogas",SUMIFS('Forbrug af biomasse'!$E$2:$E$431,'Forbrug af biomasse'!$C$2:$C$431,'Resultat-Produktion &amp; forbrug'!$A127,'Forbrug af biomasse'!$D$2:$D$431,'Resultat-Produktion &amp; forbrug'!$D127,'Forbrug af biomasse'!$A$2:$A$431,'Resultat-Produktion &amp; forbrug'!L$2,'Forbrug af biomasse'!$B$2:$B$431,$E127),F127)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55000000000000004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forbrug'!G$2,'Forbrug af biomasse'!$B$2:$B$431,$E128)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forbrug'!I$2,'Forbrug af biomasse'!$B$2:$B$431,$E128)</f>
        <v>62368.567673274578</v>
      </c>
      <c r="J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forbrug'!J$2,'Forbrug af biomasse'!$B$2:$B$431,$E128)</f>
        <v>0</v>
      </c>
      <c r="K128" s="190">
        <f>SUMIFS('Forbrug af biomasse'!$E$2:$E$431,'Forbrug af biomasse'!$C$2:$C$431,'Resultat-Produktion &amp; forbrug'!$A128,'Forbrug af biomasse'!$D$2:$D$431,'Resultat-Produktion &amp; forbrug'!$D128,'Forbrug af biomasse'!$A$2:$A$431,'Resultat-Produktion &amp; forbrug'!K$2,'Forbrug af biomasse'!$B$2:$B$431,$E128)</f>
        <v>0</v>
      </c>
      <c r="L128" s="190">
        <f>IF(A128&lt;&gt;"Biogas",SUMIFS('Forbrug af biomasse'!$E$2:$E$431,'Forbrug af biomasse'!$C$2:$C$431,'Resultat-Produktion &amp; forbrug'!$A128,'Forbrug af biomasse'!$D$2:$D$431,'Resultat-Produktion &amp; forbrug'!$D128,'Forbrug af biomasse'!$A$2:$A$431,'Resultat-Produktion &amp; forbrug'!L$2,'Forbrug af biomasse'!$B$2:$B$431,$E128),F128)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40419.548064407238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55000000000000004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forbrug'!G$2,'Forbrug af biomasse'!$B$2:$B$431,$E129)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forbrug'!I$2,'Forbrug af biomasse'!$B$2:$B$431,$E129)</f>
        <v>0</v>
      </c>
      <c r="J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forbrug'!J$2,'Forbrug af biomasse'!$B$2:$B$431,$E129)</f>
        <v>0</v>
      </c>
      <c r="K129" s="190">
        <f>SUMIFS('Forbrug af biomasse'!$E$2:$E$431,'Forbrug af biomasse'!$C$2:$C$431,'Resultat-Produktion &amp; forbrug'!$A129,'Forbrug af biomasse'!$D$2:$D$431,'Resultat-Produktion &amp; forbrug'!$D129,'Forbrug af biomasse'!$A$2:$A$431,'Resultat-Produktion &amp; forbrug'!K$2,'Forbrug af biomasse'!$B$2:$B$431,$E129)</f>
        <v>0</v>
      </c>
      <c r="L129" s="190">
        <f>IF(A129&lt;&gt;"Biogas",SUMIFS('Forbrug af biomasse'!$E$2:$E$431,'Forbrug af biomasse'!$C$2:$C$431,'Resultat-Produktion &amp; forbrug'!$A129,'Forbrug af biomasse'!$D$2:$D$431,'Resultat-Produktion &amp; forbrug'!$D129,'Forbrug af biomasse'!$A$2:$A$431,'Resultat-Produktion &amp; forbrug'!L$2,'Forbrug af biomasse'!$B$2:$B$431,$E129),F129)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55000000000000004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forbrug'!G$2,'Forbrug af biomasse'!$B$2:$B$431,$E130)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forbrug'!I$2,'Forbrug af biomasse'!$B$2:$B$431,$E130)</f>
        <v>0</v>
      </c>
      <c r="J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forbrug'!J$2,'Forbrug af biomasse'!$B$2:$B$431,$E130)</f>
        <v>0</v>
      </c>
      <c r="K130" s="190">
        <f>SUMIFS('Forbrug af biomasse'!$E$2:$E$431,'Forbrug af biomasse'!$C$2:$C$431,'Resultat-Produktion &amp; forbrug'!$A130,'Forbrug af biomasse'!$D$2:$D$431,'Resultat-Produktion &amp; forbrug'!$D130,'Forbrug af biomasse'!$A$2:$A$431,'Resultat-Produktion &amp; forbrug'!K$2,'Forbrug af biomasse'!$B$2:$B$431,$E130)</f>
        <v>0</v>
      </c>
      <c r="L130" s="190">
        <f>IF(A130&lt;&gt;"Biogas",SUMIFS('Forbrug af biomasse'!$E$2:$E$431,'Forbrug af biomasse'!$C$2:$C$431,'Resultat-Produktion &amp; forbrug'!$A130,'Forbrug af biomasse'!$D$2:$D$431,'Resultat-Produktion &amp; forbrug'!$D130,'Forbrug af biomasse'!$A$2:$A$431,'Resultat-Produktion &amp; forbrug'!L$2,'Forbrug af biomasse'!$B$2:$B$431,$E130),F130)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55000000000000004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 ca="1"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forbrug'!G$2,'Forbrug af biomasse'!$B$2:$B$431,$E131)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forbrug'!I$2,'Forbrug af biomasse'!$B$2:$B$431,$E131)</f>
        <v>0</v>
      </c>
      <c r="J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forbrug'!J$2,'Forbrug af biomasse'!$B$2:$B$431,$E131)</f>
        <v>0</v>
      </c>
      <c r="K131" s="190">
        <f>SUMIFS('Forbrug af biomasse'!$E$2:$E$431,'Forbrug af biomasse'!$C$2:$C$431,'Resultat-Produktion &amp; forbrug'!$A131,'Forbrug af biomasse'!$D$2:$D$431,'Resultat-Produktion &amp; forbrug'!$D131,'Forbrug af biomasse'!$A$2:$A$431,'Resultat-Produktion &amp; forbrug'!K$2,'Forbrug af biomasse'!$B$2:$B$431,$E131)</f>
        <v>0</v>
      </c>
      <c r="L131" s="190">
        <f ca="1">IF(A131&lt;&gt;"Biogas",SUMIFS('Forbrug af biomasse'!$E$2:$E$431,'Forbrug af biomasse'!$C$2:$C$431,'Resultat-Produktion &amp; forbrug'!$A131,'Forbrug af biomasse'!$D$2:$D$431,'Resultat-Produktion &amp; forbrug'!$D131,'Forbrug af biomasse'!$A$2:$A$431,'Resultat-Produktion &amp; forbrug'!L$2,'Forbrug af biomasse'!$B$2:$B$431,$E131),F131)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ca="1" si="38">F131-SUM(G131:M131)</f>
        <v>0</v>
      </c>
      <c r="O131" s="190">
        <f t="shared" ref="O131:O194" ca="1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ca="1" si="40">SUM(J131,L131)</f>
        <v>0</v>
      </c>
      <c r="Q131" s="187">
        <f ca="1">IFERROR(VLOOKUP(A131,[1]Energiindhold!$A$2:$C$11,3,FALSE),IFERROR(VLOOKUP(A131,[1]Biogasudbytte!$A$2:$B$18,2,FALSE)*[1]Energiindhold!$C$10,0))*O131</f>
        <v>0</v>
      </c>
      <c r="R131" s="187">
        <f ca="1"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ca="1" si="41">R131-S131</f>
        <v>0</v>
      </c>
      <c r="U131" s="186">
        <f ca="1">O131*IFERROR(VLOOKUP(A131,[1]Tørstofindhold!A$2:B$24,2,FALSE),0)</f>
        <v>0</v>
      </c>
      <c r="V131" s="187">
        <f ca="1"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ca="1" si="42">V131-W131</f>
        <v>0</v>
      </c>
      <c r="Y131" s="168">
        <f t="shared" ref="Y131:Y194" ca="1" si="43">IF(SUMIFS($N$3:$N$290,$A$3:$A$290,A131,$D$3:$D$290,D131)&lt;0,1,0)</f>
        <v>0</v>
      </c>
      <c r="Z131" s="103">
        <f t="shared" ref="Z131:Z194" ca="1" si="44">IF(SUMIFS($N$3:$N$290,$A$3:$A$290,A131,$D$3:$D$290,D131)&gt;0,1,0)</f>
        <v>0</v>
      </c>
    </row>
    <row r="132" spans="1:26" x14ac:dyDescent="0.55000000000000004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 ca="1"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forbrug'!G$2,'Forbrug af biomasse'!$B$2:$B$431,$E132)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forbrug'!I$2,'Forbrug af biomasse'!$B$2:$B$431,$E132)</f>
        <v>0</v>
      </c>
      <c r="J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forbrug'!J$2,'Forbrug af biomasse'!$B$2:$B$431,$E132)</f>
        <v>0</v>
      </c>
      <c r="K132" s="190">
        <f>SUMIFS('Forbrug af biomasse'!$E$2:$E$431,'Forbrug af biomasse'!$C$2:$C$431,'Resultat-Produktion &amp; forbrug'!$A132,'Forbrug af biomasse'!$D$2:$D$431,'Resultat-Produktion &amp; forbrug'!$D132,'Forbrug af biomasse'!$A$2:$A$431,'Resultat-Produktion &amp; forbrug'!K$2,'Forbrug af biomasse'!$B$2:$B$431,$E132)</f>
        <v>0</v>
      </c>
      <c r="L132" s="190">
        <f ca="1">IF(A132&lt;&gt;"Biogas",SUMIFS('Forbrug af biomasse'!$E$2:$E$431,'Forbrug af biomasse'!$C$2:$C$431,'Resultat-Produktion &amp; forbrug'!$A132,'Forbrug af biomasse'!$D$2:$D$431,'Resultat-Produktion &amp; forbrug'!$D132,'Forbrug af biomasse'!$A$2:$A$431,'Resultat-Produktion &amp; forbrug'!L$2,'Forbrug af biomasse'!$B$2:$B$431,$E132),F132)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ca="1" si="38"/>
        <v>0</v>
      </c>
      <c r="O132" s="190">
        <f t="shared" ca="1" si="39"/>
        <v>0</v>
      </c>
      <c r="P132" s="200">
        <f t="shared" ca="1" si="40"/>
        <v>0</v>
      </c>
      <c r="Q132" s="187">
        <f ca="1">IFERROR(VLOOKUP(A132,[1]Energiindhold!$A$2:$C$11,3,FALSE),IFERROR(VLOOKUP(A132,[1]Biogasudbytte!$A$2:$B$18,2,FALSE)*[1]Energiindhold!$C$10,0))*O132</f>
        <v>0</v>
      </c>
      <c r="R132" s="187">
        <f ca="1"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ca="1" si="41"/>
        <v>0</v>
      </c>
      <c r="U132" s="186">
        <f ca="1">O132*IFERROR(VLOOKUP(A132,[1]Tørstofindhold!A$2:B$24,2,FALSE),0)</f>
        <v>0</v>
      </c>
      <c r="V132" s="187">
        <f ca="1"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ca="1" si="42"/>
        <v>0</v>
      </c>
      <c r="Y132" s="168">
        <f t="shared" ca="1" si="43"/>
        <v>0</v>
      </c>
      <c r="Z132" s="103">
        <f t="shared" ca="1" si="44"/>
        <v>0</v>
      </c>
    </row>
    <row r="133" spans="1:26" x14ac:dyDescent="0.55000000000000004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forbrug'!G$2,'Forbrug af biomasse'!$B$2:$B$431,$E133)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forbrug'!I$2,'Forbrug af biomasse'!$B$2:$B$431,$E133)</f>
        <v>0</v>
      </c>
      <c r="J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forbrug'!J$2,'Forbrug af biomasse'!$B$2:$B$431,$E133)</f>
        <v>0</v>
      </c>
      <c r="K133" s="190">
        <f>SUMIFS('Forbrug af biomasse'!$E$2:$E$431,'Forbrug af biomasse'!$C$2:$C$431,'Resultat-Produktion &amp; forbrug'!$A133,'Forbrug af biomasse'!$D$2:$D$431,'Resultat-Produktion &amp; forbrug'!$D133,'Forbrug af biomasse'!$A$2:$A$431,'Resultat-Produktion &amp; forbrug'!K$2,'Forbrug af biomasse'!$B$2:$B$431,$E133)</f>
        <v>0</v>
      </c>
      <c r="L133" s="190">
        <f>IF(A133&lt;&gt;"Biogas",SUMIFS('Forbrug af biomasse'!$E$2:$E$431,'Forbrug af biomasse'!$C$2:$C$431,'Resultat-Produktion &amp; forbrug'!$A133,'Forbrug af biomasse'!$D$2:$D$431,'Resultat-Produktion &amp; forbrug'!$D133,'Forbrug af biomasse'!$A$2:$A$431,'Resultat-Produktion &amp; forbrug'!L$2,'Forbrug af biomasse'!$B$2:$B$431,$E133),F133)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55000000000000004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forbrug'!G$2,'Forbrug af biomasse'!$B$2:$B$431,$E134)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forbrug'!I$2,'Forbrug af biomasse'!$B$2:$B$431,$E134)</f>
        <v>0</v>
      </c>
      <c r="J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forbrug'!J$2,'Forbrug af biomasse'!$B$2:$B$431,$E134)</f>
        <v>0</v>
      </c>
      <c r="K134" s="190">
        <f>SUMIFS('Forbrug af biomasse'!$E$2:$E$431,'Forbrug af biomasse'!$C$2:$C$431,'Resultat-Produktion &amp; forbrug'!$A134,'Forbrug af biomasse'!$D$2:$D$431,'Resultat-Produktion &amp; forbrug'!$D134,'Forbrug af biomasse'!$A$2:$A$431,'Resultat-Produktion &amp; forbrug'!K$2,'Forbrug af biomasse'!$B$2:$B$431,$E134)</f>
        <v>0</v>
      </c>
      <c r="L134" s="190">
        <f>IF(A134&lt;&gt;"Biogas",SUMIFS('Forbrug af biomasse'!$E$2:$E$431,'Forbrug af biomasse'!$C$2:$C$431,'Resultat-Produktion &amp; forbrug'!$A134,'Forbrug af biomasse'!$D$2:$D$431,'Resultat-Produktion &amp; forbrug'!$D134,'Forbrug af biomasse'!$A$2:$A$431,'Resultat-Produktion &amp; forbrug'!L$2,'Forbrug af biomasse'!$B$2:$B$431,$E134),F134)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55000000000000004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forbrug'!G$2,'Forbrug af biomasse'!$B$2:$B$431,$E135)</f>
        <v>214099.10609126225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forbrug'!I$2,'Forbrug af biomasse'!$B$2:$B$431,$E135)</f>
        <v>0</v>
      </c>
      <c r="J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forbrug'!J$2,'Forbrug af biomasse'!$B$2:$B$431,$E135)</f>
        <v>0</v>
      </c>
      <c r="K135" s="190">
        <f>SUMIFS('Forbrug af biomasse'!$E$2:$E$431,'Forbrug af biomasse'!$C$2:$C$431,'Resultat-Produktion &amp; forbrug'!$A135,'Forbrug af biomasse'!$D$2:$D$431,'Resultat-Produktion &amp; forbrug'!$D135,'Forbrug af biomasse'!$A$2:$A$431,'Resultat-Produktion &amp; forbrug'!K$2,'Forbrug af biomasse'!$B$2:$B$431,$E135)</f>
        <v>0</v>
      </c>
      <c r="L135" s="190">
        <f>IF(A135&lt;&gt;"Biogas",SUMIFS('Forbrug af biomasse'!$E$2:$E$431,'Forbrug af biomasse'!$C$2:$C$431,'Resultat-Produktion &amp; forbrug'!$A135,'Forbrug af biomasse'!$D$2:$D$431,'Resultat-Produktion &amp; forbrug'!$D135,'Forbrug af biomasse'!$A$2:$A$431,'Resultat-Produktion &amp; forbrug'!L$2,'Forbrug af biomasse'!$B$2:$B$431,$E135),F135)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49049.145162083209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55000000000000004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forbrug'!G$2,'Forbrug af biomasse'!$B$2:$B$431,$E136)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forbrug'!I$2,'Forbrug af biomasse'!$B$2:$B$431,$E136)</f>
        <v>0</v>
      </c>
      <c r="J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forbrug'!J$2,'Forbrug af biomasse'!$B$2:$B$431,$E136)</f>
        <v>0</v>
      </c>
      <c r="K136" s="190">
        <f>SUMIFS('Forbrug af biomasse'!$E$2:$E$431,'Forbrug af biomasse'!$C$2:$C$431,'Resultat-Produktion &amp; forbrug'!$A136,'Forbrug af biomasse'!$D$2:$D$431,'Resultat-Produktion &amp; forbrug'!$D136,'Forbrug af biomasse'!$A$2:$A$431,'Resultat-Produktion &amp; forbrug'!K$2,'Forbrug af biomasse'!$B$2:$B$431,$E136)</f>
        <v>0</v>
      </c>
      <c r="L136" s="190">
        <f>IF(A136&lt;&gt;"Biogas",SUMIFS('Forbrug af biomasse'!$E$2:$E$431,'Forbrug af biomasse'!$C$2:$C$431,'Resultat-Produktion &amp; forbrug'!$A136,'Forbrug af biomasse'!$D$2:$D$431,'Resultat-Produktion &amp; forbrug'!$D136,'Forbrug af biomasse'!$A$2:$A$431,'Resultat-Produktion &amp; forbrug'!L$2,'Forbrug af biomasse'!$B$2:$B$431,$E136),F136)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55000000000000004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forbrug'!G$2,'Forbrug af biomasse'!$B$2:$B$431,$E137)</f>
        <v>841167.61765562883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forbrug'!I$2,'Forbrug af biomasse'!$B$2:$B$431,$E137)</f>
        <v>0</v>
      </c>
      <c r="J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forbrug'!J$2,'Forbrug af biomasse'!$B$2:$B$431,$E137)</f>
        <v>4092.8191064506923</v>
      </c>
      <c r="K137" s="190">
        <f>SUMIFS('Forbrug af biomasse'!$E$2:$E$431,'Forbrug af biomasse'!$C$2:$C$431,'Resultat-Produktion &amp; forbrug'!$A137,'Forbrug af biomasse'!$D$2:$D$431,'Resultat-Produktion &amp; forbrug'!$D137,'Forbrug af biomasse'!$A$2:$A$431,'Resultat-Produktion &amp; forbrug'!K$2,'Forbrug af biomasse'!$B$2:$B$431,$E137)</f>
        <v>0</v>
      </c>
      <c r="L137" s="190">
        <f>IF(A137&lt;&gt;"Biogas",SUMIFS('Forbrug af biomasse'!$E$2:$E$431,'Forbrug af biomasse'!$C$2:$C$431,'Resultat-Produktion &amp; forbrug'!$A137,'Forbrug af biomasse'!$D$2:$D$431,'Resultat-Produktion &amp; forbrug'!$D137,'Forbrug af biomasse'!$A$2:$A$431,'Resultat-Produktion &amp; forbrug'!L$2,'Forbrug af biomasse'!$B$2:$B$431,$E137),F137)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-435178.15247627377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55000000000000004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forbrug'!G$2,'Forbrug af biomasse'!$B$2:$B$431,$E138)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forbrug'!I$2,'Forbrug af biomasse'!$B$2:$B$431,$E138)</f>
        <v>0</v>
      </c>
      <c r="J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forbrug'!J$2,'Forbrug af biomasse'!$B$2:$B$431,$E138)</f>
        <v>0</v>
      </c>
      <c r="K138" s="190">
        <f>SUMIFS('Forbrug af biomasse'!$E$2:$E$431,'Forbrug af biomasse'!$C$2:$C$431,'Resultat-Produktion &amp; forbrug'!$A138,'Forbrug af biomasse'!$D$2:$D$431,'Resultat-Produktion &amp; forbrug'!$D138,'Forbrug af biomasse'!$A$2:$A$431,'Resultat-Produktion &amp; forbrug'!K$2,'Forbrug af biomasse'!$B$2:$B$431,$E138)</f>
        <v>0</v>
      </c>
      <c r="L138" s="190">
        <f>IF(A138&lt;&gt;"Biogas",SUMIFS('Forbrug af biomasse'!$E$2:$E$431,'Forbrug af biomasse'!$C$2:$C$431,'Resultat-Produktion &amp; forbrug'!$A138,'Forbrug af biomasse'!$D$2:$D$431,'Resultat-Produktion &amp; forbrug'!$D138,'Forbrug af biomasse'!$A$2:$A$431,'Resultat-Produktion &amp; forbrug'!L$2,'Forbrug af biomasse'!$B$2:$B$431,$E138),F138)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55000000000000004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forbrug'!G$2,'Forbrug af biomasse'!$B$2:$B$431,$E139)</f>
        <v>39415.735012617326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forbrug'!I$2,'Forbrug af biomasse'!$B$2:$B$431,$E139)</f>
        <v>0</v>
      </c>
      <c r="J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forbrug'!J$2,'Forbrug af biomasse'!$B$2:$B$431,$E139)</f>
        <v>0</v>
      </c>
      <c r="K139" s="190">
        <f>SUMIFS('Forbrug af biomasse'!$E$2:$E$431,'Forbrug af biomasse'!$C$2:$C$431,'Resultat-Produktion &amp; forbrug'!$A139,'Forbrug af biomasse'!$D$2:$D$431,'Resultat-Produktion &amp; forbrug'!$D139,'Forbrug af biomasse'!$A$2:$A$431,'Resultat-Produktion &amp; forbrug'!K$2,'Forbrug af biomasse'!$B$2:$B$431,$E139)</f>
        <v>0</v>
      </c>
      <c r="L139" s="190">
        <f>IF(A139&lt;&gt;"Biogas",SUMIFS('Forbrug af biomasse'!$E$2:$E$431,'Forbrug af biomasse'!$C$2:$C$431,'Resultat-Produktion &amp; forbrug'!$A139,'Forbrug af biomasse'!$D$2:$D$431,'Resultat-Produktion &amp; forbrug'!$D139,'Forbrug af biomasse'!$A$2:$A$431,'Resultat-Produktion &amp; forbrug'!L$2,'Forbrug af biomasse'!$B$2:$B$431,$E139),F139)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86684.513254845398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55000000000000004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forbrug'!G$2,'Forbrug af biomasse'!$B$2:$B$431,$E140)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forbrug'!I$2,'Forbrug af biomasse'!$B$2:$B$431,$E140)</f>
        <v>0</v>
      </c>
      <c r="J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forbrug'!J$2,'Forbrug af biomasse'!$B$2:$B$431,$E140)</f>
        <v>1563200.2483061554</v>
      </c>
      <c r="K140" s="190">
        <f>SUMIFS('Forbrug af biomasse'!$E$2:$E$431,'Forbrug af biomasse'!$C$2:$C$431,'Resultat-Produktion &amp; forbrug'!$A140,'Forbrug af biomasse'!$D$2:$D$431,'Resultat-Produktion &amp; forbrug'!$D140,'Forbrug af biomasse'!$A$2:$A$431,'Resultat-Produktion &amp; forbrug'!K$2,'Forbrug af biomasse'!$B$2:$B$431,$E140)</f>
        <v>0</v>
      </c>
      <c r="L140" s="190">
        <f>IF(A140&lt;&gt;"Biogas",SUMIFS('Forbrug af biomasse'!$E$2:$E$431,'Forbrug af biomasse'!$C$2:$C$431,'Resultat-Produktion &amp; forbrug'!$A140,'Forbrug af biomasse'!$D$2:$D$431,'Resultat-Produktion &amp; forbrug'!$D140,'Forbrug af biomasse'!$A$2:$A$431,'Resultat-Produktion &amp; forbrug'!L$2,'Forbrug af biomasse'!$B$2:$B$431,$E140),F140)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2558632.3494776348</v>
      </c>
      <c r="O140" s="190">
        <f t="shared" si="39"/>
        <v>2558632.3494776348</v>
      </c>
      <c r="P140" s="200">
        <f t="shared" si="24"/>
        <v>1563200.2483061554</v>
      </c>
      <c r="Q140" s="187">
        <f>IFERROR(VLOOKUP(A140,[1]Energiindhold!$A$2:$C$11,3,FALSE),IFERROR(VLOOKUP(A140,[1]Biogasudbytte!$A$2:$B$18,2,FALSE)*[1]Energiindhold!$C$10,0))*O140</f>
        <v>1.2767831287128346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0.78005255590725475</v>
      </c>
      <c r="T140" s="188">
        <f t="shared" si="25"/>
        <v>1.2767831287128346</v>
      </c>
      <c r="U140" s="186">
        <f>O140*IFERROR(VLOOKUP(A140,[1]Tørstofindhold!A$2:B$24,2,FALSE),0)</f>
        <v>153517.94096865808</v>
      </c>
      <c r="V140" s="187">
        <f>IF(D140=År1,P140,SUM(O140,P140))*IFERROR(VLOOKUP(A140,[1]Tørstofindhold!A$2:B$24,2,FALSE),0)</f>
        <v>247309.9558670274</v>
      </c>
      <c r="W140" s="187">
        <f>J140*IFERROR(VLOOKUP(A140,[1]Tørstofindhold!A$2:B$24,2,FALSE),0)</f>
        <v>93792.014898369322</v>
      </c>
      <c r="X140" s="188">
        <f t="shared" si="26"/>
        <v>153517.94096865808</v>
      </c>
      <c r="Y140" s="168">
        <f t="shared" si="43"/>
        <v>0</v>
      </c>
      <c r="Z140" s="103">
        <f t="shared" si="44"/>
        <v>1</v>
      </c>
    </row>
    <row r="141" spans="1:26" x14ac:dyDescent="0.55000000000000004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forbrug'!G$2,'Forbrug af biomasse'!$B$2:$B$431,$E141)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forbrug'!I$2,'Forbrug af biomasse'!$B$2:$B$431,$E141)</f>
        <v>0</v>
      </c>
      <c r="J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forbrug'!J$2,'Forbrug af biomasse'!$B$2:$B$431,$E141)</f>
        <v>7649114.6368171675</v>
      </c>
      <c r="K141" s="190">
        <f>SUMIFS('Forbrug af biomasse'!$E$2:$E$431,'Forbrug af biomasse'!$C$2:$C$431,'Resultat-Produktion &amp; forbrug'!$A141,'Forbrug af biomasse'!$D$2:$D$431,'Resultat-Produktion &amp; forbrug'!$D141,'Forbrug af biomasse'!$A$2:$A$431,'Resultat-Produktion &amp; forbrug'!K$2,'Forbrug af biomasse'!$B$2:$B$431,$E141)</f>
        <v>6783177.1307623936</v>
      </c>
      <c r="L141" s="190">
        <f>IF(A141&lt;&gt;"Biogas",SUMIFS('Forbrug af biomasse'!$E$2:$E$431,'Forbrug af biomasse'!$C$2:$C$431,'Resultat-Produktion &amp; forbrug'!$A141,'Forbrug af biomasse'!$D$2:$D$431,'Resultat-Produktion &amp; forbrug'!$D141,'Forbrug af biomasse'!$A$2:$A$431,'Resultat-Produktion &amp; forbrug'!L$2,'Forbrug af biomasse'!$B$2:$B$431,$E141),F141)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7649114.6368171675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87">
        <f>IFERROR(VLOOKUP(A141,[1]Biogasudbytte!$A$2:$B$18,2,FALSE)*[1]Energiindhold!$C$10,0)*J141*IFERROR(VLOOKUP(A141,Biogasanlæg!$F$3:$G$8,2,FALSE),1)</f>
        <v>3.2952385855408362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382455.73184085841</v>
      </c>
      <c r="W141" s="187">
        <f>J141*IFERROR(VLOOKUP(A141,[1]Tørstofindhold!A$2:B$24,2,FALSE),0)</f>
        <v>382455.73184085841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55000000000000004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forbrug'!G$2,'Forbrug af biomasse'!$B$2:$B$431,$E142)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forbrug'!I$2,'Forbrug af biomasse'!$B$2:$B$431,$E142)</f>
        <v>126627.09194270898</v>
      </c>
      <c r="J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forbrug'!J$2,'Forbrug af biomasse'!$B$2:$B$431,$E142)</f>
        <v>0</v>
      </c>
      <c r="K142" s="190">
        <f>SUMIFS('Forbrug af biomasse'!$E$2:$E$431,'Forbrug af biomasse'!$C$2:$C$431,'Resultat-Produktion &amp; forbrug'!$A142,'Forbrug af biomasse'!$D$2:$D$431,'Resultat-Produktion &amp; forbrug'!$D142,'Forbrug af biomasse'!$A$2:$A$431,'Resultat-Produktion &amp; forbrug'!K$2,'Forbrug af biomasse'!$B$2:$B$431,$E142)</f>
        <v>0</v>
      </c>
      <c r="L142" s="190">
        <f>IF(A142&lt;&gt;"Biogas",SUMIFS('Forbrug af biomasse'!$E$2:$E$431,'Forbrug af biomasse'!$C$2:$C$431,'Resultat-Produktion &amp; forbrug'!$A142,'Forbrug af biomasse'!$D$2:$D$431,'Resultat-Produktion &amp; forbrug'!$D142,'Forbrug af biomasse'!$A$2:$A$431,'Resultat-Produktion &amp; forbrug'!L$2,'Forbrug af biomasse'!$B$2:$B$431,$E142),F142)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1213523.7829408473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55000000000000004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forbrug'!G$2,'Forbrug af biomasse'!$B$2:$B$431,$E143)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forbrug'!I$2,'Forbrug af biomasse'!$B$2:$B$431,$E143)</f>
        <v>0</v>
      </c>
      <c r="J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forbrug'!J$2,'Forbrug af biomasse'!$B$2:$B$431,$E143)</f>
        <v>0</v>
      </c>
      <c r="K143" s="190">
        <f>SUMIFS('Forbrug af biomasse'!$E$2:$E$431,'Forbrug af biomasse'!$C$2:$C$431,'Resultat-Produktion &amp; forbrug'!$A143,'Forbrug af biomasse'!$D$2:$D$431,'Resultat-Produktion &amp; forbrug'!$D143,'Forbrug af biomasse'!$A$2:$A$431,'Resultat-Produktion &amp; forbrug'!K$2,'Forbrug af biomasse'!$B$2:$B$431,$E143)</f>
        <v>0</v>
      </c>
      <c r="L143" s="190">
        <f>IF(A143&lt;&gt;"Biogas",SUMIFS('Forbrug af biomasse'!$E$2:$E$431,'Forbrug af biomasse'!$C$2:$C$431,'Resultat-Produktion &amp; forbrug'!$A143,'Forbrug af biomasse'!$D$2:$D$431,'Resultat-Produktion &amp; forbrug'!$D143,'Forbrug af biomasse'!$A$2:$A$431,'Resultat-Produktion &amp; forbrug'!L$2,'Forbrug af biomasse'!$B$2:$B$431,$E143),F143)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55000000000000004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forbrug'!G$2,'Forbrug af biomasse'!$B$2:$B$431,$E144)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forbrug'!I$2,'Forbrug af biomasse'!$B$2:$B$431,$E144)</f>
        <v>0</v>
      </c>
      <c r="J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forbrug'!J$2,'Forbrug af biomasse'!$B$2:$B$431,$E144)</f>
        <v>0</v>
      </c>
      <c r="K144" s="190">
        <f>SUMIFS('Forbrug af biomasse'!$E$2:$E$431,'Forbrug af biomasse'!$C$2:$C$431,'Resultat-Produktion &amp; forbrug'!$A144,'Forbrug af biomasse'!$D$2:$D$431,'Resultat-Produktion &amp; forbrug'!$D144,'Forbrug af biomasse'!$A$2:$A$431,'Resultat-Produktion &amp; forbrug'!K$2,'Forbrug af biomasse'!$B$2:$B$431,$E144)</f>
        <v>0</v>
      </c>
      <c r="L144" s="190">
        <f>IF(A144&lt;&gt;"Biogas",SUMIFS('Forbrug af biomasse'!$E$2:$E$431,'Forbrug af biomasse'!$C$2:$C$431,'Resultat-Produktion &amp; forbrug'!$A144,'Forbrug af biomasse'!$D$2:$D$431,'Resultat-Produktion &amp; forbrug'!$D144,'Forbrug af biomasse'!$A$2:$A$431,'Resultat-Produktion &amp; forbrug'!L$2,'Forbrug af biomasse'!$B$2:$B$431,$E144),F144)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55000000000000004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forbrug'!G$2,'Forbrug af biomasse'!$B$2:$B$431,$E145)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forbrug'!I$2,'Forbrug af biomasse'!$B$2:$B$431,$E145)</f>
        <v>0</v>
      </c>
      <c r="J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forbrug'!J$2,'Forbrug af biomasse'!$B$2:$B$431,$E145)</f>
        <v>0</v>
      </c>
      <c r="K145" s="190">
        <f>SUMIFS('Forbrug af biomasse'!$E$2:$E$431,'Forbrug af biomasse'!$C$2:$C$431,'Resultat-Produktion &amp; forbrug'!$A145,'Forbrug af biomasse'!$D$2:$D$431,'Resultat-Produktion &amp; forbrug'!$D145,'Forbrug af biomasse'!$A$2:$A$431,'Resultat-Produktion &amp; forbrug'!K$2,'Forbrug af biomasse'!$B$2:$B$431,$E145)</f>
        <v>0</v>
      </c>
      <c r="L145" s="190">
        <f ca="1">IF(A145&lt;&gt;"Biogas",SUMIFS('Forbrug af biomasse'!$E$2:$E$431,'Forbrug af biomasse'!$C$2:$C$431,'Resultat-Produktion &amp; forbrug'!$A145,'Forbrug af biomasse'!$D$2:$D$431,'Resultat-Produktion &amp; forbrug'!$D145,'Forbrug af biomasse'!$A$2:$A$431,'Resultat-Produktion &amp; forbrug'!L$2,'Forbrug af biomasse'!$B$2:$B$431,$E145),F145)</f>
        <v>2001119.0505128279</v>
      </c>
      <c r="M145" s="154">
        <f ca="1"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2001119.0505128279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29.003356837261759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29.003356837261759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989720.1303994694</v>
      </c>
      <c r="W145" s="187">
        <f>J145*IFERROR(VLOOKUP(A145,[1]Tørstofindhold!A$2:B$24,2,FALSE),0)</f>
        <v>0</v>
      </c>
      <c r="X145" s="188">
        <f t="shared" ca="1" si="26"/>
        <v>989720.1303994694</v>
      </c>
      <c r="Y145" s="168">
        <f t="shared" ca="1" si="43"/>
        <v>0</v>
      </c>
      <c r="Z145" s="103">
        <f t="shared" ca="1" si="44"/>
        <v>0</v>
      </c>
    </row>
    <row r="146" spans="1:26" x14ac:dyDescent="0.55000000000000004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forbrug'!G$2,'Forbrug af biomasse'!$B$2:$B$431,$E146)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forbrug'!I$2,'Forbrug af biomasse'!$B$2:$B$431,$E146)</f>
        <v>0</v>
      </c>
      <c r="J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forbrug'!J$2,'Forbrug af biomasse'!$B$2:$B$431,$E146)</f>
        <v>0</v>
      </c>
      <c r="K146" s="190">
        <f>SUMIFS('Forbrug af biomasse'!$E$2:$E$431,'Forbrug af biomasse'!$C$2:$C$431,'Resultat-Produktion &amp; forbrug'!$A146,'Forbrug af biomasse'!$D$2:$D$431,'Resultat-Produktion &amp; forbrug'!$D146,'Forbrug af biomasse'!$A$2:$A$431,'Resultat-Produktion &amp; forbrug'!K$2,'Forbrug af biomasse'!$B$2:$B$431,$E146)</f>
        <v>0</v>
      </c>
      <c r="L146" s="190">
        <f>IF(A146&lt;&gt;"Biogas",SUMIFS('Forbrug af biomasse'!$E$2:$E$431,'Forbrug af biomasse'!$C$2:$C$431,'Resultat-Produktion &amp; forbrug'!$A146,'Forbrug af biomasse'!$D$2:$D$431,'Resultat-Produktion &amp; forbrug'!$D146,'Forbrug af biomasse'!$A$2:$A$431,'Resultat-Produktion &amp; forbrug'!L$2,'Forbrug af biomasse'!$B$2:$B$431,$E146),F146)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55000000000000004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forbrug'!G$2,'Forbrug af biomasse'!$B$2:$B$431,$E147)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forbrug'!I$2,'Forbrug af biomasse'!$B$2:$B$431,$E147)</f>
        <v>26880.542267330831</v>
      </c>
      <c r="J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forbrug'!J$2,'Forbrug af biomasse'!$B$2:$B$431,$E147)</f>
        <v>0</v>
      </c>
      <c r="K147" s="190">
        <f>SUMIFS('Forbrug af biomasse'!$E$2:$E$431,'Forbrug af biomasse'!$C$2:$C$431,'Resultat-Produktion &amp; forbrug'!$A147,'Forbrug af biomasse'!$D$2:$D$431,'Resultat-Produktion &amp; forbrug'!$D147,'Forbrug af biomasse'!$A$2:$A$431,'Resultat-Produktion &amp; forbrug'!K$2,'Forbrug af biomasse'!$B$2:$B$431,$E147)</f>
        <v>0</v>
      </c>
      <c r="L147" s="190">
        <f>IF(A147&lt;&gt;"Biogas",SUMIFS('Forbrug af biomasse'!$E$2:$E$431,'Forbrug af biomasse'!$C$2:$C$431,'Resultat-Produktion &amp; forbrug'!$A147,'Forbrug af biomasse'!$D$2:$D$431,'Resultat-Produktion &amp; forbrug'!$D147,'Forbrug af biomasse'!$A$2:$A$431,'Resultat-Produktion &amp; forbrug'!L$2,'Forbrug af biomasse'!$B$2:$B$431,$E147),F147)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55000000000000004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forbrug'!G$2,'Forbrug af biomasse'!$B$2:$B$431,$E148)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forbrug'!I$2,'Forbrug af biomasse'!$B$2:$B$431,$E148)</f>
        <v>0</v>
      </c>
      <c r="J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forbrug'!J$2,'Forbrug af biomasse'!$B$2:$B$431,$E148)</f>
        <v>0</v>
      </c>
      <c r="K148" s="190">
        <f>SUMIFS('Forbrug af biomasse'!$E$2:$E$431,'Forbrug af biomasse'!$C$2:$C$431,'Resultat-Produktion &amp; forbrug'!$A148,'Forbrug af biomasse'!$D$2:$D$431,'Resultat-Produktion &amp; forbrug'!$D148,'Forbrug af biomasse'!$A$2:$A$431,'Resultat-Produktion &amp; forbrug'!K$2,'Forbrug af biomasse'!$B$2:$B$431,$E148)</f>
        <v>0</v>
      </c>
      <c r="L148" s="190">
        <f>IF(A148&lt;&gt;"Biogas",SUMIFS('Forbrug af biomasse'!$E$2:$E$431,'Forbrug af biomasse'!$C$2:$C$431,'Resultat-Produktion &amp; forbrug'!$A148,'Forbrug af biomasse'!$D$2:$D$431,'Resultat-Produktion &amp; forbrug'!$D148,'Forbrug af biomasse'!$A$2:$A$431,'Resultat-Produktion &amp; forbrug'!L$2,'Forbrug af biomasse'!$B$2:$B$431,$E148),F148)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55000000000000004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forbrug'!G$2,'Forbrug af biomasse'!$B$2:$B$431,$E149)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forbrug'!I$2,'Forbrug af biomasse'!$B$2:$B$431,$E149)</f>
        <v>0</v>
      </c>
      <c r="J149" s="190">
        <f ca="1">SUMIFS('Forbrug af biomasse'!$E$2:$E$431,'Forbrug af biomasse'!$C$2:$C$431,'Resultat-Produktion &amp; forbrug'!$A149,'Forbrug af biomasse'!$D$2:$D$431,'Resultat-Produktion &amp; forbrug'!$D149,'Forbrug af biomasse'!$A$2:$A$431,'Resultat-Produktion &amp; forbrug'!J$2,'Forbrug af biomasse'!$B$2:$B$431,$E149)</f>
        <v>335590.35573220561</v>
      </c>
      <c r="K149" s="190">
        <f>SUMIFS('Forbrug af biomasse'!$E$2:$E$431,'Forbrug af biomasse'!$C$2:$C$431,'Resultat-Produktion &amp; forbrug'!$A149,'Forbrug af biomasse'!$D$2:$D$431,'Resultat-Produktion &amp; forbrug'!$D149,'Forbrug af biomasse'!$A$2:$A$431,'Resultat-Produktion &amp; forbrug'!K$2,'Forbrug af biomasse'!$B$2:$B$431,$E149)</f>
        <v>0</v>
      </c>
      <c r="L149" s="190">
        <f ca="1">IF(A149&lt;&gt;"Biogas",SUMIFS('Forbrug af biomasse'!$E$2:$E$431,'Forbrug af biomasse'!$C$2:$C$431,'Resultat-Produktion &amp; forbrug'!$A149,'Forbrug af biomasse'!$D$2:$D$431,'Resultat-Produktion &amp; forbrug'!$D149,'Forbrug af biomasse'!$A$2:$A$431,'Resultat-Produktion &amp; forbrug'!L$2,'Forbrug af biomasse'!$B$2:$B$431,$E149),F149)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55000000000000004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forbrug'!G$2,'Forbrug af biomasse'!$B$2:$B$431,$E150)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forbrug'!I$2,'Forbrug af biomasse'!$B$2:$B$431,$E150)</f>
        <v>0</v>
      </c>
      <c r="J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forbrug'!J$2,'Forbrug af biomasse'!$B$2:$B$431,$E150)</f>
        <v>0</v>
      </c>
      <c r="K150" s="190">
        <f>SUMIFS('Forbrug af biomasse'!$E$2:$E$431,'Forbrug af biomasse'!$C$2:$C$431,'Resultat-Produktion &amp; forbrug'!$A150,'Forbrug af biomasse'!$D$2:$D$431,'Resultat-Produktion &amp; forbrug'!$D150,'Forbrug af biomasse'!$A$2:$A$431,'Resultat-Produktion &amp; forbrug'!K$2,'Forbrug af biomasse'!$B$2:$B$431,$E150)</f>
        <v>0</v>
      </c>
      <c r="L150" s="190">
        <f ca="1">IF(A150&lt;&gt;"Biogas",SUMIFS('Forbrug af biomasse'!$E$2:$E$431,'Forbrug af biomasse'!$C$2:$C$431,'Resultat-Produktion &amp; forbrug'!$A150,'Forbrug af biomasse'!$D$2:$D$431,'Resultat-Produktion &amp; forbrug'!$D150,'Forbrug af biomasse'!$A$2:$A$431,'Resultat-Produktion &amp; forbrug'!L$2,'Forbrug af biomasse'!$B$2:$B$431,$E150),F150)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55000000000000004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forbrug'!G$2,'Forbrug af biomasse'!$B$2:$B$431,$E151)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forbrug'!I$2,'Forbrug af biomasse'!$B$2:$B$431,$E151)</f>
        <v>0</v>
      </c>
      <c r="J151" s="190">
        <f>SUMIFS('Forbrug af biomasse'!$E$2:$E$431,'Forbrug af biomasse'!$C$2:$C$431,'Resultat-Produktion &amp; forbrug'!$A151,'Forbrug af biomasse'!$D$2:$D$431,'Resultat-Produktion &amp; forbrug'!$D151,'Forbrug af biomasse'!$A$2:$A$431,'Resultat-Produktion &amp; forbrug'!J$2,'Forbrug af biomasse'!$B$2:$B$431,$E151)</f>
        <v>0</v>
      </c>
      <c r="K151" s="190">
        <f ca="1">SUMIFS('Forbrug af biomasse'!$E$2:$E$431,'Forbrug af biomasse'!$C$2:$C$431,'Resultat-Produktion &amp; forbrug'!$A151,'Forbrug af biomasse'!$D$2:$D$431,'Resultat-Produktion &amp; forbrug'!$D151,'Forbrug af biomasse'!$A$2:$A$431,'Resultat-Produktion &amp; forbrug'!K$2,'Forbrug af biomasse'!$B$2:$B$431,$E151)</f>
        <v>1801862.1200388186</v>
      </c>
      <c r="L151" s="190">
        <f>IF(A151&lt;&gt;"Biogas",SUMIFS('Forbrug af biomasse'!$E$2:$E$431,'Forbrug af biomasse'!$C$2:$C$431,'Resultat-Produktion &amp; forbrug'!$A151,'Forbrug af biomasse'!$D$2:$D$431,'Resultat-Produktion &amp; forbrug'!$D151,'Forbrug af biomasse'!$A$2:$A$431,'Resultat-Produktion &amp; forbrug'!L$2,'Forbrug af biomasse'!$B$2:$B$431,$E151),F151)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55000000000000004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forbrug'!G$2,'Forbrug af biomasse'!$B$2:$B$431,$E152)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forbrug'!I$2,'Forbrug af biomasse'!$B$2:$B$431,$E152)</f>
        <v>0</v>
      </c>
      <c r="J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forbrug'!J$2,'Forbrug af biomasse'!$B$2:$B$431,$E152)</f>
        <v>0</v>
      </c>
      <c r="K152" s="190">
        <f>SUMIFS('Forbrug af biomasse'!$E$2:$E$431,'Forbrug af biomasse'!$C$2:$C$431,'Resultat-Produktion &amp; forbrug'!$A152,'Forbrug af biomasse'!$D$2:$D$431,'Resultat-Produktion &amp; forbrug'!$D152,'Forbrug af biomasse'!$A$2:$A$431,'Resultat-Produktion &amp; forbrug'!K$2,'Forbrug af biomasse'!$B$2:$B$431,$E152)</f>
        <v>0</v>
      </c>
      <c r="L152" s="190">
        <f>IF(A152&lt;&gt;"Biogas",SUMIFS('Forbrug af biomasse'!$E$2:$E$431,'Forbrug af biomasse'!$C$2:$C$431,'Resultat-Produktion &amp; forbrug'!$A152,'Forbrug af biomasse'!$D$2:$D$431,'Resultat-Produktion &amp; forbrug'!$D152,'Forbrug af biomasse'!$A$2:$A$431,'Resultat-Produktion &amp; forbrug'!L$2,'Forbrug af biomasse'!$B$2:$B$431,$E152),F152)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55000000000000004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forbrug'!G$2,'Forbrug af biomasse'!$B$2:$B$431,$E153)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forbrug'!I$2,'Forbrug af biomasse'!$B$2:$B$431,$E153)</f>
        <v>0</v>
      </c>
      <c r="J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forbrug'!J$2,'Forbrug af biomasse'!$B$2:$B$431,$E153)</f>
        <v>85892.328449707566</v>
      </c>
      <c r="K153" s="190">
        <f>SUMIFS('Forbrug af biomasse'!$E$2:$E$431,'Forbrug af biomasse'!$C$2:$C$431,'Resultat-Produktion &amp; forbrug'!$A153,'Forbrug af biomasse'!$D$2:$D$431,'Resultat-Produktion &amp; forbrug'!$D153,'Forbrug af biomasse'!$A$2:$A$431,'Resultat-Produktion &amp; forbrug'!K$2,'Forbrug af biomasse'!$B$2:$B$431,$E153)</f>
        <v>93457.017927737121</v>
      </c>
      <c r="L153" s="190">
        <f>IF(A153&lt;&gt;"Biogas",SUMIFS('Forbrug af biomasse'!$E$2:$E$431,'Forbrug af biomasse'!$C$2:$C$431,'Resultat-Produktion &amp; forbrug'!$A153,'Forbrug af biomasse'!$D$2:$D$431,'Resultat-Produktion &amp; forbrug'!$D153,'Forbrug af biomasse'!$A$2:$A$431,'Resultat-Produktion &amp; forbrug'!L$2,'Forbrug af biomasse'!$B$2:$B$431,$E153),F153)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55000000000000004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forbrug'!G$2,'Forbrug af biomasse'!$B$2:$B$431,$E154)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forbrug'!I$2,'Forbrug af biomasse'!$B$2:$B$431,$E154)</f>
        <v>0</v>
      </c>
      <c r="J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forbrug'!J$2,'Forbrug af biomasse'!$B$2:$B$431,$E154)</f>
        <v>0</v>
      </c>
      <c r="K154" s="190">
        <f>SUMIFS('Forbrug af biomasse'!$E$2:$E$431,'Forbrug af biomasse'!$C$2:$C$431,'Resultat-Produktion &amp; forbrug'!$A154,'Forbrug af biomasse'!$D$2:$D$431,'Resultat-Produktion &amp; forbrug'!$D154,'Forbrug af biomasse'!$A$2:$A$431,'Resultat-Produktion &amp; forbrug'!K$2,'Forbrug af biomasse'!$B$2:$B$431,$E154)</f>
        <v>0</v>
      </c>
      <c r="L154" s="190">
        <f>IF(A154&lt;&gt;"Biogas",SUMIFS('Forbrug af biomasse'!$E$2:$E$431,'Forbrug af biomasse'!$C$2:$C$431,'Resultat-Produktion &amp; forbrug'!$A154,'Forbrug af biomasse'!$D$2:$D$431,'Resultat-Produktion &amp; forbrug'!$D154,'Forbrug af biomasse'!$A$2:$A$431,'Resultat-Produktion &amp; forbrug'!L$2,'Forbrug af biomasse'!$B$2:$B$431,$E154),F154)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55000000000000004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forbrug'!G$2,'Forbrug af biomasse'!$B$2:$B$431,$E155)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forbrug'!I$2,'Forbrug af biomasse'!$B$2:$B$431,$E155)</f>
        <v>0</v>
      </c>
      <c r="J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forbrug'!J$2,'Forbrug af biomasse'!$B$2:$B$431,$E155)</f>
        <v>337.693821952441</v>
      </c>
      <c r="K155" s="190">
        <f>SUMIFS('Forbrug af biomasse'!$E$2:$E$431,'Forbrug af biomasse'!$C$2:$C$431,'Resultat-Produktion &amp; forbrug'!$A155,'Forbrug af biomasse'!$D$2:$D$431,'Resultat-Produktion &amp; forbrug'!$D155,'Forbrug af biomasse'!$A$2:$A$431,'Resultat-Produktion &amp; forbrug'!K$2,'Forbrug af biomasse'!$B$2:$B$431,$E155)</f>
        <v>337.693821952441</v>
      </c>
      <c r="L155" s="190">
        <f>IF(A155&lt;&gt;"Biogas",SUMIFS('Forbrug af biomasse'!$E$2:$E$431,'Forbrug af biomasse'!$C$2:$C$431,'Resultat-Produktion &amp; forbrug'!$A155,'Forbrug af biomasse'!$D$2:$D$431,'Resultat-Produktion &amp; forbrug'!$D155,'Forbrug af biomasse'!$A$2:$A$431,'Resultat-Produktion &amp; forbrug'!L$2,'Forbrug af biomasse'!$B$2:$B$431,$E155),F155)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55000000000000004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forbrug'!G$2,'Forbrug af biomasse'!$B$2:$B$431,$E156)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forbrug'!I$2,'Forbrug af biomasse'!$B$2:$B$431,$E156)</f>
        <v>29120.587456275069</v>
      </c>
      <c r="J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forbrug'!J$2,'Forbrug af biomasse'!$B$2:$B$431,$E156)</f>
        <v>0</v>
      </c>
      <c r="K156" s="190">
        <f>SUMIFS('Forbrug af biomasse'!$E$2:$E$431,'Forbrug af biomasse'!$C$2:$C$431,'Resultat-Produktion &amp; forbrug'!$A156,'Forbrug af biomasse'!$D$2:$D$431,'Resultat-Produktion &amp; forbrug'!$D156,'Forbrug af biomasse'!$A$2:$A$431,'Resultat-Produktion &amp; forbrug'!K$2,'Forbrug af biomasse'!$B$2:$B$431,$E156)</f>
        <v>0</v>
      </c>
      <c r="L156" s="190">
        <f>IF(A156&lt;&gt;"Biogas",SUMIFS('Forbrug af biomasse'!$E$2:$E$431,'Forbrug af biomasse'!$C$2:$C$431,'Resultat-Produktion &amp; forbrug'!$A156,'Forbrug af biomasse'!$D$2:$D$431,'Resultat-Produktion &amp; forbrug'!$D156,'Forbrug af biomasse'!$A$2:$A$431,'Resultat-Produktion &amp; forbrug'!L$2,'Forbrug af biomasse'!$B$2:$B$431,$E156),F156)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55000000000000004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forbrug'!G$2,'Forbrug af biomasse'!$B$2:$B$431,$E157)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forbrug'!I$2,'Forbrug af biomasse'!$B$2:$B$431,$E157)</f>
        <v>0</v>
      </c>
      <c r="J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forbrug'!J$2,'Forbrug af biomasse'!$B$2:$B$431,$E157)</f>
        <v>0</v>
      </c>
      <c r="K157" s="190">
        <f>SUMIFS('Forbrug af biomasse'!$E$2:$E$431,'Forbrug af biomasse'!$C$2:$C$431,'Resultat-Produktion &amp; forbrug'!$A157,'Forbrug af biomasse'!$D$2:$D$431,'Resultat-Produktion &amp; forbrug'!$D157,'Forbrug af biomasse'!$A$2:$A$431,'Resultat-Produktion &amp; forbrug'!K$2,'Forbrug af biomasse'!$B$2:$B$431,$E157)</f>
        <v>0</v>
      </c>
      <c r="L157" s="190">
        <f>IF(A157&lt;&gt;"Biogas",SUMIFS('Forbrug af biomasse'!$E$2:$E$431,'Forbrug af biomasse'!$C$2:$C$431,'Resultat-Produktion &amp; forbrug'!$A157,'Forbrug af biomasse'!$D$2:$D$431,'Resultat-Produktion &amp; forbrug'!$D157,'Forbrug af biomasse'!$A$2:$A$431,'Resultat-Produktion &amp; forbrug'!L$2,'Forbrug af biomasse'!$B$2:$B$431,$E157),F157)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55000000000000004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forbrug'!G$2,'Forbrug af biomasse'!$B$2:$B$431,$E158)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forbrug'!I$2,'Forbrug af biomasse'!$B$2:$B$431,$E158)</f>
        <v>212804.29294970242</v>
      </c>
      <c r="J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forbrug'!J$2,'Forbrug af biomasse'!$B$2:$B$431,$E158)</f>
        <v>0</v>
      </c>
      <c r="K158" s="190">
        <f>SUMIFS('Forbrug af biomasse'!$E$2:$E$431,'Forbrug af biomasse'!$C$2:$C$431,'Resultat-Produktion &amp; forbrug'!$A158,'Forbrug af biomasse'!$D$2:$D$431,'Resultat-Produktion &amp; forbrug'!$D158,'Forbrug af biomasse'!$A$2:$A$431,'Resultat-Produktion &amp; forbrug'!K$2,'Forbrug af biomasse'!$B$2:$B$431,$E158)</f>
        <v>0</v>
      </c>
      <c r="L158" s="190">
        <f>IF(A158&lt;&gt;"Biogas",SUMIFS('Forbrug af biomasse'!$E$2:$E$431,'Forbrug af biomasse'!$C$2:$C$431,'Resultat-Produktion &amp; forbrug'!$A158,'Forbrug af biomasse'!$D$2:$D$431,'Resultat-Produktion &amp; forbrug'!$D158,'Forbrug af biomasse'!$A$2:$A$431,'Resultat-Produktion &amp; forbrug'!L$2,'Forbrug af biomasse'!$B$2:$B$431,$E158),F158)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55000000000000004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forbrug'!G$2,'Forbrug af biomasse'!$B$2:$B$431,$E159)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forbrug'!I$2,'Forbrug af biomasse'!$B$2:$B$431,$E159)</f>
        <v>0</v>
      </c>
      <c r="J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forbrug'!J$2,'Forbrug af biomasse'!$B$2:$B$431,$E159)</f>
        <v>28548.400000000001</v>
      </c>
      <c r="K159" s="190">
        <f>SUMIFS('Forbrug af biomasse'!$E$2:$E$431,'Forbrug af biomasse'!$C$2:$C$431,'Resultat-Produktion &amp; forbrug'!$A159,'Forbrug af biomasse'!$D$2:$D$431,'Resultat-Produktion &amp; forbrug'!$D159,'Forbrug af biomasse'!$A$2:$A$431,'Resultat-Produktion &amp; forbrug'!K$2,'Forbrug af biomasse'!$B$2:$B$431,$E159)</f>
        <v>0</v>
      </c>
      <c r="L159" s="190">
        <f>IF(A159&lt;&gt;"Biogas",SUMIFS('Forbrug af biomasse'!$E$2:$E$431,'Forbrug af biomasse'!$C$2:$C$431,'Resultat-Produktion &amp; forbrug'!$A159,'Forbrug af biomasse'!$D$2:$D$431,'Resultat-Produktion &amp; forbrug'!$D159,'Forbrug af biomasse'!$A$2:$A$431,'Resultat-Produktion &amp; forbrug'!L$2,'Forbrug af biomasse'!$B$2:$B$431,$E159),F159)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55000000000000004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forbrug'!G$2,'Forbrug af biomasse'!$B$2:$B$431,$E160)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forbrug'!I$2,'Forbrug af biomasse'!$B$2:$B$431,$E160)</f>
        <v>0</v>
      </c>
      <c r="J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forbrug'!J$2,'Forbrug af biomasse'!$B$2:$B$431,$E160)</f>
        <v>10277.831749012612</v>
      </c>
      <c r="K160" s="190">
        <f>SUMIFS('Forbrug af biomasse'!$E$2:$E$431,'Forbrug af biomasse'!$C$2:$C$431,'Resultat-Produktion &amp; forbrug'!$A160,'Forbrug af biomasse'!$D$2:$D$431,'Resultat-Produktion &amp; forbrug'!$D160,'Forbrug af biomasse'!$A$2:$A$431,'Resultat-Produktion &amp; forbrug'!K$2,'Forbrug af biomasse'!$B$2:$B$431,$E160)</f>
        <v>0</v>
      </c>
      <c r="L160" s="190">
        <f>IF(A160&lt;&gt;"Biogas",SUMIFS('Forbrug af biomasse'!$E$2:$E$431,'Forbrug af biomasse'!$C$2:$C$431,'Resultat-Produktion &amp; forbrug'!$A160,'Forbrug af biomasse'!$D$2:$D$431,'Resultat-Produktion &amp; forbrug'!$D160,'Forbrug af biomasse'!$A$2:$A$431,'Resultat-Produktion &amp; forbrug'!L$2,'Forbrug af biomasse'!$B$2:$B$431,$E160),F160)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55000000000000004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forbrug'!G$2,'Forbrug af biomasse'!$B$2:$B$431,$E161)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forbrug'!I$2,'Forbrug af biomasse'!$B$2:$B$431,$E161)</f>
        <v>0</v>
      </c>
      <c r="J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forbrug'!J$2,'Forbrug af biomasse'!$B$2:$B$431,$E161)</f>
        <v>0</v>
      </c>
      <c r="K161" s="190">
        <f>SUMIFS('Forbrug af biomasse'!$E$2:$E$431,'Forbrug af biomasse'!$C$2:$C$431,'Resultat-Produktion &amp; forbrug'!$A161,'Forbrug af biomasse'!$D$2:$D$431,'Resultat-Produktion &amp; forbrug'!$D161,'Forbrug af biomasse'!$A$2:$A$431,'Resultat-Produktion &amp; forbrug'!K$2,'Forbrug af biomasse'!$B$2:$B$431,$E161)</f>
        <v>0</v>
      </c>
      <c r="L161" s="190">
        <f>IF(A161&lt;&gt;"Biogas",SUMIFS('Forbrug af biomasse'!$E$2:$E$431,'Forbrug af biomasse'!$C$2:$C$431,'Resultat-Produktion &amp; forbrug'!$A161,'Forbrug af biomasse'!$D$2:$D$431,'Resultat-Produktion &amp; forbrug'!$D161,'Forbrug af biomasse'!$A$2:$A$431,'Resultat-Produktion &amp; forbrug'!L$2,'Forbrug af biomasse'!$B$2:$B$431,$E161),F161)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55000000000000004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forbrug'!G$2,'Forbrug af biomasse'!$B$2:$B$431,$E162)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forbrug'!I$2,'Forbrug af biomasse'!$B$2:$B$431,$E162)</f>
        <v>222884.49629995148</v>
      </c>
      <c r="J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forbrug'!J$2,'Forbrug af biomasse'!$B$2:$B$431,$E162)</f>
        <v>0</v>
      </c>
      <c r="K162" s="190">
        <f>SUMIFS('Forbrug af biomasse'!$E$2:$E$431,'Forbrug af biomasse'!$C$2:$C$431,'Resultat-Produktion &amp; forbrug'!$A162,'Forbrug af biomasse'!$D$2:$D$431,'Resultat-Produktion &amp; forbrug'!$D162,'Forbrug af biomasse'!$A$2:$A$431,'Resultat-Produktion &amp; forbrug'!K$2,'Forbrug af biomasse'!$B$2:$B$431,$E162)</f>
        <v>0</v>
      </c>
      <c r="L162" s="190">
        <f>IF(A162&lt;&gt;"Biogas",SUMIFS('Forbrug af biomasse'!$E$2:$E$431,'Forbrug af biomasse'!$C$2:$C$431,'Resultat-Produktion &amp; forbrug'!$A162,'Forbrug af biomasse'!$D$2:$D$431,'Resultat-Produktion &amp; forbrug'!$D162,'Forbrug af biomasse'!$A$2:$A$431,'Resultat-Produktion &amp; forbrug'!L$2,'Forbrug af biomasse'!$B$2:$B$431,$E162),F162)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55000000000000004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forbrug'!G$2,'Forbrug af biomasse'!$B$2:$B$431,$E163)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forbrug'!I$2,'Forbrug af biomasse'!$B$2:$B$431,$E163)</f>
        <v>0</v>
      </c>
      <c r="J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forbrug'!J$2,'Forbrug af biomasse'!$B$2:$B$431,$E163)</f>
        <v>22739.095393183845</v>
      </c>
      <c r="K163" s="190">
        <f>SUMIFS('Forbrug af biomasse'!$E$2:$E$431,'Forbrug af biomasse'!$C$2:$C$431,'Resultat-Produktion &amp; forbrug'!$A163,'Forbrug af biomasse'!$D$2:$D$431,'Resultat-Produktion &amp; forbrug'!$D163,'Forbrug af biomasse'!$A$2:$A$431,'Resultat-Produktion &amp; forbrug'!K$2,'Forbrug af biomasse'!$B$2:$B$431,$E163)</f>
        <v>0</v>
      </c>
      <c r="L163" s="190">
        <f>IF(A163&lt;&gt;"Biogas",SUMIFS('Forbrug af biomasse'!$E$2:$E$431,'Forbrug af biomasse'!$C$2:$C$431,'Resultat-Produktion &amp; forbrug'!$A163,'Forbrug af biomasse'!$D$2:$D$431,'Resultat-Produktion &amp; forbrug'!$D163,'Forbrug af biomasse'!$A$2:$A$431,'Resultat-Produktion &amp; forbrug'!L$2,'Forbrug af biomasse'!$B$2:$B$431,$E163),F163)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55000000000000004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forbrug'!G$2,'Forbrug af biomasse'!$B$2:$B$431,$E164)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forbrug'!I$2,'Forbrug af biomasse'!$B$2:$B$431,$E164)</f>
        <v>0</v>
      </c>
      <c r="J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forbrug'!J$2,'Forbrug af biomasse'!$B$2:$B$431,$E164)</f>
        <v>35.900188095894634</v>
      </c>
      <c r="K164" s="190">
        <f>SUMIFS('Forbrug af biomasse'!$E$2:$E$431,'Forbrug af biomasse'!$C$2:$C$431,'Resultat-Produktion &amp; forbrug'!$A164,'Forbrug af biomasse'!$D$2:$D$431,'Resultat-Produktion &amp; forbrug'!$D164,'Forbrug af biomasse'!$A$2:$A$431,'Resultat-Produktion &amp; forbrug'!K$2,'Forbrug af biomasse'!$B$2:$B$431,$E164)</f>
        <v>0</v>
      </c>
      <c r="L164" s="190">
        <f>IF(A164&lt;&gt;"Biogas",SUMIFS('Forbrug af biomasse'!$E$2:$E$431,'Forbrug af biomasse'!$C$2:$C$431,'Resultat-Produktion &amp; forbrug'!$A164,'Forbrug af biomasse'!$D$2:$D$431,'Resultat-Produktion &amp; forbrug'!$D164,'Forbrug af biomasse'!$A$2:$A$431,'Resultat-Produktion &amp; forbrug'!L$2,'Forbrug af biomasse'!$B$2:$B$431,$E164),F164)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55000000000000004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forbrug'!G$2,'Forbrug af biomasse'!$B$2:$B$431,$E165)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forbrug'!I$2,'Forbrug af biomasse'!$B$2:$B$431,$E165)</f>
        <v>0</v>
      </c>
      <c r="J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forbrug'!J$2,'Forbrug af biomasse'!$B$2:$B$431,$E165)</f>
        <v>0</v>
      </c>
      <c r="K165" s="190">
        <f>SUMIFS('Forbrug af biomasse'!$E$2:$E$431,'Forbrug af biomasse'!$C$2:$C$431,'Resultat-Produktion &amp; forbrug'!$A165,'Forbrug af biomasse'!$D$2:$D$431,'Resultat-Produktion &amp; forbrug'!$D165,'Forbrug af biomasse'!$A$2:$A$431,'Resultat-Produktion &amp; forbrug'!K$2,'Forbrug af biomasse'!$B$2:$B$431,$E165)</f>
        <v>0</v>
      </c>
      <c r="L165" s="190">
        <f>IF(A165&lt;&gt;"Biogas",SUMIFS('Forbrug af biomasse'!$E$2:$E$431,'Forbrug af biomasse'!$C$2:$C$431,'Resultat-Produktion &amp; forbrug'!$A165,'Forbrug af biomasse'!$D$2:$D$431,'Resultat-Produktion &amp; forbrug'!$D165,'Forbrug af biomasse'!$A$2:$A$431,'Resultat-Produktion &amp; forbrug'!L$2,'Forbrug af biomasse'!$B$2:$B$431,$E165),F165)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55000000000000004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forbrug'!G$2,'Forbrug af biomasse'!$B$2:$B$431,$E166)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forbrug'!I$2,'Forbrug af biomasse'!$B$2:$B$431,$E166)</f>
        <v>0</v>
      </c>
      <c r="J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forbrug'!J$2,'Forbrug af biomasse'!$B$2:$B$431,$E166)</f>
        <v>279550.24796430691</v>
      </c>
      <c r="K166" s="190">
        <f>SUMIFS('Forbrug af biomasse'!$E$2:$E$431,'Forbrug af biomasse'!$C$2:$C$431,'Resultat-Produktion &amp; forbrug'!$A166,'Forbrug af biomasse'!$D$2:$D$431,'Resultat-Produktion &amp; forbrug'!$D166,'Forbrug af biomasse'!$A$2:$A$431,'Resultat-Produktion &amp; forbrug'!K$2,'Forbrug af biomasse'!$B$2:$B$431,$E166)</f>
        <v>0</v>
      </c>
      <c r="L166" s="190">
        <f>IF(A166&lt;&gt;"Biogas",SUMIFS('Forbrug af biomasse'!$E$2:$E$431,'Forbrug af biomasse'!$C$2:$C$431,'Resultat-Produktion &amp; forbrug'!$A166,'Forbrug af biomasse'!$D$2:$D$431,'Resultat-Produktion &amp; forbrug'!$D166,'Forbrug af biomasse'!$A$2:$A$431,'Resultat-Produktion &amp; forbrug'!L$2,'Forbrug af biomasse'!$B$2:$B$431,$E166),F166)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55000000000000004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forbrug'!G$2,'Forbrug af biomasse'!$B$2:$B$431,$E167)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forbrug'!I$2,'Forbrug af biomasse'!$B$2:$B$431,$E167)</f>
        <v>0</v>
      </c>
      <c r="J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forbrug'!J$2,'Forbrug af biomasse'!$B$2:$B$431,$E167)</f>
        <v>0</v>
      </c>
      <c r="K167" s="190">
        <f>SUMIFS('Forbrug af biomasse'!$E$2:$E$431,'Forbrug af biomasse'!$C$2:$C$431,'Resultat-Produktion &amp; forbrug'!$A167,'Forbrug af biomasse'!$D$2:$D$431,'Resultat-Produktion &amp; forbrug'!$D167,'Forbrug af biomasse'!$A$2:$A$431,'Resultat-Produktion &amp; forbrug'!K$2,'Forbrug af biomasse'!$B$2:$B$431,$E167)</f>
        <v>0</v>
      </c>
      <c r="L167" s="190">
        <f>IF(A167&lt;&gt;"Biogas",SUMIFS('Forbrug af biomasse'!$E$2:$E$431,'Forbrug af biomasse'!$C$2:$C$431,'Resultat-Produktion &amp; forbrug'!$A167,'Forbrug af biomasse'!$D$2:$D$431,'Resultat-Produktion &amp; forbrug'!$D167,'Forbrug af biomasse'!$A$2:$A$431,'Resultat-Produktion &amp; forbrug'!L$2,'Forbrug af biomasse'!$B$2:$B$431,$E167),F167)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55000000000000004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forbrug'!G$2,'Forbrug af biomasse'!$B$2:$B$431,$E168)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forbrug'!I$2,'Forbrug af biomasse'!$B$2:$B$431,$E168)</f>
        <v>101922.05609696274</v>
      </c>
      <c r="J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forbrug'!J$2,'Forbrug af biomasse'!$B$2:$B$431,$E168)</f>
        <v>0</v>
      </c>
      <c r="K168" s="190">
        <f>SUMIFS('Forbrug af biomasse'!$E$2:$E$431,'Forbrug af biomasse'!$C$2:$C$431,'Resultat-Produktion &amp; forbrug'!$A168,'Forbrug af biomasse'!$D$2:$D$431,'Resultat-Produktion &amp; forbrug'!$D168,'Forbrug af biomasse'!$A$2:$A$431,'Resultat-Produktion &amp; forbrug'!K$2,'Forbrug af biomasse'!$B$2:$B$431,$E168)</f>
        <v>0</v>
      </c>
      <c r="L168" s="190">
        <f>IF(A168&lt;&gt;"Biogas",SUMIFS('Forbrug af biomasse'!$E$2:$E$431,'Forbrug af biomasse'!$C$2:$C$431,'Resultat-Produktion &amp; forbrug'!$A168,'Forbrug af biomasse'!$D$2:$D$431,'Resultat-Produktion &amp; forbrug'!$D168,'Forbrug af biomasse'!$A$2:$A$431,'Resultat-Produktion &amp; forbrug'!L$2,'Forbrug af biomasse'!$B$2:$B$431,$E168),F168)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55000000000000004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forbrug'!G$2,'Forbrug af biomasse'!$B$2:$B$431,$E169)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forbrug'!I$2,'Forbrug af biomasse'!$B$2:$B$431,$E169)</f>
        <v>244164.92559492172</v>
      </c>
      <c r="J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forbrug'!J$2,'Forbrug af biomasse'!$B$2:$B$431,$E169)</f>
        <v>942.6064741945944</v>
      </c>
      <c r="K169" s="190">
        <f>SUMIFS('Forbrug af biomasse'!$E$2:$E$431,'Forbrug af biomasse'!$C$2:$C$431,'Resultat-Produktion &amp; forbrug'!$A169,'Forbrug af biomasse'!$D$2:$D$431,'Resultat-Produktion &amp; forbrug'!$D169,'Forbrug af biomasse'!$A$2:$A$431,'Resultat-Produktion &amp; forbrug'!K$2,'Forbrug af biomasse'!$B$2:$B$431,$E169)</f>
        <v>0</v>
      </c>
      <c r="L169" s="190">
        <f>IF(A169&lt;&gt;"Biogas",SUMIFS('Forbrug af biomasse'!$E$2:$E$431,'Forbrug af biomasse'!$C$2:$C$431,'Resultat-Produktion &amp; forbrug'!$A169,'Forbrug af biomasse'!$D$2:$D$431,'Resultat-Produktion &amp; forbrug'!$D169,'Forbrug af biomasse'!$A$2:$A$431,'Resultat-Produktion &amp; forbrug'!L$2,'Forbrug af biomasse'!$B$2:$B$431,$E169),F169)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55000000000000004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forbrug'!G$2,'Forbrug af biomasse'!$B$2:$B$431,$E170)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forbrug'!I$2,'Forbrug af biomasse'!$B$2:$B$431,$E170)</f>
        <v>0</v>
      </c>
      <c r="J170" s="190">
        <f>SUMIFS('Forbrug af biomasse'!$E$2:$E$431,'Forbrug af biomasse'!$C$2:$C$431,'Resultat-Produktion &amp; forbrug'!$A170,'Forbrug af biomasse'!$D$2:$D$431,'Resultat-Produktion &amp; forbrug'!$D170,'Forbrug af biomasse'!$A$2:$A$431,'Resultat-Produktion &amp; forbrug'!J$2,'Forbrug af biomasse'!$B$2:$B$431,$E170)</f>
        <v>0</v>
      </c>
      <c r="K170" s="190">
        <f ca="1">SUMIFS('Forbrug af biomasse'!$E$2:$E$431,'Forbrug af biomasse'!$C$2:$C$431,'Resultat-Produktion &amp; forbrug'!$A170,'Forbrug af biomasse'!$D$2:$D$431,'Resultat-Produktion &amp; forbrug'!$D170,'Forbrug af biomasse'!$A$2:$A$431,'Resultat-Produktion &amp; forbrug'!K$2,'Forbrug af biomasse'!$B$2:$B$431,$E170)</f>
        <v>374820.3560243976</v>
      </c>
      <c r="L170" s="190">
        <f>IF(A170&lt;&gt;"Biogas",SUMIFS('Forbrug af biomasse'!$E$2:$E$431,'Forbrug af biomasse'!$C$2:$C$431,'Resultat-Produktion &amp; forbrug'!$A170,'Forbrug af biomasse'!$D$2:$D$431,'Resultat-Produktion &amp; forbrug'!$D170,'Forbrug af biomasse'!$A$2:$A$431,'Resultat-Produktion &amp; forbrug'!L$2,'Forbrug af biomasse'!$B$2:$B$431,$E170),F170)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55000000000000004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forbrug'!G$2,'Forbrug af biomasse'!$B$2:$B$431,$E171)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forbrug'!I$2,'Forbrug af biomasse'!$B$2:$B$431,$E171)</f>
        <v>0</v>
      </c>
      <c r="J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forbrug'!J$2,'Forbrug af biomasse'!$B$2:$B$431,$E171)</f>
        <v>286645.05985025823</v>
      </c>
      <c r="K171" s="190">
        <f>SUMIFS('Forbrug af biomasse'!$E$2:$E$431,'Forbrug af biomasse'!$C$2:$C$431,'Resultat-Produktion &amp; forbrug'!$A171,'Forbrug af biomasse'!$D$2:$D$431,'Resultat-Produktion &amp; forbrug'!$D171,'Forbrug af biomasse'!$A$2:$A$431,'Resultat-Produktion &amp; forbrug'!K$2,'Forbrug af biomasse'!$B$2:$B$431,$E171)</f>
        <v>638439.1593791761</v>
      </c>
      <c r="L171" s="190">
        <f>IF(A171&lt;&gt;"Biogas",SUMIFS('Forbrug af biomasse'!$E$2:$E$431,'Forbrug af biomasse'!$C$2:$C$431,'Resultat-Produktion &amp; forbrug'!$A171,'Forbrug af biomasse'!$D$2:$D$431,'Resultat-Produktion &amp; forbrug'!$D171,'Forbrug af biomasse'!$A$2:$A$431,'Resultat-Produktion &amp; forbrug'!L$2,'Forbrug af biomasse'!$B$2:$B$431,$E171),F171)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55000000000000004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forbrug'!G$2,'Forbrug af biomasse'!$B$2:$B$431,$E172)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forbrug'!I$2,'Forbrug af biomasse'!$B$2:$B$431,$E172)</f>
        <v>0</v>
      </c>
      <c r="J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forbrug'!J$2,'Forbrug af biomasse'!$B$2:$B$431,$E172)</f>
        <v>0</v>
      </c>
      <c r="K172" s="190">
        <f>SUMIFS('Forbrug af biomasse'!$E$2:$E$431,'Forbrug af biomasse'!$C$2:$C$431,'Resultat-Produktion &amp; forbrug'!$A172,'Forbrug af biomasse'!$D$2:$D$431,'Resultat-Produktion &amp; forbrug'!$D172,'Forbrug af biomasse'!$A$2:$A$431,'Resultat-Produktion &amp; forbrug'!K$2,'Forbrug af biomasse'!$B$2:$B$431,$E172)</f>
        <v>0</v>
      </c>
      <c r="L172" s="190">
        <f>IF(A172&lt;&gt;"Biogas",SUMIFS('Forbrug af biomasse'!$E$2:$E$431,'Forbrug af biomasse'!$C$2:$C$431,'Resultat-Produktion &amp; forbrug'!$A172,'Forbrug af biomasse'!$D$2:$D$431,'Resultat-Produktion &amp; forbrug'!$D172,'Forbrug af biomasse'!$A$2:$A$431,'Resultat-Produktion &amp; forbrug'!L$2,'Forbrug af biomasse'!$B$2:$B$431,$E172),F172)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55000000000000004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forbrug'!G$2,'Forbrug af biomasse'!$B$2:$B$431,$E173)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forbrug'!I$2,'Forbrug af biomasse'!$B$2:$B$431,$E173)</f>
        <v>0</v>
      </c>
      <c r="J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forbrug'!J$2,'Forbrug af biomasse'!$B$2:$B$431,$E173)</f>
        <v>15151.053724986185</v>
      </c>
      <c r="K173" s="190">
        <f>SUMIFS('Forbrug af biomasse'!$E$2:$E$431,'Forbrug af biomasse'!$C$2:$C$431,'Resultat-Produktion &amp; forbrug'!$A173,'Forbrug af biomasse'!$D$2:$D$431,'Resultat-Produktion &amp; forbrug'!$D173,'Forbrug af biomasse'!$A$2:$A$431,'Resultat-Produktion &amp; forbrug'!K$2,'Forbrug af biomasse'!$B$2:$B$431,$E173)</f>
        <v>0</v>
      </c>
      <c r="L173" s="190">
        <f>IF(A173&lt;&gt;"Biogas",SUMIFS('Forbrug af biomasse'!$E$2:$E$431,'Forbrug af biomasse'!$C$2:$C$431,'Resultat-Produktion &amp; forbrug'!$A173,'Forbrug af biomasse'!$D$2:$D$431,'Resultat-Produktion &amp; forbrug'!$D173,'Forbrug af biomasse'!$A$2:$A$431,'Resultat-Produktion &amp; forbrug'!L$2,'Forbrug af biomasse'!$B$2:$B$431,$E173),F173)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55000000000000004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forbrug'!G$2,'Forbrug af biomasse'!$B$2:$B$431,$E174)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forbrug'!I$2,'Forbrug af biomasse'!$B$2:$B$431,$E174)</f>
        <v>389767.86287629709</v>
      </c>
      <c r="J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forbrug'!J$2,'Forbrug af biomasse'!$B$2:$B$431,$E174)</f>
        <v>0</v>
      </c>
      <c r="K174" s="190">
        <f>SUMIFS('Forbrug af biomasse'!$E$2:$E$431,'Forbrug af biomasse'!$C$2:$C$431,'Resultat-Produktion &amp; forbrug'!$A174,'Forbrug af biomasse'!$D$2:$D$431,'Resultat-Produktion &amp; forbrug'!$D174,'Forbrug af biomasse'!$A$2:$A$431,'Resultat-Produktion &amp; forbrug'!K$2,'Forbrug af biomasse'!$B$2:$B$431,$E174)</f>
        <v>0</v>
      </c>
      <c r="L174" s="190">
        <f>IF(A174&lt;&gt;"Biogas",SUMIFS('Forbrug af biomasse'!$E$2:$E$431,'Forbrug af biomasse'!$C$2:$C$431,'Resultat-Produktion &amp; forbrug'!$A174,'Forbrug af biomasse'!$D$2:$D$431,'Resultat-Produktion &amp; forbrug'!$D174,'Forbrug af biomasse'!$A$2:$A$431,'Resultat-Produktion &amp; forbrug'!L$2,'Forbrug af biomasse'!$B$2:$B$431,$E174),F174)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55000000000000004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forbrug'!G$2,'Forbrug af biomasse'!$B$2:$B$431,$E175)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forbrug'!I$2,'Forbrug af biomasse'!$B$2:$B$431,$E175)</f>
        <v>0</v>
      </c>
      <c r="J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forbrug'!J$2,'Forbrug af biomasse'!$B$2:$B$431,$E175)</f>
        <v>0</v>
      </c>
      <c r="K175" s="190">
        <f>SUMIFS('Forbrug af biomasse'!$E$2:$E$431,'Forbrug af biomasse'!$C$2:$C$431,'Resultat-Produktion &amp; forbrug'!$A175,'Forbrug af biomasse'!$D$2:$D$431,'Resultat-Produktion &amp; forbrug'!$D175,'Forbrug af biomasse'!$A$2:$A$431,'Resultat-Produktion &amp; forbrug'!K$2,'Forbrug af biomasse'!$B$2:$B$431,$E175)</f>
        <v>0</v>
      </c>
      <c r="L175" s="190">
        <f>IF(A175&lt;&gt;"Biogas",SUMIFS('Forbrug af biomasse'!$E$2:$E$431,'Forbrug af biomasse'!$C$2:$C$431,'Resultat-Produktion &amp; forbrug'!$A175,'Forbrug af biomasse'!$D$2:$D$431,'Resultat-Produktion &amp; forbrug'!$D175,'Forbrug af biomasse'!$A$2:$A$431,'Resultat-Produktion &amp; forbrug'!L$2,'Forbrug af biomasse'!$B$2:$B$431,$E175),F175)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55000000000000004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forbrug'!G$2,'Forbrug af biomasse'!$B$2:$B$431,$E176)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forbrug'!I$2,'Forbrug af biomasse'!$B$2:$B$431,$E176)</f>
        <v>49527.399127557059</v>
      </c>
      <c r="J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forbrug'!J$2,'Forbrug af biomasse'!$B$2:$B$431,$E176)</f>
        <v>0</v>
      </c>
      <c r="K176" s="190">
        <f>SUMIFS('Forbrug af biomasse'!$E$2:$E$431,'Forbrug af biomasse'!$C$2:$C$431,'Resultat-Produktion &amp; forbrug'!$A176,'Forbrug af biomasse'!$D$2:$D$431,'Resultat-Produktion &amp; forbrug'!$D176,'Forbrug af biomasse'!$A$2:$A$431,'Resultat-Produktion &amp; forbrug'!K$2,'Forbrug af biomasse'!$B$2:$B$431,$E176)</f>
        <v>0</v>
      </c>
      <c r="L176" s="190">
        <f>IF(A176&lt;&gt;"Biogas",SUMIFS('Forbrug af biomasse'!$E$2:$E$431,'Forbrug af biomasse'!$C$2:$C$431,'Resultat-Produktion &amp; forbrug'!$A176,'Forbrug af biomasse'!$D$2:$D$431,'Resultat-Produktion &amp; forbrug'!$D176,'Forbrug af biomasse'!$A$2:$A$431,'Resultat-Produktion &amp; forbrug'!L$2,'Forbrug af biomasse'!$B$2:$B$431,$E176),F176)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55000000000000004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forbrug'!G$2,'Forbrug af biomasse'!$B$2:$B$431,$E177)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forbrug'!I$2,'Forbrug af biomasse'!$B$2:$B$431,$E177)</f>
        <v>0</v>
      </c>
      <c r="J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forbrug'!J$2,'Forbrug af biomasse'!$B$2:$B$431,$E177)</f>
        <v>0</v>
      </c>
      <c r="K177" s="190">
        <f>SUMIFS('Forbrug af biomasse'!$E$2:$E$431,'Forbrug af biomasse'!$C$2:$C$431,'Resultat-Produktion &amp; forbrug'!$A177,'Forbrug af biomasse'!$D$2:$D$431,'Resultat-Produktion &amp; forbrug'!$D177,'Forbrug af biomasse'!$A$2:$A$431,'Resultat-Produktion &amp; forbrug'!K$2,'Forbrug af biomasse'!$B$2:$B$431,$E177)</f>
        <v>0</v>
      </c>
      <c r="L177" s="190">
        <f>IF(A177&lt;&gt;"Biogas",SUMIFS('Forbrug af biomasse'!$E$2:$E$431,'Forbrug af biomasse'!$C$2:$C$431,'Resultat-Produktion &amp; forbrug'!$A177,'Forbrug af biomasse'!$D$2:$D$431,'Resultat-Produktion &amp; forbrug'!$D177,'Forbrug af biomasse'!$A$2:$A$431,'Resultat-Produktion &amp; forbrug'!L$2,'Forbrug af biomasse'!$B$2:$B$431,$E177),F177)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55000000000000004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forbrug'!G$2,'Forbrug af biomasse'!$B$2:$B$431,$E178)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forbrug'!I$2,'Forbrug af biomasse'!$B$2:$B$431,$E178)</f>
        <v>0</v>
      </c>
      <c r="J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forbrug'!J$2,'Forbrug af biomasse'!$B$2:$B$431,$E178)</f>
        <v>0</v>
      </c>
      <c r="K178" s="190">
        <f>SUMIFS('Forbrug af biomasse'!$E$2:$E$431,'Forbrug af biomasse'!$C$2:$C$431,'Resultat-Produktion &amp; forbrug'!$A178,'Forbrug af biomasse'!$D$2:$D$431,'Resultat-Produktion &amp; forbrug'!$D178,'Forbrug af biomasse'!$A$2:$A$431,'Resultat-Produktion &amp; forbrug'!K$2,'Forbrug af biomasse'!$B$2:$B$431,$E178)</f>
        <v>0</v>
      </c>
      <c r="L178" s="190">
        <f>IF(A178&lt;&gt;"Biogas",SUMIFS('Forbrug af biomasse'!$E$2:$E$431,'Forbrug af biomasse'!$C$2:$C$431,'Resultat-Produktion &amp; forbrug'!$A178,'Forbrug af biomasse'!$D$2:$D$431,'Resultat-Produktion &amp; forbrug'!$D178,'Forbrug af biomasse'!$A$2:$A$431,'Resultat-Produktion &amp; forbrug'!L$2,'Forbrug af biomasse'!$B$2:$B$431,$E178),F178)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55000000000000004">
      <c r="A179" s="189" t="s">
        <v>310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 ca="1"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forbrug'!G$2,'Forbrug af biomasse'!$B$2:$B$431,$E179)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forbrug'!I$2,'Forbrug af biomasse'!$B$2:$B$431,$E179)</f>
        <v>0</v>
      </c>
      <c r="J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forbrug'!J$2,'Forbrug af biomasse'!$B$2:$B$431,$E179)</f>
        <v>0</v>
      </c>
      <c r="K179" s="190">
        <f>SUMIFS('Forbrug af biomasse'!$E$2:$E$431,'Forbrug af biomasse'!$C$2:$C$431,'Resultat-Produktion &amp; forbrug'!$A179,'Forbrug af biomasse'!$D$2:$D$431,'Resultat-Produktion &amp; forbrug'!$D179,'Forbrug af biomasse'!$A$2:$A$431,'Resultat-Produktion &amp; forbrug'!K$2,'Forbrug af biomasse'!$B$2:$B$431,$E179)</f>
        <v>0</v>
      </c>
      <c r="L179" s="190">
        <f ca="1">IF(A179&lt;&gt;"Biogas",SUMIFS('Forbrug af biomasse'!$E$2:$E$431,'Forbrug af biomasse'!$C$2:$C$431,'Resultat-Produktion &amp; forbrug'!$A179,'Forbrug af biomasse'!$D$2:$D$431,'Resultat-Produktion &amp; forbrug'!$D179,'Forbrug af biomasse'!$A$2:$A$431,'Resultat-Produktion &amp; forbrug'!L$2,'Forbrug af biomasse'!$B$2:$B$431,$E179),F179)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ca="1" si="52">F179-SUM(G179:M179)</f>
        <v>0</v>
      </c>
      <c r="O179" s="190">
        <f t="shared" ca="1" si="39"/>
        <v>0</v>
      </c>
      <c r="P179" s="200">
        <f t="shared" ref="P179:P180" ca="1" si="53">SUM(J179,L179)</f>
        <v>0</v>
      </c>
      <c r="Q179" s="187">
        <f ca="1">IFERROR(VLOOKUP(A179,[1]Energiindhold!$A$2:$C$11,3,FALSE),IFERROR(VLOOKUP(A179,[1]Biogasudbytte!$A$2:$B$18,2,FALSE)*[1]Energiindhold!$C$10,0))*O179</f>
        <v>0</v>
      </c>
      <c r="R179" s="187">
        <f ca="1"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ca="1" si="54">R179-S179</f>
        <v>0</v>
      </c>
      <c r="U179" s="186">
        <f ca="1">O179*IFERROR(VLOOKUP(A179,[1]Tørstofindhold!A$2:B$24,2,FALSE),0)</f>
        <v>0</v>
      </c>
      <c r="V179" s="187">
        <f ca="1"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ca="1" si="55">V179-W179</f>
        <v>0</v>
      </c>
      <c r="Y179" s="168">
        <f t="shared" ca="1" si="43"/>
        <v>0</v>
      </c>
      <c r="Z179" s="103">
        <f t="shared" ca="1" si="44"/>
        <v>0</v>
      </c>
    </row>
    <row r="180" spans="1:26" x14ac:dyDescent="0.55000000000000004">
      <c r="A180" s="189" t="s">
        <v>311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 ca="1"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forbrug'!G$2,'Forbrug af biomasse'!$B$2:$B$431,$E180)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forbrug'!I$2,'Forbrug af biomasse'!$B$2:$B$431,$E180)</f>
        <v>0</v>
      </c>
      <c r="J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forbrug'!J$2,'Forbrug af biomasse'!$B$2:$B$431,$E180)</f>
        <v>0</v>
      </c>
      <c r="K180" s="190">
        <f>SUMIFS('Forbrug af biomasse'!$E$2:$E$431,'Forbrug af biomasse'!$C$2:$C$431,'Resultat-Produktion &amp; forbrug'!$A180,'Forbrug af biomasse'!$D$2:$D$431,'Resultat-Produktion &amp; forbrug'!$D180,'Forbrug af biomasse'!$A$2:$A$431,'Resultat-Produktion &amp; forbrug'!K$2,'Forbrug af biomasse'!$B$2:$B$431,$E180)</f>
        <v>0</v>
      </c>
      <c r="L180" s="190">
        <f ca="1">IF(A180&lt;&gt;"Biogas",SUMIFS('Forbrug af biomasse'!$E$2:$E$431,'Forbrug af biomasse'!$C$2:$C$431,'Resultat-Produktion &amp; forbrug'!$A180,'Forbrug af biomasse'!$D$2:$D$431,'Resultat-Produktion &amp; forbrug'!$D180,'Forbrug af biomasse'!$A$2:$A$431,'Resultat-Produktion &amp; forbrug'!L$2,'Forbrug af biomasse'!$B$2:$B$431,$E180),F180)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ca="1" si="52"/>
        <v>0</v>
      </c>
      <c r="O180" s="190">
        <f t="shared" ca="1" si="39"/>
        <v>0</v>
      </c>
      <c r="P180" s="200">
        <f t="shared" ca="1" si="53"/>
        <v>0</v>
      </c>
      <c r="Q180" s="187">
        <f ca="1">IFERROR(VLOOKUP(A180,[1]Energiindhold!$A$2:$C$11,3,FALSE),IFERROR(VLOOKUP(A180,[1]Biogasudbytte!$A$2:$B$18,2,FALSE)*[1]Energiindhold!$C$10,0))*O180</f>
        <v>0</v>
      </c>
      <c r="R180" s="187">
        <f ca="1"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ca="1" si="54"/>
        <v>0</v>
      </c>
      <c r="U180" s="186">
        <f ca="1">O180*IFERROR(VLOOKUP(A180,[1]Tørstofindhold!A$2:B$24,2,FALSE),0)</f>
        <v>0</v>
      </c>
      <c r="V180" s="187">
        <f ca="1"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ca="1" si="55"/>
        <v>0</v>
      </c>
      <c r="Y180" s="168">
        <f t="shared" ca="1" si="43"/>
        <v>0</v>
      </c>
      <c r="Z180" s="103">
        <f t="shared" ca="1" si="44"/>
        <v>0</v>
      </c>
    </row>
    <row r="181" spans="1:26" x14ac:dyDescent="0.55000000000000004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forbrug'!G$2,'Forbrug af biomasse'!$B$2:$B$431,$E181)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forbrug'!I$2,'Forbrug af biomasse'!$B$2:$B$431,$E181)</f>
        <v>0</v>
      </c>
      <c r="J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forbrug'!J$2,'Forbrug af biomasse'!$B$2:$B$431,$E181)</f>
        <v>0</v>
      </c>
      <c r="K181" s="190">
        <f>SUMIFS('Forbrug af biomasse'!$E$2:$E$431,'Forbrug af biomasse'!$C$2:$C$431,'Resultat-Produktion &amp; forbrug'!$A181,'Forbrug af biomasse'!$D$2:$D$431,'Resultat-Produktion &amp; forbrug'!$D181,'Forbrug af biomasse'!$A$2:$A$431,'Resultat-Produktion &amp; forbrug'!K$2,'Forbrug af biomasse'!$B$2:$B$431,$E181)</f>
        <v>0</v>
      </c>
      <c r="L181" s="190">
        <f>IF(A181&lt;&gt;"Biogas",SUMIFS('Forbrug af biomasse'!$E$2:$E$431,'Forbrug af biomasse'!$C$2:$C$431,'Resultat-Produktion &amp; forbrug'!$A181,'Forbrug af biomasse'!$D$2:$D$431,'Resultat-Produktion &amp; forbrug'!$D181,'Forbrug af biomasse'!$A$2:$A$431,'Resultat-Produktion &amp; forbrug'!L$2,'Forbrug af biomasse'!$B$2:$B$431,$E181),F181)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55000000000000004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forbrug'!G$2,'Forbrug af biomasse'!$B$2:$B$431,$E182)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forbrug'!I$2,'Forbrug af biomasse'!$B$2:$B$431,$E182)</f>
        <v>0</v>
      </c>
      <c r="J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forbrug'!J$2,'Forbrug af biomasse'!$B$2:$B$431,$E182)</f>
        <v>0</v>
      </c>
      <c r="K182" s="190">
        <f>SUMIFS('Forbrug af biomasse'!$E$2:$E$431,'Forbrug af biomasse'!$C$2:$C$431,'Resultat-Produktion &amp; forbrug'!$A182,'Forbrug af biomasse'!$D$2:$D$431,'Resultat-Produktion &amp; forbrug'!$D182,'Forbrug af biomasse'!$A$2:$A$431,'Resultat-Produktion &amp; forbrug'!K$2,'Forbrug af biomasse'!$B$2:$B$431,$E182)</f>
        <v>0</v>
      </c>
      <c r="L182" s="190">
        <f>IF(A182&lt;&gt;"Biogas",SUMIFS('Forbrug af biomasse'!$E$2:$E$431,'Forbrug af biomasse'!$C$2:$C$431,'Resultat-Produktion &amp; forbrug'!$A182,'Forbrug af biomasse'!$D$2:$D$431,'Resultat-Produktion &amp; forbrug'!$D182,'Forbrug af biomasse'!$A$2:$A$431,'Resultat-Produktion &amp; forbrug'!L$2,'Forbrug af biomasse'!$B$2:$B$431,$E182),F182)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55000000000000004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forbrug'!G$2,'Forbrug af biomasse'!$B$2:$B$431,$E183)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forbrug'!I$2,'Forbrug af biomasse'!$B$2:$B$431,$E183)</f>
        <v>0</v>
      </c>
      <c r="J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forbrug'!J$2,'Forbrug af biomasse'!$B$2:$B$431,$E183)</f>
        <v>0</v>
      </c>
      <c r="K183" s="190">
        <f>SUMIFS('Forbrug af biomasse'!$E$2:$E$431,'Forbrug af biomasse'!$C$2:$C$431,'Resultat-Produktion &amp; forbrug'!$A183,'Forbrug af biomasse'!$D$2:$D$431,'Resultat-Produktion &amp; forbrug'!$D183,'Forbrug af biomasse'!$A$2:$A$431,'Resultat-Produktion &amp; forbrug'!K$2,'Forbrug af biomasse'!$B$2:$B$431,$E183)</f>
        <v>0</v>
      </c>
      <c r="L183" s="190">
        <f>IF(A183&lt;&gt;"Biogas",SUMIFS('Forbrug af biomasse'!$E$2:$E$431,'Forbrug af biomasse'!$C$2:$C$431,'Resultat-Produktion &amp; forbrug'!$A183,'Forbrug af biomasse'!$D$2:$D$431,'Resultat-Produktion &amp; forbrug'!$D183,'Forbrug af biomasse'!$A$2:$A$431,'Resultat-Produktion &amp; forbrug'!L$2,'Forbrug af biomasse'!$B$2:$B$431,$E183),F183)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55000000000000004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forbrug'!G$2,'Forbrug af biomasse'!$B$2:$B$431,$E184)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forbrug'!I$2,'Forbrug af biomasse'!$B$2:$B$431,$E184)</f>
        <v>0</v>
      </c>
      <c r="J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forbrug'!J$2,'Forbrug af biomasse'!$B$2:$B$431,$E184)</f>
        <v>0</v>
      </c>
      <c r="K184" s="190">
        <f>SUMIFS('Forbrug af biomasse'!$E$2:$E$431,'Forbrug af biomasse'!$C$2:$C$431,'Resultat-Produktion &amp; forbrug'!$A184,'Forbrug af biomasse'!$D$2:$D$431,'Resultat-Produktion &amp; forbrug'!$D184,'Forbrug af biomasse'!$A$2:$A$431,'Resultat-Produktion &amp; forbrug'!K$2,'Forbrug af biomasse'!$B$2:$B$431,$E184)</f>
        <v>0</v>
      </c>
      <c r="L184" s="190">
        <f>IF(A184&lt;&gt;"Biogas",SUMIFS('Forbrug af biomasse'!$E$2:$E$431,'Forbrug af biomasse'!$C$2:$C$431,'Resultat-Produktion &amp; forbrug'!$A184,'Forbrug af biomasse'!$D$2:$D$431,'Resultat-Produktion &amp; forbrug'!$D184,'Forbrug af biomasse'!$A$2:$A$431,'Resultat-Produktion &amp; forbrug'!L$2,'Forbrug af biomasse'!$B$2:$B$431,$E184),F184)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55000000000000004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forbrug'!G$2,'Forbrug af biomasse'!$B$2:$B$431,$E185)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forbrug'!I$2,'Forbrug af biomasse'!$B$2:$B$431,$E185)</f>
        <v>0</v>
      </c>
      <c r="J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forbrug'!J$2,'Forbrug af biomasse'!$B$2:$B$431,$E185)</f>
        <v>24503.032029712213</v>
      </c>
      <c r="K185" s="190">
        <f>SUMIFS('Forbrug af biomasse'!$E$2:$E$431,'Forbrug af biomasse'!$C$2:$C$431,'Resultat-Produktion &amp; forbrug'!$A185,'Forbrug af biomasse'!$D$2:$D$431,'Resultat-Produktion &amp; forbrug'!$D185,'Forbrug af biomasse'!$A$2:$A$431,'Resultat-Produktion &amp; forbrug'!K$2,'Forbrug af biomasse'!$B$2:$B$431,$E185)</f>
        <v>0</v>
      </c>
      <c r="L185" s="190">
        <f>IF(A185&lt;&gt;"Biogas",SUMIFS('Forbrug af biomasse'!$E$2:$E$431,'Forbrug af biomasse'!$C$2:$C$431,'Resultat-Produktion &amp; forbrug'!$A185,'Forbrug af biomasse'!$D$2:$D$431,'Resultat-Produktion &amp; forbrug'!$D185,'Forbrug af biomasse'!$A$2:$A$431,'Resultat-Produktion &amp; forbrug'!L$2,'Forbrug af biomasse'!$B$2:$B$431,$E185),F185)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55000000000000004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forbrug'!G$2,'Forbrug af biomasse'!$B$2:$B$431,$E186)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forbrug'!I$2,'Forbrug af biomasse'!$B$2:$B$431,$E186)</f>
        <v>0</v>
      </c>
      <c r="J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forbrug'!J$2,'Forbrug af biomasse'!$B$2:$B$431,$E186)</f>
        <v>0</v>
      </c>
      <c r="K186" s="190">
        <f>SUMIFS('Forbrug af biomasse'!$E$2:$E$431,'Forbrug af biomasse'!$C$2:$C$431,'Resultat-Produktion &amp; forbrug'!$A186,'Forbrug af biomasse'!$D$2:$D$431,'Resultat-Produktion &amp; forbrug'!$D186,'Forbrug af biomasse'!$A$2:$A$431,'Resultat-Produktion &amp; forbrug'!K$2,'Forbrug af biomasse'!$B$2:$B$431,$E186)</f>
        <v>0</v>
      </c>
      <c r="L186" s="190">
        <f>IF(A186&lt;&gt;"Biogas",SUMIFS('Forbrug af biomasse'!$E$2:$E$431,'Forbrug af biomasse'!$C$2:$C$431,'Resultat-Produktion &amp; forbrug'!$A186,'Forbrug af biomasse'!$D$2:$D$431,'Resultat-Produktion &amp; forbrug'!$D186,'Forbrug af biomasse'!$A$2:$A$431,'Resultat-Produktion &amp; forbrug'!L$2,'Forbrug af biomasse'!$B$2:$B$431,$E186),F186)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55000000000000004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forbrug'!G$2,'Forbrug af biomasse'!$B$2:$B$431,$E187)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forbrug'!I$2,'Forbrug af biomasse'!$B$2:$B$431,$E187)</f>
        <v>0</v>
      </c>
      <c r="J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forbrug'!J$2,'Forbrug af biomasse'!$B$2:$B$431,$E187)</f>
        <v>0</v>
      </c>
      <c r="K187" s="190">
        <f>SUMIFS('Forbrug af biomasse'!$E$2:$E$431,'Forbrug af biomasse'!$C$2:$C$431,'Resultat-Produktion &amp; forbrug'!$A187,'Forbrug af biomasse'!$D$2:$D$431,'Resultat-Produktion &amp; forbrug'!$D187,'Forbrug af biomasse'!$A$2:$A$431,'Resultat-Produktion &amp; forbrug'!K$2,'Forbrug af biomasse'!$B$2:$B$431,$E187)</f>
        <v>0</v>
      </c>
      <c r="L187" s="190">
        <f>IF(A187&lt;&gt;"Biogas",SUMIFS('Forbrug af biomasse'!$E$2:$E$431,'Forbrug af biomasse'!$C$2:$C$431,'Resultat-Produktion &amp; forbrug'!$A187,'Forbrug af biomasse'!$D$2:$D$431,'Resultat-Produktion &amp; forbrug'!$D187,'Forbrug af biomasse'!$A$2:$A$431,'Resultat-Produktion &amp; forbrug'!L$2,'Forbrug af biomasse'!$B$2:$B$431,$E187),F187)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55000000000000004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forbrug'!G$2,'Forbrug af biomasse'!$B$2:$B$431,$E188)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forbrug'!I$2,'Forbrug af biomasse'!$B$2:$B$431,$E188)</f>
        <v>0</v>
      </c>
      <c r="J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forbrug'!J$2,'Forbrug af biomasse'!$B$2:$B$431,$E188)</f>
        <v>1208651.4125341829</v>
      </c>
      <c r="K188" s="190">
        <f>SUMIFS('Forbrug af biomasse'!$E$2:$E$431,'Forbrug af biomasse'!$C$2:$C$431,'Resultat-Produktion &amp; forbrug'!$A188,'Forbrug af biomasse'!$D$2:$D$431,'Resultat-Produktion &amp; forbrug'!$D188,'Forbrug af biomasse'!$A$2:$A$431,'Resultat-Produktion &amp; forbrug'!K$2,'Forbrug af biomasse'!$B$2:$B$431,$E188)</f>
        <v>0</v>
      </c>
      <c r="L188" s="190">
        <f>IF(A188&lt;&gt;"Biogas",SUMIFS('Forbrug af biomasse'!$E$2:$E$431,'Forbrug af biomasse'!$C$2:$C$431,'Resultat-Produktion &amp; forbrug'!$A188,'Forbrug af biomasse'!$D$2:$D$431,'Resultat-Produktion &amp; forbrug'!$D188,'Forbrug af biomasse'!$A$2:$A$431,'Resultat-Produktion &amp; forbrug'!L$2,'Forbrug af biomasse'!$B$2:$B$431,$E188),F188)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55000000000000004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forbrug'!G$2,'Forbrug af biomasse'!$B$2:$B$431,$E189)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forbrug'!I$2,'Forbrug af biomasse'!$B$2:$B$431,$E189)</f>
        <v>0</v>
      </c>
      <c r="J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forbrug'!J$2,'Forbrug af biomasse'!$B$2:$B$431,$E189)</f>
        <v>380427.26035611134</v>
      </c>
      <c r="K189" s="190">
        <f>SUMIFS('Forbrug af biomasse'!$E$2:$E$431,'Forbrug af biomasse'!$C$2:$C$431,'Resultat-Produktion &amp; forbrug'!$A189,'Forbrug af biomasse'!$D$2:$D$431,'Resultat-Produktion &amp; forbrug'!$D189,'Forbrug af biomasse'!$A$2:$A$431,'Resultat-Produktion &amp; forbrug'!K$2,'Forbrug af biomasse'!$B$2:$B$431,$E189)</f>
        <v>1924034.2327518209</v>
      </c>
      <c r="L189" s="190">
        <f>IF(A189&lt;&gt;"Biogas",SUMIFS('Forbrug af biomasse'!$E$2:$E$431,'Forbrug af biomasse'!$C$2:$C$431,'Resultat-Produktion &amp; forbrug'!$A189,'Forbrug af biomasse'!$D$2:$D$431,'Resultat-Produktion &amp; forbrug'!$D189,'Forbrug af biomasse'!$A$2:$A$431,'Resultat-Produktion &amp; forbrug'!L$2,'Forbrug af biomasse'!$B$2:$B$431,$E189),F189)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55000000000000004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forbrug'!G$2,'Forbrug af biomasse'!$B$2:$B$431,$E190)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forbrug'!I$2,'Forbrug af biomasse'!$B$2:$B$431,$E190)</f>
        <v>100555.62853170674</v>
      </c>
      <c r="J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forbrug'!J$2,'Forbrug af biomasse'!$B$2:$B$431,$E190)</f>
        <v>0</v>
      </c>
      <c r="K190" s="190">
        <f>SUMIFS('Forbrug af biomasse'!$E$2:$E$431,'Forbrug af biomasse'!$C$2:$C$431,'Resultat-Produktion &amp; forbrug'!$A190,'Forbrug af biomasse'!$D$2:$D$431,'Resultat-Produktion &amp; forbrug'!$D190,'Forbrug af biomasse'!$A$2:$A$431,'Resultat-Produktion &amp; forbrug'!K$2,'Forbrug af biomasse'!$B$2:$B$431,$E190)</f>
        <v>0</v>
      </c>
      <c r="L190" s="190">
        <f>IF(A190&lt;&gt;"Biogas",SUMIFS('Forbrug af biomasse'!$E$2:$E$431,'Forbrug af biomasse'!$C$2:$C$431,'Resultat-Produktion &amp; forbrug'!$A190,'Forbrug af biomasse'!$D$2:$D$431,'Resultat-Produktion &amp; forbrug'!$D190,'Forbrug af biomasse'!$A$2:$A$431,'Resultat-Produktion &amp; forbrug'!L$2,'Forbrug af biomasse'!$B$2:$B$431,$E190),F190)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55000000000000004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forbrug'!G$2,'Forbrug af biomasse'!$B$2:$B$431,$E191)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forbrug'!I$2,'Forbrug af biomasse'!$B$2:$B$431,$E191)</f>
        <v>0</v>
      </c>
      <c r="J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forbrug'!J$2,'Forbrug af biomasse'!$B$2:$B$431,$E191)</f>
        <v>0</v>
      </c>
      <c r="K191" s="190">
        <f>SUMIFS('Forbrug af biomasse'!$E$2:$E$431,'Forbrug af biomasse'!$C$2:$C$431,'Resultat-Produktion &amp; forbrug'!$A191,'Forbrug af biomasse'!$D$2:$D$431,'Resultat-Produktion &amp; forbrug'!$D191,'Forbrug af biomasse'!$A$2:$A$431,'Resultat-Produktion &amp; forbrug'!K$2,'Forbrug af biomasse'!$B$2:$B$431,$E191)</f>
        <v>0</v>
      </c>
      <c r="L191" s="190">
        <f>IF(A191&lt;&gt;"Biogas",SUMIFS('Forbrug af biomasse'!$E$2:$E$431,'Forbrug af biomasse'!$C$2:$C$431,'Resultat-Produktion &amp; forbrug'!$A191,'Forbrug af biomasse'!$D$2:$D$431,'Resultat-Produktion &amp; forbrug'!$D191,'Forbrug af biomasse'!$A$2:$A$431,'Resultat-Produktion &amp; forbrug'!L$2,'Forbrug af biomasse'!$B$2:$B$431,$E191),F191)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55000000000000004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forbrug'!G$2,'Forbrug af biomasse'!$B$2:$B$431,$E192)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forbrug'!I$2,'Forbrug af biomasse'!$B$2:$B$431,$E192)</f>
        <v>0</v>
      </c>
      <c r="J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forbrug'!J$2,'Forbrug af biomasse'!$B$2:$B$431,$E192)</f>
        <v>0</v>
      </c>
      <c r="K192" s="190">
        <f>SUMIFS('Forbrug af biomasse'!$E$2:$E$431,'Forbrug af biomasse'!$C$2:$C$431,'Resultat-Produktion &amp; forbrug'!$A192,'Forbrug af biomasse'!$D$2:$D$431,'Resultat-Produktion &amp; forbrug'!$D192,'Forbrug af biomasse'!$A$2:$A$431,'Resultat-Produktion &amp; forbrug'!K$2,'Forbrug af biomasse'!$B$2:$B$431,$E192)</f>
        <v>0</v>
      </c>
      <c r="L192" s="190">
        <f>IF(A192&lt;&gt;"Biogas",SUMIFS('Forbrug af biomasse'!$E$2:$E$431,'Forbrug af biomasse'!$C$2:$C$431,'Resultat-Produktion &amp; forbrug'!$A192,'Forbrug af biomasse'!$D$2:$D$431,'Resultat-Produktion &amp; forbrug'!$D192,'Forbrug af biomasse'!$A$2:$A$431,'Resultat-Produktion &amp; forbrug'!L$2,'Forbrug af biomasse'!$B$2:$B$431,$E192),F192)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55000000000000004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forbrug'!G$2,'Forbrug af biomasse'!$B$2:$B$431,$E193)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forbrug'!I$2,'Forbrug af biomasse'!$B$2:$B$431,$E193)</f>
        <v>0</v>
      </c>
      <c r="J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forbrug'!J$2,'Forbrug af biomasse'!$B$2:$B$431,$E193)</f>
        <v>0</v>
      </c>
      <c r="K193" s="190">
        <f>SUMIFS('Forbrug af biomasse'!$E$2:$E$431,'Forbrug af biomasse'!$C$2:$C$431,'Resultat-Produktion &amp; forbrug'!$A193,'Forbrug af biomasse'!$D$2:$D$431,'Resultat-Produktion &amp; forbrug'!$D193,'Forbrug af biomasse'!$A$2:$A$431,'Resultat-Produktion &amp; forbrug'!K$2,'Forbrug af biomasse'!$B$2:$B$431,$E193)</f>
        <v>0</v>
      </c>
      <c r="L193" s="190">
        <f ca="1">IF(A193&lt;&gt;"Biogas",SUMIFS('Forbrug af biomasse'!$E$2:$E$431,'Forbrug af biomasse'!$C$2:$C$431,'Resultat-Produktion &amp; forbrug'!$A193,'Forbrug af biomasse'!$D$2:$D$431,'Resultat-Produktion &amp; forbrug'!$D193,'Forbrug af biomasse'!$A$2:$A$431,'Resultat-Produktion &amp; forbrug'!L$2,'Forbrug af biomasse'!$B$2:$B$431,$E193),F193)</f>
        <v>681614.98381741357</v>
      </c>
      <c r="M193" s="154">
        <f ca="1"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55000000000000004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forbrug'!G$2,'Forbrug af biomasse'!$B$2:$B$431,$E194)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forbrug'!I$2,'Forbrug af biomasse'!$B$2:$B$431,$E194)</f>
        <v>0</v>
      </c>
      <c r="J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forbrug'!J$2,'Forbrug af biomasse'!$B$2:$B$431,$E194)</f>
        <v>0</v>
      </c>
      <c r="K194" s="190">
        <f>SUMIFS('Forbrug af biomasse'!$E$2:$E$431,'Forbrug af biomasse'!$C$2:$C$431,'Resultat-Produktion &amp; forbrug'!$A194,'Forbrug af biomasse'!$D$2:$D$431,'Resultat-Produktion &amp; forbrug'!$D194,'Forbrug af biomasse'!$A$2:$A$431,'Resultat-Produktion &amp; forbrug'!K$2,'Forbrug af biomasse'!$B$2:$B$431,$E194)</f>
        <v>0</v>
      </c>
      <c r="L194" s="190">
        <f>IF(A194&lt;&gt;"Biogas",SUMIFS('Forbrug af biomasse'!$E$2:$E$431,'Forbrug af biomasse'!$C$2:$C$431,'Resultat-Produktion &amp; forbrug'!$A194,'Forbrug af biomasse'!$D$2:$D$431,'Resultat-Produktion &amp; forbrug'!$D194,'Forbrug af biomasse'!$A$2:$A$431,'Resultat-Produktion &amp; forbrug'!L$2,'Forbrug af biomasse'!$B$2:$B$431,$E194),F194)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55000000000000004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forbrug'!G$2,'Forbrug af biomasse'!$B$2:$B$431,$E195)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forbrug'!I$2,'Forbrug af biomasse'!$B$2:$B$431,$E195)</f>
        <v>28209.340124628539</v>
      </c>
      <c r="J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forbrug'!J$2,'Forbrug af biomasse'!$B$2:$B$431,$E195)</f>
        <v>0</v>
      </c>
      <c r="K195" s="190">
        <f>SUMIFS('Forbrug af biomasse'!$E$2:$E$431,'Forbrug af biomasse'!$C$2:$C$431,'Resultat-Produktion &amp; forbrug'!$A195,'Forbrug af biomasse'!$D$2:$D$431,'Resultat-Produktion &amp; forbrug'!$D195,'Forbrug af biomasse'!$A$2:$A$431,'Resultat-Produktion &amp; forbrug'!K$2,'Forbrug af biomasse'!$B$2:$B$431,$E195)</f>
        <v>0</v>
      </c>
      <c r="L195" s="190">
        <f>IF(A195&lt;&gt;"Biogas",SUMIFS('Forbrug af biomasse'!$E$2:$E$431,'Forbrug af biomasse'!$C$2:$C$431,'Resultat-Produktion &amp; forbrug'!$A195,'Forbrug af biomasse'!$D$2:$D$431,'Resultat-Produktion &amp; forbrug'!$D195,'Forbrug af biomasse'!$A$2:$A$431,'Resultat-Produktion &amp; forbrug'!L$2,'Forbrug af biomasse'!$B$2:$B$431,$E195),F195)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55000000000000004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forbrug'!G$2,'Forbrug af biomasse'!$B$2:$B$431,$E196)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forbrug'!I$2,'Forbrug af biomasse'!$B$2:$B$431,$E196)</f>
        <v>0</v>
      </c>
      <c r="J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forbrug'!J$2,'Forbrug af biomasse'!$B$2:$B$431,$E196)</f>
        <v>0</v>
      </c>
      <c r="K196" s="190">
        <f>SUMIFS('Forbrug af biomasse'!$E$2:$E$431,'Forbrug af biomasse'!$C$2:$C$431,'Resultat-Produktion &amp; forbrug'!$A196,'Forbrug af biomasse'!$D$2:$D$431,'Resultat-Produktion &amp; forbrug'!$D196,'Forbrug af biomasse'!$A$2:$A$431,'Resultat-Produktion &amp; forbrug'!K$2,'Forbrug af biomasse'!$B$2:$B$431,$E196)</f>
        <v>0</v>
      </c>
      <c r="L196" s="190">
        <f>IF(A196&lt;&gt;"Biogas",SUMIFS('Forbrug af biomasse'!$E$2:$E$431,'Forbrug af biomasse'!$C$2:$C$431,'Resultat-Produktion &amp; forbrug'!$A196,'Forbrug af biomasse'!$D$2:$D$431,'Resultat-Produktion &amp; forbrug'!$D196,'Forbrug af biomasse'!$A$2:$A$431,'Resultat-Produktion &amp; forbrug'!L$2,'Forbrug af biomasse'!$B$2:$B$431,$E196),F196)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20510.848365416048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55000000000000004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forbrug'!G$2,'Forbrug af biomasse'!$B$2:$B$431,$E197)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forbrug'!I$2,'Forbrug af biomasse'!$B$2:$B$431,$E197)</f>
        <v>0</v>
      </c>
      <c r="J197" s="190">
        <f ca="1">SUMIFS('Forbrug af biomasse'!$E$2:$E$431,'Forbrug af biomasse'!$C$2:$C$431,'Resultat-Produktion &amp; forbrug'!$A197,'Forbrug af biomasse'!$D$2:$D$431,'Resultat-Produktion &amp; forbrug'!$D197,'Forbrug af biomasse'!$A$2:$A$431,'Resultat-Produktion &amp; forbrug'!J$2,'Forbrug af biomasse'!$B$2:$B$431,$E197)</f>
        <v>168912.75887120995</v>
      </c>
      <c r="K197" s="190">
        <f>SUMIFS('Forbrug af biomasse'!$E$2:$E$431,'Forbrug af biomasse'!$C$2:$C$431,'Resultat-Produktion &amp; forbrug'!$A197,'Forbrug af biomasse'!$D$2:$D$431,'Resultat-Produktion &amp; forbrug'!$D197,'Forbrug af biomasse'!$A$2:$A$431,'Resultat-Produktion &amp; forbrug'!K$2,'Forbrug af biomasse'!$B$2:$B$431,$E197)</f>
        <v>0</v>
      </c>
      <c r="L197" s="190">
        <f ca="1">IF(A197&lt;&gt;"Biogas",SUMIFS('Forbrug af biomasse'!$E$2:$E$431,'Forbrug af biomasse'!$C$2:$C$431,'Resultat-Produktion &amp; forbrug'!$A197,'Forbrug af biomasse'!$D$2:$D$431,'Resultat-Produktion &amp; forbrug'!$D197,'Forbrug af biomasse'!$A$2:$A$431,'Resultat-Produktion &amp; forbrug'!L$2,'Forbrug af biomasse'!$B$2:$B$431,$E197),F197)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55000000000000004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108778137.96208517</v>
      </c>
      <c r="G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forbrug'!G$2,'Forbrug af biomasse'!$B$2:$B$431,$E198)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forbrug'!I$2,'Forbrug af biomasse'!$B$2:$B$431,$E198)</f>
        <v>0</v>
      </c>
      <c r="J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forbrug'!J$2,'Forbrug af biomasse'!$B$2:$B$431,$E198)</f>
        <v>0</v>
      </c>
      <c r="K198" s="190">
        <f>SUMIFS('Forbrug af biomasse'!$E$2:$E$431,'Forbrug af biomasse'!$C$2:$C$431,'Resultat-Produktion &amp; forbrug'!$A198,'Forbrug af biomasse'!$D$2:$D$431,'Resultat-Produktion &amp; forbrug'!$D198,'Forbrug af biomasse'!$A$2:$A$431,'Resultat-Produktion &amp; forbrug'!K$2,'Forbrug af biomasse'!$B$2:$B$431,$E198)</f>
        <v>0</v>
      </c>
      <c r="L198" s="190">
        <f ca="1">IF(A198&lt;&gt;"Biogas",SUMIFS('Forbrug af biomasse'!$E$2:$E$431,'Forbrug af biomasse'!$C$2:$C$431,'Resultat-Produktion &amp; forbrug'!$A198,'Forbrug af biomasse'!$D$2:$D$431,'Resultat-Produktion &amp; forbrug'!$D198,'Forbrug af biomasse'!$A$2:$A$431,'Resultat-Produktion &amp; forbrug'!L$2,'Forbrug af biomasse'!$B$2:$B$431,$E198),F198)</f>
        <v>108778137.96208517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108778137.96208517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55000000000000004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3475921.4954590979</v>
      </c>
      <c r="G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forbrug'!G$2,'Forbrug af biomasse'!$B$2:$B$431,$E199)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forbrug'!I$2,'Forbrug af biomasse'!$B$2:$B$431,$E199)</f>
        <v>0</v>
      </c>
      <c r="J199" s="190">
        <f>SUMIFS('Forbrug af biomasse'!$E$2:$E$431,'Forbrug af biomasse'!$C$2:$C$431,'Resultat-Produktion &amp; forbrug'!$A199,'Forbrug af biomasse'!$D$2:$D$431,'Resultat-Produktion &amp; forbrug'!$D199,'Forbrug af biomasse'!$A$2:$A$431,'Resultat-Produktion &amp; forbrug'!J$2,'Forbrug af biomasse'!$B$2:$B$431,$E199)</f>
        <v>0</v>
      </c>
      <c r="K199" s="190">
        <f ca="1">SUMIFS('Forbrug af biomasse'!$E$2:$E$431,'Forbrug af biomasse'!$C$2:$C$431,'Resultat-Produktion &amp; forbrug'!$A199,'Forbrug af biomasse'!$D$2:$D$431,'Resultat-Produktion &amp; forbrug'!$D199,'Forbrug af biomasse'!$A$2:$A$431,'Resultat-Produktion &amp; forbrug'!K$2,'Forbrug af biomasse'!$B$2:$B$431,$E199)</f>
        <v>3047096.7359039234</v>
      </c>
      <c r="L199" s="190">
        <f>IF(A199&lt;&gt;"Biogas",SUMIFS('Forbrug af biomasse'!$E$2:$E$431,'Forbrug af biomasse'!$C$2:$C$431,'Resultat-Produktion &amp; forbrug'!$A199,'Forbrug af biomasse'!$D$2:$D$431,'Resultat-Produktion &amp; forbrug'!$D199,'Forbrug af biomasse'!$A$2:$A$431,'Resultat-Produktion &amp; forbrug'!L$2,'Forbrug af biomasse'!$B$2:$B$431,$E199),F199)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428824.7595551745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55000000000000004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forbrug'!G$2,'Forbrug af biomasse'!$B$2:$B$431,$E200)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forbrug'!I$2,'Forbrug af biomasse'!$B$2:$B$431,$E200)</f>
        <v>0</v>
      </c>
      <c r="J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forbrug'!J$2,'Forbrug af biomasse'!$B$2:$B$431,$E200)</f>
        <v>0</v>
      </c>
      <c r="K200" s="190">
        <f>SUMIFS('Forbrug af biomasse'!$E$2:$E$431,'Forbrug af biomasse'!$C$2:$C$431,'Resultat-Produktion &amp; forbrug'!$A200,'Forbrug af biomasse'!$D$2:$D$431,'Resultat-Produktion &amp; forbrug'!$D200,'Forbrug af biomasse'!$A$2:$A$431,'Resultat-Produktion &amp; forbrug'!K$2,'Forbrug af biomasse'!$B$2:$B$431,$E200)</f>
        <v>0</v>
      </c>
      <c r="L200" s="190">
        <f>IF(A200&lt;&gt;"Biogas",SUMIFS('Forbrug af biomasse'!$E$2:$E$431,'Forbrug af biomasse'!$C$2:$C$431,'Resultat-Produktion &amp; forbrug'!$A200,'Forbrug af biomasse'!$D$2:$D$431,'Resultat-Produktion &amp; forbrug'!$D200,'Forbrug af biomasse'!$A$2:$A$431,'Resultat-Produktion &amp; forbrug'!L$2,'Forbrug af biomasse'!$B$2:$B$431,$E200),F200)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55000000000000004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forbrug'!G$2,'Forbrug af biomasse'!$B$2:$B$431,$E201)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forbrug'!I$2,'Forbrug af biomasse'!$B$2:$B$431,$E201)</f>
        <v>0</v>
      </c>
      <c r="J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forbrug'!J$2,'Forbrug af biomasse'!$B$2:$B$431,$E201)</f>
        <v>179027.55479609076</v>
      </c>
      <c r="K201" s="190">
        <f>SUMIFS('Forbrug af biomasse'!$E$2:$E$431,'Forbrug af biomasse'!$C$2:$C$431,'Resultat-Produktion &amp; forbrug'!$A201,'Forbrug af biomasse'!$D$2:$D$431,'Resultat-Produktion &amp; forbrug'!$D201,'Forbrug af biomasse'!$A$2:$A$431,'Resultat-Produktion &amp; forbrug'!K$2,'Forbrug af biomasse'!$B$2:$B$431,$E201)</f>
        <v>67774.717172805787</v>
      </c>
      <c r="L201" s="190">
        <f>IF(A201&lt;&gt;"Biogas",SUMIFS('Forbrug af biomasse'!$E$2:$E$431,'Forbrug af biomasse'!$C$2:$C$431,'Resultat-Produktion &amp; forbrug'!$A201,'Forbrug af biomasse'!$D$2:$D$431,'Resultat-Produktion &amp; forbrug'!$D201,'Forbrug af biomasse'!$A$2:$A$431,'Resultat-Produktion &amp; forbrug'!L$2,'Forbrug af biomasse'!$B$2:$B$431,$E201),F201)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111252.83762328496</v>
      </c>
      <c r="O201" s="190">
        <f t="shared" si="59"/>
        <v>111252.83762328496</v>
      </c>
      <c r="P201" s="200">
        <f t="shared" si="49"/>
        <v>179027.55479609076</v>
      </c>
      <c r="Q201" s="187">
        <f>IFERROR(VLOOKUP(A201,[1]Energiindhold!$A$2:$C$11,3,FALSE),IFERROR(VLOOKUP(A201,[1]Biogasudbytte!$A$2:$B$18,2,FALSE)*[1]Energiindhold!$C$10,0))*O201</f>
        <v>0.2396386122405558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87">
        <f>IFERROR(VLOOKUP(A201,[1]Biogasudbytte!$A$2:$B$18,2,FALSE)*[1]Energiindhold!$C$10,0)*J201*IFERROR(VLOOKUP(A201,Biogasanlæg!$F$3:$G$8,2,FALSE),1)</f>
        <v>0.38562535303077949</v>
      </c>
      <c r="T201" s="188">
        <f t="shared" si="50"/>
        <v>0.23963861224055583</v>
      </c>
      <c r="U201" s="186">
        <f>O201*IFERROR(VLOOKUP(A201,[1]Tørstofindhold!A$2:B$24,2,FALSE),0)</f>
        <v>33375.851286985482</v>
      </c>
      <c r="V201" s="187">
        <f>IF(D201=År1,P201,SUM(O201,P201))*IFERROR(VLOOKUP(A201,[1]Tørstofindhold!A$2:B$24,2,FALSE),0)</f>
        <v>87084.117725812714</v>
      </c>
      <c r="W201" s="187">
        <f>J201*IFERROR(VLOOKUP(A201,[1]Tørstofindhold!A$2:B$24,2,FALSE),0)</f>
        <v>53708.266438827224</v>
      </c>
      <c r="X201" s="188">
        <f t="shared" si="51"/>
        <v>33375.851286985489</v>
      </c>
      <c r="Y201" s="168">
        <f t="shared" si="60"/>
        <v>0</v>
      </c>
      <c r="Z201" s="103">
        <f t="shared" si="61"/>
        <v>1</v>
      </c>
    </row>
    <row r="202" spans="1:26" x14ac:dyDescent="0.55000000000000004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forbrug'!G$2,'Forbrug af biomasse'!$B$2:$B$431,$E202)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forbrug'!I$2,'Forbrug af biomasse'!$B$2:$B$431,$E202)</f>
        <v>0</v>
      </c>
      <c r="J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forbrug'!J$2,'Forbrug af biomasse'!$B$2:$B$431,$E202)</f>
        <v>0</v>
      </c>
      <c r="K202" s="190">
        <f>SUMIFS('Forbrug af biomasse'!$E$2:$E$431,'Forbrug af biomasse'!$C$2:$C$431,'Resultat-Produktion &amp; forbrug'!$A202,'Forbrug af biomasse'!$D$2:$D$431,'Resultat-Produktion &amp; forbrug'!$D202,'Forbrug af biomasse'!$A$2:$A$431,'Resultat-Produktion &amp; forbrug'!K$2,'Forbrug af biomasse'!$B$2:$B$431,$E202)</f>
        <v>0</v>
      </c>
      <c r="L202" s="190">
        <f>IF(A202&lt;&gt;"Biogas",SUMIFS('Forbrug af biomasse'!$E$2:$E$431,'Forbrug af biomasse'!$C$2:$C$431,'Resultat-Produktion &amp; forbrug'!$A202,'Forbrug af biomasse'!$D$2:$D$431,'Resultat-Produktion &amp; forbrug'!$D202,'Forbrug af biomasse'!$A$2:$A$431,'Resultat-Produktion &amp; forbrug'!L$2,'Forbrug af biomasse'!$B$2:$B$431,$E202),F202)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55000000000000004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forbrug'!G$2,'Forbrug af biomasse'!$B$2:$B$431,$E203)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forbrug'!I$2,'Forbrug af biomasse'!$B$2:$B$431,$E203)</f>
        <v>0</v>
      </c>
      <c r="J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forbrug'!J$2,'Forbrug af biomasse'!$B$2:$B$431,$E203)</f>
        <v>350.10096257642732</v>
      </c>
      <c r="K203" s="190">
        <f>SUMIFS('Forbrug af biomasse'!$E$2:$E$431,'Forbrug af biomasse'!$C$2:$C$431,'Resultat-Produktion &amp; forbrug'!$A203,'Forbrug af biomasse'!$D$2:$D$431,'Resultat-Produktion &amp; forbrug'!$D203,'Forbrug af biomasse'!$A$2:$A$431,'Resultat-Produktion &amp; forbrug'!K$2,'Forbrug af biomasse'!$B$2:$B$431,$E203)</f>
        <v>350.10096257642732</v>
      </c>
      <c r="L203" s="190">
        <f>IF(A203&lt;&gt;"Biogas",SUMIFS('Forbrug af biomasse'!$E$2:$E$431,'Forbrug af biomasse'!$C$2:$C$431,'Resultat-Produktion &amp; forbrug'!$A203,'Forbrug af biomasse'!$D$2:$D$431,'Resultat-Produktion &amp; forbrug'!$D203,'Forbrug af biomasse'!$A$2:$A$431,'Resultat-Produktion &amp; forbrug'!L$2,'Forbrug af biomasse'!$B$2:$B$431,$E203),F203)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55000000000000004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forbrug'!G$2,'Forbrug af biomasse'!$B$2:$B$431,$E204)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forbrug'!I$2,'Forbrug af biomasse'!$B$2:$B$431,$E204)</f>
        <v>30560.118468347584</v>
      </c>
      <c r="J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forbrug'!J$2,'Forbrug af biomasse'!$B$2:$B$431,$E204)</f>
        <v>0</v>
      </c>
      <c r="K204" s="190">
        <f>SUMIFS('Forbrug af biomasse'!$E$2:$E$431,'Forbrug af biomasse'!$C$2:$C$431,'Resultat-Produktion &amp; forbrug'!$A204,'Forbrug af biomasse'!$D$2:$D$431,'Resultat-Produktion &amp; forbrug'!$D204,'Forbrug af biomasse'!$A$2:$A$431,'Resultat-Produktion &amp; forbrug'!K$2,'Forbrug af biomasse'!$B$2:$B$431,$E204)</f>
        <v>0</v>
      </c>
      <c r="L204" s="190">
        <f>IF(A204&lt;&gt;"Biogas",SUMIFS('Forbrug af biomasse'!$E$2:$E$431,'Forbrug af biomasse'!$C$2:$C$431,'Resultat-Produktion &amp; forbrug'!$A204,'Forbrug af biomasse'!$D$2:$D$431,'Resultat-Produktion &amp; forbrug'!$D204,'Forbrug af biomasse'!$A$2:$A$431,'Resultat-Produktion &amp; forbrug'!L$2,'Forbrug af biomasse'!$B$2:$B$431,$E204),F204)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-15316.072808753132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55000000000000004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forbrug'!G$2,'Forbrug af biomasse'!$B$2:$B$431,$E205)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forbrug'!I$2,'Forbrug af biomasse'!$B$2:$B$431,$E205)</f>
        <v>0</v>
      </c>
      <c r="J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forbrug'!J$2,'Forbrug af biomasse'!$B$2:$B$431,$E205)</f>
        <v>0</v>
      </c>
      <c r="K205" s="190">
        <f>SUMIFS('Forbrug af biomasse'!$E$2:$E$431,'Forbrug af biomasse'!$C$2:$C$431,'Resultat-Produktion &amp; forbrug'!$A205,'Forbrug af biomasse'!$D$2:$D$431,'Resultat-Produktion &amp; forbrug'!$D205,'Forbrug af biomasse'!$A$2:$A$431,'Resultat-Produktion &amp; forbrug'!K$2,'Forbrug af biomasse'!$B$2:$B$431,$E205)</f>
        <v>0</v>
      </c>
      <c r="L205" s="190">
        <f>IF(A205&lt;&gt;"Biogas",SUMIFS('Forbrug af biomasse'!$E$2:$E$431,'Forbrug af biomasse'!$C$2:$C$431,'Resultat-Produktion &amp; forbrug'!$A205,'Forbrug af biomasse'!$D$2:$D$431,'Resultat-Produktion &amp; forbrug'!$D205,'Forbrug af biomasse'!$A$2:$A$431,'Resultat-Produktion &amp; forbrug'!L$2,'Forbrug af biomasse'!$B$2:$B$431,$E205),F205)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55000000000000004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forbrug'!G$2,'Forbrug af biomasse'!$B$2:$B$431,$E206)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forbrug'!I$2,'Forbrug af biomasse'!$B$2:$B$431,$E206)</f>
        <v>223323.94265330929</v>
      </c>
      <c r="J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forbrug'!J$2,'Forbrug af biomasse'!$B$2:$B$431,$E206)</f>
        <v>0</v>
      </c>
      <c r="K206" s="190">
        <f>SUMIFS('Forbrug af biomasse'!$E$2:$E$431,'Forbrug af biomasse'!$C$2:$C$431,'Resultat-Produktion &amp; forbrug'!$A206,'Forbrug af biomasse'!$D$2:$D$431,'Resultat-Produktion &amp; forbrug'!$D206,'Forbrug af biomasse'!$A$2:$A$431,'Resultat-Produktion &amp; forbrug'!K$2,'Forbrug af biomasse'!$B$2:$B$431,$E206)</f>
        <v>0</v>
      </c>
      <c r="L206" s="190">
        <f>IF(A206&lt;&gt;"Biogas",SUMIFS('Forbrug af biomasse'!$E$2:$E$431,'Forbrug af biomasse'!$C$2:$C$431,'Resultat-Produktion &amp; forbrug'!$A206,'Forbrug af biomasse'!$D$2:$D$431,'Resultat-Produktion &amp; forbrug'!$D206,'Forbrug af biomasse'!$A$2:$A$431,'Resultat-Produktion &amp; forbrug'!L$2,'Forbrug af biomasse'!$B$2:$B$431,$E206),F206)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55000000000000004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forbrug'!G$2,'Forbrug af biomasse'!$B$2:$B$431,$E207)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forbrug'!I$2,'Forbrug af biomasse'!$B$2:$B$431,$E207)</f>
        <v>0</v>
      </c>
      <c r="J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forbrug'!J$2,'Forbrug af biomasse'!$B$2:$B$431,$E207)</f>
        <v>28548.400000000001</v>
      </c>
      <c r="K207" s="190">
        <f>SUMIFS('Forbrug af biomasse'!$E$2:$E$431,'Forbrug af biomasse'!$C$2:$C$431,'Resultat-Produktion &amp; forbrug'!$A207,'Forbrug af biomasse'!$D$2:$D$431,'Resultat-Produktion &amp; forbrug'!$D207,'Forbrug af biomasse'!$A$2:$A$431,'Resultat-Produktion &amp; forbrug'!K$2,'Forbrug af biomasse'!$B$2:$B$431,$E207)</f>
        <v>0</v>
      </c>
      <c r="L207" s="190">
        <f>IF(A207&lt;&gt;"Biogas",SUMIFS('Forbrug af biomasse'!$E$2:$E$431,'Forbrug af biomasse'!$C$2:$C$431,'Resultat-Produktion &amp; forbrug'!$A207,'Forbrug af biomasse'!$D$2:$D$431,'Resultat-Produktion &amp; forbrug'!$D207,'Forbrug af biomasse'!$A$2:$A$431,'Resultat-Produktion &amp; forbrug'!L$2,'Forbrug af biomasse'!$B$2:$B$431,$E207),F207)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55000000000000004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forbrug'!G$2,'Forbrug af biomasse'!$B$2:$B$431,$E208)</f>
        <v>1502068.0760117145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forbrug'!I$2,'Forbrug af biomasse'!$B$2:$B$431,$E208)</f>
        <v>0</v>
      </c>
      <c r="J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forbrug'!J$2,'Forbrug af biomasse'!$B$2:$B$431,$E208)</f>
        <v>10365.657989973257</v>
      </c>
      <c r="K208" s="190">
        <f>SUMIFS('Forbrug af biomasse'!$E$2:$E$431,'Forbrug af biomasse'!$C$2:$C$431,'Resultat-Produktion &amp; forbrug'!$A208,'Forbrug af biomasse'!$D$2:$D$431,'Resultat-Produktion &amp; forbrug'!$D208,'Forbrug af biomasse'!$A$2:$A$431,'Resultat-Produktion &amp; forbrug'!K$2,'Forbrug af biomasse'!$B$2:$B$431,$E208)</f>
        <v>0</v>
      </c>
      <c r="L208" s="190">
        <f>IF(A208&lt;&gt;"Biogas",SUMIFS('Forbrug af biomasse'!$E$2:$E$431,'Forbrug af biomasse'!$C$2:$C$431,'Resultat-Produktion &amp; forbrug'!$A208,'Forbrug af biomasse'!$D$2:$D$431,'Resultat-Produktion &amp; forbrug'!$D208,'Forbrug af biomasse'!$A$2:$A$431,'Resultat-Produktion &amp; forbrug'!L$2,'Forbrug af biomasse'!$B$2:$B$431,$E208),F208)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741414.99426832702</v>
      </c>
      <c r="O208" s="190">
        <f t="shared" si="59"/>
        <v>741414.99426832702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1.3641109125794382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1.3831824275737403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1.3641109125794382</v>
      </c>
      <c r="U208" s="186">
        <f>O208*IFERROR(VLOOKUP(A208,[1]Tørstofindhold!A$2:B$24,2,FALSE),0)</f>
        <v>207596.19839513159</v>
      </c>
      <c r="V208" s="187">
        <f>IF(D208=År1,P208,SUM(O208,P208))*IFERROR(VLOOKUP(A208,[1]Tørstofindhold!A$2:B$24,2,FALSE),0)</f>
        <v>210498.58263232408</v>
      </c>
      <c r="W208" s="187">
        <f>J208*IFERROR(VLOOKUP(A208,[1]Tørstofindhold!A$2:B$24,2,FALSE),0)</f>
        <v>2902.384237192512</v>
      </c>
      <c r="X208" s="188">
        <f t="shared" si="51"/>
        <v>207596.19839513156</v>
      </c>
      <c r="Y208" s="168">
        <f t="shared" si="60"/>
        <v>0</v>
      </c>
      <c r="Z208" s="103">
        <f t="shared" si="61"/>
        <v>1</v>
      </c>
    </row>
    <row r="209" spans="1:26" x14ac:dyDescent="0.55000000000000004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forbrug'!G$2,'Forbrug af biomasse'!$B$2:$B$431,$E209)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forbrug'!I$2,'Forbrug af biomasse'!$B$2:$B$431,$E209)</f>
        <v>0</v>
      </c>
      <c r="J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forbrug'!J$2,'Forbrug af biomasse'!$B$2:$B$431,$E209)</f>
        <v>0</v>
      </c>
      <c r="K209" s="190">
        <f>SUMIFS('Forbrug af biomasse'!$E$2:$E$431,'Forbrug af biomasse'!$C$2:$C$431,'Resultat-Produktion &amp; forbrug'!$A209,'Forbrug af biomasse'!$D$2:$D$431,'Resultat-Produktion &amp; forbrug'!$D209,'Forbrug af biomasse'!$A$2:$A$431,'Resultat-Produktion &amp; forbrug'!K$2,'Forbrug af biomasse'!$B$2:$B$431,$E209)</f>
        <v>0</v>
      </c>
      <c r="L209" s="190">
        <f>IF(A209&lt;&gt;"Biogas",SUMIFS('Forbrug af biomasse'!$E$2:$E$431,'Forbrug af biomasse'!$C$2:$C$431,'Resultat-Produktion &amp; forbrug'!$A209,'Forbrug af biomasse'!$D$2:$D$431,'Resultat-Produktion &amp; forbrug'!$D209,'Forbrug af biomasse'!$A$2:$A$431,'Resultat-Produktion &amp; forbrug'!L$2,'Forbrug af biomasse'!$B$2:$B$431,$E209),F209)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55000000000000004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forbrug'!G$2,'Forbrug af biomasse'!$B$2:$B$431,$E210)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forbrug'!I$2,'Forbrug af biomasse'!$B$2:$B$431,$E210)</f>
        <v>233902.44520004498</v>
      </c>
      <c r="J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forbrug'!J$2,'Forbrug af biomasse'!$B$2:$B$431,$E210)</f>
        <v>0</v>
      </c>
      <c r="K210" s="190">
        <f>SUMIFS('Forbrug af biomasse'!$E$2:$E$431,'Forbrug af biomasse'!$C$2:$C$431,'Resultat-Produktion &amp; forbrug'!$A210,'Forbrug af biomasse'!$D$2:$D$431,'Resultat-Produktion &amp; forbrug'!$D210,'Forbrug af biomasse'!$A$2:$A$431,'Resultat-Produktion &amp; forbrug'!K$2,'Forbrug af biomasse'!$B$2:$B$431,$E210)</f>
        <v>0</v>
      </c>
      <c r="L210" s="190">
        <f>IF(A210&lt;&gt;"Biogas",SUMIFS('Forbrug af biomasse'!$E$2:$E$431,'Forbrug af biomasse'!$C$2:$C$431,'Resultat-Produktion &amp; forbrug'!$A210,'Forbrug af biomasse'!$D$2:$D$431,'Resultat-Produktion &amp; forbrug'!$D210,'Forbrug af biomasse'!$A$2:$A$431,'Resultat-Produktion &amp; forbrug'!L$2,'Forbrug af biomasse'!$B$2:$B$431,$E210),F210)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55000000000000004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forbrug'!G$2,'Forbrug af biomasse'!$B$2:$B$431,$E211)</f>
        <v>94889.448034412562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forbrug'!I$2,'Forbrug af biomasse'!$B$2:$B$431,$E211)</f>
        <v>0</v>
      </c>
      <c r="J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forbrug'!J$2,'Forbrug af biomasse'!$B$2:$B$431,$E211)</f>
        <v>22960.858037659247</v>
      </c>
      <c r="K211" s="190">
        <f>SUMIFS('Forbrug af biomasse'!$E$2:$E$431,'Forbrug af biomasse'!$C$2:$C$431,'Resultat-Produktion &amp; forbrug'!$A211,'Forbrug af biomasse'!$D$2:$D$431,'Resultat-Produktion &amp; forbrug'!$D211,'Forbrug af biomasse'!$A$2:$A$431,'Resultat-Produktion &amp; forbrug'!K$2,'Forbrug af biomasse'!$B$2:$B$431,$E211)</f>
        <v>0</v>
      </c>
      <c r="L211" s="190">
        <f>IF(A211&lt;&gt;"Biogas",SUMIFS('Forbrug af biomasse'!$E$2:$E$431,'Forbrug af biomasse'!$C$2:$C$431,'Resultat-Produktion &amp; forbrug'!$A211,'Forbrug af biomasse'!$D$2:$D$431,'Resultat-Produktion &amp; forbrug'!$D211,'Forbrug af biomasse'!$A$2:$A$431,'Resultat-Produktion &amp; forbrug'!L$2,'Forbrug af biomasse'!$B$2:$B$431,$E211),F211)</f>
        <v>713024.56071776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735985.4187554192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7.5020655200755657</v>
      </c>
      <c r="S211" s="187">
        <f>IFERROR(VLOOKUP(A211,[1]Biogasudbytte!$A$2:$B$18,2,FALSE)*[1]Energiindhold!$C$10,0)*J211*IFERROR(VLOOKUP(A211,Biogasanlæg!$F$3:$G$8,2,FALSE),1)</f>
        <v>0.1323817454504459</v>
      </c>
      <c r="T211" s="188">
        <f t="shared" si="50"/>
        <v>7.3696837746251198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625587.60594210634</v>
      </c>
      <c r="W211" s="187">
        <f>J211*IFERROR(VLOOKUP(A211,[1]Tørstofindhold!A$2:B$24,2,FALSE),0)</f>
        <v>19516.72933201036</v>
      </c>
      <c r="X211" s="188">
        <f t="shared" si="51"/>
        <v>606070.87661009596</v>
      </c>
      <c r="Y211" s="168">
        <f t="shared" si="60"/>
        <v>0</v>
      </c>
      <c r="Z211" s="103">
        <f t="shared" si="61"/>
        <v>0</v>
      </c>
    </row>
    <row r="212" spans="1:26" x14ac:dyDescent="0.55000000000000004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forbrug'!G$2,'Forbrug af biomasse'!$B$2:$B$431,$E212)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forbrug'!I$2,'Forbrug af biomasse'!$B$2:$B$431,$E212)</f>
        <v>0</v>
      </c>
      <c r="J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forbrug'!J$2,'Forbrug af biomasse'!$B$2:$B$431,$E212)</f>
        <v>36.19608838570413</v>
      </c>
      <c r="K212" s="190">
        <f>SUMIFS('Forbrug af biomasse'!$E$2:$E$431,'Forbrug af biomasse'!$C$2:$C$431,'Resultat-Produktion &amp; forbrug'!$A212,'Forbrug af biomasse'!$D$2:$D$431,'Resultat-Produktion &amp; forbrug'!$D212,'Forbrug af biomasse'!$A$2:$A$431,'Resultat-Produktion &amp; forbrug'!K$2,'Forbrug af biomasse'!$B$2:$B$431,$E212)</f>
        <v>0</v>
      </c>
      <c r="L212" s="190">
        <f>IF(A212&lt;&gt;"Biogas",SUMIFS('Forbrug af biomasse'!$E$2:$E$431,'Forbrug af biomasse'!$C$2:$C$431,'Resultat-Produktion &amp; forbrug'!$A212,'Forbrug af biomasse'!$D$2:$D$431,'Resultat-Produktion &amp; forbrug'!$D212,'Forbrug af biomasse'!$A$2:$A$431,'Resultat-Produktion &amp; forbrug'!L$2,'Forbrug af biomasse'!$B$2:$B$431,$E212),F212)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55000000000000004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forbrug'!G$2,'Forbrug af biomasse'!$B$2:$B$431,$E213)</f>
        <v>592646.72642582119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forbrug'!I$2,'Forbrug af biomasse'!$B$2:$B$431,$E213)</f>
        <v>0</v>
      </c>
      <c r="J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forbrug'!J$2,'Forbrug af biomasse'!$B$2:$B$431,$E213)</f>
        <v>0</v>
      </c>
      <c r="K213" s="190">
        <f>SUMIFS('Forbrug af biomasse'!$E$2:$E$431,'Forbrug af biomasse'!$C$2:$C$431,'Resultat-Produktion &amp; forbrug'!$A213,'Forbrug af biomasse'!$D$2:$D$431,'Resultat-Produktion &amp; forbrug'!$D213,'Forbrug af biomasse'!$A$2:$A$431,'Resultat-Produktion &amp; forbrug'!K$2,'Forbrug af biomasse'!$B$2:$B$431,$E213)</f>
        <v>0</v>
      </c>
      <c r="L213" s="190">
        <f>IF(A213&lt;&gt;"Biogas",SUMIFS('Forbrug af biomasse'!$E$2:$E$431,'Forbrug af biomasse'!$C$2:$C$431,'Resultat-Produktion &amp; forbrug'!$A213,'Forbrug af biomasse'!$D$2:$D$431,'Resultat-Produktion &amp; forbrug'!$D213,'Forbrug af biomasse'!$A$2:$A$431,'Resultat-Produktion &amp; forbrug'!L$2,'Forbrug af biomasse'!$B$2:$B$431,$E213),F213)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-592646.72642582119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55000000000000004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forbrug'!G$2,'Forbrug af biomasse'!$B$2:$B$431,$E214)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forbrug'!I$2,'Forbrug af biomasse'!$B$2:$B$431,$E214)</f>
        <v>0</v>
      </c>
      <c r="J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forbrug'!J$2,'Forbrug af biomasse'!$B$2:$B$431,$E214)</f>
        <v>202910.8690139266</v>
      </c>
      <c r="K214" s="190">
        <f>SUMIFS('Forbrug af biomasse'!$E$2:$E$431,'Forbrug af biomasse'!$C$2:$C$431,'Resultat-Produktion &amp; forbrug'!$A214,'Forbrug af biomasse'!$D$2:$D$431,'Resultat-Produktion &amp; forbrug'!$D214,'Forbrug af biomasse'!$A$2:$A$431,'Resultat-Produktion &amp; forbrug'!K$2,'Forbrug af biomasse'!$B$2:$B$431,$E214)</f>
        <v>0</v>
      </c>
      <c r="L214" s="190">
        <f>IF(A214&lt;&gt;"Biogas",SUMIFS('Forbrug af biomasse'!$E$2:$E$431,'Forbrug af biomasse'!$C$2:$C$431,'Resultat-Produktion &amp; forbrug'!$A214,'Forbrug af biomasse'!$D$2:$D$431,'Resultat-Produktion &amp; forbrug'!$D214,'Forbrug af biomasse'!$A$2:$A$431,'Resultat-Produktion &amp; forbrug'!L$2,'Forbrug af biomasse'!$B$2:$B$431,$E214),F214)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0.11260809309897013</v>
      </c>
      <c r="O214" s="190">
        <f t="shared" si="59"/>
        <v>0.11260809309897013</v>
      </c>
      <c r="P214" s="200">
        <f t="shared" si="49"/>
        <v>202910.8690139266</v>
      </c>
      <c r="Q214" s="187">
        <f>IFERROR(VLOOKUP(A214,[1]Energiindhold!$A$2:$C$11,3,FALSE),IFERROR(VLOOKUP(A214,[1]Biogasudbytte!$A$2:$B$18,2,FALSE)*[1]Energiindhold!$C$10,0))*O214</f>
        <v>4.8794550644994054E-7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87">
        <f>IFERROR(VLOOKUP(A214,[1]Biogasudbytte!$A$2:$B$18,2,FALSE)*[1]Energiindhold!$C$10,0)*J214*IFERROR(VLOOKUP(A214,Biogasanlæg!$F$3:$G$8,2,FALSE),1)</f>
        <v>0.74735329777276838</v>
      </c>
      <c r="T214" s="188">
        <f t="shared" si="50"/>
        <v>4.8794550644437606E-7</v>
      </c>
      <c r="U214" s="186">
        <f>O214*IFERROR(VLOOKUP(A214,[1]Tørstofindhold!A$2:B$24,2,FALSE),0)</f>
        <v>4.7295399101567451E-2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85222.564985849167</v>
      </c>
      <c r="X214" s="188">
        <f t="shared" si="51"/>
        <v>4.7295399097492918E-2</v>
      </c>
      <c r="Y214" s="168">
        <f t="shared" si="60"/>
        <v>0</v>
      </c>
      <c r="Z214" s="103">
        <f t="shared" si="61"/>
        <v>1</v>
      </c>
    </row>
    <row r="215" spans="1:26" x14ac:dyDescent="0.55000000000000004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forbrug'!G$2,'Forbrug af biomasse'!$B$2:$B$431,$E215)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forbrug'!I$2,'Forbrug af biomasse'!$B$2:$B$431,$E215)</f>
        <v>0</v>
      </c>
      <c r="J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forbrug'!J$2,'Forbrug af biomasse'!$B$2:$B$431,$E215)</f>
        <v>0</v>
      </c>
      <c r="K215" s="190">
        <f>SUMIFS('Forbrug af biomasse'!$E$2:$E$431,'Forbrug af biomasse'!$C$2:$C$431,'Resultat-Produktion &amp; forbrug'!$A215,'Forbrug af biomasse'!$D$2:$D$431,'Resultat-Produktion &amp; forbrug'!$D215,'Forbrug af biomasse'!$A$2:$A$431,'Resultat-Produktion &amp; forbrug'!K$2,'Forbrug af biomasse'!$B$2:$B$431,$E215)</f>
        <v>0</v>
      </c>
      <c r="L215" s="190">
        <f>IF(A215&lt;&gt;"Biogas",SUMIFS('Forbrug af biomasse'!$E$2:$E$431,'Forbrug af biomasse'!$C$2:$C$431,'Resultat-Produktion &amp; forbrug'!$A215,'Forbrug af biomasse'!$D$2:$D$431,'Resultat-Produktion &amp; forbrug'!$D215,'Forbrug af biomasse'!$A$2:$A$431,'Resultat-Produktion &amp; forbrug'!L$2,'Forbrug af biomasse'!$B$2:$B$431,$E215),F215)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55000000000000004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forbrug'!G$2,'Forbrug af biomasse'!$B$2:$B$431,$E216)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forbrug'!I$2,'Forbrug af biomasse'!$B$2:$B$431,$E216)</f>
        <v>106960.41463921656</v>
      </c>
      <c r="J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forbrug'!J$2,'Forbrug af biomasse'!$B$2:$B$431,$E216)</f>
        <v>0</v>
      </c>
      <c r="K216" s="190">
        <f>SUMIFS('Forbrug af biomasse'!$E$2:$E$431,'Forbrug af biomasse'!$C$2:$C$431,'Resultat-Produktion &amp; forbrug'!$A216,'Forbrug af biomasse'!$D$2:$D$431,'Resultat-Produktion &amp; forbrug'!$D216,'Forbrug af biomasse'!$A$2:$A$431,'Resultat-Produktion &amp; forbrug'!K$2,'Forbrug af biomasse'!$B$2:$B$431,$E216)</f>
        <v>0</v>
      </c>
      <c r="L216" s="190">
        <f>IF(A216&lt;&gt;"Biogas",SUMIFS('Forbrug af biomasse'!$E$2:$E$431,'Forbrug af biomasse'!$C$2:$C$431,'Resultat-Produktion &amp; forbrug'!$A216,'Forbrug af biomasse'!$D$2:$D$431,'Resultat-Produktion &amp; forbrug'!$D216,'Forbrug af biomasse'!$A$2:$A$431,'Resultat-Produktion &amp; forbrug'!L$2,'Forbrug af biomasse'!$B$2:$B$431,$E216),F216)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55000000000000004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forbrug'!G$2,'Forbrug af biomasse'!$B$2:$B$431,$E217)</f>
        <v>721621.60770550347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forbrug'!I$2,'Forbrug af biomasse'!$B$2:$B$431,$E217)</f>
        <v>256234.83946537593</v>
      </c>
      <c r="J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forbrug'!J$2,'Forbrug af biomasse'!$B$2:$B$431,$E217)</f>
        <v>947.1343436742535</v>
      </c>
      <c r="K217" s="190">
        <f>SUMIFS('Forbrug af biomasse'!$E$2:$E$431,'Forbrug af biomasse'!$C$2:$C$431,'Resultat-Produktion &amp; forbrug'!$A217,'Forbrug af biomasse'!$D$2:$D$431,'Resultat-Produktion &amp; forbrug'!$D217,'Forbrug af biomasse'!$A$2:$A$431,'Resultat-Produktion &amp; forbrug'!K$2,'Forbrug af biomasse'!$B$2:$B$431,$E217)</f>
        <v>0</v>
      </c>
      <c r="L217" s="190">
        <f>IF(A217&lt;&gt;"Biogas",SUMIFS('Forbrug af biomasse'!$E$2:$E$431,'Forbrug af biomasse'!$C$2:$C$431,'Resultat-Produktion &amp; forbrug'!$A217,'Forbrug af biomasse'!$D$2:$D$431,'Resultat-Produktion &amp; forbrug'!$D217,'Forbrug af biomasse'!$A$2:$A$431,'Resultat-Produktion &amp; forbrug'!L$2,'Forbrug af biomasse'!$B$2:$B$431,$E217),F217)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1418355.8318959908</v>
      </c>
      <c r="O217" s="190">
        <f t="shared" si="59"/>
        <v>1418355.8318959908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4.8576701544273035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4.8609139569555797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4.8576701544273035</v>
      </c>
      <c r="U217" s="186">
        <f>O217*IFERROR(VLOOKUP(A217,[1]Tørstofindhold!A$2:B$24,2,FALSE),0)</f>
        <v>439690.30788775714</v>
      </c>
      <c r="V217" s="187">
        <f>IF(D217=År1,P217,SUM(O217,P217))*IFERROR(VLOOKUP(A217,[1]Tørstofindhold!A$2:B$24,2,FALSE),0)</f>
        <v>439983.91953429615</v>
      </c>
      <c r="W217" s="187">
        <f>J217*IFERROR(VLOOKUP(A217,[1]Tørstofindhold!A$2:B$24,2,FALSE),0)</f>
        <v>293.61164653901858</v>
      </c>
      <c r="X217" s="188">
        <f t="shared" si="65"/>
        <v>439690.30788775714</v>
      </c>
      <c r="Y217" s="168">
        <f t="shared" si="60"/>
        <v>0</v>
      </c>
      <c r="Z217" s="103">
        <f t="shared" si="61"/>
        <v>1</v>
      </c>
    </row>
    <row r="218" spans="1:26" x14ac:dyDescent="0.55000000000000004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forbrug'!G$2,'Forbrug af biomasse'!$B$2:$B$431,$E218)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forbrug'!I$2,'Forbrug af biomasse'!$B$2:$B$431,$E218)</f>
        <v>0</v>
      </c>
      <c r="J218" s="190">
        <f>SUMIFS('Forbrug af biomasse'!$E$2:$E$431,'Forbrug af biomasse'!$C$2:$C$431,'Resultat-Produktion &amp; forbrug'!$A218,'Forbrug af biomasse'!$D$2:$D$431,'Resultat-Produktion &amp; forbrug'!$D218,'Forbrug af biomasse'!$A$2:$A$431,'Resultat-Produktion &amp; forbrug'!J$2,'Forbrug af biomasse'!$B$2:$B$431,$E218)</f>
        <v>0</v>
      </c>
      <c r="K218" s="190">
        <f ca="1">SUMIFS('Forbrug af biomasse'!$E$2:$E$431,'Forbrug af biomasse'!$C$2:$C$431,'Resultat-Produktion &amp; forbrug'!$A218,'Forbrug af biomasse'!$D$2:$D$431,'Resultat-Produktion &amp; forbrug'!$D218,'Forbrug af biomasse'!$A$2:$A$431,'Resultat-Produktion &amp; forbrug'!K$2,'Forbrug af biomasse'!$B$2:$B$431,$E218)</f>
        <v>364918.6036041156</v>
      </c>
      <c r="L218" s="190">
        <f>IF(A218&lt;&gt;"Biogas",SUMIFS('Forbrug af biomasse'!$E$2:$E$431,'Forbrug af biomasse'!$C$2:$C$431,'Resultat-Produktion &amp; forbrug'!$A218,'Forbrug af biomasse'!$D$2:$D$431,'Resultat-Produktion &amp; forbrug'!$D218,'Forbrug af biomasse'!$A$2:$A$431,'Resultat-Produktion &amp; forbrug'!L$2,'Forbrug af biomasse'!$B$2:$B$431,$E218),F218)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-364918.6036041156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55000000000000004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forbrug'!G$2,'Forbrug af biomasse'!$B$2:$B$431,$E219)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forbrug'!I$2,'Forbrug af biomasse'!$B$2:$B$431,$E219)</f>
        <v>0</v>
      </c>
      <c r="J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forbrug'!J$2,'Forbrug af biomasse'!$B$2:$B$431,$E219)</f>
        <v>701319.77122631879</v>
      </c>
      <c r="K219" s="190">
        <f>SUMIFS('Forbrug af biomasse'!$E$2:$E$431,'Forbrug af biomasse'!$C$2:$C$431,'Resultat-Produktion &amp; forbrug'!$A219,'Forbrug af biomasse'!$D$2:$D$431,'Resultat-Produktion &amp; forbrug'!$D219,'Forbrug af biomasse'!$A$2:$A$431,'Resultat-Produktion &amp; forbrug'!K$2,'Forbrug af biomasse'!$B$2:$B$431,$E219)</f>
        <v>221469.40143989015</v>
      </c>
      <c r="L219" s="190">
        <f>IF(A219&lt;&gt;"Biogas",SUMIFS('Forbrug af biomasse'!$E$2:$E$431,'Forbrug af biomasse'!$C$2:$C$431,'Resultat-Produktion &amp; forbrug'!$A219,'Forbrug af biomasse'!$D$2:$D$431,'Resultat-Produktion &amp; forbrug'!$D219,'Forbrug af biomasse'!$A$2:$A$431,'Resultat-Produktion &amp; forbrug'!L$2,'Forbrug af biomasse'!$B$2:$B$431,$E219),F219)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701319.77122631879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87">
        <f>IFERROR(VLOOKUP(A219,[1]Biogasudbytte!$A$2:$B$18,2,FALSE)*[1]Energiindhold!$C$10,0)*J219*IFERROR(VLOOKUP(A219,Biogasanlæg!$F$3:$G$8,2,FALSE),1)</f>
        <v>0.35500105499705037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53300.302613200227</v>
      </c>
      <c r="W219" s="187">
        <f>J219*IFERROR(VLOOKUP(A219,[1]Tørstofindhold!A$2:B$24,2,FALSE),0)</f>
        <v>53300.302613200227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55000000000000004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forbrug'!G$2,'Forbrug af biomasse'!$B$2:$B$431,$E220)</f>
        <v>186040.49371289229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forbrug'!I$2,'Forbrug af biomasse'!$B$2:$B$431,$E220)</f>
        <v>0</v>
      </c>
      <c r="J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forbrug'!J$2,'Forbrug af biomasse'!$B$2:$B$431,$E220)</f>
        <v>0</v>
      </c>
      <c r="K220" s="190">
        <f>SUMIFS('Forbrug af biomasse'!$E$2:$E$431,'Forbrug af biomasse'!$C$2:$C$431,'Resultat-Produktion &amp; forbrug'!$A220,'Forbrug af biomasse'!$D$2:$D$431,'Resultat-Produktion &amp; forbrug'!$D220,'Forbrug af biomasse'!$A$2:$A$431,'Resultat-Produktion &amp; forbrug'!K$2,'Forbrug af biomasse'!$B$2:$B$431,$E220)</f>
        <v>0</v>
      </c>
      <c r="L220" s="190">
        <f>IF(A220&lt;&gt;"Biogas",SUMIFS('Forbrug af biomasse'!$E$2:$E$431,'Forbrug af biomasse'!$C$2:$C$431,'Resultat-Produktion &amp; forbrug'!$A220,'Forbrug af biomasse'!$D$2:$D$431,'Resultat-Produktion &amp; forbrug'!$D220,'Forbrug af biomasse'!$A$2:$A$431,'Resultat-Produktion &amp; forbrug'!L$2,'Forbrug af biomasse'!$B$2:$B$431,$E220),F220)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-70829.959819299416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55000000000000004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forbrug'!G$2,'Forbrug af biomasse'!$B$2:$B$431,$E221)</f>
        <v>694353.26110928762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forbrug'!I$2,'Forbrug af biomasse'!$B$2:$B$431,$E221)</f>
        <v>0</v>
      </c>
      <c r="J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forbrug'!J$2,'Forbrug af biomasse'!$B$2:$B$431,$E221)</f>
        <v>15243.990880599462</v>
      </c>
      <c r="K221" s="190">
        <f>SUMIFS('Forbrug af biomasse'!$E$2:$E$431,'Forbrug af biomasse'!$C$2:$C$431,'Resultat-Produktion &amp; forbrug'!$A221,'Forbrug af biomasse'!$D$2:$D$431,'Resultat-Produktion &amp; forbrug'!$D221,'Forbrug af biomasse'!$A$2:$A$431,'Resultat-Produktion &amp; forbrug'!K$2,'Forbrug af biomasse'!$B$2:$B$431,$E221)</f>
        <v>0</v>
      </c>
      <c r="L221" s="190">
        <f>IF(A221&lt;&gt;"Biogas",SUMIFS('Forbrug af biomasse'!$E$2:$E$431,'Forbrug af biomasse'!$C$2:$C$431,'Resultat-Produktion &amp; forbrug'!$A221,'Forbrug af biomasse'!$D$2:$D$431,'Resultat-Produktion &amp; forbrug'!$D221,'Forbrug af biomasse'!$A$2:$A$431,'Resultat-Produktion &amp; forbrug'!L$2,'Forbrug af biomasse'!$B$2:$B$431,$E221),F221)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-322305.32432772877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55000000000000004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forbrug'!G$2,'Forbrug af biomasse'!$B$2:$B$431,$E222)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forbrug'!I$2,'Forbrug af biomasse'!$B$2:$B$431,$E222)</f>
        <v>409035.43180711387</v>
      </c>
      <c r="J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forbrug'!J$2,'Forbrug af biomasse'!$B$2:$B$431,$E222)</f>
        <v>0</v>
      </c>
      <c r="K222" s="190">
        <f>SUMIFS('Forbrug af biomasse'!$E$2:$E$431,'Forbrug af biomasse'!$C$2:$C$431,'Resultat-Produktion &amp; forbrug'!$A222,'Forbrug af biomasse'!$D$2:$D$431,'Resultat-Produktion &amp; forbrug'!$D222,'Forbrug af biomasse'!$A$2:$A$431,'Resultat-Produktion &amp; forbrug'!K$2,'Forbrug af biomasse'!$B$2:$B$431,$E222)</f>
        <v>0</v>
      </c>
      <c r="L222" s="190">
        <f>IF(A222&lt;&gt;"Biogas",SUMIFS('Forbrug af biomasse'!$E$2:$E$431,'Forbrug af biomasse'!$C$2:$C$431,'Resultat-Produktion &amp; forbrug'!$A222,'Forbrug af biomasse'!$D$2:$D$431,'Resultat-Produktion &amp; forbrug'!$D222,'Forbrug af biomasse'!$A$2:$A$431,'Resultat-Produktion &amp; forbrug'!L$2,'Forbrug af biomasse'!$B$2:$B$431,$E222),F222)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55000000000000004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forbrug'!G$2,'Forbrug af biomasse'!$B$2:$B$431,$E223)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forbrug'!I$2,'Forbrug af biomasse'!$B$2:$B$431,$E223)</f>
        <v>0</v>
      </c>
      <c r="J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forbrug'!J$2,'Forbrug af biomasse'!$B$2:$B$431,$E223)</f>
        <v>0</v>
      </c>
      <c r="K223" s="190">
        <f>SUMIFS('Forbrug af biomasse'!$E$2:$E$431,'Forbrug af biomasse'!$C$2:$C$431,'Resultat-Produktion &amp; forbrug'!$A223,'Forbrug af biomasse'!$D$2:$D$431,'Resultat-Produktion &amp; forbrug'!$D223,'Forbrug af biomasse'!$A$2:$A$431,'Resultat-Produktion &amp; forbrug'!K$2,'Forbrug af biomasse'!$B$2:$B$431,$E223)</f>
        <v>0</v>
      </c>
      <c r="L223" s="190">
        <f>IF(A223&lt;&gt;"Biogas",SUMIFS('Forbrug af biomasse'!$E$2:$E$431,'Forbrug af biomasse'!$C$2:$C$431,'Resultat-Produktion &amp; forbrug'!$A223,'Forbrug af biomasse'!$D$2:$D$431,'Resultat-Produktion &amp; forbrug'!$D223,'Forbrug af biomasse'!$A$2:$A$431,'Resultat-Produktion &amp; forbrug'!L$2,'Forbrug af biomasse'!$B$2:$B$431,$E223),F223)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55000000000000004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forbrug'!G$2,'Forbrug af biomasse'!$B$2:$B$431,$E224)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forbrug'!I$2,'Forbrug af biomasse'!$B$2:$B$431,$E224)</f>
        <v>51975.70917962808</v>
      </c>
      <c r="J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forbrug'!J$2,'Forbrug af biomasse'!$B$2:$B$431,$E224)</f>
        <v>0</v>
      </c>
      <c r="K224" s="190">
        <f>SUMIFS('Forbrug af biomasse'!$E$2:$E$431,'Forbrug af biomasse'!$C$2:$C$431,'Resultat-Produktion &amp; forbrug'!$A224,'Forbrug af biomasse'!$D$2:$D$431,'Resultat-Produktion &amp; forbrug'!$D224,'Forbrug af biomasse'!$A$2:$A$431,'Resultat-Produktion &amp; forbrug'!K$2,'Forbrug af biomasse'!$B$2:$B$431,$E224)</f>
        <v>0</v>
      </c>
      <c r="L224" s="190">
        <f>IF(A224&lt;&gt;"Biogas",SUMIFS('Forbrug af biomasse'!$E$2:$E$431,'Forbrug af biomasse'!$C$2:$C$431,'Resultat-Produktion &amp; forbrug'!$A224,'Forbrug af biomasse'!$D$2:$D$431,'Resultat-Produktion &amp; forbrug'!$D224,'Forbrug af biomasse'!$A$2:$A$431,'Resultat-Produktion &amp; forbrug'!L$2,'Forbrug af biomasse'!$B$2:$B$431,$E224),F224)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-44429.913859121647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55000000000000004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forbrug'!G$2,'Forbrug af biomasse'!$B$2:$B$431,$E225)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forbrug'!I$2,'Forbrug af biomasse'!$B$2:$B$431,$E225)</f>
        <v>0</v>
      </c>
      <c r="J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forbrug'!J$2,'Forbrug af biomasse'!$B$2:$B$431,$E225)</f>
        <v>0</v>
      </c>
      <c r="K225" s="190">
        <f>SUMIFS('Forbrug af biomasse'!$E$2:$E$431,'Forbrug af biomasse'!$C$2:$C$431,'Resultat-Produktion &amp; forbrug'!$A225,'Forbrug af biomasse'!$D$2:$D$431,'Resultat-Produktion &amp; forbrug'!$D225,'Forbrug af biomasse'!$A$2:$A$431,'Resultat-Produktion &amp; forbrug'!K$2,'Forbrug af biomasse'!$B$2:$B$431,$E225)</f>
        <v>0</v>
      </c>
      <c r="L225" s="190">
        <f>IF(A225&lt;&gt;"Biogas",SUMIFS('Forbrug af biomasse'!$E$2:$E$431,'Forbrug af biomasse'!$C$2:$C$431,'Resultat-Produktion &amp; forbrug'!$A225,'Forbrug af biomasse'!$D$2:$D$431,'Resultat-Produktion &amp; forbrug'!$D225,'Forbrug af biomasse'!$A$2:$A$431,'Resultat-Produktion &amp; forbrug'!L$2,'Forbrug af biomasse'!$B$2:$B$431,$E225),F225)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55000000000000004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forbrug'!G$2,'Forbrug af biomasse'!$B$2:$B$431,$E226)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forbrug'!I$2,'Forbrug af biomasse'!$B$2:$B$431,$E226)</f>
        <v>0</v>
      </c>
      <c r="J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forbrug'!J$2,'Forbrug af biomasse'!$B$2:$B$431,$E226)</f>
        <v>0</v>
      </c>
      <c r="K226" s="190">
        <f>SUMIFS('Forbrug af biomasse'!$E$2:$E$431,'Forbrug af biomasse'!$C$2:$C$431,'Resultat-Produktion &amp; forbrug'!$A226,'Forbrug af biomasse'!$D$2:$D$431,'Resultat-Produktion &amp; forbrug'!$D226,'Forbrug af biomasse'!$A$2:$A$431,'Resultat-Produktion &amp; forbrug'!K$2,'Forbrug af biomasse'!$B$2:$B$431,$E226)</f>
        <v>0</v>
      </c>
      <c r="L226" s="190">
        <f>IF(A226&lt;&gt;"Biogas",SUMIFS('Forbrug af biomasse'!$E$2:$E$431,'Forbrug af biomasse'!$C$2:$C$431,'Resultat-Produktion &amp; forbrug'!$A226,'Forbrug af biomasse'!$D$2:$D$431,'Resultat-Produktion &amp; forbrug'!$D226,'Forbrug af biomasse'!$A$2:$A$431,'Resultat-Produktion &amp; forbrug'!L$2,'Forbrug af biomasse'!$B$2:$B$431,$E226),F226)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55000000000000004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 ca="1"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forbrug'!G$2,'Forbrug af biomasse'!$B$2:$B$431,$E227)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forbrug'!I$2,'Forbrug af biomasse'!$B$2:$B$431,$E227)</f>
        <v>0</v>
      </c>
      <c r="J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forbrug'!J$2,'Forbrug af biomasse'!$B$2:$B$431,$E227)</f>
        <v>0</v>
      </c>
      <c r="K227" s="190">
        <f>SUMIFS('Forbrug af biomasse'!$E$2:$E$431,'Forbrug af biomasse'!$C$2:$C$431,'Resultat-Produktion &amp; forbrug'!$A227,'Forbrug af biomasse'!$D$2:$D$431,'Resultat-Produktion &amp; forbrug'!$D227,'Forbrug af biomasse'!$A$2:$A$431,'Resultat-Produktion &amp; forbrug'!K$2,'Forbrug af biomasse'!$B$2:$B$431,$E227)</f>
        <v>0</v>
      </c>
      <c r="L227" s="190">
        <f ca="1">IF(A227&lt;&gt;"Biogas",SUMIFS('Forbrug af biomasse'!$E$2:$E$431,'Forbrug af biomasse'!$C$2:$C$431,'Resultat-Produktion &amp; forbrug'!$A227,'Forbrug af biomasse'!$D$2:$D$431,'Resultat-Produktion &amp; forbrug'!$D227,'Forbrug af biomasse'!$A$2:$A$431,'Resultat-Produktion &amp; forbrug'!L$2,'Forbrug af biomasse'!$B$2:$B$431,$E227),F227)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ca="1" si="68">F227-SUM(G227:M227)</f>
        <v>0</v>
      </c>
      <c r="O227" s="190">
        <f t="shared" ca="1" si="59"/>
        <v>0</v>
      </c>
      <c r="P227" s="200">
        <f t="shared" ref="P227:P228" ca="1" si="69">SUM(J227,L227)</f>
        <v>0</v>
      </c>
      <c r="Q227" s="187">
        <f ca="1">IFERROR(VLOOKUP(A227,[1]Energiindhold!$A$2:$C$11,3,FALSE),IFERROR(VLOOKUP(A227,[1]Biogasudbytte!$A$2:$B$18,2,FALSE)*[1]Energiindhold!$C$10,0))*O227</f>
        <v>0</v>
      </c>
      <c r="R227" s="187">
        <f ca="1"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ca="1" si="70">R227-S227</f>
        <v>0</v>
      </c>
      <c r="U227" s="186">
        <f ca="1">O227*IFERROR(VLOOKUP(A227,[1]Tørstofindhold!A$2:B$24,2,FALSE),0)</f>
        <v>0</v>
      </c>
      <c r="V227" s="187">
        <f ca="1"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ca="1" si="71">V227-W227</f>
        <v>0</v>
      </c>
      <c r="Y227" s="168">
        <f t="shared" ca="1" si="60"/>
        <v>0</v>
      </c>
      <c r="Z227" s="103">
        <f t="shared" ca="1" si="61"/>
        <v>0</v>
      </c>
    </row>
    <row r="228" spans="1:26" x14ac:dyDescent="0.55000000000000004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 ca="1"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forbrug'!G$2,'Forbrug af biomasse'!$B$2:$B$431,$E228)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forbrug'!I$2,'Forbrug af biomasse'!$B$2:$B$431,$E228)</f>
        <v>0</v>
      </c>
      <c r="J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forbrug'!J$2,'Forbrug af biomasse'!$B$2:$B$431,$E228)</f>
        <v>0</v>
      </c>
      <c r="K228" s="190">
        <f>SUMIFS('Forbrug af biomasse'!$E$2:$E$431,'Forbrug af biomasse'!$C$2:$C$431,'Resultat-Produktion &amp; forbrug'!$A228,'Forbrug af biomasse'!$D$2:$D$431,'Resultat-Produktion &amp; forbrug'!$D228,'Forbrug af biomasse'!$A$2:$A$431,'Resultat-Produktion &amp; forbrug'!K$2,'Forbrug af biomasse'!$B$2:$B$431,$E228)</f>
        <v>0</v>
      </c>
      <c r="L228" s="190">
        <f ca="1">IF(A228&lt;&gt;"Biogas",SUMIFS('Forbrug af biomasse'!$E$2:$E$431,'Forbrug af biomasse'!$C$2:$C$431,'Resultat-Produktion &amp; forbrug'!$A228,'Forbrug af biomasse'!$D$2:$D$431,'Resultat-Produktion &amp; forbrug'!$D228,'Forbrug af biomasse'!$A$2:$A$431,'Resultat-Produktion &amp; forbrug'!L$2,'Forbrug af biomasse'!$B$2:$B$431,$E228),F228)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ca="1" si="68"/>
        <v>0</v>
      </c>
      <c r="O228" s="190">
        <f t="shared" ca="1" si="59"/>
        <v>0</v>
      </c>
      <c r="P228" s="200">
        <f t="shared" ca="1" si="69"/>
        <v>0</v>
      </c>
      <c r="Q228" s="187">
        <f ca="1">IFERROR(VLOOKUP(A228,[1]Energiindhold!$A$2:$C$11,3,FALSE),IFERROR(VLOOKUP(A228,[1]Biogasudbytte!$A$2:$B$18,2,FALSE)*[1]Energiindhold!$C$10,0))*O228</f>
        <v>0</v>
      </c>
      <c r="R228" s="187">
        <f ca="1"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ca="1" si="70"/>
        <v>0</v>
      </c>
      <c r="U228" s="186">
        <f ca="1">O228*IFERROR(VLOOKUP(A228,[1]Tørstofindhold!A$2:B$24,2,FALSE),0)</f>
        <v>0</v>
      </c>
      <c r="V228" s="187">
        <f ca="1"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ca="1" si="71"/>
        <v>0</v>
      </c>
      <c r="Y228" s="168">
        <f t="shared" ca="1" si="60"/>
        <v>0</v>
      </c>
      <c r="Z228" s="103">
        <f t="shared" ca="1" si="61"/>
        <v>0</v>
      </c>
    </row>
    <row r="229" spans="1:26" x14ac:dyDescent="0.55000000000000004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forbrug'!G$2,'Forbrug af biomasse'!$B$2:$B$431,$E229)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forbrug'!I$2,'Forbrug af biomasse'!$B$2:$B$431,$E229)</f>
        <v>0</v>
      </c>
      <c r="J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forbrug'!J$2,'Forbrug af biomasse'!$B$2:$B$431,$E229)</f>
        <v>0</v>
      </c>
      <c r="K229" s="190">
        <f>SUMIFS('Forbrug af biomasse'!$E$2:$E$431,'Forbrug af biomasse'!$C$2:$C$431,'Resultat-Produktion &amp; forbrug'!$A229,'Forbrug af biomasse'!$D$2:$D$431,'Resultat-Produktion &amp; forbrug'!$D229,'Forbrug af biomasse'!$A$2:$A$431,'Resultat-Produktion &amp; forbrug'!K$2,'Forbrug af biomasse'!$B$2:$B$431,$E229)</f>
        <v>0</v>
      </c>
      <c r="L229" s="190">
        <f>IF(A229&lt;&gt;"Biogas",SUMIFS('Forbrug af biomasse'!$E$2:$E$431,'Forbrug af biomasse'!$C$2:$C$431,'Resultat-Produktion &amp; forbrug'!$A229,'Forbrug af biomasse'!$D$2:$D$431,'Resultat-Produktion &amp; forbrug'!$D229,'Forbrug af biomasse'!$A$2:$A$431,'Resultat-Produktion &amp; forbrug'!L$2,'Forbrug af biomasse'!$B$2:$B$431,$E229),F229)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55000000000000004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forbrug'!G$2,'Forbrug af biomasse'!$B$2:$B$431,$E230)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forbrug'!I$2,'Forbrug af biomasse'!$B$2:$B$431,$E230)</f>
        <v>0</v>
      </c>
      <c r="J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forbrug'!J$2,'Forbrug af biomasse'!$B$2:$B$431,$E230)</f>
        <v>0</v>
      </c>
      <c r="K230" s="190">
        <f>SUMIFS('Forbrug af biomasse'!$E$2:$E$431,'Forbrug af biomasse'!$C$2:$C$431,'Resultat-Produktion &amp; forbrug'!$A230,'Forbrug af biomasse'!$D$2:$D$431,'Resultat-Produktion &amp; forbrug'!$D230,'Forbrug af biomasse'!$A$2:$A$431,'Resultat-Produktion &amp; forbrug'!K$2,'Forbrug af biomasse'!$B$2:$B$431,$E230)</f>
        <v>0</v>
      </c>
      <c r="L230" s="190">
        <f>IF(A230&lt;&gt;"Biogas",SUMIFS('Forbrug af biomasse'!$E$2:$E$431,'Forbrug af biomasse'!$C$2:$C$431,'Resultat-Produktion &amp; forbrug'!$A230,'Forbrug af biomasse'!$D$2:$D$431,'Resultat-Produktion &amp; forbrug'!$D230,'Forbrug af biomasse'!$A$2:$A$431,'Resultat-Produktion &amp; forbrug'!L$2,'Forbrug af biomasse'!$B$2:$B$431,$E230),F230)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55000000000000004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forbrug'!G$2,'Forbrug af biomasse'!$B$2:$B$431,$E231)</f>
        <v>26278.769501998377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forbrug'!I$2,'Forbrug af biomasse'!$B$2:$B$431,$E231)</f>
        <v>0</v>
      </c>
      <c r="J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forbrug'!J$2,'Forbrug af biomasse'!$B$2:$B$431,$E231)</f>
        <v>0</v>
      </c>
      <c r="K231" s="190">
        <f>SUMIFS('Forbrug af biomasse'!$E$2:$E$431,'Forbrug af biomasse'!$C$2:$C$431,'Resultat-Produktion &amp; forbrug'!$A231,'Forbrug af biomasse'!$D$2:$D$431,'Resultat-Produktion &amp; forbrug'!$D231,'Forbrug af biomasse'!$A$2:$A$431,'Resultat-Produktion &amp; forbrug'!K$2,'Forbrug af biomasse'!$B$2:$B$431,$E231)</f>
        <v>0</v>
      </c>
      <c r="L231" s="190">
        <f>IF(A231&lt;&gt;"Biogas",SUMIFS('Forbrug af biomasse'!$E$2:$E$431,'Forbrug af biomasse'!$C$2:$C$431,'Resultat-Produktion &amp; forbrug'!$A231,'Forbrug af biomasse'!$D$2:$D$431,'Resultat-Produktion &amp; forbrug'!$D231,'Forbrug af biomasse'!$A$2:$A$431,'Resultat-Produktion &amp; forbrug'!L$2,'Forbrug af biomasse'!$B$2:$B$431,$E231),F231)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75215.691605590328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55000000000000004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forbrug'!G$2,'Forbrug af biomasse'!$B$2:$B$431,$E232)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forbrug'!I$2,'Forbrug af biomasse'!$B$2:$B$431,$E232)</f>
        <v>0</v>
      </c>
      <c r="J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forbrug'!J$2,'Forbrug af biomasse'!$B$2:$B$431,$E232)</f>
        <v>0</v>
      </c>
      <c r="K232" s="190">
        <f>SUMIFS('Forbrug af biomasse'!$E$2:$E$431,'Forbrug af biomasse'!$C$2:$C$431,'Resultat-Produktion &amp; forbrug'!$A232,'Forbrug af biomasse'!$D$2:$D$431,'Resultat-Produktion &amp; forbrug'!$D232,'Forbrug af biomasse'!$A$2:$A$431,'Resultat-Produktion &amp; forbrug'!K$2,'Forbrug af biomasse'!$B$2:$B$431,$E232)</f>
        <v>0</v>
      </c>
      <c r="L232" s="190">
        <f>IF(A232&lt;&gt;"Biogas",SUMIFS('Forbrug af biomasse'!$E$2:$E$431,'Forbrug af biomasse'!$C$2:$C$431,'Resultat-Produktion &amp; forbrug'!$A232,'Forbrug af biomasse'!$D$2:$D$431,'Resultat-Produktion &amp; forbrug'!$D232,'Forbrug af biomasse'!$A$2:$A$431,'Resultat-Produktion &amp; forbrug'!L$2,'Forbrug af biomasse'!$B$2:$B$431,$E232),F232)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55000000000000004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forbrug'!G$2,'Forbrug af biomasse'!$B$2:$B$431,$E233)</f>
        <v>103245.8768300271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forbrug'!I$2,'Forbrug af biomasse'!$B$2:$B$431,$E233)</f>
        <v>0</v>
      </c>
      <c r="J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forbrug'!J$2,'Forbrug af biomasse'!$B$2:$B$431,$E233)</f>
        <v>24521.571336172448</v>
      </c>
      <c r="K233" s="190">
        <f>SUMIFS('Forbrug af biomasse'!$E$2:$E$431,'Forbrug af biomasse'!$C$2:$C$431,'Resultat-Produktion &amp; forbrug'!$A233,'Forbrug af biomasse'!$D$2:$D$431,'Resultat-Produktion &amp; forbrug'!$D233,'Forbrug af biomasse'!$A$2:$A$431,'Resultat-Produktion &amp; forbrug'!K$2,'Forbrug af biomasse'!$B$2:$B$431,$E233)</f>
        <v>0</v>
      </c>
      <c r="L233" s="190">
        <f>IF(A233&lt;&gt;"Biogas",SUMIFS('Forbrug af biomasse'!$E$2:$E$431,'Forbrug af biomasse'!$C$2:$C$431,'Resultat-Produktion &amp; forbrug'!$A233,'Forbrug af biomasse'!$D$2:$D$431,'Resultat-Produktion &amp; forbrug'!$D233,'Forbrug af biomasse'!$A$2:$A$431,'Resultat-Produktion &amp; forbrug'!L$2,'Forbrug af biomasse'!$B$2:$B$431,$E233),F233)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2229612.7577437642</v>
      </c>
      <c r="O233" s="190">
        <f t="shared" si="59"/>
        <v>1780727.3487029388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4.8329652534737235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4.8995177789429487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4.8329652534737235</v>
      </c>
      <c r="U233" s="186">
        <f>O233*IFERROR(VLOOKUP(A233,[1]Tørstofindhold!A$2:B$24,2,FALSE),0)</f>
        <v>356145.46974058775</v>
      </c>
      <c r="V233" s="187">
        <f>IF(D233=År1,P233,SUM(O233,P233))*IFERROR(VLOOKUP(A233,[1]Tørstofindhold!A$2:B$24,2,FALSE),0)</f>
        <v>361049.78400782228</v>
      </c>
      <c r="W233" s="187">
        <f>J233*IFERROR(VLOOKUP(A233,[1]Tørstofindhold!A$2:B$24,2,FALSE),0)</f>
        <v>4904.3142672344902</v>
      </c>
      <c r="X233" s="188">
        <f t="shared" si="65"/>
        <v>356145.46974058781</v>
      </c>
      <c r="Y233" s="168">
        <f t="shared" si="60"/>
        <v>0</v>
      </c>
      <c r="Z233" s="103">
        <f t="shared" si="61"/>
        <v>1</v>
      </c>
    </row>
    <row r="234" spans="1:26" x14ac:dyDescent="0.55000000000000004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forbrug'!G$2,'Forbrug af biomasse'!$B$2:$B$431,$E234)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forbrug'!I$2,'Forbrug af biomasse'!$B$2:$B$431,$E234)</f>
        <v>0</v>
      </c>
      <c r="J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forbrug'!J$2,'Forbrug af biomasse'!$B$2:$B$431,$E234)</f>
        <v>0</v>
      </c>
      <c r="K234" s="190">
        <f>SUMIFS('Forbrug af biomasse'!$E$2:$E$431,'Forbrug af biomasse'!$C$2:$C$431,'Resultat-Produktion &amp; forbrug'!$A234,'Forbrug af biomasse'!$D$2:$D$431,'Resultat-Produktion &amp; forbrug'!$D234,'Forbrug af biomasse'!$A$2:$A$431,'Resultat-Produktion &amp; forbrug'!K$2,'Forbrug af biomasse'!$B$2:$B$431,$E234)</f>
        <v>0</v>
      </c>
      <c r="L234" s="190">
        <f>IF(A234&lt;&gt;"Biogas",SUMIFS('Forbrug af biomasse'!$E$2:$E$431,'Forbrug af biomasse'!$C$2:$C$431,'Resultat-Produktion &amp; forbrug'!$A234,'Forbrug af biomasse'!$D$2:$D$431,'Resultat-Produktion &amp; forbrug'!$D234,'Forbrug af biomasse'!$A$2:$A$431,'Resultat-Produktion &amp; forbrug'!L$2,'Forbrug af biomasse'!$B$2:$B$431,$E234),F234)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55000000000000004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forbrug'!G$2,'Forbrug af biomasse'!$B$2:$B$431,$E235)</f>
        <v>4837.9324606189484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forbrug'!I$2,'Forbrug af biomasse'!$B$2:$B$431,$E235)</f>
        <v>0</v>
      </c>
      <c r="J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forbrug'!J$2,'Forbrug af biomasse'!$B$2:$B$431,$E235)</f>
        <v>0</v>
      </c>
      <c r="K235" s="190">
        <f>SUMIFS('Forbrug af biomasse'!$E$2:$E$431,'Forbrug af biomasse'!$C$2:$C$431,'Resultat-Produktion &amp; forbrug'!$A235,'Forbrug af biomasse'!$D$2:$D$431,'Resultat-Produktion &amp; forbrug'!$D235,'Forbrug af biomasse'!$A$2:$A$431,'Resultat-Produktion &amp; forbrug'!K$2,'Forbrug af biomasse'!$B$2:$B$431,$E235)</f>
        <v>0</v>
      </c>
      <c r="L235" s="190">
        <f>IF(A235&lt;&gt;"Biogas",SUMIFS('Forbrug af biomasse'!$E$2:$E$431,'Forbrug af biomasse'!$C$2:$C$431,'Resultat-Produktion &amp; forbrug'!$A235,'Forbrug af biomasse'!$D$2:$D$431,'Resultat-Produktion &amp; forbrug'!$D235,'Forbrug af biomasse'!$A$2:$A$431,'Resultat-Produktion &amp; forbrug'!L$2,'Forbrug af biomasse'!$B$2:$B$431,$E235),F235)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13452.493793691661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55000000000000004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forbrug'!G$2,'Forbrug af biomasse'!$B$2:$B$431,$E236)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forbrug'!I$2,'Forbrug af biomasse'!$B$2:$B$431,$E236)</f>
        <v>0</v>
      </c>
      <c r="J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forbrug'!J$2,'Forbrug af biomasse'!$B$2:$B$431,$E236)</f>
        <v>1268228.6485488336</v>
      </c>
      <c r="K236" s="190">
        <f>SUMIFS('Forbrug af biomasse'!$E$2:$E$431,'Forbrug af biomasse'!$C$2:$C$431,'Resultat-Produktion &amp; forbrug'!$A236,'Forbrug af biomasse'!$D$2:$D$431,'Resultat-Produktion &amp; forbrug'!$D236,'Forbrug af biomasse'!$A$2:$A$431,'Resultat-Produktion &amp; forbrug'!K$2,'Forbrug af biomasse'!$B$2:$B$431,$E236)</f>
        <v>0</v>
      </c>
      <c r="L236" s="190">
        <f>IF(A236&lt;&gt;"Biogas",SUMIFS('Forbrug af biomasse'!$E$2:$E$431,'Forbrug af biomasse'!$C$2:$C$431,'Resultat-Produktion &amp; forbrug'!$A236,'Forbrug af biomasse'!$D$2:$D$431,'Resultat-Produktion &amp; forbrug'!$D236,'Forbrug af biomasse'!$A$2:$A$431,'Resultat-Produktion &amp; forbrug'!L$2,'Forbrug af biomasse'!$B$2:$B$431,$E236),F236)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2075825.4422153998</v>
      </c>
      <c r="O236" s="190">
        <f t="shared" si="59"/>
        <v>2075825.4422153998</v>
      </c>
      <c r="P236" s="200">
        <f t="shared" si="63"/>
        <v>1268228.6485488336</v>
      </c>
      <c r="Q236" s="187">
        <f>IFERROR(VLOOKUP(A236,[1]Energiindhold!$A$2:$C$11,3,FALSE),IFERROR(VLOOKUP(A236,[1]Biogasudbytte!$A$2:$B$18,2,FALSE)*[1]Energiindhold!$C$10,0))*O236</f>
        <v>1.0358576539199069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87">
        <f>IFERROR(VLOOKUP(A236,[1]Biogasudbytte!$A$2:$B$18,2,FALSE)*[1]Energiindhold!$C$10,0)*J236*IFERROR(VLOOKUP(A236,Biogasanlæg!$F$3:$G$8,2,FALSE),1)</f>
        <v>0.63285877791235357</v>
      </c>
      <c r="T236" s="188">
        <f t="shared" si="64"/>
        <v>1.0358576539199069</v>
      </c>
      <c r="U236" s="186">
        <f>O236*IFERROR(VLOOKUP(A236,[1]Tørstofindhold!A$2:B$24,2,FALSE),0)</f>
        <v>124549.52653292398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76093.71891293001</v>
      </c>
      <c r="X236" s="188">
        <f t="shared" si="65"/>
        <v>124549.52653292399</v>
      </c>
      <c r="Y236" s="168">
        <f t="shared" si="60"/>
        <v>0</v>
      </c>
      <c r="Z236" s="103">
        <f t="shared" si="61"/>
        <v>1</v>
      </c>
    </row>
    <row r="237" spans="1:26" x14ac:dyDescent="0.55000000000000004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forbrug'!G$2,'Forbrug af biomasse'!$B$2:$B$431,$E237)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forbrug'!I$2,'Forbrug af biomasse'!$B$2:$B$431,$E237)</f>
        <v>0</v>
      </c>
      <c r="J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forbrug'!J$2,'Forbrug af biomasse'!$B$2:$B$431,$E237)</f>
        <v>1157678.9141627084</v>
      </c>
      <c r="K237" s="190">
        <f>SUMIFS('Forbrug af biomasse'!$E$2:$E$431,'Forbrug af biomasse'!$C$2:$C$431,'Resultat-Produktion &amp; forbrug'!$A237,'Forbrug af biomasse'!$D$2:$D$431,'Resultat-Produktion &amp; forbrug'!$D237,'Forbrug af biomasse'!$A$2:$A$431,'Resultat-Produktion &amp; forbrug'!K$2,'Forbrug af biomasse'!$B$2:$B$431,$E237)</f>
        <v>1026620.9238801375</v>
      </c>
      <c r="L237" s="190">
        <f>IF(A237&lt;&gt;"Biogas",SUMIFS('Forbrug af biomasse'!$E$2:$E$431,'Forbrug af biomasse'!$C$2:$C$431,'Resultat-Produktion &amp; forbrug'!$A237,'Forbrug af biomasse'!$D$2:$D$431,'Resultat-Produktion &amp; forbrug'!$D237,'Forbrug af biomasse'!$A$2:$A$431,'Resultat-Produktion &amp; forbrug'!L$2,'Forbrug af biomasse'!$B$2:$B$431,$E237),F237)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1157678.9141627084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87">
        <f>IFERROR(VLOOKUP(A237,[1]Biogasudbytte!$A$2:$B$18,2,FALSE)*[1]Energiindhold!$C$10,0)*J237*IFERROR(VLOOKUP(A237,Biogasanlæg!$F$3:$G$8,2,FALSE),1)</f>
        <v>0.49872807622129489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57883.945708135427</v>
      </c>
      <c r="W237" s="187">
        <f>J237*IFERROR(VLOOKUP(A237,[1]Tørstofindhold!A$2:B$24,2,FALSE),0)</f>
        <v>57883.945708135427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55000000000000004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forbrug'!G$2,'Forbrug af biomasse'!$B$2:$B$431,$E238)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forbrug'!I$2,'Forbrug af biomasse'!$B$2:$B$431,$E238)</f>
        <v>105526.43984954793</v>
      </c>
      <c r="J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forbrug'!J$2,'Forbrug af biomasse'!$B$2:$B$431,$E238)</f>
        <v>0</v>
      </c>
      <c r="K238" s="190">
        <f>SUMIFS('Forbrug af biomasse'!$E$2:$E$431,'Forbrug af biomasse'!$C$2:$C$431,'Resultat-Produktion &amp; forbrug'!$A238,'Forbrug af biomasse'!$D$2:$D$431,'Resultat-Produktion &amp; forbrug'!$D238,'Forbrug af biomasse'!$A$2:$A$431,'Resultat-Produktion &amp; forbrug'!K$2,'Forbrug af biomasse'!$B$2:$B$431,$E238)</f>
        <v>0</v>
      </c>
      <c r="L238" s="190">
        <f>IF(A238&lt;&gt;"Biogas",SUMIFS('Forbrug af biomasse'!$E$2:$E$431,'Forbrug af biomasse'!$C$2:$C$431,'Resultat-Produktion &amp; forbrug'!$A238,'Forbrug af biomasse'!$D$2:$D$431,'Resultat-Produktion &amp; forbrug'!$D238,'Forbrug af biomasse'!$A$2:$A$431,'Resultat-Produktion &amp; forbrug'!L$2,'Forbrug af biomasse'!$B$2:$B$431,$E238),F238)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94143.6721787524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55000000000000004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forbrug'!G$2,'Forbrug af biomasse'!$B$2:$B$431,$E239)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forbrug'!I$2,'Forbrug af biomasse'!$B$2:$B$431,$E239)</f>
        <v>0</v>
      </c>
      <c r="J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forbrug'!J$2,'Forbrug af biomasse'!$B$2:$B$431,$E239)</f>
        <v>0</v>
      </c>
      <c r="K239" s="190">
        <f>SUMIFS('Forbrug af biomasse'!$E$2:$E$431,'Forbrug af biomasse'!$C$2:$C$431,'Resultat-Produktion &amp; forbrug'!$A239,'Forbrug af biomasse'!$D$2:$D$431,'Resultat-Produktion &amp; forbrug'!$D239,'Forbrug af biomasse'!$A$2:$A$431,'Resultat-Produktion &amp; forbrug'!K$2,'Forbrug af biomasse'!$B$2:$B$431,$E239)</f>
        <v>0</v>
      </c>
      <c r="L239" s="190">
        <f>IF(A239&lt;&gt;"Biogas",SUMIFS('Forbrug af biomasse'!$E$2:$E$431,'Forbrug af biomasse'!$C$2:$C$431,'Resultat-Produktion &amp; forbrug'!$A239,'Forbrug af biomasse'!$D$2:$D$431,'Resultat-Produktion &amp; forbrug'!$D239,'Forbrug af biomasse'!$A$2:$A$431,'Resultat-Produktion &amp; forbrug'!L$2,'Forbrug af biomasse'!$B$2:$B$431,$E239),F239)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55000000000000004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forbrug'!G$2,'Forbrug af biomasse'!$B$2:$B$431,$E240)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forbrug'!I$2,'Forbrug af biomasse'!$B$2:$B$431,$E240)</f>
        <v>0</v>
      </c>
      <c r="J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forbrug'!J$2,'Forbrug af biomasse'!$B$2:$B$431,$E240)</f>
        <v>0</v>
      </c>
      <c r="K240" s="190">
        <f>SUMIFS('Forbrug af biomasse'!$E$2:$E$431,'Forbrug af biomasse'!$C$2:$C$431,'Resultat-Produktion &amp; forbrug'!$A240,'Forbrug af biomasse'!$D$2:$D$431,'Resultat-Produktion &amp; forbrug'!$D240,'Forbrug af biomasse'!$A$2:$A$431,'Resultat-Produktion &amp; forbrug'!K$2,'Forbrug af biomasse'!$B$2:$B$431,$E240)</f>
        <v>0</v>
      </c>
      <c r="L240" s="190">
        <f>IF(A240&lt;&gt;"Biogas",SUMIFS('Forbrug af biomasse'!$E$2:$E$431,'Forbrug af biomasse'!$C$2:$C$431,'Resultat-Produktion &amp; forbrug'!$A240,'Forbrug af biomasse'!$D$2:$D$431,'Resultat-Produktion &amp; forbrug'!$D240,'Forbrug af biomasse'!$A$2:$A$431,'Resultat-Produktion &amp; forbrug'!L$2,'Forbrug af biomasse'!$B$2:$B$431,$E240),F240)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55000000000000004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forbrug'!G$2,'Forbrug af biomasse'!$B$2:$B$431,$E241)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forbrug'!I$2,'Forbrug af biomasse'!$B$2:$B$431,$E241)</f>
        <v>0</v>
      </c>
      <c r="J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forbrug'!J$2,'Forbrug af biomasse'!$B$2:$B$431,$E241)</f>
        <v>0</v>
      </c>
      <c r="K241" s="190">
        <f>SUMIFS('Forbrug af biomasse'!$E$2:$E$431,'Forbrug af biomasse'!$C$2:$C$431,'Resultat-Produktion &amp; forbrug'!$A241,'Forbrug af biomasse'!$D$2:$D$431,'Resultat-Produktion &amp; forbrug'!$D241,'Forbrug af biomasse'!$A$2:$A$431,'Resultat-Produktion &amp; forbrug'!K$2,'Forbrug af biomasse'!$B$2:$B$431,$E241)</f>
        <v>0</v>
      </c>
      <c r="L241" s="190">
        <f ca="1">IF(A241&lt;&gt;"Biogas",SUMIFS('Forbrug af biomasse'!$E$2:$E$431,'Forbrug af biomasse'!$C$2:$C$431,'Resultat-Produktion &amp; forbrug'!$A241,'Forbrug af biomasse'!$D$2:$D$431,'Resultat-Produktion &amp; forbrug'!$D241,'Forbrug af biomasse'!$A$2:$A$431,'Resultat-Produktion &amp; forbrug'!L$2,'Forbrug af biomasse'!$B$2:$B$431,$E241),F241)</f>
        <v>645049.46160507516</v>
      </c>
      <c r="M241" s="154">
        <f ca="1"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55000000000000004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forbrug'!G$2,'Forbrug af biomasse'!$B$2:$B$431,$E242)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forbrug'!I$2,'Forbrug af biomasse'!$B$2:$B$431,$E242)</f>
        <v>0</v>
      </c>
      <c r="J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forbrug'!J$2,'Forbrug af biomasse'!$B$2:$B$431,$E242)</f>
        <v>0</v>
      </c>
      <c r="K242" s="190">
        <f>SUMIFS('Forbrug af biomasse'!$E$2:$E$431,'Forbrug af biomasse'!$C$2:$C$431,'Resultat-Produktion &amp; forbrug'!$A242,'Forbrug af biomasse'!$D$2:$D$431,'Resultat-Produktion &amp; forbrug'!$D242,'Forbrug af biomasse'!$A$2:$A$431,'Resultat-Produktion &amp; forbrug'!K$2,'Forbrug af biomasse'!$B$2:$B$431,$E242)</f>
        <v>0</v>
      </c>
      <c r="L242" s="190">
        <f>IF(A242&lt;&gt;"Biogas",SUMIFS('Forbrug af biomasse'!$E$2:$E$431,'Forbrug af biomasse'!$C$2:$C$431,'Resultat-Produktion &amp; forbrug'!$A242,'Forbrug af biomasse'!$D$2:$D$431,'Resultat-Produktion &amp; forbrug'!$D242,'Forbrug af biomasse'!$A$2:$A$431,'Resultat-Produktion &amp; forbrug'!L$2,'Forbrug af biomasse'!$B$2:$B$431,$E242),F242)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55000000000000004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forbrug'!G$2,'Forbrug af biomasse'!$B$2:$B$431,$E243)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forbrug'!I$2,'Forbrug af biomasse'!$B$2:$B$431,$E243)</f>
        <v>29532.002020101954</v>
      </c>
      <c r="J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forbrug'!J$2,'Forbrug af biomasse'!$B$2:$B$431,$E243)</f>
        <v>0</v>
      </c>
      <c r="K243" s="190">
        <f>SUMIFS('Forbrug af biomasse'!$E$2:$E$431,'Forbrug af biomasse'!$C$2:$C$431,'Resultat-Produktion &amp; forbrug'!$A243,'Forbrug af biomasse'!$D$2:$D$431,'Resultat-Produktion &amp; forbrug'!$D243,'Forbrug af biomasse'!$A$2:$A$431,'Resultat-Produktion &amp; forbrug'!K$2,'Forbrug af biomasse'!$B$2:$B$431,$E243)</f>
        <v>0</v>
      </c>
      <c r="L243" s="190">
        <f>IF(A243&lt;&gt;"Biogas",SUMIFS('Forbrug af biomasse'!$E$2:$E$431,'Forbrug af biomasse'!$C$2:$C$431,'Resultat-Produktion &amp; forbrug'!$A243,'Forbrug af biomasse'!$D$2:$D$431,'Resultat-Produktion &amp; forbrug'!$D243,'Forbrug af biomasse'!$A$2:$A$431,'Resultat-Produktion &amp; forbrug'!L$2,'Forbrug af biomasse'!$B$2:$B$431,$E243),F243)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55000000000000004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forbrug'!G$2,'Forbrug af biomasse'!$B$2:$B$431,$E244)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forbrug'!I$2,'Forbrug af biomasse'!$B$2:$B$431,$E244)</f>
        <v>0</v>
      </c>
      <c r="J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forbrug'!J$2,'Forbrug af biomasse'!$B$2:$B$431,$E244)</f>
        <v>0</v>
      </c>
      <c r="K244" s="190">
        <f>SUMIFS('Forbrug af biomasse'!$E$2:$E$431,'Forbrug af biomasse'!$C$2:$C$431,'Resultat-Produktion &amp; forbrug'!$A244,'Forbrug af biomasse'!$D$2:$D$431,'Resultat-Produktion &amp; forbrug'!$D244,'Forbrug af biomasse'!$A$2:$A$431,'Resultat-Produktion &amp; forbrug'!K$2,'Forbrug af biomasse'!$B$2:$B$431,$E244)</f>
        <v>0</v>
      </c>
      <c r="L244" s="190">
        <f>IF(A244&lt;&gt;"Biogas",SUMIFS('Forbrug af biomasse'!$E$2:$E$431,'Forbrug af biomasse'!$C$2:$C$431,'Resultat-Produktion &amp; forbrug'!$A244,'Forbrug af biomasse'!$D$2:$D$431,'Resultat-Produktion &amp; forbrug'!$D244,'Forbrug af biomasse'!$A$2:$A$431,'Resultat-Produktion &amp; forbrug'!L$2,'Forbrug af biomasse'!$B$2:$B$431,$E244),F244)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21754.534270950957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55000000000000004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forbrug'!G$2,'Forbrug af biomasse'!$B$2:$B$431,$E245)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forbrug'!I$2,'Forbrug af biomasse'!$B$2:$B$431,$E245)</f>
        <v>0</v>
      </c>
      <c r="J245" s="190">
        <f ca="1">SUMIFS('Forbrug af biomasse'!$E$2:$E$431,'Forbrug af biomasse'!$C$2:$C$431,'Resultat-Produktion &amp; forbrug'!$A245,'Forbrug af biomasse'!$D$2:$D$431,'Resultat-Produktion &amp; forbrug'!$D245,'Forbrug af biomasse'!$A$2:$A$431,'Resultat-Produktion &amp; forbrug'!J$2,'Forbrug af biomasse'!$B$2:$B$431,$E245)</f>
        <v>172292.76645701908</v>
      </c>
      <c r="K245" s="190">
        <f>SUMIFS('Forbrug af biomasse'!$E$2:$E$431,'Forbrug af biomasse'!$C$2:$C$431,'Resultat-Produktion &amp; forbrug'!$A245,'Forbrug af biomasse'!$D$2:$D$431,'Resultat-Produktion &amp; forbrug'!$D245,'Forbrug af biomasse'!$A$2:$A$431,'Resultat-Produktion &amp; forbrug'!K$2,'Forbrug af biomasse'!$B$2:$B$431,$E245)</f>
        <v>0</v>
      </c>
      <c r="L245" s="190">
        <f ca="1">IF(A245&lt;&gt;"Biogas",SUMIFS('Forbrug af biomasse'!$E$2:$E$431,'Forbrug af biomasse'!$C$2:$C$431,'Resultat-Produktion &amp; forbrug'!$A245,'Forbrug af biomasse'!$D$2:$D$431,'Resultat-Produktion &amp; forbrug'!$D245,'Forbrug af biomasse'!$A$2:$A$431,'Resultat-Produktion &amp; forbrug'!L$2,'Forbrug af biomasse'!$B$2:$B$431,$E245),F245)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55000000000000004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109815913.7808761</v>
      </c>
      <c r="G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forbrug'!G$2,'Forbrug af biomasse'!$B$2:$B$431,$E246)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forbrug'!I$2,'Forbrug af biomasse'!$B$2:$B$431,$E246)</f>
        <v>0</v>
      </c>
      <c r="J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forbrug'!J$2,'Forbrug af biomasse'!$B$2:$B$431,$E246)</f>
        <v>0</v>
      </c>
      <c r="K246" s="190">
        <f>SUMIFS('Forbrug af biomasse'!$E$2:$E$431,'Forbrug af biomasse'!$C$2:$C$431,'Resultat-Produktion &amp; forbrug'!$A246,'Forbrug af biomasse'!$D$2:$D$431,'Resultat-Produktion &amp; forbrug'!$D246,'Forbrug af biomasse'!$A$2:$A$431,'Resultat-Produktion &amp; forbrug'!K$2,'Forbrug af biomasse'!$B$2:$B$431,$E246)</f>
        <v>0</v>
      </c>
      <c r="L246" s="190">
        <f ca="1">IF(A246&lt;&gt;"Biogas",SUMIFS('Forbrug af biomasse'!$E$2:$E$431,'Forbrug af biomasse'!$C$2:$C$431,'Resultat-Produktion &amp; forbrug'!$A246,'Forbrug af biomasse'!$D$2:$D$431,'Resultat-Produktion &amp; forbrug'!$D246,'Forbrug af biomasse'!$A$2:$A$431,'Resultat-Produktion &amp; forbrug'!L$2,'Forbrug af biomasse'!$B$2:$B$431,$E246),F246)</f>
        <v>109815913.7808761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109815913.7808761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55000000000000004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3485399.0902783498</v>
      </c>
      <c r="G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forbrug'!G$2,'Forbrug af biomasse'!$B$2:$B$431,$E247)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forbrug'!I$2,'Forbrug af biomasse'!$B$2:$B$431,$E247)</f>
        <v>0</v>
      </c>
      <c r="J247" s="190">
        <f>SUMIFS('Forbrug af biomasse'!$E$2:$E$431,'Forbrug af biomasse'!$C$2:$C$431,'Resultat-Produktion &amp; forbrug'!$A247,'Forbrug af biomasse'!$D$2:$D$431,'Resultat-Produktion &amp; forbrug'!$D247,'Forbrug af biomasse'!$A$2:$A$431,'Resultat-Produktion &amp; forbrug'!J$2,'Forbrug af biomasse'!$B$2:$B$431,$E247)</f>
        <v>0</v>
      </c>
      <c r="K247" s="190">
        <f ca="1">SUMIFS('Forbrug af biomasse'!$E$2:$E$431,'Forbrug af biomasse'!$C$2:$C$431,'Resultat-Produktion &amp; forbrug'!$A247,'Forbrug af biomasse'!$D$2:$D$431,'Resultat-Produktion &amp; forbrug'!$D247,'Forbrug af biomasse'!$A$2:$A$431,'Resultat-Produktion &amp; forbrug'!K$2,'Forbrug af biomasse'!$B$2:$B$431,$E247)</f>
        <v>3027845.1302976091</v>
      </c>
      <c r="L247" s="190">
        <f>IF(A247&lt;&gt;"Biogas",SUMIFS('Forbrug af biomasse'!$E$2:$E$431,'Forbrug af biomasse'!$C$2:$C$431,'Resultat-Produktion &amp; forbrug'!$A247,'Forbrug af biomasse'!$D$2:$D$431,'Resultat-Produktion &amp; forbrug'!$D247,'Forbrug af biomasse'!$A$2:$A$431,'Resultat-Produktion &amp; forbrug'!L$2,'Forbrug af biomasse'!$B$2:$B$431,$E247),F247)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457553.95998074068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55000000000000004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forbrug'!G$2,'Forbrug af biomasse'!$B$2:$B$431,$E248)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forbrug'!I$2,'Forbrug af biomasse'!$B$2:$B$431,$E248)</f>
        <v>0</v>
      </c>
      <c r="J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forbrug'!J$2,'Forbrug af biomasse'!$B$2:$B$431,$E248)</f>
        <v>0</v>
      </c>
      <c r="K248" s="190">
        <f>SUMIFS('Forbrug af biomasse'!$E$2:$E$431,'Forbrug af biomasse'!$C$2:$C$431,'Resultat-Produktion &amp; forbrug'!$A248,'Forbrug af biomasse'!$D$2:$D$431,'Resultat-Produktion &amp; forbrug'!$D248,'Forbrug af biomasse'!$A$2:$A$431,'Resultat-Produktion &amp; forbrug'!K$2,'Forbrug af biomasse'!$B$2:$B$431,$E248)</f>
        <v>0</v>
      </c>
      <c r="L248" s="190">
        <f>IF(A248&lt;&gt;"Biogas",SUMIFS('Forbrug af biomasse'!$E$2:$E$431,'Forbrug af biomasse'!$C$2:$C$431,'Resultat-Produktion &amp; forbrug'!$A248,'Forbrug af biomasse'!$D$2:$D$431,'Resultat-Produktion &amp; forbrug'!$D248,'Forbrug af biomasse'!$A$2:$A$431,'Resultat-Produktion &amp; forbrug'!L$2,'Forbrug af biomasse'!$B$2:$B$431,$E248),F248)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55000000000000004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forbrug'!G$2,'Forbrug af biomasse'!$B$2:$B$431,$E249)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forbrug'!I$2,'Forbrug af biomasse'!$B$2:$B$431,$E249)</f>
        <v>0</v>
      </c>
      <c r="J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forbrug'!J$2,'Forbrug af biomasse'!$B$2:$B$431,$E249)</f>
        <v>188529.05350799995</v>
      </c>
      <c r="K249" s="190">
        <f>SUMIFS('Forbrug af biomasse'!$E$2:$E$431,'Forbrug af biomasse'!$C$2:$C$431,'Resultat-Produktion &amp; forbrug'!$A249,'Forbrug af biomasse'!$D$2:$D$431,'Resultat-Produktion &amp; forbrug'!$D249,'Forbrug af biomasse'!$A$2:$A$431,'Resultat-Produktion &amp; forbrug'!K$2,'Forbrug af biomasse'!$B$2:$B$431,$E249)</f>
        <v>71371.713113742837</v>
      </c>
      <c r="L249" s="190">
        <f>IF(A249&lt;&gt;"Biogas",SUMIFS('Forbrug af biomasse'!$E$2:$E$431,'Forbrug af biomasse'!$C$2:$C$431,'Resultat-Produktion &amp; forbrug'!$A249,'Forbrug af biomasse'!$D$2:$D$431,'Resultat-Produktion &amp; forbrug'!$D249,'Forbrug af biomasse'!$A$2:$A$431,'Resultat-Produktion &amp; forbrug'!L$2,'Forbrug af biomasse'!$B$2:$B$431,$E249),F249)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117157.3403942571</v>
      </c>
      <c r="O249" s="190">
        <f t="shared" si="59"/>
        <v>117157.3403942571</v>
      </c>
      <c r="P249" s="200">
        <f t="shared" si="63"/>
        <v>188529.05350799995</v>
      </c>
      <c r="Q249" s="187">
        <f>IFERROR(VLOOKUP(A249,[1]Energiindhold!$A$2:$C$11,3,FALSE),IFERROR(VLOOKUP(A249,[1]Biogasudbytte!$A$2:$B$18,2,FALSE)*[1]Energiindhold!$C$10,0))*O249</f>
        <v>0.25235691120922982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87">
        <f>IFERROR(VLOOKUP(A249,[1]Biogasudbytte!$A$2:$B$18,2,FALSE)*[1]Energiindhold!$C$10,0)*J249*IFERROR(VLOOKUP(A249,Biogasanlæg!$F$3:$G$8,2,FALSE),1)</f>
        <v>0.4060915812562319</v>
      </c>
      <c r="T249" s="188">
        <f t="shared" si="64"/>
        <v>0.25235691120922976</v>
      </c>
      <c r="U249" s="186">
        <f>O249*IFERROR(VLOOKUP(A249,[1]Tørstofindhold!A$2:B$24,2,FALSE),0)</f>
        <v>35147.202118277128</v>
      </c>
      <c r="V249" s="187">
        <f>IF(D249=År1,P249,SUM(O249,P249))*IFERROR(VLOOKUP(A249,[1]Tørstofindhold!A$2:B$24,2,FALSE),0)</f>
        <v>91705.91817067712</v>
      </c>
      <c r="W249" s="187">
        <f>J249*IFERROR(VLOOKUP(A249,[1]Tørstofindhold!A$2:B$24,2,FALSE),0)</f>
        <v>56558.716052399985</v>
      </c>
      <c r="X249" s="188">
        <f t="shared" si="65"/>
        <v>35147.202118277135</v>
      </c>
      <c r="Y249" s="168">
        <f t="shared" si="60"/>
        <v>0</v>
      </c>
      <c r="Z249" s="103">
        <f t="shared" si="61"/>
        <v>1</v>
      </c>
    </row>
    <row r="250" spans="1:26" x14ac:dyDescent="0.55000000000000004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forbrug'!G$2,'Forbrug af biomasse'!$B$2:$B$431,$E250)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forbrug'!I$2,'Forbrug af biomasse'!$B$2:$B$431,$E250)</f>
        <v>0</v>
      </c>
      <c r="J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forbrug'!J$2,'Forbrug af biomasse'!$B$2:$B$431,$E250)</f>
        <v>0</v>
      </c>
      <c r="K250" s="190">
        <f>SUMIFS('Forbrug af biomasse'!$E$2:$E$431,'Forbrug af biomasse'!$C$2:$C$431,'Resultat-Produktion &amp; forbrug'!$A250,'Forbrug af biomasse'!$D$2:$D$431,'Resultat-Produktion &amp; forbrug'!$D250,'Forbrug af biomasse'!$A$2:$A$431,'Resultat-Produktion &amp; forbrug'!K$2,'Forbrug af biomasse'!$B$2:$B$431,$E250)</f>
        <v>0</v>
      </c>
      <c r="L250" s="190">
        <f>IF(A250&lt;&gt;"Biogas",SUMIFS('Forbrug af biomasse'!$E$2:$E$431,'Forbrug af biomasse'!$C$2:$C$431,'Resultat-Produktion &amp; forbrug'!$A250,'Forbrug af biomasse'!$D$2:$D$431,'Resultat-Produktion &amp; forbrug'!$D250,'Forbrug af biomasse'!$A$2:$A$431,'Resultat-Produktion &amp; forbrug'!L$2,'Forbrug af biomasse'!$B$2:$B$431,$E250),F250)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55000000000000004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forbrug'!G$2,'Forbrug af biomasse'!$B$2:$B$431,$E251)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forbrug'!I$2,'Forbrug af biomasse'!$B$2:$B$431,$E251)</f>
        <v>0</v>
      </c>
      <c r="J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forbrug'!J$2,'Forbrug af biomasse'!$B$2:$B$431,$E251)</f>
        <v>361.54919868427658</v>
      </c>
      <c r="K251" s="190">
        <f>SUMIFS('Forbrug af biomasse'!$E$2:$E$431,'Forbrug af biomasse'!$C$2:$C$431,'Resultat-Produktion &amp; forbrug'!$A251,'Forbrug af biomasse'!$D$2:$D$431,'Resultat-Produktion &amp; forbrug'!$D251,'Forbrug af biomasse'!$A$2:$A$431,'Resultat-Produktion &amp; forbrug'!K$2,'Forbrug af biomasse'!$B$2:$B$431,$E251)</f>
        <v>361.54919868427658</v>
      </c>
      <c r="L251" s="190">
        <f>IF(A251&lt;&gt;"Biogas",SUMIFS('Forbrug af biomasse'!$E$2:$E$431,'Forbrug af biomasse'!$C$2:$C$431,'Resultat-Produktion &amp; forbrug'!$A251,'Forbrug af biomasse'!$D$2:$D$431,'Resultat-Produktion &amp; forbrug'!$D251,'Forbrug af biomasse'!$A$2:$A$431,'Resultat-Produktion &amp; forbrug'!L$2,'Forbrug af biomasse'!$B$2:$B$431,$E251),F251)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361.54919868427658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87">
        <f>IFERROR(VLOOKUP(A251,[1]Biogasudbytte!$A$2:$B$18,2,FALSE)*[1]Energiindhold!$C$10,0)*J251*IFERROR(VLOOKUP(A251,Biogasanlæg!$F$3:$G$8,2,FALSE),1)</f>
        <v>1.7003297264922844E-4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22.777599517109426</v>
      </c>
      <c r="W251" s="187">
        <f>J251*IFERROR(VLOOKUP(A251,[1]Tørstofindhold!A$2:B$24,2,FALSE),0)</f>
        <v>22.777599517109426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55000000000000004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forbrug'!G$2,'Forbrug af biomasse'!$B$2:$B$431,$E252)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forbrug'!I$2,'Forbrug af biomasse'!$B$2:$B$431,$E252)</f>
        <v>31993.002188443785</v>
      </c>
      <c r="J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forbrug'!J$2,'Forbrug af biomasse'!$B$2:$B$431,$E252)</f>
        <v>0</v>
      </c>
      <c r="K252" s="190">
        <f>SUMIFS('Forbrug af biomasse'!$E$2:$E$431,'Forbrug af biomasse'!$C$2:$C$431,'Resultat-Produktion &amp; forbrug'!$A252,'Forbrug af biomasse'!$D$2:$D$431,'Resultat-Produktion &amp; forbrug'!$D252,'Forbrug af biomasse'!$A$2:$A$431,'Resultat-Produktion &amp; forbrug'!K$2,'Forbrug af biomasse'!$B$2:$B$431,$E252)</f>
        <v>0</v>
      </c>
      <c r="L252" s="190">
        <f>IF(A252&lt;&gt;"Biogas",SUMIFS('Forbrug af biomasse'!$E$2:$E$431,'Forbrug af biomasse'!$C$2:$C$431,'Resultat-Produktion &amp; forbrug'!$A252,'Forbrug af biomasse'!$D$2:$D$431,'Resultat-Produktion &amp; forbrug'!$D252,'Forbrug af biomasse'!$A$2:$A$431,'Resultat-Produktion &amp; forbrug'!L$2,'Forbrug af biomasse'!$B$2:$B$431,$E252),F252)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-17417.887295631779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55000000000000004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forbrug'!G$2,'Forbrug af biomasse'!$B$2:$B$431,$E253)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forbrug'!I$2,'Forbrug af biomasse'!$B$2:$B$431,$E253)</f>
        <v>0</v>
      </c>
      <c r="J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forbrug'!J$2,'Forbrug af biomasse'!$B$2:$B$431,$E253)</f>
        <v>0</v>
      </c>
      <c r="K253" s="190">
        <f>SUMIFS('Forbrug af biomasse'!$E$2:$E$431,'Forbrug af biomasse'!$C$2:$C$431,'Resultat-Produktion &amp; forbrug'!$A253,'Forbrug af biomasse'!$D$2:$D$431,'Resultat-Produktion &amp; forbrug'!$D253,'Forbrug af biomasse'!$A$2:$A$431,'Resultat-Produktion &amp; forbrug'!K$2,'Forbrug af biomasse'!$B$2:$B$431,$E253)</f>
        <v>0</v>
      </c>
      <c r="L253" s="190">
        <f>IF(A253&lt;&gt;"Biogas",SUMIFS('Forbrug af biomasse'!$E$2:$E$431,'Forbrug af biomasse'!$C$2:$C$431,'Resultat-Produktion &amp; forbrug'!$A253,'Forbrug af biomasse'!$D$2:$D$431,'Resultat-Produktion &amp; forbrug'!$D253,'Forbrug af biomasse'!$A$2:$A$431,'Resultat-Produktion &amp; forbrug'!L$2,'Forbrug af biomasse'!$B$2:$B$431,$E253),F253)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55000000000000004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forbrug'!G$2,'Forbrug af biomasse'!$B$2:$B$431,$E254)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forbrug'!I$2,'Forbrug af biomasse'!$B$2:$B$431,$E254)</f>
        <v>233795.01599247381</v>
      </c>
      <c r="J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forbrug'!J$2,'Forbrug af biomasse'!$B$2:$B$431,$E254)</f>
        <v>0</v>
      </c>
      <c r="K254" s="190">
        <f>SUMIFS('Forbrug af biomasse'!$E$2:$E$431,'Forbrug af biomasse'!$C$2:$C$431,'Resultat-Produktion &amp; forbrug'!$A254,'Forbrug af biomasse'!$D$2:$D$431,'Resultat-Produktion &amp; forbrug'!$D254,'Forbrug af biomasse'!$A$2:$A$431,'Resultat-Produktion &amp; forbrug'!K$2,'Forbrug af biomasse'!$B$2:$B$431,$E254)</f>
        <v>0</v>
      </c>
      <c r="L254" s="190">
        <f>IF(A254&lt;&gt;"Biogas",SUMIFS('Forbrug af biomasse'!$E$2:$E$431,'Forbrug af biomasse'!$C$2:$C$431,'Resultat-Produktion &amp; forbrug'!$A254,'Forbrug af biomasse'!$D$2:$D$431,'Resultat-Produktion &amp; forbrug'!$D254,'Forbrug af biomasse'!$A$2:$A$431,'Resultat-Produktion &amp; forbrug'!L$2,'Forbrug af biomasse'!$B$2:$B$431,$E254),F254)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55000000000000004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forbrug'!G$2,'Forbrug af biomasse'!$B$2:$B$431,$E255)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forbrug'!I$2,'Forbrug af biomasse'!$B$2:$B$431,$E255)</f>
        <v>0</v>
      </c>
      <c r="J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forbrug'!J$2,'Forbrug af biomasse'!$B$2:$B$431,$E255)</f>
        <v>28548.400000000001</v>
      </c>
      <c r="K255" s="190">
        <f>SUMIFS('Forbrug af biomasse'!$E$2:$E$431,'Forbrug af biomasse'!$C$2:$C$431,'Resultat-Produktion &amp; forbrug'!$A255,'Forbrug af biomasse'!$D$2:$D$431,'Resultat-Produktion &amp; forbrug'!$D255,'Forbrug af biomasse'!$A$2:$A$431,'Resultat-Produktion &amp; forbrug'!K$2,'Forbrug af biomasse'!$B$2:$B$431,$E255)</f>
        <v>0</v>
      </c>
      <c r="L255" s="190">
        <f>IF(A255&lt;&gt;"Biogas",SUMIFS('Forbrug af biomasse'!$E$2:$E$431,'Forbrug af biomasse'!$C$2:$C$431,'Resultat-Produktion &amp; forbrug'!$A255,'Forbrug af biomasse'!$D$2:$D$431,'Resultat-Produktion &amp; forbrug'!$D255,'Forbrug af biomasse'!$A$2:$A$431,'Resultat-Produktion &amp; forbrug'!L$2,'Forbrug af biomasse'!$B$2:$B$431,$E255),F255)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55000000000000004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forbrug'!G$2,'Forbrug af biomasse'!$B$2:$B$431,$E256)</f>
        <v>1502068.0760117143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forbrug'!I$2,'Forbrug af biomasse'!$B$2:$B$431,$E256)</f>
        <v>0</v>
      </c>
      <c r="J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forbrug'!J$2,'Forbrug af biomasse'!$B$2:$B$431,$E256)</f>
        <v>10433.230256670677</v>
      </c>
      <c r="K256" s="190">
        <f>SUMIFS('Forbrug af biomasse'!$E$2:$E$431,'Forbrug af biomasse'!$C$2:$C$431,'Resultat-Produktion &amp; forbrug'!$A256,'Forbrug af biomasse'!$D$2:$D$431,'Resultat-Produktion &amp; forbrug'!$D256,'Forbrug af biomasse'!$A$2:$A$431,'Resultat-Produktion &amp; forbrug'!K$2,'Forbrug af biomasse'!$B$2:$B$431,$E256)</f>
        <v>0</v>
      </c>
      <c r="L256" s="190">
        <f>IF(A256&lt;&gt;"Biogas",SUMIFS('Forbrug af biomasse'!$E$2:$E$431,'Forbrug af biomasse'!$C$2:$C$431,'Resultat-Produktion &amp; forbrug'!$A256,'Forbrug af biomasse'!$D$2:$D$431,'Resultat-Produktion &amp; forbrug'!$D256,'Forbrug af biomasse'!$A$2:$A$431,'Resultat-Produktion &amp; forbrug'!L$2,'Forbrug af biomasse'!$B$2:$B$431,$E256),F256)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870687.05223598122</v>
      </c>
      <c r="O256" s="190">
        <f t="shared" si="59"/>
        <v>870687.05223598122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1.6019553402326761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1.621151179751168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1.6019553402326761</v>
      </c>
      <c r="U256" s="186">
        <f>O256*IFERROR(VLOOKUP(A256,[1]Tørstofindhold!A$2:B$24,2,FALSE),0)</f>
        <v>243792.37462607477</v>
      </c>
      <c r="V256" s="187">
        <f>IF(D256=År1,P256,SUM(O256,P256))*IFERROR(VLOOKUP(A256,[1]Tørstofindhold!A$2:B$24,2,FALSE),0)</f>
        <v>246713.67909794254</v>
      </c>
      <c r="W256" s="187">
        <f>J256*IFERROR(VLOOKUP(A256,[1]Tørstofindhold!A$2:B$24,2,FALSE),0)</f>
        <v>2921.3044718677897</v>
      </c>
      <c r="X256" s="188">
        <f t="shared" si="65"/>
        <v>243792.37462607474</v>
      </c>
      <c r="Y256" s="168">
        <f t="shared" si="60"/>
        <v>0</v>
      </c>
      <c r="Z256" s="103">
        <f t="shared" si="61"/>
        <v>1</v>
      </c>
    </row>
    <row r="257" spans="1:26" x14ac:dyDescent="0.55000000000000004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forbrug'!G$2,'Forbrug af biomasse'!$B$2:$B$431,$E257)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forbrug'!I$2,'Forbrug af biomasse'!$B$2:$B$431,$E257)</f>
        <v>0</v>
      </c>
      <c r="J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forbrug'!J$2,'Forbrug af biomasse'!$B$2:$B$431,$E257)</f>
        <v>0</v>
      </c>
      <c r="K257" s="190">
        <f>SUMIFS('Forbrug af biomasse'!$E$2:$E$431,'Forbrug af biomasse'!$C$2:$C$431,'Resultat-Produktion &amp; forbrug'!$A257,'Forbrug af biomasse'!$D$2:$D$431,'Resultat-Produktion &amp; forbrug'!$D257,'Forbrug af biomasse'!$A$2:$A$431,'Resultat-Produktion &amp; forbrug'!K$2,'Forbrug af biomasse'!$B$2:$B$431,$E257)</f>
        <v>0</v>
      </c>
      <c r="L257" s="190">
        <f>IF(A257&lt;&gt;"Biogas",SUMIFS('Forbrug af biomasse'!$E$2:$E$431,'Forbrug af biomasse'!$C$2:$C$431,'Resultat-Produktion &amp; forbrug'!$A257,'Forbrug af biomasse'!$D$2:$D$431,'Resultat-Produktion &amp; forbrug'!$D257,'Forbrug af biomasse'!$A$2:$A$431,'Resultat-Produktion &amp; forbrug'!L$2,'Forbrug af biomasse'!$B$2:$B$431,$E257),F257)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55000000000000004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forbrug'!G$2,'Forbrug af biomasse'!$B$2:$B$431,$E258)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forbrug'!I$2,'Forbrug af biomasse'!$B$2:$B$431,$E258)</f>
        <v>244869.51675001203</v>
      </c>
      <c r="J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forbrug'!J$2,'Forbrug af biomasse'!$B$2:$B$431,$E258)</f>
        <v>0</v>
      </c>
      <c r="K258" s="190">
        <f>SUMIFS('Forbrug af biomasse'!$E$2:$E$431,'Forbrug af biomasse'!$C$2:$C$431,'Resultat-Produktion &amp; forbrug'!$A258,'Forbrug af biomasse'!$D$2:$D$431,'Resultat-Produktion &amp; forbrug'!$D258,'Forbrug af biomasse'!$A$2:$A$431,'Resultat-Produktion &amp; forbrug'!K$2,'Forbrug af biomasse'!$B$2:$B$431,$E258)</f>
        <v>0</v>
      </c>
      <c r="L258" s="190">
        <f>IF(A258&lt;&gt;"Biogas",SUMIFS('Forbrug af biomasse'!$E$2:$E$431,'Forbrug af biomasse'!$C$2:$C$431,'Resultat-Produktion &amp; forbrug'!$A258,'Forbrug af biomasse'!$D$2:$D$431,'Resultat-Produktion &amp; forbrug'!$D258,'Forbrug af biomasse'!$A$2:$A$431,'Resultat-Produktion &amp; forbrug'!L$2,'Forbrug af biomasse'!$B$2:$B$431,$E258),F258)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55000000000000004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forbrug'!G$2,'Forbrug af biomasse'!$B$2:$B$431,$E259)</f>
        <v>94889.448034412548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forbrug'!I$2,'Forbrug af biomasse'!$B$2:$B$431,$E259)</f>
        <v>0</v>
      </c>
      <c r="J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forbrug'!J$2,'Forbrug af biomasse'!$B$2:$B$431,$E259)</f>
        <v>23224.843938297741</v>
      </c>
      <c r="K259" s="190">
        <f>SUMIFS('Forbrug af biomasse'!$E$2:$E$431,'Forbrug af biomasse'!$C$2:$C$431,'Resultat-Produktion &amp; forbrug'!$A259,'Forbrug af biomasse'!$D$2:$D$431,'Resultat-Produktion &amp; forbrug'!$D259,'Forbrug af biomasse'!$A$2:$A$431,'Resultat-Produktion &amp; forbrug'!K$2,'Forbrug af biomasse'!$B$2:$B$431,$E259)</f>
        <v>0</v>
      </c>
      <c r="L259" s="190">
        <f>IF(A259&lt;&gt;"Biogas",SUMIFS('Forbrug af biomasse'!$E$2:$E$431,'Forbrug af biomasse'!$C$2:$C$431,'Resultat-Produktion &amp; forbrug'!$A259,'Forbrug af biomasse'!$D$2:$D$431,'Resultat-Produktion &amp; forbrug'!$D259,'Forbrug af biomasse'!$A$2:$A$431,'Resultat-Produktion &amp; forbrug'!L$2,'Forbrug af biomasse'!$B$2:$B$431,$E259),F259)</f>
        <v>691079.94133190333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714304.78527020104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7.276772205186905</v>
      </c>
      <c r="S259" s="187">
        <f>IFERROR(VLOOKUP(A259,[1]Biogasudbytte!$A$2:$B$18,2,FALSE)*[1]Energiindhold!$C$10,0)*J259*IFERROR(VLOOKUP(A259,Biogasanlæg!$F$3:$G$8,2,FALSE),1)</f>
        <v>0.13390376672001317</v>
      </c>
      <c r="T259" s="188">
        <f t="shared" si="64"/>
        <v>7.1428684384668921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607159.06747967086</v>
      </c>
      <c r="W259" s="187">
        <f>J259*IFERROR(VLOOKUP(A259,[1]Tørstofindhold!A$2:B$24,2,FALSE),0)</f>
        <v>19741.117347553081</v>
      </c>
      <c r="X259" s="188">
        <f t="shared" si="65"/>
        <v>587417.95013211784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55000000000000004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forbrug'!G$2,'Forbrug af biomasse'!$B$2:$B$431,$E260)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forbrug'!I$2,'Forbrug af biomasse'!$B$2:$B$431,$E260)</f>
        <v>0</v>
      </c>
      <c r="J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forbrug'!J$2,'Forbrug af biomasse'!$B$2:$B$431,$E260)</f>
        <v>36.343081867307831</v>
      </c>
      <c r="K260" s="190">
        <f>SUMIFS('Forbrug af biomasse'!$E$2:$E$431,'Forbrug af biomasse'!$C$2:$C$431,'Resultat-Produktion &amp; forbrug'!$A260,'Forbrug af biomasse'!$D$2:$D$431,'Resultat-Produktion &amp; forbrug'!$D260,'Forbrug af biomasse'!$A$2:$A$431,'Resultat-Produktion &amp; forbrug'!K$2,'Forbrug af biomasse'!$B$2:$B$431,$E260)</f>
        <v>0</v>
      </c>
      <c r="L260" s="190">
        <f>IF(A260&lt;&gt;"Biogas",SUMIFS('Forbrug af biomasse'!$E$2:$E$431,'Forbrug af biomasse'!$C$2:$C$431,'Resultat-Produktion &amp; forbrug'!$A260,'Forbrug af biomasse'!$D$2:$D$431,'Resultat-Produktion &amp; forbrug'!$D260,'Forbrug af biomasse'!$A$2:$A$431,'Resultat-Produktion &amp; forbrug'!L$2,'Forbrug af biomasse'!$B$2:$B$431,$E260),F260)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55000000000000004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forbrug'!G$2,'Forbrug af biomasse'!$B$2:$B$431,$E261)</f>
        <v>592646.72642582108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forbrug'!I$2,'Forbrug af biomasse'!$B$2:$B$431,$E261)</f>
        <v>0</v>
      </c>
      <c r="J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forbrug'!J$2,'Forbrug af biomasse'!$B$2:$B$431,$E261)</f>
        <v>0</v>
      </c>
      <c r="K261" s="190">
        <f>SUMIFS('Forbrug af biomasse'!$E$2:$E$431,'Forbrug af biomasse'!$C$2:$C$431,'Resultat-Produktion &amp; forbrug'!$A261,'Forbrug af biomasse'!$D$2:$D$431,'Resultat-Produktion &amp; forbrug'!$D261,'Forbrug af biomasse'!$A$2:$A$431,'Resultat-Produktion &amp; forbrug'!K$2,'Forbrug af biomasse'!$B$2:$B$431,$E261)</f>
        <v>0</v>
      </c>
      <c r="L261" s="190">
        <f>IF(A261&lt;&gt;"Biogas",SUMIFS('Forbrug af biomasse'!$E$2:$E$431,'Forbrug af biomasse'!$C$2:$C$431,'Resultat-Produktion &amp; forbrug'!$A261,'Forbrug af biomasse'!$D$2:$D$431,'Resultat-Produktion &amp; forbrug'!$D261,'Forbrug af biomasse'!$A$2:$A$431,'Resultat-Produktion &amp; forbrug'!L$2,'Forbrug af biomasse'!$B$2:$B$431,$E261),F261)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-592646.72642582108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55000000000000004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forbrug'!G$2,'Forbrug af biomasse'!$B$2:$B$431,$E262)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forbrug'!I$2,'Forbrug af biomasse'!$B$2:$B$431,$E262)</f>
        <v>0</v>
      </c>
      <c r="J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forbrug'!J$2,'Forbrug af biomasse'!$B$2:$B$431,$E262)</f>
        <v>203334.8469193347</v>
      </c>
      <c r="K262" s="190">
        <f>SUMIFS('Forbrug af biomasse'!$E$2:$E$431,'Forbrug af biomasse'!$C$2:$C$431,'Resultat-Produktion &amp; forbrug'!$A262,'Forbrug af biomasse'!$D$2:$D$431,'Resultat-Produktion &amp; forbrug'!$D262,'Forbrug af biomasse'!$A$2:$A$431,'Resultat-Produktion &amp; forbrug'!K$2,'Forbrug af biomasse'!$B$2:$B$431,$E262)</f>
        <v>0</v>
      </c>
      <c r="L262" s="190">
        <f>IF(A262&lt;&gt;"Biogas",SUMIFS('Forbrug af biomasse'!$E$2:$E$431,'Forbrug af biomasse'!$C$2:$C$431,'Resultat-Produktion &amp; forbrug'!$A262,'Forbrug af biomasse'!$D$2:$D$431,'Resultat-Produktion &amp; forbrug'!$D262,'Forbrug af biomasse'!$A$2:$A$431,'Resultat-Produktion &amp; forbrug'!L$2,'Forbrug af biomasse'!$B$2:$B$431,$E262),F262)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-3.2320689118932933E-2</v>
      </c>
      <c r="O262" s="190">
        <f t="shared" si="75"/>
        <v>0</v>
      </c>
      <c r="P262" s="200">
        <f t="shared" si="63"/>
        <v>203334.8469193347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87">
        <f>IFERROR(VLOOKUP(A262,[1]Biogasudbytte!$A$2:$B$18,2,FALSE)*[1]Energiindhold!$C$10,0)*J262*IFERROR(VLOOKUP(A262,Biogasanlæg!$F$3:$G$8,2,FALSE),1)</f>
        <v>0.74891487644684029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85400.635706120564</v>
      </c>
      <c r="W262" s="187">
        <f>J262*IFERROR(VLOOKUP(A262,[1]Tørstofindhold!A$2:B$24,2,FALSE),0)</f>
        <v>85400.635706120564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55000000000000004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forbrug'!G$2,'Forbrug af biomasse'!$B$2:$B$431,$E263)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forbrug'!I$2,'Forbrug af biomasse'!$B$2:$B$431,$E263)</f>
        <v>0</v>
      </c>
      <c r="J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forbrug'!J$2,'Forbrug af biomasse'!$B$2:$B$431,$E263)</f>
        <v>0</v>
      </c>
      <c r="K263" s="190">
        <f>SUMIFS('Forbrug af biomasse'!$E$2:$E$431,'Forbrug af biomasse'!$C$2:$C$431,'Resultat-Produktion &amp; forbrug'!$A263,'Forbrug af biomasse'!$D$2:$D$431,'Resultat-Produktion &amp; forbrug'!$D263,'Forbrug af biomasse'!$A$2:$A$431,'Resultat-Produktion &amp; forbrug'!K$2,'Forbrug af biomasse'!$B$2:$B$431,$E263)</f>
        <v>0</v>
      </c>
      <c r="L263" s="190">
        <f>IF(A263&lt;&gt;"Biogas",SUMIFS('Forbrug af biomasse'!$E$2:$E$431,'Forbrug af biomasse'!$C$2:$C$431,'Resultat-Produktion &amp; forbrug'!$A263,'Forbrug af biomasse'!$D$2:$D$431,'Resultat-Produktion &amp; forbrug'!$D263,'Forbrug af biomasse'!$A$2:$A$431,'Resultat-Produktion &amp; forbrug'!L$2,'Forbrug af biomasse'!$B$2:$B$431,$E263),F263)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55000000000000004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forbrug'!G$2,'Forbrug af biomasse'!$B$2:$B$431,$E264)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forbrug'!I$2,'Forbrug af biomasse'!$B$2:$B$431,$E264)</f>
        <v>111975.50765955324</v>
      </c>
      <c r="J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forbrug'!J$2,'Forbrug af biomasse'!$B$2:$B$431,$E264)</f>
        <v>0</v>
      </c>
      <c r="K264" s="190">
        <f>SUMIFS('Forbrug af biomasse'!$E$2:$E$431,'Forbrug af biomasse'!$C$2:$C$431,'Resultat-Produktion &amp; forbrug'!$A264,'Forbrug af biomasse'!$D$2:$D$431,'Resultat-Produktion &amp; forbrug'!$D264,'Forbrug af biomasse'!$A$2:$A$431,'Resultat-Produktion &amp; forbrug'!K$2,'Forbrug af biomasse'!$B$2:$B$431,$E264)</f>
        <v>0</v>
      </c>
      <c r="L264" s="190">
        <f>IF(A264&lt;&gt;"Biogas",SUMIFS('Forbrug af biomasse'!$E$2:$E$431,'Forbrug af biomasse'!$C$2:$C$431,'Resultat-Produktion &amp; forbrug'!$A264,'Forbrug af biomasse'!$D$2:$D$431,'Resultat-Produktion &amp; forbrug'!$D264,'Forbrug af biomasse'!$A$2:$A$431,'Resultat-Produktion &amp; forbrug'!L$2,'Forbrug af biomasse'!$B$2:$B$431,$E264),F264)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55000000000000004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forbrug'!G$2,'Forbrug af biomasse'!$B$2:$B$431,$E265)</f>
        <v>721621.60770550335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forbrug'!I$2,'Forbrug af biomasse'!$B$2:$B$431,$E265)</f>
        <v>268249.01834925939</v>
      </c>
      <c r="J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forbrug'!J$2,'Forbrug af biomasse'!$B$2:$B$431,$E265)</f>
        <v>953.04759084937086</v>
      </c>
      <c r="K265" s="190">
        <f>SUMIFS('Forbrug af biomasse'!$E$2:$E$431,'Forbrug af biomasse'!$C$2:$C$431,'Resultat-Produktion &amp; forbrug'!$A265,'Forbrug af biomasse'!$D$2:$D$431,'Resultat-Produktion &amp; forbrug'!$D265,'Forbrug af biomasse'!$A$2:$A$431,'Resultat-Produktion &amp; forbrug'!K$2,'Forbrug af biomasse'!$B$2:$B$431,$E265)</f>
        <v>0</v>
      </c>
      <c r="L265" s="190">
        <f>IF(A265&lt;&gt;"Biogas",SUMIFS('Forbrug af biomasse'!$E$2:$E$431,'Forbrug af biomasse'!$C$2:$C$431,'Resultat-Produktion &amp; forbrug'!$A265,'Forbrug af biomasse'!$D$2:$D$431,'Resultat-Produktion &amp; forbrug'!$D265,'Forbrug af biomasse'!$A$2:$A$431,'Resultat-Produktion &amp; forbrug'!L$2,'Forbrug af biomasse'!$B$2:$B$431,$E265),F265)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1522485.0704756093</v>
      </c>
      <c r="O265" s="190">
        <f t="shared" si="75"/>
        <v>1522485.0704756093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5.2142982184690965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5.2175622730410929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5.2142982184690965</v>
      </c>
      <c r="U265" s="186">
        <f>O265*IFERROR(VLOOKUP(A265,[1]Tørstofindhold!A$2:B$24,2,FALSE),0)</f>
        <v>471970.37184743886</v>
      </c>
      <c r="V265" s="187">
        <f>IF(D265=År1,P265,SUM(O265,P265))*IFERROR(VLOOKUP(A265,[1]Tørstofindhold!A$2:B$24,2,FALSE),0)</f>
        <v>472265.81660060218</v>
      </c>
      <c r="W265" s="187">
        <f>J265*IFERROR(VLOOKUP(A265,[1]Tørstofindhold!A$2:B$24,2,FALSE),0)</f>
        <v>295.44475316330494</v>
      </c>
      <c r="X265" s="188">
        <f t="shared" si="65"/>
        <v>471970.37184743886</v>
      </c>
      <c r="Y265" s="168">
        <f t="shared" si="76"/>
        <v>0</v>
      </c>
      <c r="Z265" s="103">
        <f t="shared" si="77"/>
        <v>1</v>
      </c>
    </row>
    <row r="266" spans="1:26" x14ac:dyDescent="0.55000000000000004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forbrug'!G$2,'Forbrug af biomasse'!$B$2:$B$431,$E266)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forbrug'!I$2,'Forbrug af biomasse'!$B$2:$B$431,$E266)</f>
        <v>0</v>
      </c>
      <c r="J266" s="190">
        <f>SUMIFS('Forbrug af biomasse'!$E$2:$E$431,'Forbrug af biomasse'!$C$2:$C$431,'Resultat-Produktion &amp; forbrug'!$A266,'Forbrug af biomasse'!$D$2:$D$431,'Resultat-Produktion &amp; forbrug'!$D266,'Forbrug af biomasse'!$A$2:$A$431,'Resultat-Produktion &amp; forbrug'!J$2,'Forbrug af biomasse'!$B$2:$B$431,$E266)</f>
        <v>0</v>
      </c>
      <c r="K266" s="190">
        <f ca="1">SUMIFS('Forbrug af biomasse'!$E$2:$E$431,'Forbrug af biomasse'!$C$2:$C$431,'Resultat-Produktion &amp; forbrug'!$A266,'Forbrug af biomasse'!$D$2:$D$431,'Resultat-Produktion &amp; forbrug'!$D266,'Forbrug af biomasse'!$A$2:$A$431,'Resultat-Produktion &amp; forbrug'!K$2,'Forbrug af biomasse'!$B$2:$B$431,$E266)</f>
        <v>354148.81875125773</v>
      </c>
      <c r="L266" s="190">
        <f>IF(A266&lt;&gt;"Biogas",SUMIFS('Forbrug af biomasse'!$E$2:$E$431,'Forbrug af biomasse'!$C$2:$C$431,'Resultat-Produktion &amp; forbrug'!$A266,'Forbrug af biomasse'!$D$2:$D$431,'Resultat-Produktion &amp; forbrug'!$D266,'Forbrug af biomasse'!$A$2:$A$431,'Resultat-Produktion &amp; forbrug'!L$2,'Forbrug af biomasse'!$B$2:$B$431,$E266),F266)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-354148.81875125773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55000000000000004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forbrug'!G$2,'Forbrug af biomasse'!$B$2:$B$431,$E267)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forbrug'!I$2,'Forbrug af biomasse'!$B$2:$B$431,$E267)</f>
        <v>0</v>
      </c>
      <c r="J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forbrug'!J$2,'Forbrug af biomasse'!$B$2:$B$431,$E267)</f>
        <v>687918.86911669304</v>
      </c>
      <c r="K267" s="190">
        <f>SUMIFS('Forbrug af biomasse'!$E$2:$E$431,'Forbrug af biomasse'!$C$2:$C$431,'Resultat-Produktion &amp; forbrug'!$A267,'Forbrug af biomasse'!$D$2:$D$431,'Resultat-Produktion &amp; forbrug'!$D267,'Forbrug af biomasse'!$A$2:$A$431,'Resultat-Produktion &amp; forbrug'!K$2,'Forbrug af biomasse'!$B$2:$B$431,$E267)</f>
        <v>217237.5376157978</v>
      </c>
      <c r="L267" s="190">
        <f>IF(A267&lt;&gt;"Biogas",SUMIFS('Forbrug af biomasse'!$E$2:$E$431,'Forbrug af biomasse'!$C$2:$C$431,'Resultat-Produktion &amp; forbrug'!$A267,'Forbrug af biomasse'!$D$2:$D$431,'Resultat-Produktion &amp; forbrug'!$D267,'Forbrug af biomasse'!$A$2:$A$431,'Resultat-Produktion &amp; forbrug'!L$2,'Forbrug af biomasse'!$B$2:$B$431,$E267),F267)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687918.86911669304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87">
        <f>IFERROR(VLOOKUP(A267,[1]Biogasudbytte!$A$2:$B$18,2,FALSE)*[1]Energiindhold!$C$10,0)*J267*IFERROR(VLOOKUP(A267,Biogasanlæg!$F$3:$G$8,2,FALSE),1)</f>
        <v>0.34821765235817886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52281.834052868668</v>
      </c>
      <c r="W267" s="187">
        <f>J267*IFERROR(VLOOKUP(A267,[1]Tørstofindhold!A$2:B$24,2,FALSE),0)</f>
        <v>52281.834052868668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55000000000000004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forbrug'!G$2,'Forbrug af biomasse'!$B$2:$B$431,$E268)</f>
        <v>186040.49371289223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forbrug'!I$2,'Forbrug af biomasse'!$B$2:$B$431,$E268)</f>
        <v>0</v>
      </c>
      <c r="J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forbrug'!J$2,'Forbrug af biomasse'!$B$2:$B$431,$E268)</f>
        <v>0</v>
      </c>
      <c r="K268" s="190">
        <f>SUMIFS('Forbrug af biomasse'!$E$2:$E$431,'Forbrug af biomasse'!$C$2:$C$431,'Resultat-Produktion &amp; forbrug'!$A268,'Forbrug af biomasse'!$D$2:$D$431,'Resultat-Produktion &amp; forbrug'!$D268,'Forbrug af biomasse'!$A$2:$A$431,'Resultat-Produktion &amp; forbrug'!K$2,'Forbrug af biomasse'!$B$2:$B$431,$E268)</f>
        <v>0</v>
      </c>
      <c r="L268" s="190">
        <f>IF(A268&lt;&gt;"Biogas",SUMIFS('Forbrug af biomasse'!$E$2:$E$431,'Forbrug af biomasse'!$C$2:$C$431,'Resultat-Produktion &amp; forbrug'!$A268,'Forbrug af biomasse'!$D$2:$D$431,'Resultat-Produktion &amp; forbrug'!$D268,'Forbrug af biomasse'!$A$2:$A$431,'Resultat-Produktion &amp; forbrug'!L$2,'Forbrug af biomasse'!$B$2:$B$431,$E268),F268)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-72970.026349509179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55000000000000004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forbrug'!G$2,'Forbrug af biomasse'!$B$2:$B$431,$E269)</f>
        <v>694353.2611092875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forbrug'!I$2,'Forbrug af biomasse'!$B$2:$B$431,$E269)</f>
        <v>0</v>
      </c>
      <c r="J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forbrug'!J$2,'Forbrug af biomasse'!$B$2:$B$431,$E269)</f>
        <v>15364.519148894226</v>
      </c>
      <c r="K269" s="190">
        <f>SUMIFS('Forbrug af biomasse'!$E$2:$E$431,'Forbrug af biomasse'!$C$2:$C$431,'Resultat-Produktion &amp; forbrug'!$A269,'Forbrug af biomasse'!$D$2:$D$431,'Resultat-Produktion &amp; forbrug'!$D269,'Forbrug af biomasse'!$A$2:$A$431,'Resultat-Produktion &amp; forbrug'!K$2,'Forbrug af biomasse'!$B$2:$B$431,$E269)</f>
        <v>0</v>
      </c>
      <c r="L269" s="190">
        <f>IF(A269&lt;&gt;"Biogas",SUMIFS('Forbrug af biomasse'!$E$2:$E$431,'Forbrug af biomasse'!$C$2:$C$431,'Resultat-Produktion &amp; forbrug'!$A269,'Forbrug af biomasse'!$D$2:$D$431,'Resultat-Produktion &amp; forbrug'!$D269,'Forbrug af biomasse'!$A$2:$A$431,'Resultat-Produktion &amp; forbrug'!L$2,'Forbrug af biomasse'!$B$2:$B$431,$E269),F269)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-300829.11033225257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55000000000000004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forbrug'!G$2,'Forbrug af biomasse'!$B$2:$B$431,$E270)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forbrug'!I$2,'Forbrug af biomasse'!$B$2:$B$431,$E270)</f>
        <v>428214.02929147833</v>
      </c>
      <c r="J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forbrug'!J$2,'Forbrug af biomasse'!$B$2:$B$431,$E270)</f>
        <v>0</v>
      </c>
      <c r="K270" s="190">
        <f>SUMIFS('Forbrug af biomasse'!$E$2:$E$431,'Forbrug af biomasse'!$C$2:$C$431,'Resultat-Produktion &amp; forbrug'!$A270,'Forbrug af biomasse'!$D$2:$D$431,'Resultat-Produktion &amp; forbrug'!$D270,'Forbrug af biomasse'!$A$2:$A$431,'Resultat-Produktion &amp; forbrug'!K$2,'Forbrug af biomasse'!$B$2:$B$431,$E270)</f>
        <v>0</v>
      </c>
      <c r="L270" s="190">
        <f>IF(A270&lt;&gt;"Biogas",SUMIFS('Forbrug af biomasse'!$E$2:$E$431,'Forbrug af biomasse'!$C$2:$C$431,'Resultat-Produktion &amp; forbrug'!$A270,'Forbrug af biomasse'!$D$2:$D$431,'Resultat-Produktion &amp; forbrug'!$D270,'Forbrug af biomasse'!$A$2:$A$431,'Resultat-Produktion &amp; forbrug'!L$2,'Forbrug af biomasse'!$B$2:$B$431,$E270),F270)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55000000000000004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forbrug'!G$2,'Forbrug af biomasse'!$B$2:$B$431,$E271)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forbrug'!I$2,'Forbrug af biomasse'!$B$2:$B$431,$E271)</f>
        <v>0</v>
      </c>
      <c r="J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forbrug'!J$2,'Forbrug af biomasse'!$B$2:$B$431,$E271)</f>
        <v>0</v>
      </c>
      <c r="K271" s="190">
        <f>SUMIFS('Forbrug af biomasse'!$E$2:$E$431,'Forbrug af biomasse'!$C$2:$C$431,'Resultat-Produktion &amp; forbrug'!$A271,'Forbrug af biomasse'!$D$2:$D$431,'Resultat-Produktion &amp; forbrug'!$D271,'Forbrug af biomasse'!$A$2:$A$431,'Resultat-Produktion &amp; forbrug'!K$2,'Forbrug af biomasse'!$B$2:$B$431,$E271)</f>
        <v>0</v>
      </c>
      <c r="L271" s="190">
        <f>IF(A271&lt;&gt;"Biogas",SUMIFS('Forbrug af biomasse'!$E$2:$E$431,'Forbrug af biomasse'!$C$2:$C$431,'Resultat-Produktion &amp; forbrug'!$A271,'Forbrug af biomasse'!$D$2:$D$431,'Resultat-Produktion &amp; forbrug'!$D271,'Forbrug af biomasse'!$A$2:$A$431,'Resultat-Produktion &amp; forbrug'!L$2,'Forbrug af biomasse'!$B$2:$B$431,$E271),F271)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55000000000000004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forbrug'!G$2,'Forbrug af biomasse'!$B$2:$B$431,$E272)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forbrug'!I$2,'Forbrug af biomasse'!$B$2:$B$431,$E272)</f>
        <v>54412.71372203785</v>
      </c>
      <c r="J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forbrug'!J$2,'Forbrug af biomasse'!$B$2:$B$431,$E272)</f>
        <v>0</v>
      </c>
      <c r="K272" s="190">
        <f>SUMIFS('Forbrug af biomasse'!$E$2:$E$431,'Forbrug af biomasse'!$C$2:$C$431,'Resultat-Produktion &amp; forbrug'!$A272,'Forbrug af biomasse'!$D$2:$D$431,'Resultat-Produktion &amp; forbrug'!$D272,'Forbrug af biomasse'!$A$2:$A$431,'Resultat-Produktion &amp; forbrug'!K$2,'Forbrug af biomasse'!$B$2:$B$431,$E272)</f>
        <v>0</v>
      </c>
      <c r="L272" s="190">
        <f>IF(A272&lt;&gt;"Biogas",SUMIFS('Forbrug af biomasse'!$E$2:$E$431,'Forbrug af biomasse'!$C$2:$C$431,'Resultat-Produktion &amp; forbrug'!$A272,'Forbrug af biomasse'!$D$2:$D$431,'Resultat-Produktion &amp; forbrug'!$D272,'Forbrug af biomasse'!$A$2:$A$431,'Resultat-Produktion &amp; forbrug'!L$2,'Forbrug af biomasse'!$B$2:$B$431,$E272),F272)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-47107.150175456467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55000000000000004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forbrug'!G$2,'Forbrug af biomasse'!$B$2:$B$431,$E273)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forbrug'!I$2,'Forbrug af biomasse'!$B$2:$B$431,$E273)</f>
        <v>0</v>
      </c>
      <c r="J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forbrug'!J$2,'Forbrug af biomasse'!$B$2:$B$431,$E273)</f>
        <v>0</v>
      </c>
      <c r="K273" s="190">
        <f>SUMIFS('Forbrug af biomasse'!$E$2:$E$431,'Forbrug af biomasse'!$C$2:$C$431,'Resultat-Produktion &amp; forbrug'!$A273,'Forbrug af biomasse'!$D$2:$D$431,'Resultat-Produktion &amp; forbrug'!$D273,'Forbrug af biomasse'!$A$2:$A$431,'Resultat-Produktion &amp; forbrug'!K$2,'Forbrug af biomasse'!$B$2:$B$431,$E273)</f>
        <v>0</v>
      </c>
      <c r="L273" s="190">
        <f>IF(A273&lt;&gt;"Biogas",SUMIFS('Forbrug af biomasse'!$E$2:$E$431,'Forbrug af biomasse'!$C$2:$C$431,'Resultat-Produktion &amp; forbrug'!$A273,'Forbrug af biomasse'!$D$2:$D$431,'Resultat-Produktion &amp; forbrug'!$D273,'Forbrug af biomasse'!$A$2:$A$431,'Resultat-Produktion &amp; forbrug'!L$2,'Forbrug af biomasse'!$B$2:$B$431,$E273),F273)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55000000000000004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forbrug'!G$2,'Forbrug af biomasse'!$B$2:$B$431,$E274)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forbrug'!I$2,'Forbrug af biomasse'!$B$2:$B$431,$E274)</f>
        <v>0</v>
      </c>
      <c r="J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forbrug'!J$2,'Forbrug af biomasse'!$B$2:$B$431,$E274)</f>
        <v>0</v>
      </c>
      <c r="K274" s="190">
        <f>SUMIFS('Forbrug af biomasse'!$E$2:$E$431,'Forbrug af biomasse'!$C$2:$C$431,'Resultat-Produktion &amp; forbrug'!$A274,'Forbrug af biomasse'!$D$2:$D$431,'Resultat-Produktion &amp; forbrug'!$D274,'Forbrug af biomasse'!$A$2:$A$431,'Resultat-Produktion &amp; forbrug'!K$2,'Forbrug af biomasse'!$B$2:$B$431,$E274)</f>
        <v>0</v>
      </c>
      <c r="L274" s="190">
        <f>IF(A274&lt;&gt;"Biogas",SUMIFS('Forbrug af biomasse'!$E$2:$E$431,'Forbrug af biomasse'!$C$2:$C$431,'Resultat-Produktion &amp; forbrug'!$A274,'Forbrug af biomasse'!$D$2:$D$431,'Resultat-Produktion &amp; forbrug'!$D274,'Forbrug af biomasse'!$A$2:$A$431,'Resultat-Produktion &amp; forbrug'!L$2,'Forbrug af biomasse'!$B$2:$B$431,$E274),F274)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55000000000000004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 ca="1"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forbrug'!G$2,'Forbrug af biomasse'!$B$2:$B$431,$E275)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forbrug'!I$2,'Forbrug af biomasse'!$B$2:$B$431,$E275)</f>
        <v>0</v>
      </c>
      <c r="J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forbrug'!J$2,'Forbrug af biomasse'!$B$2:$B$431,$E275)</f>
        <v>0</v>
      </c>
      <c r="K275" s="190">
        <f>SUMIFS('Forbrug af biomasse'!$E$2:$E$431,'Forbrug af biomasse'!$C$2:$C$431,'Resultat-Produktion &amp; forbrug'!$A275,'Forbrug af biomasse'!$D$2:$D$431,'Resultat-Produktion &amp; forbrug'!$D275,'Forbrug af biomasse'!$A$2:$A$431,'Resultat-Produktion &amp; forbrug'!K$2,'Forbrug af biomasse'!$B$2:$B$431,$E275)</f>
        <v>0</v>
      </c>
      <c r="L275" s="190">
        <f ca="1">IF(A275&lt;&gt;"Biogas",SUMIFS('Forbrug af biomasse'!$E$2:$E$431,'Forbrug af biomasse'!$C$2:$C$431,'Resultat-Produktion &amp; forbrug'!$A275,'Forbrug af biomasse'!$D$2:$D$431,'Resultat-Produktion &amp; forbrug'!$D275,'Forbrug af biomasse'!$A$2:$A$431,'Resultat-Produktion &amp; forbrug'!L$2,'Forbrug af biomasse'!$B$2:$B$431,$E275),F275)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ca="1" si="80">F275-SUM(G275:M275)</f>
        <v>0</v>
      </c>
      <c r="O275" s="190">
        <f t="shared" ref="O275:O276" ca="1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ca="1" si="82">SUM(J275,L275)</f>
        <v>0</v>
      </c>
      <c r="Q275" s="187">
        <f ca="1">IFERROR(VLOOKUP(A275,[1]Energiindhold!$A$2:$C$11,3,FALSE),IFERROR(VLOOKUP(A275,[1]Biogasudbytte!$A$2:$B$18,2,FALSE)*[1]Energiindhold!$C$10,0))*O275</f>
        <v>0</v>
      </c>
      <c r="R275" s="187">
        <f ca="1"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ca="1" si="83">R275-S275</f>
        <v>0</v>
      </c>
      <c r="U275" s="186">
        <f ca="1">O275*IFERROR(VLOOKUP(A275,[1]Tørstofindhold!A$2:B$24,2,FALSE),0)</f>
        <v>0</v>
      </c>
      <c r="V275" s="187">
        <f ca="1"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ca="1" si="84">V275-W275</f>
        <v>0</v>
      </c>
      <c r="Y275" s="168">
        <f t="shared" ref="Y275:Y276" ca="1" si="85">IF(SUMIFS($N$3:$N$290,$A$3:$A$290,A275,$D$3:$D$290,D275)&lt;0,1,0)</f>
        <v>0</v>
      </c>
      <c r="Z275" s="103">
        <f t="shared" ref="Z275:Z276" ca="1" si="86">IF(SUMIFS($N$3:$N$290,$A$3:$A$290,A275,$D$3:$D$290,D275)&gt;0,1,0)</f>
        <v>0</v>
      </c>
    </row>
    <row r="276" spans="1:26" x14ac:dyDescent="0.55000000000000004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 ca="1"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forbrug'!G$2,'Forbrug af biomasse'!$B$2:$B$431,$E276)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forbrug'!I$2,'Forbrug af biomasse'!$B$2:$B$431,$E276)</f>
        <v>0</v>
      </c>
      <c r="J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forbrug'!J$2,'Forbrug af biomasse'!$B$2:$B$431,$E276)</f>
        <v>0</v>
      </c>
      <c r="K276" s="190">
        <f>SUMIFS('Forbrug af biomasse'!$E$2:$E$431,'Forbrug af biomasse'!$C$2:$C$431,'Resultat-Produktion &amp; forbrug'!$A276,'Forbrug af biomasse'!$D$2:$D$431,'Resultat-Produktion &amp; forbrug'!$D276,'Forbrug af biomasse'!$A$2:$A$431,'Resultat-Produktion &amp; forbrug'!K$2,'Forbrug af biomasse'!$B$2:$B$431,$E276)</f>
        <v>0</v>
      </c>
      <c r="L276" s="190">
        <f ca="1">IF(A276&lt;&gt;"Biogas",SUMIFS('Forbrug af biomasse'!$E$2:$E$431,'Forbrug af biomasse'!$C$2:$C$431,'Resultat-Produktion &amp; forbrug'!$A276,'Forbrug af biomasse'!$D$2:$D$431,'Resultat-Produktion &amp; forbrug'!$D276,'Forbrug af biomasse'!$A$2:$A$431,'Resultat-Produktion &amp; forbrug'!L$2,'Forbrug af biomasse'!$B$2:$B$431,$E276),F276)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ca="1" si="80"/>
        <v>0</v>
      </c>
      <c r="O276" s="190">
        <f t="shared" ca="1" si="81"/>
        <v>0</v>
      </c>
      <c r="P276" s="200">
        <f t="shared" ca="1" si="82"/>
        <v>0</v>
      </c>
      <c r="Q276" s="187">
        <f ca="1">IFERROR(VLOOKUP(A276,[1]Energiindhold!$A$2:$C$11,3,FALSE),IFERROR(VLOOKUP(A276,[1]Biogasudbytte!$A$2:$B$18,2,FALSE)*[1]Energiindhold!$C$10,0))*O276</f>
        <v>0</v>
      </c>
      <c r="R276" s="187">
        <f ca="1"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ca="1" si="83"/>
        <v>0</v>
      </c>
      <c r="U276" s="186">
        <f ca="1">O276*IFERROR(VLOOKUP(A276,[1]Tørstofindhold!A$2:B$24,2,FALSE),0)</f>
        <v>0</v>
      </c>
      <c r="V276" s="187">
        <f ca="1"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ca="1" si="84"/>
        <v>0</v>
      </c>
      <c r="Y276" s="168">
        <f t="shared" ca="1" si="85"/>
        <v>0</v>
      </c>
      <c r="Z276" s="103">
        <f t="shared" ca="1" si="86"/>
        <v>0</v>
      </c>
    </row>
    <row r="277" spans="1:26" x14ac:dyDescent="0.55000000000000004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forbrug'!G$2,'Forbrug af biomasse'!$B$2:$B$431,$E277)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forbrug'!I$2,'Forbrug af biomasse'!$B$2:$B$431,$E277)</f>
        <v>0</v>
      </c>
      <c r="J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forbrug'!J$2,'Forbrug af biomasse'!$B$2:$B$431,$E277)</f>
        <v>0</v>
      </c>
      <c r="K277" s="190">
        <f>SUMIFS('Forbrug af biomasse'!$E$2:$E$431,'Forbrug af biomasse'!$C$2:$C$431,'Resultat-Produktion &amp; forbrug'!$A277,'Forbrug af biomasse'!$D$2:$D$431,'Resultat-Produktion &amp; forbrug'!$D277,'Forbrug af biomasse'!$A$2:$A$431,'Resultat-Produktion &amp; forbrug'!K$2,'Forbrug af biomasse'!$B$2:$B$431,$E277)</f>
        <v>0</v>
      </c>
      <c r="L277" s="190">
        <f>IF(A277&lt;&gt;"Biogas",SUMIFS('Forbrug af biomasse'!$E$2:$E$431,'Forbrug af biomasse'!$C$2:$C$431,'Resultat-Produktion &amp; forbrug'!$A277,'Forbrug af biomasse'!$D$2:$D$431,'Resultat-Produktion &amp; forbrug'!$D277,'Forbrug af biomasse'!$A$2:$A$431,'Resultat-Produktion &amp; forbrug'!L$2,'Forbrug af biomasse'!$B$2:$B$431,$E277),F277)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55000000000000004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forbrug'!G$2,'Forbrug af biomasse'!$B$2:$B$431,$E278)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forbrug'!I$2,'Forbrug af biomasse'!$B$2:$B$431,$E278)</f>
        <v>0</v>
      </c>
      <c r="J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forbrug'!J$2,'Forbrug af biomasse'!$B$2:$B$431,$E278)</f>
        <v>0</v>
      </c>
      <c r="K278" s="190">
        <f>SUMIFS('Forbrug af biomasse'!$E$2:$E$431,'Forbrug af biomasse'!$C$2:$C$431,'Resultat-Produktion &amp; forbrug'!$A278,'Forbrug af biomasse'!$D$2:$D$431,'Resultat-Produktion &amp; forbrug'!$D278,'Forbrug af biomasse'!$A$2:$A$431,'Resultat-Produktion &amp; forbrug'!K$2,'Forbrug af biomasse'!$B$2:$B$431,$E278)</f>
        <v>0</v>
      </c>
      <c r="L278" s="190">
        <f>IF(A278&lt;&gt;"Biogas",SUMIFS('Forbrug af biomasse'!$E$2:$E$431,'Forbrug af biomasse'!$C$2:$C$431,'Resultat-Produktion &amp; forbrug'!$A278,'Forbrug af biomasse'!$D$2:$D$431,'Resultat-Produktion &amp; forbrug'!$D278,'Forbrug af biomasse'!$A$2:$A$431,'Resultat-Produktion &amp; forbrug'!L$2,'Forbrug af biomasse'!$B$2:$B$431,$E278),F278)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55000000000000004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forbrug'!G$2,'Forbrug af biomasse'!$B$2:$B$431,$E279)</f>
        <v>26278.769501998373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forbrug'!I$2,'Forbrug af biomasse'!$B$2:$B$431,$E279)</f>
        <v>0</v>
      </c>
      <c r="J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forbrug'!J$2,'Forbrug af biomasse'!$B$2:$B$431,$E279)</f>
        <v>0</v>
      </c>
      <c r="K279" s="190">
        <f>SUMIFS('Forbrug af biomasse'!$E$2:$E$431,'Forbrug af biomasse'!$C$2:$C$431,'Resultat-Produktion &amp; forbrug'!$A279,'Forbrug af biomasse'!$D$2:$D$431,'Resultat-Produktion &amp; forbrug'!$D279,'Forbrug af biomasse'!$A$2:$A$431,'Resultat-Produktion &amp; forbrug'!K$2,'Forbrug af biomasse'!$B$2:$B$431,$E279)</f>
        <v>0</v>
      </c>
      <c r="L279" s="190">
        <f>IF(A279&lt;&gt;"Biogas",SUMIFS('Forbrug af biomasse'!$E$2:$E$431,'Forbrug af biomasse'!$C$2:$C$431,'Resultat-Produktion &amp; forbrug'!$A279,'Forbrug af biomasse'!$D$2:$D$431,'Resultat-Produktion &amp; forbrug'!$D279,'Forbrug af biomasse'!$A$2:$A$431,'Resultat-Produktion &amp; forbrug'!L$2,'Forbrug af biomasse'!$B$2:$B$431,$E279),F279)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79549.145638520597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55000000000000004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forbrug'!G$2,'Forbrug af biomasse'!$B$2:$B$431,$E280)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forbrug'!I$2,'Forbrug af biomasse'!$B$2:$B$431,$E280)</f>
        <v>0</v>
      </c>
      <c r="J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forbrug'!J$2,'Forbrug af biomasse'!$B$2:$B$431,$E280)</f>
        <v>0</v>
      </c>
      <c r="K280" s="190">
        <f>SUMIFS('Forbrug af biomasse'!$E$2:$E$431,'Forbrug af biomasse'!$C$2:$C$431,'Resultat-Produktion &amp; forbrug'!$A280,'Forbrug af biomasse'!$D$2:$D$431,'Resultat-Produktion &amp; forbrug'!$D280,'Forbrug af biomasse'!$A$2:$A$431,'Resultat-Produktion &amp; forbrug'!K$2,'Forbrug af biomasse'!$B$2:$B$431,$E280)</f>
        <v>0</v>
      </c>
      <c r="L280" s="190">
        <f>IF(A280&lt;&gt;"Biogas",SUMIFS('Forbrug af biomasse'!$E$2:$E$431,'Forbrug af biomasse'!$C$2:$C$431,'Resultat-Produktion &amp; forbrug'!$A280,'Forbrug af biomasse'!$D$2:$D$431,'Resultat-Produktion &amp; forbrug'!$D280,'Forbrug af biomasse'!$A$2:$A$431,'Resultat-Produktion &amp; forbrug'!L$2,'Forbrug af biomasse'!$B$2:$B$431,$E280),F280)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55000000000000004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forbrug'!G$2,'Forbrug af biomasse'!$B$2:$B$431,$E281)</f>
        <v>103245.87683002709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forbrug'!I$2,'Forbrug af biomasse'!$B$2:$B$431,$E281)</f>
        <v>0</v>
      </c>
      <c r="J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forbrug'!J$2,'Forbrug af biomasse'!$B$2:$B$431,$E281)</f>
        <v>24552.18089354931</v>
      </c>
      <c r="K281" s="190">
        <f>SUMIFS('Forbrug af biomasse'!$E$2:$E$431,'Forbrug af biomasse'!$C$2:$C$431,'Resultat-Produktion &amp; forbrug'!$A281,'Forbrug af biomasse'!$D$2:$D$431,'Resultat-Produktion &amp; forbrug'!$D281,'Forbrug af biomasse'!$A$2:$A$431,'Resultat-Produktion &amp; forbrug'!K$2,'Forbrug af biomasse'!$B$2:$B$431,$E281)</f>
        <v>0</v>
      </c>
      <c r="L281" s="190">
        <f>IF(A281&lt;&gt;"Biogas",SUMIFS('Forbrug af biomasse'!$E$2:$E$431,'Forbrug af biomasse'!$C$2:$C$431,'Resultat-Produktion &amp; forbrug'!$A281,'Forbrug af biomasse'!$D$2:$D$431,'Resultat-Produktion &amp; forbrug'!$D281,'Forbrug af biomasse'!$A$2:$A$431,'Resultat-Produktion &amp; forbrug'!L$2,'Forbrug af biomasse'!$B$2:$B$431,$E281),F281)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2332221.3477654639</v>
      </c>
      <c r="O281" s="190">
        <f t="shared" si="89"/>
        <v>1897043.1952891902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5.148651113742674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5.2152867147750026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5.148651113742674</v>
      </c>
      <c r="U281" s="186">
        <f>O281*IFERROR(VLOOKUP(A281,[1]Tørstofindhold!A$2:B$24,2,FALSE),0)</f>
        <v>379408.63905783807</v>
      </c>
      <c r="V281" s="187">
        <f>IF(D281=År1,P281,SUM(O281,P281))*IFERROR(VLOOKUP(A281,[1]Tørstofindhold!A$2:B$24,2,FALSE),0)</f>
        <v>384319.07523654791</v>
      </c>
      <c r="W281" s="187">
        <f>J281*IFERROR(VLOOKUP(A281,[1]Tørstofindhold!A$2:B$24,2,FALSE),0)</f>
        <v>4910.4361787098624</v>
      </c>
      <c r="X281" s="188">
        <f t="shared" si="65"/>
        <v>379408.63905783807</v>
      </c>
      <c r="Y281" s="168">
        <f t="shared" si="90"/>
        <v>0</v>
      </c>
      <c r="Z281" s="103">
        <f t="shared" si="91"/>
        <v>1</v>
      </c>
    </row>
    <row r="282" spans="1:26" x14ac:dyDescent="0.55000000000000004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forbrug'!G$2,'Forbrug af biomasse'!$B$2:$B$431,$E282)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forbrug'!I$2,'Forbrug af biomasse'!$B$2:$B$431,$E282)</f>
        <v>0</v>
      </c>
      <c r="J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forbrug'!J$2,'Forbrug af biomasse'!$B$2:$B$431,$E282)</f>
        <v>0</v>
      </c>
      <c r="K282" s="190">
        <f>SUMIFS('Forbrug af biomasse'!$E$2:$E$431,'Forbrug af biomasse'!$C$2:$C$431,'Resultat-Produktion &amp; forbrug'!$A282,'Forbrug af biomasse'!$D$2:$D$431,'Resultat-Produktion &amp; forbrug'!$D282,'Forbrug af biomasse'!$A$2:$A$431,'Resultat-Produktion &amp; forbrug'!K$2,'Forbrug af biomasse'!$B$2:$B$431,$E282)</f>
        <v>0</v>
      </c>
      <c r="L282" s="190">
        <f>IF(A282&lt;&gt;"Biogas",SUMIFS('Forbrug af biomasse'!$E$2:$E$431,'Forbrug af biomasse'!$C$2:$C$431,'Resultat-Produktion &amp; forbrug'!$A282,'Forbrug af biomasse'!$D$2:$D$431,'Resultat-Produktion &amp; forbrug'!$D282,'Forbrug af biomasse'!$A$2:$A$431,'Resultat-Produktion &amp; forbrug'!L$2,'Forbrug af biomasse'!$B$2:$B$431,$E282),F282)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55000000000000004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forbrug'!G$2,'Forbrug af biomasse'!$B$2:$B$431,$E283)</f>
        <v>4837.9324606189475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forbrug'!I$2,'Forbrug af biomasse'!$B$2:$B$431,$E283)</f>
        <v>0</v>
      </c>
      <c r="J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forbrug'!J$2,'Forbrug af biomasse'!$B$2:$B$431,$E283)</f>
        <v>0</v>
      </c>
      <c r="K283" s="190">
        <f>SUMIFS('Forbrug af biomasse'!$E$2:$E$431,'Forbrug af biomasse'!$C$2:$C$431,'Resultat-Produktion &amp; forbrug'!$A283,'Forbrug af biomasse'!$D$2:$D$431,'Resultat-Produktion &amp; forbrug'!$D283,'Forbrug af biomasse'!$A$2:$A$431,'Resultat-Produktion &amp; forbrug'!K$2,'Forbrug af biomasse'!$B$2:$B$431,$E283)</f>
        <v>0</v>
      </c>
      <c r="L283" s="190">
        <f>IF(A283&lt;&gt;"Biogas",SUMIFS('Forbrug af biomasse'!$E$2:$E$431,'Forbrug af biomasse'!$C$2:$C$431,'Resultat-Produktion &amp; forbrug'!$A283,'Forbrug af biomasse'!$D$2:$D$431,'Resultat-Produktion &amp; forbrug'!$D283,'Forbrug af biomasse'!$A$2:$A$431,'Resultat-Produktion &amp; forbrug'!L$2,'Forbrug af biomasse'!$B$2:$B$431,$E283),F283)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12947.841322392087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55000000000000004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forbrug'!G$2,'Forbrug af biomasse'!$B$2:$B$431,$E284)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forbrug'!I$2,'Forbrug af biomasse'!$B$2:$B$431,$E284)</f>
        <v>0</v>
      </c>
      <c r="J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forbrug'!J$2,'Forbrug af biomasse'!$B$2:$B$431,$E284)</f>
        <v>1327477.7098236387</v>
      </c>
      <c r="K284" s="190">
        <f>SUMIFS('Forbrug af biomasse'!$E$2:$E$431,'Forbrug af biomasse'!$C$2:$C$431,'Resultat-Produktion &amp; forbrug'!$A284,'Forbrug af biomasse'!$D$2:$D$431,'Resultat-Produktion &amp; forbrug'!$D284,'Forbrug af biomasse'!$A$2:$A$431,'Resultat-Produktion &amp; forbrug'!K$2,'Forbrug af biomasse'!$B$2:$B$431,$E284)</f>
        <v>0</v>
      </c>
      <c r="L284" s="190">
        <f>IF(A284&lt;&gt;"Biogas",SUMIFS('Forbrug af biomasse'!$E$2:$E$431,'Forbrug af biomasse'!$C$2:$C$431,'Resultat-Produktion &amp; forbrug'!$A284,'Forbrug af biomasse'!$D$2:$D$431,'Resultat-Produktion &amp; forbrug'!$D284,'Forbrug af biomasse'!$A$2:$A$431,'Resultat-Produktion &amp; forbrug'!L$2,'Forbrug af biomasse'!$B$2:$B$431,$E284),F284)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2172803.782014261</v>
      </c>
      <c r="O284" s="190">
        <f t="shared" si="89"/>
        <v>2172803.782014261</v>
      </c>
      <c r="P284" s="200">
        <f t="shared" si="94"/>
        <v>1327477.7098236387</v>
      </c>
      <c r="Q284" s="187">
        <f>IFERROR(VLOOKUP(A284,[1]Energiindhold!$A$2:$C$11,3,FALSE),IFERROR(VLOOKUP(A284,[1]Biogasudbytte!$A$2:$B$18,2,FALSE)*[1]Energiindhold!$C$10,0))*O284</f>
        <v>1.0842508152629364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0.66242465197909406</v>
      </c>
      <c r="T284" s="188">
        <f t="shared" si="95"/>
        <v>1.0842508152629367</v>
      </c>
      <c r="U284" s="186">
        <f>O284*IFERROR(VLOOKUP(A284,[1]Tørstofindhold!A$2:B$24,2,FALSE),0)</f>
        <v>130368.22692085565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79648.662589418323</v>
      </c>
      <c r="X284" s="188">
        <f t="shared" si="96"/>
        <v>130368.22692085564</v>
      </c>
      <c r="Y284" s="168">
        <f t="shared" si="90"/>
        <v>0</v>
      </c>
      <c r="Z284" s="103">
        <f t="shared" si="91"/>
        <v>1</v>
      </c>
    </row>
    <row r="285" spans="1:26" x14ac:dyDescent="0.55000000000000004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forbrug'!G$2,'Forbrug af biomasse'!$B$2:$B$431,$E285)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forbrug'!I$2,'Forbrug af biomasse'!$B$2:$B$431,$E285)</f>
        <v>0</v>
      </c>
      <c r="J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forbrug'!J$2,'Forbrug af biomasse'!$B$2:$B$431,$E285)</f>
        <v>1108334.6440677529</v>
      </c>
      <c r="K285" s="190">
        <f>SUMIFS('Forbrug af biomasse'!$E$2:$E$431,'Forbrug af biomasse'!$C$2:$C$431,'Resultat-Produktion &amp; forbrug'!$A285,'Forbrug af biomasse'!$D$2:$D$431,'Resultat-Produktion &amp; forbrug'!$D285,'Forbrug af biomasse'!$A$2:$A$431,'Resultat-Produktion &amp; forbrug'!K$2,'Forbrug af biomasse'!$B$2:$B$431,$E285)</f>
        <v>982862.79756951681</v>
      </c>
      <c r="L285" s="190">
        <f>IF(A285&lt;&gt;"Biogas",SUMIFS('Forbrug af biomasse'!$E$2:$E$431,'Forbrug af biomasse'!$C$2:$C$431,'Resultat-Produktion &amp; forbrug'!$A285,'Forbrug af biomasse'!$D$2:$D$431,'Resultat-Produktion &amp; forbrug'!$D285,'Forbrug af biomasse'!$A$2:$A$431,'Resultat-Produktion &amp; forbrug'!L$2,'Forbrug af biomasse'!$B$2:$B$431,$E285),F285)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1108334.6440677529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87">
        <f>IFERROR(VLOOKUP(A285,[1]Biogasudbytte!$A$2:$B$18,2,FALSE)*[1]Energiindhold!$C$10,0)*J285*IFERROR(VLOOKUP(A285,Biogasanlæg!$F$3:$G$8,2,FALSE),1)</f>
        <v>0.47747056466438803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55416.732203387648</v>
      </c>
      <c r="W285" s="187">
        <f>J285*IFERROR(VLOOKUP(A285,[1]Tørstofindhold!A$2:B$24,2,FALSE),0)</f>
        <v>55416.732203387648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55000000000000004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forbrug'!G$2,'Forbrug af biomasse'!$B$2:$B$431,$E286)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forbrug'!I$2,'Forbrug af biomasse'!$B$2:$B$431,$E286)</f>
        <v>110474.29755686472</v>
      </c>
      <c r="J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forbrug'!J$2,'Forbrug af biomasse'!$B$2:$B$431,$E286)</f>
        <v>0</v>
      </c>
      <c r="K286" s="190">
        <f>SUMIFS('Forbrug af biomasse'!$E$2:$E$431,'Forbrug af biomasse'!$C$2:$C$431,'Resultat-Produktion &amp; forbrug'!$A286,'Forbrug af biomasse'!$D$2:$D$431,'Resultat-Produktion &amp; forbrug'!$D286,'Forbrug af biomasse'!$A$2:$A$431,'Resultat-Produktion &amp; forbrug'!K$2,'Forbrug af biomasse'!$B$2:$B$431,$E286)</f>
        <v>0</v>
      </c>
      <c r="L286" s="190">
        <f>IF(A286&lt;&gt;"Biogas",SUMIFS('Forbrug af biomasse'!$E$2:$E$431,'Forbrug af biomasse'!$C$2:$C$431,'Resultat-Produktion &amp; forbrug'!$A286,'Forbrug af biomasse'!$D$2:$D$431,'Resultat-Produktion &amp; forbrug'!$D286,'Forbrug af biomasse'!$A$2:$A$431,'Resultat-Produktion &amp; forbrug'!L$2,'Forbrug af biomasse'!$B$2:$B$431,$E286),F286)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83709.698034187008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55000000000000004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forbrug'!G$2,'Forbrug af biomasse'!$B$2:$B$431,$E287)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forbrug'!I$2,'Forbrug af biomasse'!$B$2:$B$431,$E287)</f>
        <v>0</v>
      </c>
      <c r="J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forbrug'!J$2,'Forbrug af biomasse'!$B$2:$B$431,$E287)</f>
        <v>0</v>
      </c>
      <c r="K287" s="190">
        <f>SUMIFS('Forbrug af biomasse'!$E$2:$E$431,'Forbrug af biomasse'!$C$2:$C$431,'Resultat-Produktion &amp; forbrug'!$A287,'Forbrug af biomasse'!$D$2:$D$431,'Resultat-Produktion &amp; forbrug'!$D287,'Forbrug af biomasse'!$A$2:$A$431,'Resultat-Produktion &amp; forbrug'!K$2,'Forbrug af biomasse'!$B$2:$B$431,$E287)</f>
        <v>0</v>
      </c>
      <c r="L287" s="190">
        <f>IF(A287&lt;&gt;"Biogas",SUMIFS('Forbrug af biomasse'!$E$2:$E$431,'Forbrug af biomasse'!$C$2:$C$431,'Resultat-Produktion &amp; forbrug'!$A287,'Forbrug af biomasse'!$D$2:$D$431,'Resultat-Produktion &amp; forbrug'!$D287,'Forbrug af biomasse'!$A$2:$A$431,'Resultat-Produktion &amp; forbrug'!L$2,'Forbrug af biomasse'!$B$2:$B$431,$E287),F287)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55000000000000004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forbrug'!G$2,'Forbrug af biomasse'!$B$2:$B$431,$E288)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forbrug'!I$2,'Forbrug af biomasse'!$B$2:$B$431,$E288)</f>
        <v>0</v>
      </c>
      <c r="J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forbrug'!J$2,'Forbrug af biomasse'!$B$2:$B$431,$E288)</f>
        <v>0</v>
      </c>
      <c r="K288" s="190">
        <f>SUMIFS('Forbrug af biomasse'!$E$2:$E$431,'Forbrug af biomasse'!$C$2:$C$431,'Resultat-Produktion &amp; forbrug'!$A288,'Forbrug af biomasse'!$D$2:$D$431,'Resultat-Produktion &amp; forbrug'!$D288,'Forbrug af biomasse'!$A$2:$A$431,'Resultat-Produktion &amp; forbrug'!K$2,'Forbrug af biomasse'!$B$2:$B$431,$E288)</f>
        <v>0</v>
      </c>
      <c r="L288" s="190">
        <f>IF(A288&lt;&gt;"Biogas",SUMIFS('Forbrug af biomasse'!$E$2:$E$431,'Forbrug af biomasse'!$C$2:$C$431,'Resultat-Produktion &amp; forbrug'!$A288,'Forbrug af biomasse'!$D$2:$D$431,'Resultat-Produktion &amp; forbrug'!$D288,'Forbrug af biomasse'!$A$2:$A$431,'Resultat-Produktion &amp; forbrug'!L$2,'Forbrug af biomasse'!$B$2:$B$431,$E288),F288)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55000000000000004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forbrug'!G$2,'Forbrug af biomasse'!$B$2:$B$431,$E289)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forbrug'!I$2,'Forbrug af biomasse'!$B$2:$B$431,$E289)</f>
        <v>0</v>
      </c>
      <c r="J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forbrug'!J$2,'Forbrug af biomasse'!$B$2:$B$431,$E289)</f>
        <v>0</v>
      </c>
      <c r="K289" s="190">
        <f>SUMIFS('Forbrug af biomasse'!$E$2:$E$431,'Forbrug af biomasse'!$C$2:$C$431,'Resultat-Produktion &amp; forbrug'!$A289,'Forbrug af biomasse'!$D$2:$D$431,'Resultat-Produktion &amp; forbrug'!$D289,'Forbrug af biomasse'!$A$2:$A$431,'Resultat-Produktion &amp; forbrug'!K$2,'Forbrug af biomasse'!$B$2:$B$431,$E289)</f>
        <v>0</v>
      </c>
      <c r="L289" s="190">
        <f ca="1">IF(A289&lt;&gt;"Biogas",SUMIFS('Forbrug af biomasse'!$E$2:$E$431,'Forbrug af biomasse'!$C$2:$C$431,'Resultat-Produktion &amp; forbrug'!$A289,'Forbrug af biomasse'!$D$2:$D$431,'Resultat-Produktion &amp; forbrug'!$D289,'Forbrug af biomasse'!$A$2:$A$431,'Resultat-Produktion &amp; forbrug'!L$2,'Forbrug af biomasse'!$B$2:$B$431,$E289),F289)</f>
        <v>585276.82167847839</v>
      </c>
      <c r="M289" s="154">
        <f ca="1"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585276.82167847839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8.4827499410238172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8.4827499410238172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289468.16138848074</v>
      </c>
      <c r="W289" s="187">
        <f>J289*IFERROR(VLOOKUP(A289,[1]Tørstofindhold!A$2:B$24,2,FALSE),0)</f>
        <v>0</v>
      </c>
      <c r="X289" s="188">
        <f t="shared" ca="1" si="96"/>
        <v>289468.16138848074</v>
      </c>
      <c r="Y289" s="168">
        <f t="shared" ca="1" si="90"/>
        <v>0</v>
      </c>
      <c r="Z289" s="103">
        <f t="shared" ca="1" si="91"/>
        <v>0</v>
      </c>
    </row>
    <row r="290" spans="1:26" ht="14.7" thickBot="1" x14ac:dyDescent="0.6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forbrug'!G$2,'Forbrug af biomasse'!$B$2:$B$431,$E290)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forbrug'!I$2,'Forbrug af biomasse'!$B$2:$B$431,$E290)</f>
        <v>0</v>
      </c>
      <c r="J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forbrug'!J$2,'Forbrug af biomasse'!$B$2:$B$431,$E290)</f>
        <v>0</v>
      </c>
      <c r="K290" s="190">
        <f>SUMIFS('Forbrug af biomasse'!$E$2:$E$431,'Forbrug af biomasse'!$C$2:$C$431,'Resultat-Produktion &amp; forbrug'!$A290,'Forbrug af biomasse'!$D$2:$D$431,'Resultat-Produktion &amp; forbrug'!$D290,'Forbrug af biomasse'!$A$2:$A$431,'Resultat-Produktion &amp; forbrug'!K$2,'Forbrug af biomasse'!$B$2:$B$431,$E290)</f>
        <v>0</v>
      </c>
      <c r="L290" s="190">
        <f>IF(A290&lt;&gt;"Biogas",SUMIFS('Forbrug af biomasse'!$E$2:$E$431,'Forbrug af biomasse'!$C$2:$C$431,'Resultat-Produktion &amp; forbrug'!$A290,'Forbrug af biomasse'!$D$2:$D$431,'Resultat-Produktion &amp; forbrug'!$D290,'Forbrug af biomasse'!$A$2:$A$431,'Resultat-Produktion &amp; forbrug'!L$2,'Forbrug af biomasse'!$B$2:$B$431,$E290),F290)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3984375" defaultRowHeight="14.4" x14ac:dyDescent="0.55000000000000004"/>
  <cols>
    <col min="1" max="16384" width="8.83984375" style="1"/>
  </cols>
  <sheetData>
    <row r="1" spans="1:26" ht="14.7" thickBot="1" x14ac:dyDescent="0.6"/>
    <row r="2" spans="1:26" ht="20.7" thickBot="1" x14ac:dyDescent="0.8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55000000000000004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275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4.7" thickBot="1" x14ac:dyDescent="0.6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4.7" thickBot="1" x14ac:dyDescent="0.6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55000000000000004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55000000000000004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4.7" thickBot="1" x14ac:dyDescent="0.6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55000000000000004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55000000000000004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55000000000000004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55000000000000004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55000000000000004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55000000000000004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55000000000000004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55000000000000004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55000000000000004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55000000000000004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55000000000000004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4.7" thickBot="1" x14ac:dyDescent="0.6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4.7" thickBot="1" x14ac:dyDescent="0.6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55000000000000004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55000000000000004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55000000000000004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55000000000000004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4.7" thickBot="1" x14ac:dyDescent="0.6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4.7" thickBot="1" x14ac:dyDescent="0.6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4.7" thickBot="1" x14ac:dyDescent="0.6">
      <c r="B28" s="6"/>
      <c r="F28" s="85"/>
      <c r="G28" s="85"/>
      <c r="H28" s="85"/>
      <c r="I28" s="12"/>
    </row>
    <row r="29" spans="1:21" ht="20.7" thickBot="1" x14ac:dyDescent="0.8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55000000000000004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4.7" thickBot="1" x14ac:dyDescent="0.6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55000000000000004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55000000000000004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55000000000000004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55000000000000004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55000000000000004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55000000000000004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55000000000000004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55000000000000004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55000000000000004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55000000000000004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55000000000000004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55000000000000004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55000000000000004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55000000000000004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55000000000000004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4.7" thickBot="1" x14ac:dyDescent="0.6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4.7" thickBot="1" x14ac:dyDescent="0.6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55000000000000004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55000000000000004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55000000000000004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55000000000000004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4.7" thickBot="1" x14ac:dyDescent="0.6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4.7" thickBot="1" x14ac:dyDescent="0.6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5625" defaultRowHeight="14.4" x14ac:dyDescent="0.55000000000000004"/>
  <cols>
    <col min="1" max="16384" width="9.15625" style="1"/>
  </cols>
  <sheetData>
    <row r="2" spans="1:1" x14ac:dyDescent="0.55000000000000004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4.4" x14ac:dyDescent="0.55000000000000004"/>
  <cols>
    <col min="1" max="1" width="19.41796875" bestFit="1" customWidth="1"/>
    <col min="2" max="2" width="14.68359375" bestFit="1" customWidth="1"/>
    <col min="3" max="3" width="8.1015625" bestFit="1" customWidth="1"/>
    <col min="4" max="4" width="8" bestFit="1" customWidth="1"/>
    <col min="5" max="5" width="10.3671875" bestFit="1" customWidth="1"/>
    <col min="6" max="6" width="3.7890625" bestFit="1" customWidth="1"/>
    <col min="7" max="7" width="10.734375" bestFit="1" customWidth="1"/>
    <col min="8" max="8" width="9.9453125" bestFit="1" customWidth="1"/>
    <col min="9" max="9" width="4.9453125" bestFit="1" customWidth="1"/>
    <col min="10" max="10" width="7.3671875" bestFit="1" customWidth="1"/>
    <col min="11" max="11" width="4.9453125" bestFit="1" customWidth="1"/>
    <col min="12" max="12" width="9.7890625" bestFit="1" customWidth="1"/>
    <col min="13" max="13" width="4.89453125" bestFit="1" customWidth="1"/>
    <col min="14" max="14" width="14" bestFit="1" customWidth="1"/>
    <col min="15" max="15" width="13.15625" bestFit="1" customWidth="1"/>
    <col min="16" max="16" width="11.68359375" bestFit="1" customWidth="1"/>
    <col min="17" max="17" width="7.89453125" bestFit="1" customWidth="1"/>
    <col min="18" max="18" width="4.5234375" bestFit="1" customWidth="1"/>
    <col min="19" max="19" width="9" bestFit="1" customWidth="1"/>
    <col min="20" max="20" width="12.20703125" bestFit="1" customWidth="1"/>
    <col min="21" max="21" width="4.578125" bestFit="1" customWidth="1"/>
    <col min="22" max="22" width="14.26171875" bestFit="1" customWidth="1"/>
    <col min="23" max="23" width="7.7890625" bestFit="1" customWidth="1"/>
    <col min="24" max="24" width="4.578125" bestFit="1" customWidth="1"/>
    <col min="25" max="25" width="4.5234375" bestFit="1" customWidth="1"/>
    <col min="26" max="26" width="18.47265625" bestFit="1" customWidth="1"/>
    <col min="27" max="27" width="14.26171875" bestFit="1" customWidth="1"/>
    <col min="28" max="28" width="8.89453125" bestFit="1" customWidth="1"/>
    <col min="29" max="29" width="8.1015625" bestFit="1" customWidth="1"/>
    <col min="30" max="30" width="10.578125" bestFit="1" customWidth="1"/>
    <col min="31" max="31" width="11.47265625" bestFit="1" customWidth="1"/>
    <col min="32" max="32" width="8.41796875" bestFit="1" customWidth="1"/>
    <col min="33" max="33" width="7.578125" bestFit="1" customWidth="1"/>
    <col min="34" max="34" width="9.83984375" bestFit="1" customWidth="1"/>
    <col min="35" max="35" width="11.89453125" bestFit="1" customWidth="1"/>
    <col min="36" max="36" width="12.3125" bestFit="1" customWidth="1"/>
    <col min="37" max="37" width="10.20703125" bestFit="1" customWidth="1"/>
    <col min="38" max="38" width="12.3125" bestFit="1" customWidth="1"/>
    <col min="39" max="39" width="10.20703125" bestFit="1" customWidth="1"/>
    <col min="40" max="40" width="12" bestFit="1" customWidth="1"/>
    <col min="41" max="41" width="16" bestFit="1" customWidth="1"/>
    <col min="42" max="42" width="12" bestFit="1" customWidth="1"/>
    <col min="43" max="43" width="13.4179687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55000000000000004">
      <c r="A3" s="77" t="s">
        <v>174</v>
      </c>
      <c r="B3" s="77" t="s">
        <v>62</v>
      </c>
    </row>
    <row r="4" spans="1:37" x14ac:dyDescent="0.55000000000000004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55000000000000004">
      <c r="A5" s="78" t="s">
        <v>109</v>
      </c>
      <c r="B5" s="237"/>
      <c r="C5" s="237"/>
      <c r="D5" s="237">
        <v>1462906</v>
      </c>
      <c r="E5" s="237">
        <v>3840095.3813778022</v>
      </c>
      <c r="F5" s="237"/>
      <c r="G5" s="237">
        <v>13632.279090274656</v>
      </c>
      <c r="H5" s="237"/>
      <c r="I5" s="237"/>
      <c r="J5" s="237">
        <v>428226</v>
      </c>
      <c r="K5" s="237">
        <v>257030.99999999994</v>
      </c>
      <c r="L5" s="237"/>
      <c r="M5" s="237">
        <v>227801.99999999994</v>
      </c>
      <c r="N5" s="237">
        <v>234</v>
      </c>
      <c r="O5" s="237"/>
      <c r="P5" s="237">
        <v>2444654</v>
      </c>
      <c r="Q5" s="237"/>
      <c r="R5" s="237">
        <v>11358</v>
      </c>
      <c r="S5" s="237">
        <v>25289114.74956274</v>
      </c>
      <c r="T5" s="237"/>
      <c r="U5" s="237">
        <v>990078.00000000023</v>
      </c>
      <c r="V5" s="237"/>
      <c r="W5" s="237"/>
      <c r="X5" s="237"/>
      <c r="Y5" s="237">
        <v>85935</v>
      </c>
      <c r="Z5" s="237"/>
      <c r="AA5" s="237">
        <v>8334841.759060693</v>
      </c>
      <c r="AB5" s="237">
        <v>20819659.111597929</v>
      </c>
      <c r="AC5" s="237"/>
      <c r="AD5" s="237"/>
      <c r="AE5" s="237"/>
      <c r="AF5" s="237"/>
      <c r="AG5" s="237"/>
      <c r="AH5" s="237"/>
      <c r="AI5" s="237"/>
      <c r="AJ5" s="237"/>
      <c r="AK5" s="237">
        <v>64205567.280689433</v>
      </c>
    </row>
    <row r="6" spans="1:37" x14ac:dyDescent="0.55000000000000004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85676.999999999956</v>
      </c>
      <c r="L6" s="237"/>
      <c r="M6" s="237">
        <v>75933.999999999971</v>
      </c>
      <c r="N6" s="237">
        <v>78</v>
      </c>
      <c r="O6" s="237"/>
      <c r="P6" s="237">
        <v>995654</v>
      </c>
      <c r="Q6" s="237"/>
      <c r="R6" s="237">
        <v>3786</v>
      </c>
      <c r="S6" s="237">
        <v>4353509.666666667</v>
      </c>
      <c r="T6" s="237"/>
      <c r="U6" s="237">
        <v>330026.00000000006</v>
      </c>
      <c r="V6" s="237"/>
      <c r="W6" s="237"/>
      <c r="X6" s="237"/>
      <c r="Y6" s="237">
        <v>28644.999999999993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55000000000000004">
      <c r="A7" s="79">
        <v>2030</v>
      </c>
      <c r="B7" s="237"/>
      <c r="C7" s="237"/>
      <c r="D7" s="237">
        <v>363995</v>
      </c>
      <c r="E7" s="237">
        <v>1505490.464025514</v>
      </c>
      <c r="F7" s="237"/>
      <c r="G7" s="237">
        <v>4521.4640303491688</v>
      </c>
      <c r="H7" s="237"/>
      <c r="I7" s="237"/>
      <c r="J7" s="237">
        <v>142742</v>
      </c>
      <c r="K7" s="237">
        <v>85677</v>
      </c>
      <c r="L7" s="237"/>
      <c r="M7" s="237">
        <v>75933.999999999985</v>
      </c>
      <c r="N7" s="237">
        <v>78</v>
      </c>
      <c r="O7" s="237"/>
      <c r="P7" s="237">
        <v>725967.99999999977</v>
      </c>
      <c r="Q7" s="237"/>
      <c r="R7" s="237">
        <v>3786</v>
      </c>
      <c r="S7" s="237">
        <v>10568777.271841513</v>
      </c>
      <c r="T7" s="237"/>
      <c r="U7" s="237">
        <v>330026.00000000006</v>
      </c>
      <c r="V7" s="237"/>
      <c r="W7" s="237"/>
      <c r="X7" s="237"/>
      <c r="Y7" s="237">
        <v>28645.000000000004</v>
      </c>
      <c r="Z7" s="237"/>
      <c r="AA7" s="237">
        <v>2775329.8009308982</v>
      </c>
      <c r="AB7" s="237">
        <v>9147340.4973796755</v>
      </c>
      <c r="AC7" s="237"/>
      <c r="AD7" s="237"/>
      <c r="AE7" s="237"/>
      <c r="AF7" s="237"/>
      <c r="AG7" s="237"/>
      <c r="AH7" s="237"/>
      <c r="AI7" s="237"/>
      <c r="AJ7" s="237"/>
      <c r="AK7" s="237">
        <v>25758310.498207949</v>
      </c>
    </row>
    <row r="8" spans="1:37" x14ac:dyDescent="0.55000000000000004">
      <c r="A8" s="79">
        <v>2050</v>
      </c>
      <c r="B8" s="237"/>
      <c r="C8" s="237"/>
      <c r="D8" s="237">
        <v>369777</v>
      </c>
      <c r="E8" s="237">
        <v>1577517.9173522878</v>
      </c>
      <c r="F8" s="237"/>
      <c r="G8" s="237">
        <v>4669.3150599254868</v>
      </c>
      <c r="H8" s="237"/>
      <c r="I8" s="237"/>
      <c r="J8" s="237">
        <v>142742</v>
      </c>
      <c r="K8" s="237">
        <v>85677</v>
      </c>
      <c r="L8" s="237"/>
      <c r="M8" s="237">
        <v>75933.999999999985</v>
      </c>
      <c r="N8" s="237">
        <v>78</v>
      </c>
      <c r="O8" s="237"/>
      <c r="P8" s="237">
        <v>723032.00000000023</v>
      </c>
      <c r="Q8" s="237"/>
      <c r="R8" s="237">
        <v>3786</v>
      </c>
      <c r="S8" s="237">
        <v>10366827.811054559</v>
      </c>
      <c r="T8" s="237"/>
      <c r="U8" s="237">
        <v>330026.00000000006</v>
      </c>
      <c r="V8" s="237"/>
      <c r="W8" s="237"/>
      <c r="X8" s="237"/>
      <c r="Y8" s="237">
        <v>28645.000000000004</v>
      </c>
      <c r="Z8" s="237"/>
      <c r="AA8" s="237">
        <v>2890677.9581297943</v>
      </c>
      <c r="AB8" s="237">
        <v>8757449.2808849197</v>
      </c>
      <c r="AC8" s="237"/>
      <c r="AD8" s="237"/>
      <c r="AE8" s="237"/>
      <c r="AF8" s="237"/>
      <c r="AG8" s="237"/>
      <c r="AH8" s="237"/>
      <c r="AI8" s="237"/>
      <c r="AJ8" s="237"/>
      <c r="AK8" s="237">
        <v>25356839.282481484</v>
      </c>
    </row>
    <row r="9" spans="1:37" x14ac:dyDescent="0.55000000000000004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41219273.95581004</v>
      </c>
      <c r="L9" s="237"/>
      <c r="M9" s="237">
        <v>2603926.024732016</v>
      </c>
      <c r="N9" s="237"/>
      <c r="O9" s="237">
        <v>16263222.796414331</v>
      </c>
      <c r="P9" s="237"/>
      <c r="Q9" s="237">
        <v>0</v>
      </c>
      <c r="R9" s="237">
        <v>19802510.429103382</v>
      </c>
      <c r="S9" s="237"/>
      <c r="T9" s="237">
        <v>5105264.0021397118</v>
      </c>
      <c r="U9" s="237">
        <v>19054221.142737754</v>
      </c>
      <c r="V9" s="237"/>
      <c r="W9" s="237"/>
      <c r="X9" s="237"/>
      <c r="Y9" s="237">
        <v>2833240.4834569679</v>
      </c>
      <c r="Z9" s="237">
        <v>132761.00241970882</v>
      </c>
      <c r="AA9" s="237"/>
      <c r="AB9" s="237"/>
      <c r="AC9" s="237"/>
      <c r="AD9" s="237"/>
      <c r="AE9" s="237"/>
      <c r="AF9" s="237">
        <v>721133.62677978189</v>
      </c>
      <c r="AG9" s="237"/>
      <c r="AH9" s="237"/>
      <c r="AI9" s="237"/>
      <c r="AJ9" s="237"/>
      <c r="AK9" s="237">
        <v>107952798.74028048</v>
      </c>
    </row>
    <row r="10" spans="1:37" x14ac:dyDescent="0.55000000000000004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55000000000000004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13739757.985270012</v>
      </c>
      <c r="L11" s="237"/>
      <c r="M11" s="237">
        <v>867975.34157733864</v>
      </c>
      <c r="N11" s="237"/>
      <c r="O11" s="237">
        <v>5421074.2654714435</v>
      </c>
      <c r="P11" s="237"/>
      <c r="Q11" s="237">
        <v>0</v>
      </c>
      <c r="R11" s="237">
        <v>6600836.809701127</v>
      </c>
      <c r="S11" s="237"/>
      <c r="T11" s="237">
        <v>1701754.6673799036</v>
      </c>
      <c r="U11" s="237">
        <v>6351407.0475792503</v>
      </c>
      <c r="V11" s="237"/>
      <c r="W11" s="237"/>
      <c r="X11" s="237"/>
      <c r="Y11" s="237">
        <v>944413.49448565592</v>
      </c>
      <c r="Z11" s="237">
        <v>44253.667473236274</v>
      </c>
      <c r="AA11" s="237"/>
      <c r="AB11" s="237"/>
      <c r="AC11" s="237"/>
      <c r="AD11" s="237"/>
      <c r="AE11" s="237"/>
      <c r="AF11" s="237">
        <v>240377.87559326063</v>
      </c>
      <c r="AG11" s="237"/>
      <c r="AH11" s="237"/>
      <c r="AI11" s="237"/>
      <c r="AJ11" s="237"/>
      <c r="AK11" s="237">
        <v>35984266.246760152</v>
      </c>
    </row>
    <row r="12" spans="1:37" x14ac:dyDescent="0.55000000000000004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13739757.985270012</v>
      </c>
      <c r="L12" s="237"/>
      <c r="M12" s="237">
        <v>867975.34157733864</v>
      </c>
      <c r="N12" s="237"/>
      <c r="O12" s="237">
        <v>5421074.2654714435</v>
      </c>
      <c r="P12" s="237"/>
      <c r="Q12" s="237">
        <v>0</v>
      </c>
      <c r="R12" s="237">
        <v>6600836.809701127</v>
      </c>
      <c r="S12" s="237"/>
      <c r="T12" s="237">
        <v>1701754.6673799036</v>
      </c>
      <c r="U12" s="237">
        <v>6351407.0475792503</v>
      </c>
      <c r="V12" s="237"/>
      <c r="W12" s="237"/>
      <c r="X12" s="237"/>
      <c r="Y12" s="237">
        <v>944413.49448565592</v>
      </c>
      <c r="Z12" s="237">
        <v>44253.667473236274</v>
      </c>
      <c r="AA12" s="237"/>
      <c r="AB12" s="237"/>
      <c r="AC12" s="237"/>
      <c r="AD12" s="237"/>
      <c r="AE12" s="237"/>
      <c r="AF12" s="237">
        <v>240377.87559326063</v>
      </c>
      <c r="AG12" s="237"/>
      <c r="AH12" s="237"/>
      <c r="AI12" s="237"/>
      <c r="AJ12" s="237"/>
      <c r="AK12" s="237">
        <v>35984266.246760152</v>
      </c>
    </row>
    <row r="13" spans="1:37" x14ac:dyDescent="0.55000000000000004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55000000000000004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55000000000000004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55000000000000004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55000000000000004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5401140.9380382588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652618.87258111942</v>
      </c>
      <c r="AE17" s="237">
        <v>8445491.6191291064</v>
      </c>
      <c r="AF17" s="237"/>
      <c r="AG17" s="237">
        <v>576863.81871748599</v>
      </c>
      <c r="AH17" s="237"/>
      <c r="AI17" s="237"/>
      <c r="AJ17" s="237"/>
      <c r="AK17" s="237">
        <v>18024308.24846597</v>
      </c>
    </row>
    <row r="18" spans="1:37" x14ac:dyDescent="0.55000000000000004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1895494.5192748301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209867.13867694439</v>
      </c>
      <c r="AE18" s="237">
        <v>3010292.0648196544</v>
      </c>
      <c r="AF18" s="237"/>
      <c r="AG18" s="237">
        <v>112873.31802427149</v>
      </c>
      <c r="AH18" s="237"/>
      <c r="AI18" s="237"/>
      <c r="AJ18" s="237"/>
      <c r="AK18" s="237">
        <v>6211258.0407956997</v>
      </c>
    </row>
    <row r="19" spans="1:37" x14ac:dyDescent="0.55000000000000004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1803882.2275068527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217061.63744714856</v>
      </c>
      <c r="AE19" s="237">
        <v>2848803.6821181462</v>
      </c>
      <c r="AF19" s="237"/>
      <c r="AG19" s="237">
        <v>227845.75420114136</v>
      </c>
      <c r="AH19" s="237"/>
      <c r="AI19" s="237"/>
      <c r="AJ19" s="237"/>
      <c r="AK19" s="237">
        <v>6080324.3012732891</v>
      </c>
    </row>
    <row r="20" spans="1:37" x14ac:dyDescent="0.55000000000000004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1701764.1912565762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225690.0964570264</v>
      </c>
      <c r="AE20" s="237">
        <v>2586395.8721913062</v>
      </c>
      <c r="AF20" s="237"/>
      <c r="AG20" s="237">
        <v>236144.74649207323</v>
      </c>
      <c r="AH20" s="237"/>
      <c r="AI20" s="237"/>
      <c r="AJ20" s="237"/>
      <c r="AK20" s="237">
        <v>5732725.9063969813</v>
      </c>
    </row>
    <row r="21" spans="1:37" x14ac:dyDescent="0.55000000000000004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104190.75509932752</v>
      </c>
      <c r="AH21" s="237"/>
      <c r="AI21" s="237"/>
      <c r="AJ21" s="237">
        <v>2323899.2861772869</v>
      </c>
      <c r="AK21" s="237">
        <v>2428090.0412766142</v>
      </c>
    </row>
    <row r="22" spans="1:37" x14ac:dyDescent="0.55000000000000004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104190.75509932752</v>
      </c>
      <c r="AH22" s="237"/>
      <c r="AI22" s="237"/>
      <c r="AJ22" s="237">
        <v>827707.93518034508</v>
      </c>
      <c r="AK22" s="237">
        <v>931898.69027967262</v>
      </c>
    </row>
    <row r="23" spans="1:37" x14ac:dyDescent="0.55000000000000004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783305.19520584797</v>
      </c>
      <c r="AK23" s="237">
        <v>783305.19520584797</v>
      </c>
    </row>
    <row r="24" spans="1:37" x14ac:dyDescent="0.55000000000000004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712886.15579109383</v>
      </c>
      <c r="AK24" s="237">
        <v>712886.15579109383</v>
      </c>
    </row>
    <row r="25" spans="1:37" x14ac:dyDescent="0.55000000000000004">
      <c r="A25" s="78" t="s">
        <v>114</v>
      </c>
      <c r="B25" s="237"/>
      <c r="C25" s="237"/>
      <c r="D25" s="237"/>
      <c r="E25" s="237">
        <v>1990903.880093025</v>
      </c>
      <c r="F25" s="237"/>
      <c r="G25" s="237">
        <v>13632.279090274656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16307734.043721568</v>
      </c>
      <c r="T25" s="237"/>
      <c r="U25" s="237"/>
      <c r="V25" s="237"/>
      <c r="W25" s="237"/>
      <c r="X25" s="237"/>
      <c r="Y25" s="237"/>
      <c r="Z25" s="237"/>
      <c r="AA25" s="237"/>
      <c r="AB25" s="237">
        <v>30619963.111542813</v>
      </c>
      <c r="AC25" s="237"/>
      <c r="AD25" s="237"/>
      <c r="AE25" s="237"/>
      <c r="AF25" s="237"/>
      <c r="AG25" s="237"/>
      <c r="AH25" s="237">
        <v>49812146.382281646</v>
      </c>
      <c r="AI25" s="237">
        <v>2784817.9049724834</v>
      </c>
      <c r="AJ25" s="237"/>
      <c r="AK25" s="237">
        <v>101529197.60170181</v>
      </c>
    </row>
    <row r="26" spans="1:37" x14ac:dyDescent="0.55000000000000004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944817.29105430027</v>
      </c>
      <c r="AJ26" s="237"/>
      <c r="AK26" s="237">
        <v>35015136.519419931</v>
      </c>
    </row>
    <row r="27" spans="1:37" x14ac:dyDescent="0.55000000000000004">
      <c r="A27" s="79">
        <v>2030</v>
      </c>
      <c r="B27" s="237"/>
      <c r="C27" s="237"/>
      <c r="D27" s="237"/>
      <c r="E27" s="237">
        <v>569935.67566680163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3337508.6121604778</v>
      </c>
      <c r="T27" s="237"/>
      <c r="U27" s="237"/>
      <c r="V27" s="237"/>
      <c r="W27" s="237"/>
      <c r="X27" s="237"/>
      <c r="Y27" s="237"/>
      <c r="Z27" s="237"/>
      <c r="AA27" s="237"/>
      <c r="AB27" s="237">
        <v>8111792.5165442396</v>
      </c>
      <c r="AC27" s="237"/>
      <c r="AD27" s="237"/>
      <c r="AE27" s="237"/>
      <c r="AF27" s="237"/>
      <c r="AG27" s="237"/>
      <c r="AH27" s="237">
        <v>20758258.546328574</v>
      </c>
      <c r="AI27" s="237">
        <v>936027.48295724555</v>
      </c>
      <c r="AJ27" s="237"/>
      <c r="AK27" s="237">
        <v>33718044.297687687</v>
      </c>
    </row>
    <row r="28" spans="1:37" x14ac:dyDescent="0.55000000000000004">
      <c r="A28" s="79">
        <v>2050</v>
      </c>
      <c r="B28" s="237"/>
      <c r="C28" s="237"/>
      <c r="D28" s="237"/>
      <c r="E28" s="237">
        <v>597203.21156908036</v>
      </c>
      <c r="F28" s="237"/>
      <c r="G28" s="237">
        <v>4669.3150599254868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3273735.0982277556</v>
      </c>
      <c r="T28" s="237"/>
      <c r="U28" s="237"/>
      <c r="V28" s="237"/>
      <c r="W28" s="237"/>
      <c r="X28" s="237"/>
      <c r="Y28" s="237"/>
      <c r="Z28" s="237"/>
      <c r="AA28" s="237"/>
      <c r="AB28" s="237">
        <v>7766039.9283319106</v>
      </c>
      <c r="AC28" s="237"/>
      <c r="AD28" s="237"/>
      <c r="AE28" s="237"/>
      <c r="AF28" s="237"/>
      <c r="AG28" s="237"/>
      <c r="AH28" s="237">
        <v>20250396.100444589</v>
      </c>
      <c r="AI28" s="237">
        <v>903973.13096093771</v>
      </c>
      <c r="AJ28" s="237"/>
      <c r="AK28" s="237">
        <v>32796016.784594197</v>
      </c>
    </row>
    <row r="29" spans="1:37" x14ac:dyDescent="0.55000000000000004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2128295.5431775423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2128295.5431775423</v>
      </c>
    </row>
    <row r="30" spans="1:37" x14ac:dyDescent="0.55000000000000004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678325.22851124685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678325.22851124685</v>
      </c>
    </row>
    <row r="31" spans="1:37" x14ac:dyDescent="0.55000000000000004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712017.98187856667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712017.98187856667</v>
      </c>
    </row>
    <row r="32" spans="1:37" x14ac:dyDescent="0.55000000000000004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737952.33278772887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737952.33278772887</v>
      </c>
    </row>
    <row r="33" spans="1:37" x14ac:dyDescent="0.55000000000000004">
      <c r="A33" s="78" t="s">
        <v>61</v>
      </c>
      <c r="B33" s="237">
        <v>182574.19618217932</v>
      </c>
      <c r="C33" s="237">
        <v>217245.27668679622</v>
      </c>
      <c r="D33" s="237">
        <v>1462906</v>
      </c>
      <c r="E33" s="237">
        <v>5830999.2614708273</v>
      </c>
      <c r="F33" s="237">
        <v>281468.55244752642</v>
      </c>
      <c r="G33" s="237">
        <v>27264.558180549313</v>
      </c>
      <c r="H33" s="237">
        <v>197788.71253069426</v>
      </c>
      <c r="I33" s="237">
        <v>1445379.0531089196</v>
      </c>
      <c r="J33" s="237">
        <v>428226</v>
      </c>
      <c r="K33" s="237">
        <v>41476304.95581004</v>
      </c>
      <c r="L33" s="237">
        <v>1513844.376677237</v>
      </c>
      <c r="M33" s="237">
        <v>8232868.9627702748</v>
      </c>
      <c r="N33" s="237">
        <v>2948427</v>
      </c>
      <c r="O33" s="237">
        <v>16263222.796414331</v>
      </c>
      <c r="P33" s="237">
        <v>2444654</v>
      </c>
      <c r="Q33" s="237">
        <v>692260.49385742994</v>
      </c>
      <c r="R33" s="237">
        <v>21472250.711091511</v>
      </c>
      <c r="S33" s="237">
        <v>41596848.793284312</v>
      </c>
      <c r="T33" s="237">
        <v>5105264.0021397118</v>
      </c>
      <c r="U33" s="237">
        <v>20044299.142737754</v>
      </c>
      <c r="V33" s="237">
        <v>2647325.8446415998</v>
      </c>
      <c r="W33" s="237">
        <v>336392.95646566537</v>
      </c>
      <c r="X33" s="237">
        <v>2128295.5431775423</v>
      </c>
      <c r="Y33" s="237">
        <v>2919175.4834569679</v>
      </c>
      <c r="Z33" s="237">
        <v>132761.00241970882</v>
      </c>
      <c r="AA33" s="237">
        <v>8334841.759060693</v>
      </c>
      <c r="AB33" s="237">
        <v>51439622.223140746</v>
      </c>
      <c r="AC33" s="237">
        <v>682979.63888483576</v>
      </c>
      <c r="AD33" s="237">
        <v>652618.87258111942</v>
      </c>
      <c r="AE33" s="237">
        <v>8445491.6191291064</v>
      </c>
      <c r="AF33" s="237">
        <v>721133.62677978189</v>
      </c>
      <c r="AG33" s="237">
        <v>681054.57381681353</v>
      </c>
      <c r="AH33" s="237">
        <v>49812146.382281646</v>
      </c>
      <c r="AI33" s="237">
        <v>2784817.9049724834</v>
      </c>
      <c r="AJ33" s="237">
        <v>2323899.2861772869</v>
      </c>
      <c r="AK33" s="237">
        <v>305906653.56237614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4.4" x14ac:dyDescent="0.55000000000000004"/>
  <cols>
    <col min="1" max="1" width="19.62890625" bestFit="1" customWidth="1"/>
    <col min="2" max="2" width="14.83984375" bestFit="1" customWidth="1"/>
    <col min="3" max="3" width="9.7890625" bestFit="1" customWidth="1"/>
    <col min="4" max="4" width="11.68359375" bestFit="1" customWidth="1"/>
    <col min="5" max="5" width="11.89453125" bestFit="1" customWidth="1"/>
    <col min="6" max="6" width="7.7890625" bestFit="1" customWidth="1"/>
    <col min="7" max="7" width="7.41796875" bestFit="1" customWidth="1"/>
    <col min="8" max="8" width="7.734375" bestFit="1" customWidth="1"/>
    <col min="9" max="9" width="13.15625" bestFit="1" customWidth="1"/>
    <col min="10" max="10" width="10.20703125" bestFit="1" customWidth="1"/>
    <col min="11" max="11" width="11.26171875" bestFit="1" customWidth="1"/>
    <col min="12" max="12" width="7.68359375" bestFit="1" customWidth="1"/>
    <col min="13" max="13" width="8.41796875" bestFit="1" customWidth="1"/>
    <col min="14" max="14" width="8.83984375" bestFit="1" customWidth="1"/>
    <col min="15" max="15" width="14.578125" bestFit="1" customWidth="1"/>
    <col min="16" max="16" width="9.26171875" bestFit="1" customWidth="1"/>
    <col min="17" max="17" width="11.26171875" bestFit="1" customWidth="1"/>
    <col min="18" max="18" width="16" bestFit="1" customWidth="1"/>
    <col min="19" max="19" width="10" bestFit="1" customWidth="1"/>
    <col min="20" max="20" width="8.68359375" bestFit="1" customWidth="1"/>
    <col min="21" max="21" width="12" bestFit="1" customWidth="1"/>
    <col min="22" max="22" width="8.15625" bestFit="1" customWidth="1"/>
    <col min="23" max="23" width="5.15625" bestFit="1" customWidth="1"/>
    <col min="24" max="24" width="5.26171875" bestFit="1" customWidth="1"/>
    <col min="25" max="25" width="21" bestFit="1" customWidth="1"/>
    <col min="26" max="26" width="20.68359375" bestFit="1" customWidth="1"/>
    <col min="27" max="27" width="9.15625" bestFit="1" customWidth="1"/>
    <col min="28" max="28" width="5.15625" bestFit="1" customWidth="1"/>
    <col min="29" max="29" width="12.83984375" bestFit="1" customWidth="1"/>
    <col min="30" max="30" width="13.83984375" bestFit="1" customWidth="1"/>
    <col min="31" max="32" width="10.15625" bestFit="1" customWidth="1"/>
    <col min="33" max="33" width="12.15625" bestFit="1" customWidth="1"/>
    <col min="34" max="34" width="8.41796875" bestFit="1" customWidth="1"/>
    <col min="35" max="35" width="15.41796875" bestFit="1" customWidth="1"/>
    <col min="36" max="36" width="16" bestFit="1" customWidth="1"/>
    <col min="37" max="37" width="8.83984375" bestFit="1" customWidth="1"/>
    <col min="38" max="38" width="12.578125" bestFit="1" customWidth="1"/>
    <col min="39" max="39" width="5.68359375" bestFit="1" customWidth="1"/>
    <col min="40" max="40" width="12.26171875" bestFit="1" customWidth="1"/>
    <col min="41" max="41" width="14.578125" bestFit="1" customWidth="1"/>
    <col min="42" max="42" width="9.578125" bestFit="1" customWidth="1"/>
    <col min="43" max="43" width="6.83984375" bestFit="1" customWidth="1"/>
    <col min="44" max="44" width="14" bestFit="1" customWidth="1"/>
    <col min="45" max="45" width="6.68359375" bestFit="1" customWidth="1"/>
    <col min="46" max="46" width="9.26171875" bestFit="1" customWidth="1"/>
    <col min="47" max="47" width="8.578125" bestFit="1" customWidth="1"/>
    <col min="48" max="48" width="11.26171875" bestFit="1" customWidth="1"/>
    <col min="49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2" spans="1:10" x14ac:dyDescent="0.55000000000000004">
      <c r="A2" s="77" t="s">
        <v>281</v>
      </c>
      <c r="B2" s="78">
        <v>1</v>
      </c>
    </row>
    <row r="4" spans="1:10" x14ac:dyDescent="0.55000000000000004">
      <c r="A4" s="77" t="s">
        <v>309</v>
      </c>
      <c r="B4" s="77" t="s">
        <v>62</v>
      </c>
    </row>
    <row r="5" spans="1:10" x14ac:dyDescent="0.55000000000000004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55000000000000004">
      <c r="A6" s="78">
        <v>2019</v>
      </c>
      <c r="B6" s="76">
        <v>370459.67448149773</v>
      </c>
      <c r="C6" s="76">
        <v>203936.60569913458</v>
      </c>
      <c r="D6" s="76">
        <v>282332.03034110228</v>
      </c>
      <c r="E6" s="76">
        <v>944817.29105430027</v>
      </c>
      <c r="F6" s="76">
        <v>0</v>
      </c>
      <c r="G6" s="76">
        <v>142742</v>
      </c>
      <c r="H6" s="76">
        <v>420628.93071698514</v>
      </c>
      <c r="I6" s="76">
        <v>5421074.2654714445</v>
      </c>
      <c r="J6" s="76">
        <v>7785990.7977644643</v>
      </c>
    </row>
    <row r="7" spans="1:10" x14ac:dyDescent="0.55000000000000004">
      <c r="A7" s="78">
        <v>2030</v>
      </c>
      <c r="B7" s="76">
        <v>2.825725611182861E-2</v>
      </c>
      <c r="C7" s="76">
        <v>211333.73237290821</v>
      </c>
      <c r="D7" s="76">
        <v>0</v>
      </c>
      <c r="E7" s="76">
        <v>936027.48295724555</v>
      </c>
      <c r="F7" s="76">
        <v>0</v>
      </c>
      <c r="G7" s="76">
        <v>142742</v>
      </c>
      <c r="H7" s="76">
        <v>437459.51024953742</v>
      </c>
      <c r="I7" s="76">
        <v>5421074.2654714435</v>
      </c>
      <c r="J7" s="76">
        <v>7148637.019308391</v>
      </c>
    </row>
    <row r="8" spans="1:10" x14ac:dyDescent="0.55000000000000004">
      <c r="A8" s="78">
        <v>2050</v>
      </c>
      <c r="B8" s="76">
        <v>0.18489040050189942</v>
      </c>
      <c r="C8" s="76">
        <v>223869.89948633421</v>
      </c>
      <c r="D8" s="76">
        <v>0.11492812394862995</v>
      </c>
      <c r="E8" s="76">
        <v>903973.13096093771</v>
      </c>
      <c r="F8" s="76">
        <v>6687.6021110492293</v>
      </c>
      <c r="G8" s="76">
        <v>142742</v>
      </c>
      <c r="H8" s="76">
        <v>456300.68536625744</v>
      </c>
      <c r="I8" s="76">
        <v>5421074.2654714435</v>
      </c>
      <c r="J8" s="76">
        <v>7154647.8832145464</v>
      </c>
    </row>
    <row r="9" spans="1:10" x14ac:dyDescent="0.55000000000000004">
      <c r="A9" s="78" t="s">
        <v>61</v>
      </c>
      <c r="B9" s="76">
        <v>370459.88762915425</v>
      </c>
      <c r="C9" s="76">
        <v>639140.23755837709</v>
      </c>
      <c r="D9" s="76">
        <v>282332.14526922622</v>
      </c>
      <c r="E9" s="76">
        <v>2784817.9049724834</v>
      </c>
      <c r="F9" s="76">
        <v>6687.6021110492293</v>
      </c>
      <c r="G9" s="76">
        <v>428226</v>
      </c>
      <c r="H9" s="76">
        <v>1314389.1263327799</v>
      </c>
      <c r="I9" s="76">
        <v>16263222.796414331</v>
      </c>
      <c r="J9" s="76">
        <v>22089275.700287402</v>
      </c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5625" defaultRowHeight="14.4" x14ac:dyDescent="0.55000000000000004"/>
  <cols>
    <col min="1" max="1" width="32.47265625" style="168" bestFit="1" customWidth="1"/>
    <col min="2" max="2" width="14.83984375" style="168" bestFit="1" customWidth="1"/>
    <col min="3" max="3" width="8.1015625" style="168" bestFit="1" customWidth="1"/>
    <col min="4" max="4" width="9.83984375" style="168" bestFit="1" customWidth="1"/>
    <col min="5" max="5" width="10.3671875" style="168" bestFit="1" customWidth="1"/>
    <col min="6" max="6" width="10" style="168" bestFit="1" customWidth="1"/>
    <col min="7" max="7" width="8.7890625" style="168" bestFit="1" customWidth="1"/>
    <col min="8" max="8" width="9.734375" style="168" bestFit="1" customWidth="1"/>
    <col min="9" max="9" width="11.68359375" style="168" bestFit="1" customWidth="1"/>
    <col min="10" max="11" width="8.7890625" style="168" bestFit="1" customWidth="1"/>
    <col min="12" max="12" width="12.20703125" style="168" bestFit="1" customWidth="1"/>
    <col min="13" max="13" width="8.7890625" style="168" bestFit="1" customWidth="1"/>
    <col min="14" max="14" width="14.3125" style="168" bestFit="1" customWidth="1"/>
    <col min="15" max="15" width="8.89453125" style="168" bestFit="1" customWidth="1"/>
    <col min="16" max="16" width="7.7890625" style="168" bestFit="1" customWidth="1"/>
    <col min="17" max="17" width="9.734375" style="168" bestFit="1" customWidth="1"/>
    <col min="18" max="18" width="8.7890625" style="168" bestFit="1" customWidth="1"/>
    <col min="19" max="19" width="18.7890625" style="168" bestFit="1" customWidth="1"/>
    <col min="20" max="20" width="18.47265625" style="168" bestFit="1" customWidth="1"/>
    <col min="21" max="21" width="8.7890625" style="168" bestFit="1" customWidth="1"/>
    <col min="22" max="22" width="7.26171875" style="168" bestFit="1" customWidth="1"/>
    <col min="23" max="23" width="14.26171875" style="168" bestFit="1" customWidth="1"/>
    <col min="24" max="25" width="8.7890625" style="168" bestFit="1" customWidth="1"/>
    <col min="26" max="26" width="8.41796875" style="168" bestFit="1" customWidth="1"/>
    <col min="27" max="27" width="10.734375" style="168" bestFit="1" customWidth="1"/>
    <col min="28" max="30" width="12" style="168" bestFit="1" customWidth="1"/>
    <col min="31" max="32" width="10.15625" style="168" bestFit="1" customWidth="1"/>
    <col min="33" max="33" width="12.15625" style="168" bestFit="1" customWidth="1"/>
    <col min="34" max="34" width="8.83984375" style="168" bestFit="1" customWidth="1"/>
    <col min="35" max="35" width="15.41796875" style="168" bestFit="1" customWidth="1"/>
    <col min="36" max="36" width="16" style="168" bestFit="1" customWidth="1"/>
    <col min="37" max="37" width="8.83984375" style="168" bestFit="1" customWidth="1"/>
    <col min="38" max="38" width="12.578125" style="168" bestFit="1" customWidth="1"/>
    <col min="39" max="39" width="10.41796875" style="168" bestFit="1" customWidth="1"/>
    <col min="40" max="40" width="12.26171875" style="168" bestFit="1" customWidth="1"/>
    <col min="41" max="41" width="14.578125" style="168" bestFit="1" customWidth="1"/>
    <col min="42" max="43" width="9.83984375" style="168" bestFit="1" customWidth="1"/>
    <col min="44" max="44" width="14" style="168" bestFit="1" customWidth="1"/>
    <col min="45" max="45" width="6.68359375" style="168" bestFit="1" customWidth="1"/>
    <col min="46" max="46" width="9.26171875" style="168" bestFit="1" customWidth="1"/>
    <col min="47" max="47" width="8.578125" style="168" bestFit="1" customWidth="1"/>
    <col min="48" max="48" width="12" style="168" bestFit="1" customWidth="1"/>
    <col min="49" max="49" width="12.26171875" style="168" bestFit="1" customWidth="1"/>
    <col min="50" max="50" width="13.26171875" style="168" bestFit="1" customWidth="1"/>
    <col min="51" max="51" width="13.41796875" style="168" bestFit="1" customWidth="1"/>
    <col min="52" max="52" width="20.83984375" style="168" bestFit="1" customWidth="1"/>
    <col min="53" max="54" width="12.26171875" style="168" bestFit="1" customWidth="1"/>
    <col min="55" max="55" width="13.26171875" style="168" bestFit="1" customWidth="1"/>
    <col min="56" max="59" width="12.26171875" style="168" bestFit="1" customWidth="1"/>
    <col min="60" max="60" width="13.26171875" style="168" bestFit="1" customWidth="1"/>
    <col min="61" max="61" width="13.41796875" style="168" bestFit="1" customWidth="1"/>
    <col min="62" max="62" width="20.83984375" style="168" bestFit="1" customWidth="1"/>
    <col min="63" max="64" width="12.26171875" style="168" bestFit="1" customWidth="1"/>
    <col min="65" max="65" width="13.26171875" style="168" bestFit="1" customWidth="1"/>
    <col min="66" max="66" width="13.41796875" style="168" bestFit="1" customWidth="1"/>
    <col min="67" max="67" width="20.83984375" style="168" bestFit="1" customWidth="1"/>
    <col min="68" max="69" width="11.26171875" style="168" bestFit="1" customWidth="1"/>
    <col min="70" max="70" width="13.26171875" style="168" bestFit="1" customWidth="1"/>
    <col min="71" max="71" width="13.41796875" style="168" bestFit="1" customWidth="1"/>
    <col min="72" max="72" width="12.26171875" style="168" bestFit="1" customWidth="1"/>
    <col min="73" max="73" width="16.83984375" style="168" bestFit="1" customWidth="1"/>
    <col min="74" max="74" width="12.26171875" style="168" bestFit="1" customWidth="1"/>
    <col min="75" max="75" width="13.26171875" style="168" bestFit="1" customWidth="1"/>
    <col min="76" max="76" width="13.41796875" style="168" bestFit="1" customWidth="1"/>
    <col min="77" max="77" width="12.26171875" style="168" bestFit="1" customWidth="1"/>
    <col min="78" max="78" width="16.83984375" style="168" bestFit="1" customWidth="1"/>
    <col min="79" max="79" width="12.26171875" style="168" bestFit="1" customWidth="1"/>
    <col min="80" max="80" width="13.26171875" style="168" bestFit="1" customWidth="1"/>
    <col min="81" max="81" width="13.41796875" style="168" bestFit="1" customWidth="1"/>
    <col min="82" max="82" width="12.26171875" style="168" bestFit="1" customWidth="1"/>
    <col min="83" max="83" width="15.83984375" style="168" bestFit="1" customWidth="1"/>
    <col min="84" max="84" width="12.26171875" style="168" bestFit="1" customWidth="1"/>
    <col min="85" max="85" width="13.26171875" style="168" bestFit="1" customWidth="1"/>
    <col min="86" max="89" width="11.68359375" style="168" bestFit="1" customWidth="1"/>
    <col min="90" max="90" width="14.26171875" style="168" bestFit="1" customWidth="1"/>
    <col min="91" max="91" width="13.41796875" style="168" bestFit="1" customWidth="1"/>
    <col min="92" max="92" width="20.83984375" style="168" bestFit="1" customWidth="1"/>
    <col min="93" max="94" width="11.68359375" style="168" bestFit="1" customWidth="1"/>
    <col min="95" max="95" width="14.26171875" style="168" bestFit="1" customWidth="1"/>
    <col min="96" max="96" width="13.41796875" style="168" bestFit="1" customWidth="1"/>
    <col min="97" max="97" width="20.83984375" style="168" bestFit="1" customWidth="1"/>
    <col min="98" max="99" width="12.26171875" style="168" bestFit="1" customWidth="1"/>
    <col min="100" max="100" width="14.26171875" style="168" bestFit="1" customWidth="1"/>
    <col min="101" max="101" width="12.26171875" style="168" bestFit="1" customWidth="1"/>
    <col min="102" max="103" width="13.26171875" style="168" bestFit="1" customWidth="1"/>
    <col min="104" max="104" width="13.41796875" style="168" bestFit="1" customWidth="1"/>
    <col min="105" max="105" width="20.83984375" style="168" bestFit="1" customWidth="1"/>
    <col min="106" max="107" width="12.26171875" style="168" bestFit="1" customWidth="1"/>
    <col min="108" max="109" width="13.26171875" style="168" bestFit="1" customWidth="1"/>
    <col min="110" max="113" width="11.68359375" style="168" bestFit="1" customWidth="1"/>
    <col min="114" max="115" width="13.26171875" style="168" bestFit="1" customWidth="1"/>
    <col min="116" max="116" width="13.41796875" style="168" bestFit="1" customWidth="1"/>
    <col min="117" max="117" width="20.83984375" style="168" bestFit="1" customWidth="1"/>
    <col min="118" max="120" width="11.68359375" style="168" bestFit="1" customWidth="1"/>
    <col min="121" max="121" width="13.26171875" style="168" bestFit="1" customWidth="1"/>
    <col min="122" max="122" width="13.41796875" style="168" bestFit="1" customWidth="1"/>
    <col min="123" max="123" width="12.26171875" style="168" bestFit="1" customWidth="1"/>
    <col min="124" max="124" width="15.83984375" style="168" bestFit="1" customWidth="1"/>
    <col min="125" max="125" width="12.26171875" style="168" bestFit="1" customWidth="1"/>
    <col min="126" max="127" width="13.26171875" style="168" bestFit="1" customWidth="1"/>
    <col min="128" max="128" width="13.41796875" style="168" bestFit="1" customWidth="1"/>
    <col min="129" max="129" width="20.83984375" style="168" bestFit="1" customWidth="1"/>
    <col min="130" max="131" width="11.26171875" style="168" bestFit="1" customWidth="1"/>
    <col min="132" max="133" width="13.26171875" style="168" bestFit="1" customWidth="1"/>
    <col min="134" max="134" width="13.41796875" style="168" bestFit="1" customWidth="1"/>
    <col min="135" max="135" width="20.83984375" style="168" bestFit="1" customWidth="1"/>
    <col min="136" max="137" width="12.26171875" style="168" bestFit="1" customWidth="1"/>
    <col min="138" max="139" width="13.26171875" style="168" bestFit="1" customWidth="1"/>
    <col min="140" max="143" width="12.26171875" style="168" bestFit="1" customWidth="1"/>
    <col min="144" max="145" width="13.26171875" style="168" bestFit="1" customWidth="1"/>
    <col min="146" max="146" width="13.41796875" style="168" bestFit="1" customWidth="1"/>
    <col min="147" max="147" width="12.26171875" style="168" bestFit="1" customWidth="1"/>
    <col min="148" max="148" width="16.83984375" style="168" bestFit="1" customWidth="1"/>
    <col min="149" max="149" width="12.26171875" style="168" bestFit="1" customWidth="1"/>
    <col min="150" max="151" width="13.26171875" style="168" bestFit="1" customWidth="1"/>
    <col min="152" max="152" width="13.41796875" style="168" bestFit="1" customWidth="1"/>
    <col min="153" max="153" width="12.26171875" style="168" bestFit="1" customWidth="1"/>
    <col min="154" max="154" width="16.83984375" style="168" bestFit="1" customWidth="1"/>
    <col min="155" max="155" width="12.26171875" style="168" bestFit="1" customWidth="1"/>
    <col min="156" max="157" width="13.26171875" style="168" bestFit="1" customWidth="1"/>
    <col min="158" max="158" width="13.41796875" style="168" bestFit="1" customWidth="1"/>
    <col min="159" max="159" width="20.83984375" style="168" bestFit="1" customWidth="1"/>
    <col min="160" max="161" width="12.26171875" style="168" bestFit="1" customWidth="1"/>
    <col min="162" max="163" width="14.26171875" style="168" bestFit="1" customWidth="1"/>
    <col min="164" max="164" width="13.41796875" style="168" bestFit="1" customWidth="1"/>
    <col min="165" max="165" width="20.83984375" style="168" bestFit="1" customWidth="1"/>
    <col min="166" max="167" width="11.68359375" style="168" bestFit="1" customWidth="1"/>
    <col min="168" max="169" width="14.26171875" style="168" bestFit="1" customWidth="1"/>
    <col min="170" max="173" width="11.68359375" style="168" bestFit="1" customWidth="1"/>
    <col min="174" max="175" width="14.26171875" style="168" bestFit="1" customWidth="1"/>
    <col min="176" max="176" width="12.26171875" style="168" bestFit="1" customWidth="1"/>
    <col min="177" max="16384" width="9.15625" style="168"/>
  </cols>
  <sheetData>
    <row r="2" spans="1:48" x14ac:dyDescent="0.55000000000000004">
      <c r="A2" s="77" t="s">
        <v>303</v>
      </c>
      <c r="B2" s="78">
        <v>1</v>
      </c>
    </row>
    <row r="4" spans="1:48" x14ac:dyDescent="0.55000000000000004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55000000000000004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55000000000000004">
      <c r="A6" s="78">
        <v>2019</v>
      </c>
      <c r="B6" s="98">
        <v>176596.89940199585</v>
      </c>
      <c r="C6" s="98">
        <v>212954.7645341866</v>
      </c>
      <c r="D6" s="98">
        <v>3230529.0722415126</v>
      </c>
      <c r="E6" s="98">
        <v>1352218.0071428574</v>
      </c>
      <c r="F6" s="98">
        <v>138275.28002889914</v>
      </c>
      <c r="G6" s="98">
        <v>1508282.669250763</v>
      </c>
      <c r="H6" s="98">
        <v>4087571.5535632996</v>
      </c>
      <c r="I6" s="98"/>
      <c r="J6" s="98">
        <v>2041731.0676095125</v>
      </c>
      <c r="K6" s="98">
        <v>1976968.2090253732</v>
      </c>
      <c r="L6" s="98">
        <v>51892.132620096323</v>
      </c>
      <c r="M6" s="98">
        <v>1274488.0820395502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1637775.5474174484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912099.45136908058</v>
      </c>
      <c r="Y6" s="98">
        <v>2006067.2488276002</v>
      </c>
      <c r="Z6" s="98">
        <v>98784.738662362797</v>
      </c>
      <c r="AA6" s="98">
        <v>34594970.783268616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55000000000000004">
      <c r="A7" s="78">
        <v>2030</v>
      </c>
      <c r="B7" s="98">
        <v>170946.30461315686</v>
      </c>
      <c r="C7" s="98">
        <v>226608.1620709057</v>
      </c>
      <c r="D7" s="98">
        <v>2921356.2946739928</v>
      </c>
      <c r="E7" s="98">
        <v>935554.7883587121</v>
      </c>
      <c r="F7" s="98">
        <v>131018.05015567706</v>
      </c>
      <c r="G7" s="98">
        <v>1575140.9144092035</v>
      </c>
      <c r="H7" s="98">
        <v>4803676.4207574027</v>
      </c>
      <c r="I7" s="98">
        <v>0.40288562423666008</v>
      </c>
      <c r="J7" s="98">
        <v>2136240.5627093278</v>
      </c>
      <c r="K7" s="98">
        <v>2425424.9668528601</v>
      </c>
      <c r="L7" s="98">
        <v>34449.731880352119</v>
      </c>
      <c r="M7" s="98">
        <v>1703274.5214405721</v>
      </c>
      <c r="N7" s="98">
        <v>2468531.1111667752</v>
      </c>
      <c r="O7" s="98">
        <v>279460.19505556813</v>
      </c>
      <c r="P7" s="98">
        <v>1709.9716434609509</v>
      </c>
      <c r="Q7" s="98">
        <v>5216592.6341052745</v>
      </c>
      <c r="R7" s="98">
        <v>1780727.3487029388</v>
      </c>
      <c r="S7" s="98">
        <v>213658.900448664</v>
      </c>
      <c r="T7" s="98">
        <v>103730.08649485061</v>
      </c>
      <c r="U7" s="98">
        <v>1350281.1539118693</v>
      </c>
      <c r="V7" s="98">
        <v>120600</v>
      </c>
      <c r="W7" s="98">
        <v>4542635.2873380352</v>
      </c>
      <c r="X7" s="98">
        <v>955691.08666845679</v>
      </c>
      <c r="Y7" s="98">
        <v>2102473.6734901322</v>
      </c>
      <c r="Z7" s="98">
        <v>115631.11534602272</v>
      </c>
      <c r="AA7" s="98">
        <v>36315413.68517983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55000000000000004">
      <c r="A8" s="78">
        <v>2050</v>
      </c>
      <c r="B8" s="98">
        <v>162317.36767727343</v>
      </c>
      <c r="C8" s="98">
        <v>237367.39124487917</v>
      </c>
      <c r="D8" s="98">
        <v>3060146.2519406485</v>
      </c>
      <c r="E8" s="98">
        <v>980314.70578320744</v>
      </c>
      <c r="F8" s="98">
        <v>119570.06432731522</v>
      </c>
      <c r="G8" s="98">
        <v>1637852.2802766147</v>
      </c>
      <c r="H8" s="98">
        <v>5745150.9184609577</v>
      </c>
      <c r="I8" s="98"/>
      <c r="J8" s="98">
        <v>2211483.9818469798</v>
      </c>
      <c r="K8" s="98">
        <v>2803825.2500088587</v>
      </c>
      <c r="L8" s="98">
        <v>2199.2700615431677</v>
      </c>
      <c r="M8" s="98">
        <v>2101392.556871023</v>
      </c>
      <c r="N8" s="98">
        <v>2368708.1871831375</v>
      </c>
      <c r="O8" s="98">
        <v>279460.19505556813</v>
      </c>
      <c r="P8" s="98"/>
      <c r="Q8" s="98">
        <v>5119693.0284815514</v>
      </c>
      <c r="R8" s="98">
        <v>1897043.1952891902</v>
      </c>
      <c r="S8" s="98">
        <v>207462.14120035616</v>
      </c>
      <c r="T8" s="98">
        <v>99632.354577237478</v>
      </c>
      <c r="U8" s="98">
        <v>1297233.4809750344</v>
      </c>
      <c r="V8" s="98">
        <v>120600</v>
      </c>
      <c r="W8" s="98">
        <v>4731436.1314918958</v>
      </c>
      <c r="X8" s="98">
        <v>990692.60751106648</v>
      </c>
      <c r="Y8" s="98">
        <v>2180149.8218526607</v>
      </c>
      <c r="Z8" s="98">
        <v>128598.29080060381</v>
      </c>
      <c r="AA8" s="98">
        <v>38482329.472917601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55000000000000004">
      <c r="A9" s="78" t="s">
        <v>61</v>
      </c>
      <c r="B9" s="98">
        <v>509860.57169242611</v>
      </c>
      <c r="C9" s="98">
        <v>676930.31784997147</v>
      </c>
      <c r="D9" s="98">
        <v>9212031.6188561544</v>
      </c>
      <c r="E9" s="98">
        <v>3268087.5012847767</v>
      </c>
      <c r="F9" s="98">
        <v>388863.39451189141</v>
      </c>
      <c r="G9" s="98">
        <v>4721275.8639365807</v>
      </c>
      <c r="H9" s="98">
        <v>14636398.89278166</v>
      </c>
      <c r="I9" s="98">
        <v>0.40288562423666008</v>
      </c>
      <c r="J9" s="98">
        <v>6389455.6121658199</v>
      </c>
      <c r="K9" s="98">
        <v>7206218.425887092</v>
      </c>
      <c r="L9" s="98">
        <v>88541.13456199161</v>
      </c>
      <c r="M9" s="98">
        <v>5079155.1603511451</v>
      </c>
      <c r="N9" s="98">
        <v>7374022.539678853</v>
      </c>
      <c r="O9" s="98">
        <v>559800.49011113623</v>
      </c>
      <c r="P9" s="98">
        <v>9774.1779835575144</v>
      </c>
      <c r="Q9" s="98">
        <v>15605285.662586827</v>
      </c>
      <c r="R9" s="98">
        <v>5315546.0914095771</v>
      </c>
      <c r="S9" s="98">
        <v>638131.40908454335</v>
      </c>
      <c r="T9" s="98">
        <v>309308.7526440433</v>
      </c>
      <c r="U9" s="98">
        <v>4030166.0660658106</v>
      </c>
      <c r="V9" s="98">
        <v>241276.5</v>
      </c>
      <c r="W9" s="98">
        <v>13642395.32050859</v>
      </c>
      <c r="X9" s="98">
        <v>2858483.145548604</v>
      </c>
      <c r="Y9" s="98">
        <v>6288690.7441703929</v>
      </c>
      <c r="Z9" s="98">
        <v>343014.14480898931</v>
      </c>
      <c r="AA9" s="98">
        <v>109392713.94136605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55000000000000004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55000000000000004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55000000000000004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55000000000000004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55000000000000004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55000000000000004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55000000000000004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4.4" x14ac:dyDescent="0.55000000000000004"/>
  <cols>
    <col min="1" max="1" width="40.89453125" bestFit="1" customWidth="1"/>
    <col min="2" max="2" width="18.9453125" bestFit="1" customWidth="1"/>
    <col min="3" max="3" width="7.367187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5.89453125" bestFit="1" customWidth="1"/>
    <col min="9" max="9" width="7.578125" bestFit="1" customWidth="1"/>
    <col min="10" max="10" width="9" bestFit="1" customWidth="1"/>
    <col min="11" max="11" width="10.20703125" bestFit="1" customWidth="1"/>
    <col min="12" max="12" width="6.41796875" bestFit="1" customWidth="1"/>
    <col min="13" max="13" width="10.15625" bestFit="1" customWidth="1"/>
    <col min="14" max="14" width="13" bestFit="1" customWidth="1"/>
    <col min="15" max="15" width="11.68359375" bestFit="1" customWidth="1"/>
    <col min="16" max="16" width="19" bestFit="1" customWidth="1"/>
    <col min="17" max="17" width="11.41796875" bestFit="1" customWidth="1"/>
    <col min="18" max="18" width="34.41796875" bestFit="1" customWidth="1"/>
    <col min="19" max="19" width="29.26171875" bestFit="1" customWidth="1"/>
    <col min="20" max="21" width="11.68359375" bestFit="1" customWidth="1"/>
    <col min="22" max="22" width="8.41796875" bestFit="1" customWidth="1"/>
    <col min="23" max="23" width="7.83984375" bestFit="1" customWidth="1"/>
    <col min="24" max="24" width="10.68359375" bestFit="1" customWidth="1"/>
    <col min="25" max="25" width="11.83984375" bestFit="1" customWidth="1"/>
    <col min="26" max="26" width="11.68359375" bestFit="1" customWidth="1"/>
    <col min="27" max="27" width="12.15625" bestFit="1" customWidth="1"/>
    <col min="28" max="28" width="11.68359375" bestFit="1" customWidth="1"/>
    <col min="29" max="29" width="14.26171875" bestFit="1" customWidth="1"/>
    <col min="30" max="30" width="11.68359375" bestFit="1" customWidth="1"/>
    <col min="31" max="31" width="7.83984375" bestFit="1" customWidth="1"/>
    <col min="32" max="32" width="6" bestFit="1" customWidth="1"/>
    <col min="33" max="33" width="11.68359375" bestFit="1" customWidth="1"/>
    <col min="34" max="34" width="7.26171875" bestFit="1" customWidth="1"/>
    <col min="35" max="35" width="4.578125" bestFit="1" customWidth="1"/>
    <col min="36" max="36" width="11.68359375" bestFit="1" customWidth="1"/>
    <col min="37" max="37" width="18.83984375" bestFit="1" customWidth="1"/>
    <col min="38" max="38" width="18.41796875" bestFit="1" customWidth="1"/>
    <col min="39" max="39" width="14.26171875" bestFit="1" customWidth="1"/>
    <col min="40" max="40" width="11.68359375" bestFit="1" customWidth="1"/>
    <col min="41" max="41" width="8.15625" bestFit="1" customWidth="1"/>
    <col min="42" max="42" width="4.578125" bestFit="1" customWidth="1"/>
    <col min="43" max="43" width="12.578125" bestFit="1" customWidth="1"/>
    <col min="44" max="44" width="11.68359375" bestFit="1" customWidth="1"/>
    <col min="45" max="45" width="12.26171875" bestFit="1" customWidth="1"/>
    <col min="46" max="46" width="8.41796875" bestFit="1" customWidth="1"/>
    <col min="47" max="48" width="11.68359375" bestFit="1" customWidth="1"/>
    <col min="49" max="49" width="11" bestFit="1" customWidth="1"/>
    <col min="50" max="50" width="12" bestFit="1" customWidth="1"/>
    <col min="51" max="51" width="12.15625" bestFit="1" customWidth="1"/>
    <col min="52" max="52" width="11.15625" bestFit="1" customWidth="1"/>
    <col min="53" max="53" width="3.83984375" bestFit="1" customWidth="1"/>
    <col min="54" max="55" width="12" bestFit="1" customWidth="1"/>
    <col min="56" max="56" width="10.83984375" bestFit="1" customWidth="1"/>
    <col min="57" max="57" width="12" bestFit="1" customWidth="1"/>
    <col min="58" max="58" width="15.41796875" bestFit="1" customWidth="1"/>
    <col min="59" max="59" width="13.15625" bestFit="1" customWidth="1"/>
    <col min="60" max="60" width="8.83984375" bestFit="1" customWidth="1"/>
    <col min="61" max="61" width="12" bestFit="1" customWidth="1"/>
    <col min="62" max="62" width="13.26171875" bestFit="1" customWidth="1"/>
    <col min="63" max="63" width="12" bestFit="1" customWidth="1"/>
    <col min="64" max="64" width="13.83984375" bestFit="1" customWidth="1"/>
    <col min="65" max="65" width="11" bestFit="1" customWidth="1"/>
    <col min="66" max="66" width="16" bestFit="1" customWidth="1"/>
    <col min="67" max="67" width="10" bestFit="1" customWidth="1"/>
    <col min="68" max="68" width="8.68359375" bestFit="1" customWidth="1"/>
    <col min="69" max="69" width="12" bestFit="1" customWidth="1"/>
    <col min="70" max="70" width="8.15625" bestFit="1" customWidth="1"/>
    <col min="71" max="72" width="12" bestFit="1" customWidth="1"/>
    <col min="73" max="73" width="21" bestFit="1" customWidth="1"/>
    <col min="74" max="74" width="20.68359375" bestFit="1" customWidth="1"/>
    <col min="75" max="75" width="16" bestFit="1" customWidth="1"/>
    <col min="76" max="76" width="12" bestFit="1" customWidth="1"/>
    <col min="78" max="78" width="5.15625" bestFit="1" customWidth="1"/>
    <col min="79" max="79" width="12.83984375" bestFit="1" customWidth="1"/>
    <col min="80" max="80" width="13.83984375" bestFit="1" customWidth="1"/>
    <col min="81" max="81" width="12" bestFit="1" customWidth="1"/>
    <col min="82" max="82" width="12.578125" bestFit="1" customWidth="1"/>
    <col min="83" max="83" width="5.578125" bestFit="1" customWidth="1"/>
    <col min="84" max="84" width="12.26171875" bestFit="1" customWidth="1"/>
    <col min="85" max="85" width="14.578125" bestFit="1" customWidth="1"/>
    <col min="86" max="86" width="9.578125" bestFit="1" customWidth="1"/>
    <col min="87" max="87" width="6.83984375" bestFit="1" customWidth="1"/>
    <col min="88" max="88" width="14" bestFit="1" customWidth="1"/>
    <col min="89" max="89" width="12" bestFit="1" customWidth="1"/>
    <col min="90" max="90" width="34.68359375" bestFit="1" customWidth="1"/>
    <col min="91" max="91" width="29.83984375" bestFit="1" customWidth="1"/>
  </cols>
  <sheetData>
    <row r="3" spans="1:11" x14ac:dyDescent="0.55000000000000004">
      <c r="B3" s="77" t="s">
        <v>62</v>
      </c>
    </row>
    <row r="4" spans="1:11" x14ac:dyDescent="0.55000000000000004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55000000000000004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55000000000000004">
      <c r="A6" s="79">
        <v>2019</v>
      </c>
      <c r="B6" s="235">
        <v>17.543930524502301</v>
      </c>
      <c r="C6" s="235">
        <v>0</v>
      </c>
      <c r="D6" s="235">
        <v>0</v>
      </c>
      <c r="E6" s="235">
        <v>19.591464268115235</v>
      </c>
      <c r="F6" s="235">
        <v>0</v>
      </c>
      <c r="G6" s="235">
        <v>0</v>
      </c>
      <c r="H6" s="235">
        <v>0</v>
      </c>
      <c r="I6" s="235">
        <v>3.9505661308495017</v>
      </c>
      <c r="J6" s="235">
        <v>47.491430804576645</v>
      </c>
      <c r="K6" s="235">
        <v>88.577391728043679</v>
      </c>
    </row>
    <row r="7" spans="1:11" x14ac:dyDescent="0.55000000000000004">
      <c r="A7" s="79">
        <v>2030</v>
      </c>
      <c r="B7" s="235">
        <v>19.810752704992638</v>
      </c>
      <c r="C7" s="235">
        <v>0</v>
      </c>
      <c r="D7" s="235">
        <v>19.785884940086405</v>
      </c>
      <c r="E7" s="235">
        <v>26.951318314092838</v>
      </c>
      <c r="F7" s="235">
        <v>0.35905402506237244</v>
      </c>
      <c r="G7" s="235">
        <v>2.0151850141246661</v>
      </c>
      <c r="H7" s="235">
        <v>0</v>
      </c>
      <c r="I7" s="235">
        <v>7.9746013970399474</v>
      </c>
      <c r="J7" s="235">
        <v>45.283266580589313</v>
      </c>
      <c r="K7" s="235">
        <v>122.18006297598818</v>
      </c>
    </row>
    <row r="8" spans="1:11" x14ac:dyDescent="0.55000000000000004">
      <c r="A8" s="79">
        <v>2050</v>
      </c>
      <c r="B8" s="235">
        <v>19.90496446847807</v>
      </c>
      <c r="C8" s="235">
        <v>0</v>
      </c>
      <c r="D8" s="235">
        <v>23.263009939013003</v>
      </c>
      <c r="E8" s="235">
        <v>27.191814061446927</v>
      </c>
      <c r="F8" s="235">
        <v>0.35905402506237249</v>
      </c>
      <c r="G8" s="235">
        <v>2.1115978762570289</v>
      </c>
      <c r="H8" s="235">
        <v>0</v>
      </c>
      <c r="I8" s="235">
        <v>8.2650661272225623</v>
      </c>
      <c r="J8" s="235">
        <v>41.638804553094857</v>
      </c>
      <c r="K8" s="235">
        <v>122.73431105057483</v>
      </c>
    </row>
    <row r="9" spans="1:11" x14ac:dyDescent="0.55000000000000004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55000000000000004">
      <c r="A10" s="79">
        <v>2019</v>
      </c>
      <c r="B10" s="235">
        <v>7.483154704207001</v>
      </c>
      <c r="C10" s="235">
        <v>2.1694819870080004</v>
      </c>
      <c r="D10" s="235">
        <v>1.420171986175</v>
      </c>
      <c r="E10" s="235">
        <v>0.45076703431999982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55000000000000004">
      <c r="A11" s="79">
        <v>2030</v>
      </c>
      <c r="B11" s="235">
        <v>5.299004640736527</v>
      </c>
      <c r="C11" s="235">
        <v>2.1694819870080004</v>
      </c>
      <c r="D11" s="235">
        <v>1.4201719861750004</v>
      </c>
      <c r="E11" s="235">
        <v>0.45076703431999998</v>
      </c>
      <c r="F11" s="235">
        <v>0</v>
      </c>
      <c r="G11" s="235">
        <v>12.53543651233441</v>
      </c>
      <c r="H11" s="235">
        <v>0</v>
      </c>
      <c r="I11" s="235">
        <v>0</v>
      </c>
      <c r="J11" s="235">
        <v>0</v>
      </c>
      <c r="K11" s="235">
        <v>21.87486216057394</v>
      </c>
    </row>
    <row r="12" spans="1:11" x14ac:dyDescent="0.55000000000000004">
      <c r="A12" s="79">
        <v>2050</v>
      </c>
      <c r="B12" s="235">
        <v>5.3654495190523503</v>
      </c>
      <c r="C12" s="235">
        <v>2.1694819870080004</v>
      </c>
      <c r="D12" s="235">
        <v>1.4201719861750004</v>
      </c>
      <c r="E12" s="235">
        <v>0.45076703431999998</v>
      </c>
      <c r="F12" s="235">
        <v>0</v>
      </c>
      <c r="G12" s="235">
        <v>12.420463246039292</v>
      </c>
      <c r="H12" s="235">
        <v>0</v>
      </c>
      <c r="I12" s="235">
        <v>0</v>
      </c>
      <c r="J12" s="235">
        <v>0</v>
      </c>
      <c r="K12" s="235">
        <v>21.826333772594644</v>
      </c>
    </row>
    <row r="13" spans="1:11" x14ac:dyDescent="0.55000000000000004">
      <c r="A13" s="78" t="s">
        <v>289</v>
      </c>
      <c r="B13" s="235">
        <v>57.259647697973008</v>
      </c>
      <c r="C13" s="235">
        <v>0</v>
      </c>
      <c r="D13" s="235">
        <v>43.048894879099407</v>
      </c>
      <c r="E13" s="235">
        <v>73.73459664365501</v>
      </c>
      <c r="F13" s="235">
        <v>0.71810805012474499</v>
      </c>
      <c r="G13" s="235">
        <v>4.126782890381695</v>
      </c>
      <c r="H13" s="235">
        <v>0</v>
      </c>
      <c r="I13" s="235">
        <v>20.19023365511201</v>
      </c>
      <c r="J13" s="235">
        <v>134.41350193826082</v>
      </c>
      <c r="K13" s="235">
        <v>333.49176575460672</v>
      </c>
    </row>
    <row r="14" spans="1:11" x14ac:dyDescent="0.55000000000000004">
      <c r="A14" s="78" t="s">
        <v>244</v>
      </c>
      <c r="B14" s="235">
        <v>18.147608863995877</v>
      </c>
      <c r="C14" s="235">
        <v>6.5084459610240017</v>
      </c>
      <c r="D14" s="235">
        <v>4.2605159585250005</v>
      </c>
      <c r="E14" s="235">
        <v>1.3523011029599998</v>
      </c>
      <c r="F14" s="235">
        <v>0</v>
      </c>
      <c r="G14" s="235">
        <v>30.048182716378705</v>
      </c>
      <c r="H14" s="235">
        <v>0</v>
      </c>
      <c r="I14" s="235">
        <v>0</v>
      </c>
      <c r="J14" s="235">
        <v>0</v>
      </c>
      <c r="K14" s="235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4.4" x14ac:dyDescent="0.55000000000000004"/>
  <cols>
    <col min="1" max="1" width="29.62890625" bestFit="1" customWidth="1"/>
    <col min="2" max="2" width="18.9453125" bestFit="1" customWidth="1"/>
    <col min="3" max="3" width="8.47265625" bestFit="1" customWidth="1"/>
    <col min="4" max="4" width="11.89453125" bestFit="1" customWidth="1"/>
    <col min="5" max="5" width="10.83984375" bestFit="1" customWidth="1"/>
    <col min="6" max="6" width="11.47265625" bestFit="1" customWidth="1"/>
    <col min="7" max="7" width="13.05078125" bestFit="1" customWidth="1"/>
    <col min="8" max="8" width="10" bestFit="1" customWidth="1"/>
    <col min="9" max="9" width="11" bestFit="1" customWidth="1"/>
    <col min="10" max="11" width="11.578125" bestFit="1" customWidth="1"/>
    <col min="12" max="12" width="6.41796875" bestFit="1" customWidth="1"/>
    <col min="13" max="13" width="11" bestFit="1" customWidth="1"/>
    <col min="14" max="14" width="8.83984375" bestFit="1" customWidth="1"/>
    <col min="15" max="15" width="12" bestFit="1" customWidth="1"/>
    <col min="16" max="16" width="13.26171875" bestFit="1" customWidth="1"/>
    <col min="17" max="17" width="13.83984375" bestFit="1" customWidth="1"/>
    <col min="18" max="18" width="16" bestFit="1" customWidth="1"/>
    <col min="19" max="19" width="8.68359375" bestFit="1" customWidth="1"/>
    <col min="20" max="20" width="6.83984375" bestFit="1" customWidth="1"/>
    <col min="21" max="21" width="8.15625" bestFit="1" customWidth="1"/>
    <col min="22" max="22" width="5.15625" bestFit="1" customWidth="1"/>
    <col min="23" max="23" width="9.26171875" bestFit="1" customWidth="1"/>
    <col min="24" max="24" width="21" bestFit="1" customWidth="1"/>
    <col min="25" max="25" width="20.68359375" bestFit="1" customWidth="1"/>
    <col min="27" max="27" width="14" bestFit="1" customWidth="1"/>
    <col min="28" max="28" width="13.83984375" bestFit="1" customWidth="1"/>
    <col min="29" max="29" width="12" bestFit="1" customWidth="1"/>
    <col min="30" max="30" width="23" bestFit="1" customWidth="1"/>
    <col min="31" max="31" width="12" bestFit="1" customWidth="1"/>
    <col min="32" max="32" width="15.41796875" bestFit="1" customWidth="1"/>
    <col min="33" max="33" width="13.15625" bestFit="1" customWidth="1"/>
    <col min="34" max="34" width="16" bestFit="1" customWidth="1"/>
    <col min="35" max="35" width="26.26171875" bestFit="1" customWidth="1"/>
    <col min="36" max="36" width="10.26171875" bestFit="1" customWidth="1"/>
    <col min="37" max="37" width="13.41796875" bestFit="1" customWidth="1"/>
    <col min="38" max="38" width="15.15625" bestFit="1" customWidth="1"/>
    <col min="39" max="40" width="12" bestFit="1" customWidth="1"/>
    <col min="41" max="41" width="18.26171875" bestFit="1" customWidth="1"/>
    <col min="42" max="42" width="13.68359375" bestFit="1" customWidth="1"/>
    <col min="43" max="43" width="12" bestFit="1" customWidth="1"/>
    <col min="44" max="44" width="16.83984375" bestFit="1" customWidth="1"/>
    <col min="45" max="45" width="14.578125" bestFit="1" customWidth="1"/>
    <col min="46" max="46" width="12" bestFit="1" customWidth="1"/>
    <col min="47" max="47" width="17.83984375" bestFit="1" customWidth="1"/>
    <col min="48" max="48" width="16.26171875" bestFit="1" customWidth="1"/>
    <col min="49" max="49" width="12.15625" bestFit="1" customWidth="1"/>
    <col min="50" max="51" width="12" bestFit="1" customWidth="1"/>
    <col min="52" max="52" width="19.41796875" bestFit="1" customWidth="1"/>
    <col min="53" max="53" width="12" bestFit="1" customWidth="1"/>
    <col min="54" max="54" width="13.578125" bestFit="1" customWidth="1"/>
    <col min="55" max="55" width="12" bestFit="1" customWidth="1"/>
    <col min="56" max="56" width="12.83984375" bestFit="1" customWidth="1"/>
    <col min="57" max="57" width="15.15625" bestFit="1" customWidth="1"/>
    <col min="59" max="59" width="9.15625" bestFit="1" customWidth="1"/>
    <col min="60" max="60" width="6.68359375" bestFit="1" customWidth="1"/>
    <col min="61" max="61" width="11" bestFit="1" customWidth="1"/>
    <col min="62" max="62" width="12.578125" bestFit="1" customWidth="1"/>
    <col min="63" max="63" width="11.15625" bestFit="1" customWidth="1"/>
    <col min="64" max="64" width="3.83984375" bestFit="1" customWidth="1"/>
    <col min="65" max="65" width="5.578125" bestFit="1" customWidth="1"/>
    <col min="66" max="66" width="12.26171875" bestFit="1" customWidth="1"/>
    <col min="67" max="67" width="10.83984375" bestFit="1" customWidth="1"/>
    <col min="68" max="68" width="14.578125" bestFit="1" customWidth="1"/>
    <col min="69" max="69" width="9.578125" bestFit="1" customWidth="1"/>
    <col min="70" max="70" width="8.83984375" bestFit="1" customWidth="1"/>
    <col min="71" max="71" width="12" bestFit="1" customWidth="1"/>
    <col min="72" max="72" width="13.26171875" bestFit="1" customWidth="1"/>
    <col min="73" max="73" width="13.83984375" bestFit="1" customWidth="1"/>
    <col min="74" max="74" width="16" bestFit="1" customWidth="1"/>
    <col min="75" max="75" width="8.68359375" bestFit="1" customWidth="1"/>
    <col min="76" max="76" width="6.83984375" bestFit="1" customWidth="1"/>
    <col min="77" max="77" width="8.15625" bestFit="1" customWidth="1"/>
    <col min="78" max="78" width="5.15625" bestFit="1" customWidth="1"/>
    <col min="79" max="79" width="9.26171875" bestFit="1" customWidth="1"/>
    <col min="80" max="80" width="21" bestFit="1" customWidth="1"/>
    <col min="81" max="81" width="20.68359375" bestFit="1" customWidth="1"/>
    <col min="82" max="82" width="9.15625" bestFit="1" customWidth="1"/>
    <col min="83" max="83" width="14" bestFit="1" customWidth="1"/>
    <col min="84" max="84" width="13.83984375" bestFit="1" customWidth="1"/>
    <col min="85" max="85" width="12.15625" bestFit="1" customWidth="1"/>
    <col min="86" max="86" width="12" bestFit="1" customWidth="1"/>
  </cols>
  <sheetData>
    <row r="1" spans="1:9" x14ac:dyDescent="0.55000000000000004">
      <c r="A1" s="77" t="s">
        <v>239</v>
      </c>
      <c r="B1" s="77" t="s">
        <v>62</v>
      </c>
    </row>
    <row r="2" spans="1:9" x14ac:dyDescent="0.55000000000000004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55000000000000004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1676887.9013836056</v>
      </c>
      <c r="F3" s="236">
        <v>0</v>
      </c>
      <c r="G3" s="236">
        <v>704016.11583333346</v>
      </c>
      <c r="H3" s="236">
        <v>1575935.1462763192</v>
      </c>
      <c r="I3" s="236">
        <v>5291338.2634932585</v>
      </c>
    </row>
    <row r="4" spans="1:9" x14ac:dyDescent="0.55000000000000004">
      <c r="A4" s="78">
        <v>2030</v>
      </c>
      <c r="B4" s="236">
        <v>1140745.9345080981</v>
      </c>
      <c r="C4" s="236">
        <v>128467.8</v>
      </c>
      <c r="D4" s="236">
        <v>2340883.5839848323</v>
      </c>
      <c r="E4" s="236">
        <v>2350899.1931052115</v>
      </c>
      <c r="F4" s="236">
        <v>60009.02925833522</v>
      </c>
      <c r="G4" s="236">
        <v>1993192.5254781186</v>
      </c>
      <c r="H4" s="236">
        <v>1499051.4006548331</v>
      </c>
      <c r="I4" s="236">
        <v>9513249.4669894297</v>
      </c>
    </row>
    <row r="5" spans="1:9" x14ac:dyDescent="0.55000000000000004">
      <c r="A5" s="78">
        <v>2050</v>
      </c>
      <c r="B5" s="236">
        <v>1159380.5453773015</v>
      </c>
      <c r="C5" s="236">
        <v>128467.8</v>
      </c>
      <c r="D5" s="236">
        <v>2747195.0232882132</v>
      </c>
      <c r="E5" s="236">
        <v>2381402.9500708361</v>
      </c>
      <c r="F5" s="236">
        <v>60009.02925833522</v>
      </c>
      <c r="G5" s="236">
        <v>1993395.3314738162</v>
      </c>
      <c r="H5" s="236">
        <v>1372849.6818176161</v>
      </c>
      <c r="I5" s="236">
        <v>9842700.3612861168</v>
      </c>
    </row>
    <row r="6" spans="1:9" x14ac:dyDescent="0.55000000000000004">
      <c r="A6" s="78" t="s">
        <v>61</v>
      </c>
      <c r="B6" s="236">
        <v>3377431.4198853993</v>
      </c>
      <c r="C6" s="236">
        <v>385403.4</v>
      </c>
      <c r="D6" s="236">
        <v>5216804.9672730453</v>
      </c>
      <c r="E6" s="236">
        <v>6409190.0445596538</v>
      </c>
      <c r="F6" s="236">
        <v>120018.05851667044</v>
      </c>
      <c r="G6" s="236">
        <v>4690603.972785268</v>
      </c>
      <c r="H6" s="236">
        <v>4447836.2287487686</v>
      </c>
      <c r="I6" s="236">
        <v>24647288.091768805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7.7890625" bestFit="1" customWidth="1"/>
    <col min="4" max="5" width="9.734375" bestFit="1" customWidth="1"/>
    <col min="6" max="6" width="9.3125" bestFit="1" customWidth="1"/>
    <col min="7" max="7" width="10.9453125" bestFit="1" customWidth="1"/>
    <col min="8" max="8" width="13.05078125" bestFit="1" customWidth="1"/>
    <col min="9" max="9" width="12.05078125" bestFit="1" customWidth="1"/>
    <col min="10" max="10" width="10.20703125" bestFit="1" customWidth="1"/>
    <col min="11" max="11" width="12" bestFit="1" customWidth="1"/>
    <col min="12" max="12" width="12.68359375" bestFit="1" customWidth="1"/>
    <col min="13" max="13" width="17.83984375" bestFit="1" customWidth="1"/>
    <col min="14" max="14" width="12" bestFit="1" customWidth="1"/>
  </cols>
  <sheetData>
    <row r="1" spans="1:10" x14ac:dyDescent="0.55000000000000004">
      <c r="A1" s="77" t="s">
        <v>198</v>
      </c>
      <c r="B1" s="77" t="s">
        <v>62</v>
      </c>
    </row>
    <row r="2" spans="1:10" x14ac:dyDescent="0.55000000000000004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55000000000000004">
      <c r="A3" s="78">
        <v>2019</v>
      </c>
      <c r="B3" s="98">
        <v>13910380.018766819</v>
      </c>
      <c r="C3" s="98">
        <v>-158.43719999999996</v>
      </c>
      <c r="D3" s="98">
        <v>5519261.9007367166</v>
      </c>
      <c r="E3" s="98">
        <v>9725344.026449265</v>
      </c>
      <c r="F3" s="98">
        <v>-562410</v>
      </c>
      <c r="G3" s="98">
        <v>-165207.21089505972</v>
      </c>
      <c r="H3" s="98">
        <v>0</v>
      </c>
      <c r="I3" s="98">
        <v>-606450.26032409817</v>
      </c>
      <c r="J3" s="98">
        <v>27820760.037533641</v>
      </c>
    </row>
    <row r="4" spans="1:10" x14ac:dyDescent="0.55000000000000004">
      <c r="A4" s="78">
        <v>2030</v>
      </c>
      <c r="B4" s="98">
        <v>13079093.844208205</v>
      </c>
      <c r="C4" s="98">
        <v>-50273.43159900204</v>
      </c>
      <c r="D4" s="98">
        <v>5507316.8818720337</v>
      </c>
      <c r="E4" s="98">
        <v>9297443.8869206961</v>
      </c>
      <c r="F4" s="98">
        <v>-674052.23115068232</v>
      </c>
      <c r="G4" s="98">
        <v>-427424.28054807242</v>
      </c>
      <c r="H4" s="98">
        <v>0</v>
      </c>
      <c r="I4" s="98">
        <v>-573916.98128676519</v>
      </c>
      <c r="J4" s="98">
        <v>26158187.68841641</v>
      </c>
    </row>
    <row r="5" spans="1:10" x14ac:dyDescent="0.55000000000000004">
      <c r="A5" s="78">
        <v>2050</v>
      </c>
      <c r="B5" s="98">
        <v>12132641.200173628</v>
      </c>
      <c r="C5" s="98">
        <v>-50273.43159900204</v>
      </c>
      <c r="D5" s="98">
        <v>5485230.909845111</v>
      </c>
      <c r="E5" s="98">
        <v>9211943.7432317268</v>
      </c>
      <c r="F5" s="98">
        <v>-1555617.3187058116</v>
      </c>
      <c r="G5" s="98">
        <v>-416519.2646097627</v>
      </c>
      <c r="H5" s="98">
        <v>0</v>
      </c>
      <c r="I5" s="98">
        <v>-542123.43798862817</v>
      </c>
      <c r="J5" s="98">
        <v>24265282.400347259</v>
      </c>
    </row>
    <row r="6" spans="1:10" x14ac:dyDescent="0.55000000000000004">
      <c r="A6" s="78" t="s">
        <v>61</v>
      </c>
      <c r="B6" s="98">
        <v>39122115.063148648</v>
      </c>
      <c r="C6" s="98">
        <v>-100705.30039800408</v>
      </c>
      <c r="D6" s="98">
        <v>16511809.692453861</v>
      </c>
      <c r="E6" s="98">
        <v>28234731.65660169</v>
      </c>
      <c r="F6" s="98">
        <v>-2792079.5498564942</v>
      </c>
      <c r="G6" s="98">
        <v>-1009150.7560528949</v>
      </c>
      <c r="H6" s="98">
        <v>0</v>
      </c>
      <c r="I6" s="98">
        <v>-1722490.6795994914</v>
      </c>
      <c r="J6" s="98">
        <v>78244230.12629731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topLeftCell="A5" workbookViewId="0">
      <selection activeCell="C2" sqref="C2:C61"/>
    </sheetView>
  </sheetViews>
  <sheetFormatPr defaultRowHeight="14.4" x14ac:dyDescent="0.55000000000000004"/>
  <cols>
    <col min="3" max="3" width="16.83984375" bestFit="1" customWidth="1"/>
    <col min="4" max="6" width="16.83984375" customWidth="1"/>
  </cols>
  <sheetData>
    <row r="1" spans="1:9" x14ac:dyDescent="0.55000000000000004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55000000000000004">
      <c r="A2" t="s">
        <v>23</v>
      </c>
      <c r="B2">
        <f t="shared" ref="B2:B11" si="0">År1</f>
        <v>2019</v>
      </c>
      <c r="C2" s="98">
        <f ca="1">SUMIF('Resultater - Vestdanmark'!$F:$F,'CO2-udledning'!$D$2,'Resultater - Vestdanmark'!H:H)</f>
        <v>11941424.383000549</v>
      </c>
      <c r="D2" s="98" t="s">
        <v>111</v>
      </c>
      <c r="E2" s="98" t="s">
        <v>111</v>
      </c>
    </row>
    <row r="3" spans="1:9" x14ac:dyDescent="0.55000000000000004">
      <c r="A3" t="s">
        <v>23</v>
      </c>
      <c r="B3" s="168">
        <f t="shared" si="0"/>
        <v>2019</v>
      </c>
      <c r="C3" s="98">
        <f>SUMIFS('Resultater - Vestdanmark'!H:H,'Resultater - Vestdanmark'!$F:$F,'CO2-udledning'!$D$2,'Resultater - Vestdanmark'!$A:$A,'CO2-udledning'!$G3)+SUMIFS('Resultater - Vestdanmark'!H:H,'Resultater - Vestdanmark'!$F:$F,'CO2-udledning'!$D$2,'Resultater - Vestdanmark'!$A:$A,'CO2-udledning'!$H3)+SUMIFS('Resultater - Vestdanmark'!H:H,'Resultater - Vestdanmark'!$F:$F,'CO2-udledning'!$D$2,'Resultater - Vestdanmark'!$A:$A,'CO2-udledning'!$I3)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55000000000000004">
      <c r="A4" t="s">
        <v>23</v>
      </c>
      <c r="B4" s="168">
        <f t="shared" si="0"/>
        <v>2019</v>
      </c>
      <c r="C4" s="98">
        <f>SUMIFS('Resultater - Vestdanmark'!H:H,'Resultater - Vestdanmark'!$F:$F,'CO2-udledning'!$D$2,'Resultater - Vestdanmark'!$C:$C,'CO2-udledning'!$F4)+SUMIFS('Resultater - Vestdanmark'!H:H,'Resultater - Vestdanmark'!$F:$F,$D$2,'Resultater - Vestdanmark'!$A:$A,"Grøntsager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55000000000000004">
      <c r="A5" t="s">
        <v>23</v>
      </c>
      <c r="B5" s="168">
        <f t="shared" si="0"/>
        <v>2019</v>
      </c>
      <c r="C5" s="98">
        <f>SUMIFS('Resultater - Vestdanmark'!H:H,'Resultater - Vestdanmark'!$F:$F,'CO2-udledning'!$D$2,'Resultater - Vestdanmark'!$C:$C,'CO2-udledning'!$F5)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55000000000000004">
      <c r="A6" t="s">
        <v>23</v>
      </c>
      <c r="B6" s="168">
        <f t="shared" si="0"/>
        <v>2019</v>
      </c>
      <c r="C6" s="98">
        <f>SUMIFS('Resultater - Vestdanmark'!H:H,'Resultater - Vestdanmark'!$F:$F,'CO2-udledning'!$D$2,'Resultater - Vestdanmark'!$C:$C,'CO2-udledning'!$F6)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55000000000000004">
      <c r="A7" t="s">
        <v>23</v>
      </c>
      <c r="B7" s="168">
        <f t="shared" si="0"/>
        <v>2019</v>
      </c>
      <c r="C7" s="98">
        <f>SUMIFS('Resultater - Vestdanmark'!H:H,'Resultater - Vestdanmark'!$F:$F,'CO2-udledning'!$D$2,'Resultater - Vestdanmark'!$A:$A,'CO2-udledning'!$G7)+SUMIFS('Resultater - Vestdanmark'!H:H,'Resultater - Vestdanmark'!$F:$F,'CO2-udledning'!$D$2,'Resultater - Vestdanmark'!$A:$A,'CO2-udledning'!$H7)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55000000000000004">
      <c r="A8" t="s">
        <v>23</v>
      </c>
      <c r="B8" s="168">
        <f t="shared" si="0"/>
        <v>2019</v>
      </c>
      <c r="C8" s="98">
        <f>SUMIFS('Resultater - Vestdanmark'!H:H,'Resultater - Vestdanmark'!$F:$F,'CO2-udledning'!$D$2,'Resultater - Vestdanmark'!$A:$A,'CO2-udledning'!$G8)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55000000000000004">
      <c r="A9" s="168" t="s">
        <v>23</v>
      </c>
      <c r="B9" s="168">
        <f t="shared" si="0"/>
        <v>2019</v>
      </c>
      <c r="C9" s="98">
        <f>SUMIFS('Resultater - Vestdanmark'!H:H,'Resultater - Vestdanmark'!$F:$F,'CO2-udledning'!$D$2,'Resultater - Vestdanmark'!$A:$A,'CO2-udledning'!$G9)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55000000000000004">
      <c r="A10" s="168" t="s">
        <v>23</v>
      </c>
      <c r="B10" s="168">
        <f t="shared" si="0"/>
        <v>2019</v>
      </c>
      <c r="C10" s="98">
        <f>SUMIFS('Resultater - Vestdanmark'!H:H,'Resultater - Vestdanmark'!$F:$F,'CO2-udledning'!$D$2,'Resultater - Vestdanmark'!$A:$A,'CO2-udledning'!$G10)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55000000000000004">
      <c r="A11" s="168" t="s">
        <v>23</v>
      </c>
      <c r="B11" s="168">
        <f t="shared" si="0"/>
        <v>2019</v>
      </c>
      <c r="C11" s="98">
        <f ca="1">SUMIFS('Resultater - Vestdanmark'!H:H,'Resultater - Vestdanmark'!$F:$F,'CO2-udledning'!$D$2,'Resultater - Vestdanmark'!$A:$A,'CO2-udledning'!$G11)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55000000000000004">
      <c r="A12" t="s">
        <v>23</v>
      </c>
      <c r="B12">
        <f t="shared" ref="B12:B21" si="1">År2</f>
        <v>2030</v>
      </c>
      <c r="C12" s="98">
        <f ca="1">SUMIF('Resultater - Vestdanmark'!$F:$F,'CO2-udledning'!$D$2,'Resultater - Vestdanmark'!I:I)</f>
        <v>11210801.890586928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55000000000000004">
      <c r="A13" t="s">
        <v>23</v>
      </c>
      <c r="B13" s="168">
        <f t="shared" si="1"/>
        <v>2030</v>
      </c>
      <c r="C13" s="98">
        <f>SUMIFS('Resultater - Vestdanmark'!I:I,'Resultater - Vestdanmark'!$F:$F,'CO2-udledning'!$D$2,'Resultater - Vestdanmark'!$A:$A,'CO2-udledning'!$G3)+SUMIFS('Resultater - Vestdanmark'!I:I,'Resultater - Vestdanmark'!$F:$F,'CO2-udledning'!$D$2,'Resultater - Vestdanmark'!$A:$A,'CO2-udledning'!$H3)+SUMIFS('Resultater - Vestdanmark'!I:I,'Resultater - Vestdanmark'!$F:$F,'CO2-udledning'!$D$2,'Resultater - Vestdanmark'!$A:$A,'CO2-udledning'!$I3)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55000000000000004">
      <c r="A14" t="s">
        <v>23</v>
      </c>
      <c r="B14" s="168">
        <f t="shared" si="1"/>
        <v>2030</v>
      </c>
      <c r="C14" s="98">
        <f>SUMIFS('Resultater - Vestdanmark'!I:I,'Resultater - Vestdanmark'!$F:$F,'CO2-udledning'!$D$2,'Resultater - Vestdanmark'!$C:$C,'CO2-udledning'!$F4)+SUMIFS('Resultater - Vestdanmark'!I:I,'Resultater - Vestdanmark'!$F:$F,$D$2,'Resultater - Vestdanmark'!$A:$A,"Grøntsager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55000000000000004">
      <c r="A15" t="s">
        <v>23</v>
      </c>
      <c r="B15" s="168">
        <f t="shared" si="1"/>
        <v>2030</v>
      </c>
      <c r="C15" s="98">
        <f>SUMIFS('Resultater - Vestdanmark'!I:I,'Resultater - Vestdanmark'!$F:$F,'CO2-udledning'!$D$2,'Resultater - Vestdanmark'!$C:$C,'CO2-udledning'!$F5)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55000000000000004">
      <c r="A16" t="s">
        <v>23</v>
      </c>
      <c r="B16" s="168">
        <f t="shared" si="1"/>
        <v>2030</v>
      </c>
      <c r="C16" s="98">
        <f>SUMIFS('Resultater - Vestdanmark'!I:I,'Resultater - Vestdanmark'!$F:$F,'CO2-udledning'!$D$2,'Resultater - Vestdanmark'!$C:$C,'CO2-udledning'!$F6)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55000000000000004">
      <c r="A17" t="s">
        <v>23</v>
      </c>
      <c r="B17" s="168">
        <f t="shared" si="1"/>
        <v>2030</v>
      </c>
      <c r="C17" s="98">
        <f>SUMIFS('Resultater - Vestdanmark'!I:I,'Resultater - Vestdanmark'!$F:$F,'CO2-udledning'!$D$2,'Resultater - Vestdanmark'!$A:$A,'CO2-udledning'!$G7)+SUMIFS('Resultater - Vestdanmark'!I:I,'Resultater - Vestdanmark'!$F:$F,'CO2-udledning'!$D$2,'Resultater - Vestdanmark'!$A:$A,'CO2-udledning'!$H7)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55000000000000004">
      <c r="A18" t="s">
        <v>23</v>
      </c>
      <c r="B18" s="168">
        <f t="shared" si="1"/>
        <v>2030</v>
      </c>
      <c r="C18" s="98">
        <f ca="1">SUMIFS('Resultater - Vestdanmark'!I:I,'Resultater - Vestdanmark'!$F:$F,'CO2-udledning'!$D$2,'Resultater - Vestdanmark'!$A:$A,'CO2-udledning'!$G8)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55000000000000004">
      <c r="A19" s="168" t="s">
        <v>23</v>
      </c>
      <c r="B19" s="168">
        <f t="shared" si="1"/>
        <v>2030</v>
      </c>
      <c r="C19" s="98">
        <f ca="1">SUMIFS('Resultater - Vestdanmark'!I:I,'Resultater - Vestdanmark'!$F:$F,'CO2-udledning'!$D$2,'Resultater - Vestdanmark'!$A:$A,'CO2-udledning'!$G9)</f>
        <v>-443965.99796390499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55000000000000004">
      <c r="A20" s="168" t="s">
        <v>23</v>
      </c>
      <c r="B20" s="168">
        <f t="shared" si="1"/>
        <v>2030</v>
      </c>
      <c r="C20" s="98">
        <f>SUMIFS('Resultater - Vestdanmark'!I:I,'Resultater - Vestdanmark'!$F:$F,'CO2-udledning'!$D$2,'Resultater - Vestdanmark'!$A:$A,'CO2-udledning'!$G10)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55000000000000004">
      <c r="A21" s="168" t="s">
        <v>23</v>
      </c>
      <c r="B21" s="168">
        <f t="shared" si="1"/>
        <v>2030</v>
      </c>
      <c r="C21" s="98">
        <f ca="1">SUMIFS('Resultater - Vestdanmark'!I:I,'Resultater - Vestdanmark'!$F:$F,'CO2-udledning'!$D$2,'Resultater - Vestdanmark'!$A:$A,'CO2-udledning'!$G11)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55000000000000004">
      <c r="A22" t="s">
        <v>23</v>
      </c>
      <c r="B22">
        <f t="shared" ref="B22:B31" si="12">År3</f>
        <v>2050</v>
      </c>
      <c r="C22" s="98">
        <f ca="1">SUMIF('Resultater - Vestdanmark'!$F:$F,'CO2-udledning'!$D$2,'Resultater - Vestdanmark'!J:J)</f>
        <v>10430639.713805048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55000000000000004">
      <c r="A23" t="s">
        <v>23</v>
      </c>
      <c r="B23">
        <f t="shared" si="12"/>
        <v>2050</v>
      </c>
      <c r="C23" s="98">
        <f>SUMIFS('Resultater - Vestdanmark'!J:J,'Resultater - Vestdanmark'!$F:$F,'CO2-udledning'!$D$2,'Resultater - Vestdanmark'!$A:$A,'CO2-udledning'!$G3)+SUMIFS('Resultater - Vestdanmark'!J:J,'Resultater - Vestdanmark'!$F:$F,'CO2-udledning'!$D$2,'Resultater - Vestdanmark'!$A:$A,'CO2-udledning'!$H3)+SUMIFS('Resultater - Vestdanmark'!J:J,'Resultater - Vestdanmark'!$F:$F,'CO2-udledning'!$D$2,'Resultater - Vestdanmark'!$A:$A,'CO2-udledning'!$I3)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55000000000000004">
      <c r="A24" t="s">
        <v>23</v>
      </c>
      <c r="B24">
        <f t="shared" si="12"/>
        <v>2050</v>
      </c>
      <c r="C24" s="98">
        <f>SUMIFS('Resultater - Vestdanmark'!J:J,'Resultater - Vestdanmark'!$F:$F,'CO2-udledning'!$D$2,'Resultater - Vestdanmark'!$C:$C,'CO2-udledning'!$F4)+SUMIFS('Resultater - Vestdanmark'!J:J,'Resultater - Vestdanmark'!$F:$F,$D$2,'Resultater - Vestdanmark'!$A:$A,"Grøntsager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55000000000000004">
      <c r="A25" t="s">
        <v>23</v>
      </c>
      <c r="B25">
        <f t="shared" si="12"/>
        <v>2050</v>
      </c>
      <c r="C25" s="98">
        <f>SUMIFS('Resultater - Vestdanmark'!J:J,'Resultater - Vestdanmark'!$F:$F,'CO2-udledning'!$D$2,'Resultater - Vestdanmark'!$C:$C,'CO2-udledning'!$F5)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55000000000000004">
      <c r="A26" t="s">
        <v>23</v>
      </c>
      <c r="B26">
        <f t="shared" si="12"/>
        <v>2050</v>
      </c>
      <c r="C26" s="98">
        <f>SUMIFS('Resultater - Vestdanmark'!J:J,'Resultater - Vestdanmark'!$F:$F,'CO2-udledning'!$D$2,'Resultater - Vestdanmark'!$C:$C,'CO2-udledning'!$F6)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55000000000000004">
      <c r="A27" t="s">
        <v>23</v>
      </c>
      <c r="B27">
        <f t="shared" si="12"/>
        <v>2050</v>
      </c>
      <c r="C27" s="98">
        <f>SUMIFS('Resultater - Vestdanmark'!J:J,'Resultater - Vestdanmark'!$F:$F,'CO2-udledning'!$D$2,'Resultater - Vestdanmark'!$A:$A,'CO2-udledning'!$G7)+SUMIFS('Resultater - Vestdanmark'!J:J,'Resultater - Vestdanmark'!$F:$F,'CO2-udledning'!$D$2,'Resultater - Vestdanmark'!$A:$A,'CO2-udledning'!$H7)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55000000000000004">
      <c r="A28" t="s">
        <v>23</v>
      </c>
      <c r="B28">
        <f t="shared" si="12"/>
        <v>2050</v>
      </c>
      <c r="C28" s="98">
        <f ca="1">SUMIFS('Resultater - Vestdanmark'!J:J,'Resultater - Vestdanmark'!$F:$F,'CO2-udledning'!$D$2,'Resultater - Vestdanmark'!$A:$A,'CO2-udledning'!$G8)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55000000000000004">
      <c r="A29" s="168" t="s">
        <v>23</v>
      </c>
      <c r="B29" s="168">
        <f t="shared" si="12"/>
        <v>2050</v>
      </c>
      <c r="C29" s="98">
        <f ca="1">SUMIFS('Resultater - Vestdanmark'!J:J,'Resultater - Vestdanmark'!$F:$F,'CO2-udledning'!$D$2,'Resultater - Vestdanmark'!$A:$A,'CO2-udledning'!$G9)</f>
        <v>-420246.69324787147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55000000000000004">
      <c r="A30" s="168" t="s">
        <v>23</v>
      </c>
      <c r="B30" s="168">
        <f t="shared" si="12"/>
        <v>2050</v>
      </c>
      <c r="C30" s="98">
        <f>SUMIFS('Resultater - Vestdanmark'!J:J,'Resultater - Vestdanmark'!$F:$F,'CO2-udledning'!$D$2,'Resultater - Vestdanmark'!$A:$A,'CO2-udledning'!$G10)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55000000000000004">
      <c r="A31" s="168" t="s">
        <v>23</v>
      </c>
      <c r="B31" s="168">
        <f t="shared" si="12"/>
        <v>2050</v>
      </c>
      <c r="C31" s="98">
        <f ca="1">SUMIFS('Resultater - Vestdanmark'!J:J,'Resultater - Vestdanmark'!$F:$F,'CO2-udledning'!$D$2,'Resultater - Vestdanmark'!$A:$A,'CO2-udledning'!$G11)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55000000000000004">
      <c r="A32" t="s">
        <v>24</v>
      </c>
      <c r="B32" s="168">
        <f t="shared" ref="B32:B41" si="22">År1</f>
        <v>2019</v>
      </c>
      <c r="C32" s="98">
        <f ca="1">SUMIF('Resultater - Østdanmark'!$F:$F,'CO2-udledning'!$D$2,'Resultater - Østdanmark'!H:H)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55000000000000004">
      <c r="A33" t="s">
        <v>24</v>
      </c>
      <c r="B33" s="168">
        <f t="shared" si="22"/>
        <v>2019</v>
      </c>
      <c r="C33" s="98">
        <f>SUMIFS('Resultater - Østdanmark'!H:H,'Resultater - Østdanmark'!$F:$F,'CO2-udledning'!$D$2,'Resultater - Østdanmark'!$A:$A,'CO2-udledning'!$G33)+SUMIFS('Resultater - Østdanmark'!H:H,'Resultater - Østdanmark'!$F:$F,'CO2-udledning'!$D$2,'Resultater - Østdanmark'!$A:$A,'CO2-udledning'!$H33)+SUMIFS('Resultater - Østdanmark'!H:H,'Resultater - Østdanmark'!$F:$F,'CO2-udledning'!$D$2,'Resultater - Østdanmark'!$A:$A,'CO2-udledning'!$I33)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55000000000000004">
      <c r="A34" t="s">
        <v>24</v>
      </c>
      <c r="B34" s="168">
        <f t="shared" si="22"/>
        <v>2019</v>
      </c>
      <c r="C34" s="76">
        <f>SUMIFS('Resultater - Østdanmark'!H:H,'Resultater - Østdanmark'!$F:$F,'CO2-udledning'!$D$2,'Resultater - Østdanmark'!$C:$C,'CO2-udledning'!$F4)+SUMIFS('Resultater - Østdanmark'!H:H,'Resultater - Østdanmark'!$F:$F,$D$2,'Resultater - Østdanmark'!$A:$A,"Grøntsager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55000000000000004">
      <c r="A35" t="s">
        <v>24</v>
      </c>
      <c r="B35" s="168">
        <f t="shared" si="22"/>
        <v>2019</v>
      </c>
      <c r="C35" s="76">
        <f>SUMIFS('Resultater - Østdanmark'!H:H,'Resultater - Østdanmark'!$F:$F,'CO2-udledning'!$D$2,'Resultater - Østdanmark'!$C:$C,'CO2-udledning'!$F5)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55000000000000004">
      <c r="A36" t="s">
        <v>24</v>
      </c>
      <c r="B36" s="168">
        <f t="shared" si="22"/>
        <v>2019</v>
      </c>
      <c r="C36" s="76">
        <f>SUMIFS('Resultater - Østdanmark'!H:H,'Resultater - Østdanmark'!$F:$F,'CO2-udledning'!$D$2,'Resultater - Østdanmark'!$C:$C,'CO2-udledning'!$F6)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55000000000000004">
      <c r="A37" t="s">
        <v>24</v>
      </c>
      <c r="B37" s="168">
        <f t="shared" si="22"/>
        <v>2019</v>
      </c>
      <c r="C37" s="98">
        <f>SUMIFS('Resultater - Østdanmark'!H:H,'Resultater - Østdanmark'!$F:$F,'CO2-udledning'!$D$2,'Resultater - Østdanmark'!$A:$A,'CO2-udledning'!$G37)+SUMIFS('Resultater - Østdanmark'!H:H,'Resultater - Østdanmark'!$F:$F,'CO2-udledning'!$D$2,'Resultater - Østdanmark'!$A:$A,'CO2-udledning'!$H37)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55000000000000004">
      <c r="A38" t="s">
        <v>24</v>
      </c>
      <c r="B38" s="168">
        <f t="shared" si="22"/>
        <v>2019</v>
      </c>
      <c r="C38" s="98">
        <f ca="1">SUMIFS('Resultater - Østdanmark'!H:H,'Resultater - Østdanmark'!$F:$F,'CO2-udledning'!$D$2,'Resultater - Østdanmark'!$A:$A,'CO2-udledning'!$G38)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55000000000000004">
      <c r="A39" s="168" t="s">
        <v>24</v>
      </c>
      <c r="B39" s="168">
        <f t="shared" si="22"/>
        <v>2019</v>
      </c>
      <c r="C39" s="98">
        <f ca="1">SUMIFS('Resultater - Østdanmark'!H:H,'Resultater - Østdanmark'!$F:$F,'CO2-udledning'!$D$2,'Resultater - Østdanmark'!$A:$A,'CO2-udledning'!$G39)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55000000000000004">
      <c r="A40" s="168" t="s">
        <v>24</v>
      </c>
      <c r="B40" s="168">
        <f t="shared" si="22"/>
        <v>2019</v>
      </c>
      <c r="C40" s="98">
        <f>SUMIFS('Resultater - Østdanmark'!H:H,'Resultater - Østdanmark'!$F:$F,'CO2-udledning'!$D$2,'Resultater - Østdanmark'!$A:$A,'CO2-udledning'!$G40)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55000000000000004">
      <c r="A41" s="168" t="s">
        <v>24</v>
      </c>
      <c r="B41" s="168">
        <f t="shared" si="22"/>
        <v>2019</v>
      </c>
      <c r="C41" s="98">
        <f ca="1">SUMIFS('Resultater - Østdanmark'!H:H,'Resultater - Østdanmark'!$F:$F,'CO2-udledning'!$D$2,'Resultater - Østdanmark'!$A:$A,'CO2-udledning'!$G41)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55000000000000004">
      <c r="A42" s="168" t="s">
        <v>24</v>
      </c>
      <c r="B42" s="168">
        <f t="shared" ref="B42:B51" si="32">År2</f>
        <v>2030</v>
      </c>
      <c r="C42" s="98">
        <f ca="1">SUMIF('Resultater - Østdanmark'!$F:$F,'CO2-udledning'!$D$2,'Resultater - Østdanmark'!I:I)</f>
        <v>1868291.9536212776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55000000000000004">
      <c r="A43" s="168" t="s">
        <v>24</v>
      </c>
      <c r="B43" s="168">
        <f t="shared" si="32"/>
        <v>2030</v>
      </c>
      <c r="C43" s="98">
        <f>SUMIFS('Resultater - Østdanmark'!I:I,'Resultater - Østdanmark'!$F:$F,'CO2-udledning'!$D$2,'Resultater - Østdanmark'!$A:$A,'CO2-udledning'!$G33)+SUMIFS('Resultater - Østdanmark'!I:I,'Resultater - Østdanmark'!$F:$F,'CO2-udledning'!$D$2,'Resultater - Østdanmark'!$A:$A,'CO2-udledning'!$H33)+SUMIFS('Resultater - Østdanmark'!I:I,'Resultater - Østdanmark'!$F:$F,'CO2-udledning'!$D$2,'Resultater - Østdanmark'!$A:$A,'CO2-udledning'!$I33)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55000000000000004">
      <c r="A44" s="168" t="s">
        <v>24</v>
      </c>
      <c r="B44" s="168">
        <f t="shared" si="32"/>
        <v>2030</v>
      </c>
      <c r="C44" s="76">
        <f>SUMIFS('Resultater - Østdanmark'!I:I,'Resultater - Østdanmark'!$F:$F,'CO2-udledning'!$D$2,'Resultater - Østdanmark'!$C:$C,'CO2-udledning'!$F4)+SUMIFS('Resultater - Østdanmark'!I:I,'Resultater - Østdanmark'!$F:$F,$D$2,'Resultater - Østdanmark'!$A:$A,"Grøntsager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55000000000000004">
      <c r="A45" s="168" t="s">
        <v>24</v>
      </c>
      <c r="B45" s="168">
        <f t="shared" si="32"/>
        <v>2030</v>
      </c>
      <c r="C45" s="76">
        <f>SUMIFS('Resultater - Østdanmark'!I:I,'Resultater - Østdanmark'!$F:$F,'CO2-udledning'!$D$2,'Resultater - Østdanmark'!$C:$C,'CO2-udledning'!$F5)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55000000000000004">
      <c r="A46" s="168" t="s">
        <v>24</v>
      </c>
      <c r="B46" s="168">
        <f t="shared" si="32"/>
        <v>2030</v>
      </c>
      <c r="C46" s="76">
        <f>SUMIFS('Resultater - Østdanmark'!I:I,'Resultater - Østdanmark'!$F:$F,'CO2-udledning'!$D$2,'Resultater - Østdanmark'!$C:$C,'CO2-udledning'!$F6)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55000000000000004">
      <c r="A47" s="168" t="s">
        <v>24</v>
      </c>
      <c r="B47" s="168">
        <f t="shared" si="32"/>
        <v>2030</v>
      </c>
      <c r="C47" s="98">
        <f>SUMIFS('Resultater - Østdanmark'!I:I,'Resultater - Østdanmark'!$F:$F,'CO2-udledning'!$D$2,'Resultater - Østdanmark'!$A:$A,'CO2-udledning'!$G37)+SUMIFS('Resultater - Østdanmark'!I:I,'Resultater - Østdanmark'!$F:$F,'CO2-udledning'!$D$2,'Resultater - Østdanmark'!$A:$A,'CO2-udledning'!$H37)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55000000000000004">
      <c r="A48" s="168" t="s">
        <v>24</v>
      </c>
      <c r="B48" s="168">
        <f t="shared" si="32"/>
        <v>2030</v>
      </c>
      <c r="C48" s="98">
        <f ca="1">SUMIFS('Resultater - Østdanmark'!I:I,'Resultater - Østdanmark'!$F:$F,'CO2-udledning'!$D$2,'Resultater - Østdanmark'!$A:$A,'CO2-udledning'!$G38)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55000000000000004">
      <c r="A49" s="168" t="s">
        <v>24</v>
      </c>
      <c r="B49" s="168">
        <f t="shared" si="32"/>
        <v>2030</v>
      </c>
      <c r="C49" s="98">
        <f ca="1">SUMIFS('Resultater - Østdanmark'!I:I,'Resultater - Østdanmark'!$F:$F,'CO2-udledning'!$D$2,'Resultater - Østdanmark'!$A:$A,'CO2-udledning'!$G39)</f>
        <v>-129950.98332286018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55000000000000004">
      <c r="A50" s="168" t="s">
        <v>24</v>
      </c>
      <c r="B50" s="168">
        <f t="shared" si="32"/>
        <v>2030</v>
      </c>
      <c r="C50" s="98">
        <f>SUMIFS('Resultater - Østdanmark'!I:I,'Resultater - Østdanmark'!$F:$F,'CO2-udledning'!$D$2,'Resultater - Østdanmark'!$A:$A,'CO2-udledning'!$G40)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55000000000000004">
      <c r="A51" s="168" t="s">
        <v>24</v>
      </c>
      <c r="B51" s="168">
        <f t="shared" si="32"/>
        <v>2030</v>
      </c>
      <c r="C51" s="98">
        <f ca="1">SUMIFS('Resultater - Østdanmark'!I:I,'Resultater - Østdanmark'!$F:$F,'CO2-udledning'!$D$2,'Resultater - Østdanmark'!$A:$A,'CO2-udledning'!$G41)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55000000000000004">
      <c r="A52" s="168" t="s">
        <v>24</v>
      </c>
      <c r="B52" s="168">
        <f t="shared" ref="B52:B61" si="42">År3</f>
        <v>2050</v>
      </c>
      <c r="C52" s="98">
        <f ca="1">SUMIF('Resultater - Østdanmark'!$F:$F,'CO2-udledning'!$D$2,'Resultater - Østdanmark'!J:J)</f>
        <v>1702001.4863685807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55000000000000004">
      <c r="A53" s="168" t="s">
        <v>24</v>
      </c>
      <c r="B53" s="168">
        <f t="shared" si="42"/>
        <v>2050</v>
      </c>
      <c r="C53" s="98">
        <f>SUMIFS('Resultater - Østdanmark'!J:J,'Resultater - Østdanmark'!$F:$F,'CO2-udledning'!$D$2,'Resultater - Østdanmark'!$A:$A,'CO2-udledning'!$G33)+SUMIFS('Resultater - Østdanmark'!J:J,'Resultater - Østdanmark'!$F:$F,'CO2-udledning'!$D$2,'Resultater - Østdanmark'!$A:$A,'CO2-udledning'!$H33)+SUMIFS('Resultater - Østdanmark'!J:J,'Resultater - Østdanmark'!$F:$F,'CO2-udledning'!$D$2,'Resultater - Østdanmark'!$A:$A,'CO2-udledning'!$I33)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55000000000000004">
      <c r="A54" s="168" t="s">
        <v>24</v>
      </c>
      <c r="B54" s="168">
        <f t="shared" si="42"/>
        <v>2050</v>
      </c>
      <c r="C54" s="76">
        <f>SUMIFS('Resultater - Østdanmark'!J:J,'Resultater - Østdanmark'!$F:$F,'CO2-udledning'!$D$2,'Resultater - Østdanmark'!$C:$C,'CO2-udledning'!$F4)+SUMIFS('Resultater - Østdanmark'!J:J,'Resultater - Østdanmark'!$F:$F,$D$2,'Resultater - Østdanmark'!$A:$A,"Grøntsager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55000000000000004">
      <c r="A55" s="168" t="s">
        <v>24</v>
      </c>
      <c r="B55" s="168">
        <f t="shared" si="42"/>
        <v>2050</v>
      </c>
      <c r="C55" s="76">
        <f>SUMIFS('Resultater - Østdanmark'!J:J,'Resultater - Østdanmark'!$F:$F,'CO2-udledning'!$D$2,'Resultater - Østdanmark'!$C:$C,'CO2-udledning'!$F5)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55000000000000004">
      <c r="A56" s="168" t="s">
        <v>24</v>
      </c>
      <c r="B56" s="168">
        <f t="shared" si="42"/>
        <v>2050</v>
      </c>
      <c r="C56" s="76">
        <f>SUMIFS('Resultater - Østdanmark'!J:J,'Resultater - Østdanmark'!$F:$F,'CO2-udledning'!$D$2,'Resultater - Østdanmark'!$C:$C,'CO2-udledning'!$F6)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55000000000000004">
      <c r="A57" s="168" t="s">
        <v>24</v>
      </c>
      <c r="B57" s="168">
        <f t="shared" si="42"/>
        <v>2050</v>
      </c>
      <c r="C57" s="98">
        <f>SUMIFS('Resultater - Østdanmark'!J:J,'Resultater - Østdanmark'!$F:$F,'CO2-udledning'!$D$2,'Resultater - Østdanmark'!$A:$A,'CO2-udledning'!$G37)+SUMIFS('Resultater - Østdanmark'!J:J,'Resultater - Østdanmark'!$F:$F,'CO2-udledning'!$D$2,'Resultater - Østdanmark'!$A:$A,'CO2-udledning'!$H37)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55000000000000004">
      <c r="A58" s="168" t="s">
        <v>24</v>
      </c>
      <c r="B58" s="168">
        <f t="shared" si="42"/>
        <v>2050</v>
      </c>
      <c r="C58" s="98">
        <f ca="1">SUMIFS('Resultater - Østdanmark'!J:J,'Resultater - Østdanmark'!$F:$F,'CO2-udledning'!$D$2,'Resultater - Østdanmark'!$A:$A,'CO2-udledning'!$G38)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55000000000000004">
      <c r="A59" s="168" t="s">
        <v>24</v>
      </c>
      <c r="B59" s="168">
        <f t="shared" si="42"/>
        <v>2050</v>
      </c>
      <c r="C59" s="98">
        <f ca="1">SUMIFS('Resultater - Østdanmark'!J:J,'Resultater - Østdanmark'!$F:$F,'CO2-udledning'!$D$2,'Resultater - Østdanmark'!$A:$A,'CO2-udledning'!$G39)</f>
        <v>-121876.74474075671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55000000000000004">
      <c r="A60" s="168" t="s">
        <v>24</v>
      </c>
      <c r="B60" s="168">
        <f t="shared" si="42"/>
        <v>2050</v>
      </c>
      <c r="C60" s="98">
        <f>SUMIFS('Resultater - Østdanmark'!J:J,'Resultater - Østdanmark'!$F:$F,'CO2-udledning'!$D$2,'Resultater - Østdanmark'!$A:$A,'CO2-udledning'!$G40)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55000000000000004">
      <c r="A61" s="168" t="s">
        <v>24</v>
      </c>
      <c r="B61" s="168">
        <f t="shared" si="42"/>
        <v>2050</v>
      </c>
      <c r="C61" s="98">
        <f ca="1">SUMIFS('Resultater - Østdanmark'!J:J,'Resultater - Østdanmark'!$F:$F,'CO2-udledning'!$D$2,'Resultater - Østdanmark'!$A:$A,'CO2-udledning'!$G41)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4.4" x14ac:dyDescent="0.55000000000000004"/>
  <cols>
    <col min="1" max="1" width="15.89453125" bestFit="1" customWidth="1"/>
    <col min="2" max="2" width="14.68359375" bestFit="1" customWidth="1"/>
    <col min="3" max="3" width="8.734375" bestFit="1" customWidth="1"/>
    <col min="4" max="4" width="7.20703125" bestFit="1" customWidth="1"/>
    <col min="5" max="5" width="9.734375" bestFit="1" customWidth="1"/>
    <col min="6" max="6" width="9.7890625" bestFit="1" customWidth="1"/>
    <col min="7" max="8" width="8.734375" bestFit="1" customWidth="1"/>
    <col min="9" max="10" width="9.734375" bestFit="1" customWidth="1"/>
    <col min="11" max="11" width="8.734375" bestFit="1" customWidth="1"/>
    <col min="12" max="12" width="10.578125" bestFit="1" customWidth="1"/>
    <col min="13" max="14" width="8.734375" bestFit="1" customWidth="1"/>
    <col min="15" max="15" width="10.734375" bestFit="1" customWidth="1"/>
  </cols>
  <sheetData>
    <row r="1" spans="1:15" x14ac:dyDescent="0.55000000000000004">
      <c r="A1" s="77" t="s">
        <v>64</v>
      </c>
      <c r="B1" s="168" t="s">
        <v>80</v>
      </c>
    </row>
    <row r="3" spans="1:15" x14ac:dyDescent="0.55000000000000004">
      <c r="A3" s="77" t="s">
        <v>126</v>
      </c>
      <c r="B3" s="77" t="s">
        <v>62</v>
      </c>
    </row>
    <row r="4" spans="1:15" x14ac:dyDescent="0.55000000000000004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55000000000000004">
      <c r="A5" s="78">
        <v>2019</v>
      </c>
      <c r="B5" s="98">
        <v>285369.85676311865</v>
      </c>
      <c r="C5" s="98">
        <v>1508282.669250763</v>
      </c>
      <c r="D5" s="98">
        <v>41728.949017214291</v>
      </c>
      <c r="E5" s="98">
        <v>17913006.538833313</v>
      </c>
      <c r="F5" s="98">
        <v>280322.43675931642</v>
      </c>
      <c r="G5" s="98">
        <v>912099.45136908058</v>
      </c>
      <c r="H5" s="98">
        <v>2263176.157376945</v>
      </c>
      <c r="I5" s="98">
        <v>9112085.8491583709</v>
      </c>
      <c r="J5" s="98">
        <v>7955921.1296188012</v>
      </c>
      <c r="K5" s="98">
        <v>2006067.2488276002</v>
      </c>
      <c r="L5" s="98">
        <v>209867.13867694439</v>
      </c>
      <c r="M5" s="98">
        <v>678325.22851124685</v>
      </c>
      <c r="N5" s="98">
        <v>2610834.0419031042</v>
      </c>
      <c r="O5" s="98">
        <v>45777086.696065806</v>
      </c>
    </row>
    <row r="6" spans="1:15" x14ac:dyDescent="0.55000000000000004">
      <c r="A6" s="78">
        <v>2030</v>
      </c>
      <c r="B6" s="98">
        <v>299023.2542998378</v>
      </c>
      <c r="C6" s="98">
        <v>1575140.9144092035</v>
      </c>
      <c r="D6" s="98">
        <v>43787.726781687525</v>
      </c>
      <c r="E6" s="98">
        <v>18629111.406027414</v>
      </c>
      <c r="F6" s="98">
        <v>292709.42641242733</v>
      </c>
      <c r="G6" s="98">
        <v>955691.08666845679</v>
      </c>
      <c r="H6" s="98">
        <v>2366732.6604453353</v>
      </c>
      <c r="I6" s="98">
        <v>9582215.6590424441</v>
      </c>
      <c r="J6" s="98">
        <v>8384707.5690198224</v>
      </c>
      <c r="K6" s="98">
        <v>2102473.6734901322</v>
      </c>
      <c r="L6" s="98">
        <v>217061.63744714856</v>
      </c>
      <c r="M6" s="98">
        <v>712017.98187856667</v>
      </c>
      <c r="N6" s="98">
        <v>2753785.8431885946</v>
      </c>
      <c r="O6" s="98">
        <v>47914458.83911106</v>
      </c>
    </row>
    <row r="7" spans="1:15" x14ac:dyDescent="0.55000000000000004">
      <c r="A7" s="78">
        <v>2050</v>
      </c>
      <c r="B7" s="98">
        <v>309782.48347381124</v>
      </c>
      <c r="C7" s="98">
        <v>1637852.2802766147</v>
      </c>
      <c r="D7" s="98">
        <v>45473.250977237782</v>
      </c>
      <c r="E7" s="98">
        <v>19570585.90373097</v>
      </c>
      <c r="F7" s="98">
        <v>301672.27594711608</v>
      </c>
      <c r="G7" s="98">
        <v>990692.60751106648</v>
      </c>
      <c r="H7" s="98">
        <v>2451807.2882009698</v>
      </c>
      <c r="I7" s="98">
        <v>9984167.6287777852</v>
      </c>
      <c r="J7" s="98">
        <v>8782825.6044502724</v>
      </c>
      <c r="K7" s="98">
        <v>2180149.8218526607</v>
      </c>
      <c r="L7" s="98">
        <v>225690.0964570264</v>
      </c>
      <c r="M7" s="98">
        <v>737952.33278772887</v>
      </c>
      <c r="N7" s="98">
        <v>2870101.6897748457</v>
      </c>
      <c r="O7" s="98">
        <v>50088753.264218107</v>
      </c>
    </row>
    <row r="8" spans="1:15" x14ac:dyDescent="0.55000000000000004">
      <c r="A8" s="78" t="s">
        <v>61</v>
      </c>
      <c r="B8" s="98">
        <v>894175.59453676781</v>
      </c>
      <c r="C8" s="98">
        <v>4721275.8639365807</v>
      </c>
      <c r="D8" s="98">
        <v>130989.9267761396</v>
      </c>
      <c r="E8" s="98">
        <v>56112703.8485917</v>
      </c>
      <c r="F8" s="98">
        <v>874704.13911885978</v>
      </c>
      <c r="G8" s="98">
        <v>2858483.145548604</v>
      </c>
      <c r="H8" s="98">
        <v>7081716.1060232501</v>
      </c>
      <c r="I8" s="98">
        <v>28678469.136978604</v>
      </c>
      <c r="J8" s="98">
        <v>25123454.303088896</v>
      </c>
      <c r="K8" s="98">
        <v>6288690.7441703929</v>
      </c>
      <c r="L8" s="98">
        <v>652618.87258111942</v>
      </c>
      <c r="M8" s="98">
        <v>2128295.5431775423</v>
      </c>
      <c r="N8" s="98">
        <v>8234721.5748665445</v>
      </c>
      <c r="O8" s="98">
        <v>143780298.79939497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4.4" x14ac:dyDescent="0.55000000000000004"/>
  <cols>
    <col min="4" max="4" width="14.26171875" bestFit="1" customWidth="1"/>
  </cols>
  <sheetData>
    <row r="1" spans="1:4" x14ac:dyDescent="0.55000000000000004">
      <c r="A1" t="s">
        <v>57</v>
      </c>
      <c r="B1" t="s">
        <v>64</v>
      </c>
      <c r="C1" t="s">
        <v>58</v>
      </c>
      <c r="D1" t="s">
        <v>125</v>
      </c>
    </row>
    <row r="2" spans="1:4" x14ac:dyDescent="0.55000000000000004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55000000000000004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55000000000000004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55000000000000004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55000000000000004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55000000000000004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55000000000000004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55000000000000004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55000000000000004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55000000000000004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55000000000000004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55000000000000004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55000000000000004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55000000000000004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55000000000000004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55000000000000004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55000000000000004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55000000000000004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55000000000000004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55000000000000004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55000000000000004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55000000000000004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55000000000000004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55000000000000004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55000000000000004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55000000000000004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55000000000000004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55000000000000004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55000000000000004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55000000000000004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55000000000000004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55000000000000004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55000000000000004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55000000000000004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55000000000000004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55000000000000004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55000000000000004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55000000000000004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55000000000000004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55000000000000004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55000000000000004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55000000000000004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55000000000000004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55000000000000004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55000000000000004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55000000000000004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55000000000000004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55000000000000004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55000000000000004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55000000000000004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55000000000000004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55000000000000004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55000000000000004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55000000000000004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55000000000000004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55000000000000004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55000000000000004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55000000000000004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55000000000000004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55000000000000004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55000000000000004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55000000000000004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55000000000000004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55000000000000004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55000000000000004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55000000000000004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55000000000000004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55000000000000004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55000000000000004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55000000000000004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55000000000000004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55000000000000004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55000000000000004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55000000000000004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55000000000000004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55000000000000004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55000000000000004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55000000000000004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12.3125" bestFit="1" customWidth="1"/>
    <col min="4" max="4" width="11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55000000000000004">
      <c r="A6" s="78">
        <v>2019</v>
      </c>
      <c r="B6" s="236">
        <v>3010292.0648196544</v>
      </c>
      <c r="C6" s="236">
        <v>827707.93518034508</v>
      </c>
      <c r="D6" s="236">
        <v>3837999.9999999995</v>
      </c>
    </row>
    <row r="7" spans="1:4" x14ac:dyDescent="0.55000000000000004">
      <c r="A7" s="78">
        <v>2030</v>
      </c>
      <c r="B7" s="236">
        <v>2848803.6821181462</v>
      </c>
      <c r="C7" s="236">
        <v>783305.19520584797</v>
      </c>
      <c r="D7" s="236">
        <v>3632108.8773239944</v>
      </c>
    </row>
    <row r="8" spans="1:4" x14ac:dyDescent="0.55000000000000004">
      <c r="A8" s="78">
        <v>2050</v>
      </c>
      <c r="B8" s="236">
        <v>2586395.8721913062</v>
      </c>
      <c r="C8" s="236">
        <v>712886.15579109383</v>
      </c>
      <c r="D8" s="236">
        <v>3299282.0279823998</v>
      </c>
    </row>
    <row r="9" spans="1:4" x14ac:dyDescent="0.55000000000000004">
      <c r="A9" s="78" t="s">
        <v>61</v>
      </c>
      <c r="B9" s="236">
        <v>8445491.6191291064</v>
      </c>
      <c r="C9" s="236">
        <v>2323899.2861772869</v>
      </c>
      <c r="D9" s="236">
        <v>10769390.905306395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5.1015625" bestFit="1" customWidth="1"/>
    <col min="3" max="3" width="8.47265625" bestFit="1" customWidth="1"/>
    <col min="4" max="4" width="10.20703125" bestFit="1" customWidth="1"/>
    <col min="5" max="5" width="13.68359375" bestFit="1" customWidth="1"/>
    <col min="6" max="6" width="8.578125" bestFit="1" customWidth="1"/>
    <col min="7" max="7" width="13.68359375" bestFit="1" customWidth="1"/>
    <col min="8" max="8" width="8.578125" bestFit="1" customWidth="1"/>
    <col min="9" max="10" width="13.68359375" bestFit="1" customWidth="1"/>
    <col min="11" max="11" width="58" bestFit="1" customWidth="1"/>
    <col min="12" max="12" width="18.26171875" bestFit="1" customWidth="1"/>
    <col min="13" max="13" width="58" bestFit="1" customWidth="1"/>
    <col min="14" max="14" width="18.26171875" bestFit="1" customWidth="1"/>
    <col min="15" max="15" width="58" bestFit="1" customWidth="1"/>
    <col min="16" max="16" width="8.15625" bestFit="1" customWidth="1"/>
    <col min="17" max="17" width="12.15625" bestFit="1" customWidth="1"/>
    <col min="18" max="18" width="11.68359375" bestFit="1" customWidth="1"/>
    <col min="19" max="19" width="14.26171875" bestFit="1" customWidth="1"/>
    <col min="20" max="20" width="8.83984375" bestFit="1" customWidth="1"/>
    <col min="21" max="21" width="9" bestFit="1" customWidth="1"/>
    <col min="22" max="28" width="11.68359375" bestFit="1" customWidth="1"/>
    <col min="29" max="29" width="18.83984375" bestFit="1" customWidth="1"/>
    <col min="30" max="30" width="18.41796875" bestFit="1" customWidth="1"/>
    <col min="31" max="31" width="11.68359375" bestFit="1" customWidth="1"/>
    <col min="32" max="32" width="9.578125" bestFit="1" customWidth="1"/>
    <col min="33" max="33" width="11.68359375" bestFit="1" customWidth="1"/>
    <col min="34" max="34" width="5.68359375" bestFit="1" customWidth="1"/>
    <col min="35" max="35" width="11.41796875" bestFit="1" customWidth="1"/>
    <col min="36" max="36" width="12.26171875" bestFit="1" customWidth="1"/>
    <col min="37" max="37" width="8.83984375" bestFit="1" customWidth="1"/>
    <col min="38" max="38" width="9" bestFit="1" customWidth="1"/>
    <col min="39" max="40" width="11.68359375" bestFit="1" customWidth="1"/>
    <col min="41" max="42" width="9.15625" bestFit="1" customWidth="1"/>
    <col min="43" max="43" width="10" bestFit="1" customWidth="1"/>
    <col min="44" max="44" width="11.26171875" bestFit="1" customWidth="1"/>
    <col min="45" max="45" width="12.26171875" bestFit="1" customWidth="1"/>
    <col min="46" max="46" width="15.83984375" bestFit="1" customWidth="1"/>
    <col min="47" max="49" width="12.26171875" bestFit="1" customWidth="1"/>
    <col min="50" max="50" width="13.26171875" bestFit="1" customWidth="1"/>
    <col min="51" max="51" width="13.41796875" bestFit="1" customWidth="1"/>
    <col min="52" max="52" width="20.83984375" bestFit="1" customWidth="1"/>
    <col min="53" max="54" width="12.26171875" bestFit="1" customWidth="1"/>
    <col min="55" max="55" width="13.26171875" bestFit="1" customWidth="1"/>
    <col min="56" max="59" width="12.26171875" bestFit="1" customWidth="1"/>
    <col min="60" max="60" width="13.26171875" bestFit="1" customWidth="1"/>
    <col min="61" max="61" width="13.41796875" bestFit="1" customWidth="1"/>
    <col min="62" max="62" width="20.83984375" bestFit="1" customWidth="1"/>
    <col min="63" max="64" width="12.26171875" bestFit="1" customWidth="1"/>
    <col min="65" max="65" width="13.26171875" bestFit="1" customWidth="1"/>
    <col min="66" max="66" width="13.41796875" bestFit="1" customWidth="1"/>
    <col min="67" max="67" width="20.83984375" bestFit="1" customWidth="1"/>
    <col min="68" max="69" width="11.26171875" bestFit="1" customWidth="1"/>
    <col min="70" max="70" width="13.26171875" bestFit="1" customWidth="1"/>
    <col min="71" max="71" width="13.41796875" bestFit="1" customWidth="1"/>
    <col min="72" max="72" width="12.26171875" bestFit="1" customWidth="1"/>
    <col min="73" max="73" width="16.83984375" bestFit="1" customWidth="1"/>
    <col min="74" max="74" width="12.26171875" bestFit="1" customWidth="1"/>
    <col min="75" max="75" width="13.26171875" bestFit="1" customWidth="1"/>
    <col min="76" max="76" width="13.41796875" bestFit="1" customWidth="1"/>
    <col min="77" max="77" width="12.26171875" bestFit="1" customWidth="1"/>
    <col min="78" max="78" width="16.83984375" bestFit="1" customWidth="1"/>
    <col min="79" max="79" width="12.26171875" bestFit="1" customWidth="1"/>
    <col min="80" max="80" width="13.26171875" bestFit="1" customWidth="1"/>
    <col min="81" max="81" width="13.41796875" bestFit="1" customWidth="1"/>
    <col min="82" max="82" width="12.26171875" bestFit="1" customWidth="1"/>
    <col min="83" max="83" width="15.83984375" bestFit="1" customWidth="1"/>
    <col min="84" max="84" width="12.26171875" bestFit="1" customWidth="1"/>
    <col min="85" max="85" width="13.26171875" bestFit="1" customWidth="1"/>
    <col min="86" max="89" width="11.68359375" bestFit="1" customWidth="1"/>
    <col min="90" max="90" width="14.26171875" bestFit="1" customWidth="1"/>
    <col min="91" max="91" width="13.41796875" bestFit="1" customWidth="1"/>
    <col min="92" max="92" width="20.83984375" bestFit="1" customWidth="1"/>
    <col min="93" max="94" width="11.68359375" bestFit="1" customWidth="1"/>
    <col min="95" max="95" width="14.26171875" bestFit="1" customWidth="1"/>
    <col min="96" max="96" width="13.41796875" bestFit="1" customWidth="1"/>
    <col min="97" max="97" width="20.83984375" bestFit="1" customWidth="1"/>
    <col min="98" max="99" width="12.26171875" bestFit="1" customWidth="1"/>
    <col min="100" max="100" width="14.26171875" bestFit="1" customWidth="1"/>
    <col min="101" max="101" width="12.26171875" bestFit="1" customWidth="1"/>
    <col min="102" max="103" width="13.26171875" bestFit="1" customWidth="1"/>
    <col min="104" max="104" width="13.41796875" bestFit="1" customWidth="1"/>
    <col min="105" max="105" width="20.83984375" bestFit="1" customWidth="1"/>
    <col min="106" max="107" width="12.26171875" bestFit="1" customWidth="1"/>
    <col min="108" max="109" width="13.26171875" bestFit="1" customWidth="1"/>
    <col min="110" max="113" width="11.68359375" bestFit="1" customWidth="1"/>
    <col min="114" max="115" width="13.26171875" bestFit="1" customWidth="1"/>
    <col min="116" max="116" width="13.41796875" bestFit="1" customWidth="1"/>
    <col min="117" max="117" width="20.83984375" bestFit="1" customWidth="1"/>
    <col min="118" max="120" width="11.68359375" bestFit="1" customWidth="1"/>
    <col min="121" max="121" width="13.26171875" bestFit="1" customWidth="1"/>
    <col min="122" max="122" width="13.41796875" bestFit="1" customWidth="1"/>
    <col min="123" max="123" width="12.26171875" bestFit="1" customWidth="1"/>
    <col min="124" max="124" width="15.83984375" bestFit="1" customWidth="1"/>
    <col min="125" max="125" width="12.26171875" bestFit="1" customWidth="1"/>
    <col min="126" max="127" width="13.26171875" bestFit="1" customWidth="1"/>
    <col min="128" max="128" width="13.41796875" bestFit="1" customWidth="1"/>
    <col min="129" max="129" width="20.83984375" bestFit="1" customWidth="1"/>
    <col min="130" max="131" width="11.26171875" bestFit="1" customWidth="1"/>
    <col min="132" max="133" width="13.26171875" bestFit="1" customWidth="1"/>
    <col min="134" max="134" width="13.41796875" bestFit="1" customWidth="1"/>
    <col min="135" max="135" width="20.83984375" bestFit="1" customWidth="1"/>
    <col min="136" max="137" width="12.26171875" bestFit="1" customWidth="1"/>
    <col min="138" max="139" width="13.26171875" bestFit="1" customWidth="1"/>
    <col min="140" max="143" width="12.26171875" bestFit="1" customWidth="1"/>
    <col min="144" max="145" width="13.26171875" bestFit="1" customWidth="1"/>
    <col min="146" max="146" width="13.41796875" bestFit="1" customWidth="1"/>
    <col min="147" max="147" width="12.26171875" bestFit="1" customWidth="1"/>
    <col min="148" max="148" width="16.83984375" bestFit="1" customWidth="1"/>
    <col min="149" max="149" width="12.26171875" bestFit="1" customWidth="1"/>
    <col min="150" max="151" width="13.26171875" bestFit="1" customWidth="1"/>
    <col min="152" max="152" width="13.41796875" bestFit="1" customWidth="1"/>
    <col min="153" max="153" width="12.26171875" bestFit="1" customWidth="1"/>
    <col min="154" max="154" width="16.83984375" bestFit="1" customWidth="1"/>
    <col min="155" max="155" width="12.26171875" bestFit="1" customWidth="1"/>
    <col min="156" max="157" width="13.26171875" bestFit="1" customWidth="1"/>
    <col min="158" max="158" width="13.41796875" bestFit="1" customWidth="1"/>
    <col min="159" max="159" width="20.83984375" bestFit="1" customWidth="1"/>
    <col min="160" max="161" width="12.26171875" bestFit="1" customWidth="1"/>
    <col min="162" max="163" width="14.26171875" bestFit="1" customWidth="1"/>
    <col min="164" max="164" width="13.41796875" bestFit="1" customWidth="1"/>
    <col min="165" max="165" width="20.83984375" bestFit="1" customWidth="1"/>
    <col min="166" max="167" width="11.68359375" bestFit="1" customWidth="1"/>
    <col min="168" max="169" width="14.26171875" bestFit="1" customWidth="1"/>
    <col min="170" max="173" width="11.68359375" bestFit="1" customWidth="1"/>
    <col min="174" max="175" width="14.26171875" bestFit="1" customWidth="1"/>
    <col min="176" max="176" width="12.26171875" bestFit="1" customWidth="1"/>
  </cols>
  <sheetData>
    <row r="4" spans="1:4" x14ac:dyDescent="0.55000000000000004">
      <c r="A4" s="77" t="s">
        <v>192</v>
      </c>
      <c r="B4" s="77" t="s">
        <v>62</v>
      </c>
    </row>
    <row r="5" spans="1:4" x14ac:dyDescent="0.55000000000000004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55000000000000004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55000000000000004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55000000000000004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55000000000000004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4.4" x14ac:dyDescent="0.55000000000000004"/>
  <cols>
    <col min="1" max="1" width="12.05078125" bestFit="1" customWidth="1"/>
    <col min="2" max="2" width="14.68359375" bestFit="1" customWidth="1"/>
    <col min="3" max="3" width="22.68359375" bestFit="1" customWidth="1"/>
    <col min="4" max="4" width="16.15625" bestFit="1" customWidth="1"/>
    <col min="5" max="6" width="10" bestFit="1" customWidth="1"/>
    <col min="7" max="7" width="11" bestFit="1" customWidth="1"/>
  </cols>
  <sheetData>
    <row r="1" spans="1:7" x14ac:dyDescent="0.55000000000000004">
      <c r="A1" s="77" t="s">
        <v>64</v>
      </c>
      <c r="B1" s="168" t="s">
        <v>80</v>
      </c>
    </row>
    <row r="3" spans="1:7" x14ac:dyDescent="0.55000000000000004">
      <c r="A3" s="77" t="s">
        <v>79</v>
      </c>
      <c r="B3" s="77" t="s">
        <v>62</v>
      </c>
    </row>
    <row r="4" spans="1:7" x14ac:dyDescent="0.55000000000000004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55000000000000004">
      <c r="A5" s="78">
        <v>2019</v>
      </c>
      <c r="B5" s="236">
        <v>66640</v>
      </c>
      <c r="C5" s="236">
        <v>592120</v>
      </c>
      <c r="D5" s="236">
        <v>2578669.9999999995</v>
      </c>
      <c r="E5" s="236">
        <v>505590.00000000006</v>
      </c>
      <c r="F5" s="236">
        <v>562410</v>
      </c>
      <c r="G5" s="236">
        <v>4305430</v>
      </c>
    </row>
    <row r="6" spans="1:7" x14ac:dyDescent="0.55000000000000004">
      <c r="A6" s="78">
        <v>2030</v>
      </c>
      <c r="B6" s="236">
        <v>66640</v>
      </c>
      <c r="C6" s="236">
        <v>592120</v>
      </c>
      <c r="D6" s="236">
        <v>2542769.9999999995</v>
      </c>
      <c r="E6" s="236">
        <v>520590.00000000006</v>
      </c>
      <c r="F6" s="236">
        <v>583310</v>
      </c>
      <c r="G6" s="236">
        <v>4305430</v>
      </c>
    </row>
    <row r="7" spans="1:7" x14ac:dyDescent="0.55000000000000004">
      <c r="A7" s="78">
        <v>2050</v>
      </c>
      <c r="B7" s="236">
        <v>66640</v>
      </c>
      <c r="C7" s="236">
        <v>592120</v>
      </c>
      <c r="D7" s="236">
        <v>2504770</v>
      </c>
      <c r="E7" s="236">
        <v>520590.00000000006</v>
      </c>
      <c r="F7" s="236">
        <v>621310</v>
      </c>
      <c r="G7" s="236">
        <v>4305430</v>
      </c>
    </row>
    <row r="8" spans="1:7" x14ac:dyDescent="0.55000000000000004">
      <c r="A8" s="78" t="s">
        <v>61</v>
      </c>
      <c r="B8" s="236">
        <v>199920</v>
      </c>
      <c r="C8" s="236">
        <v>1776360</v>
      </c>
      <c r="D8" s="236">
        <v>7626209.9999999991</v>
      </c>
      <c r="E8" s="236">
        <v>1546770.0000000002</v>
      </c>
      <c r="F8" s="236">
        <v>1767030</v>
      </c>
      <c r="G8" s="236">
        <v>12916290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4.4" x14ac:dyDescent="0.55000000000000004"/>
  <cols>
    <col min="1" max="1" width="20.41796875" bestFit="1" customWidth="1"/>
    <col min="2" max="2" width="14.68359375" bestFit="1" customWidth="1"/>
    <col min="3" max="3" width="7.47265625" bestFit="1" customWidth="1"/>
    <col min="4" max="4" width="8.47265625" bestFit="1" customWidth="1"/>
    <col min="5" max="5" width="9.7890625" bestFit="1" customWidth="1"/>
    <col min="6" max="6" width="8.41796875" bestFit="1" customWidth="1"/>
    <col min="7" max="7" width="8.47265625" bestFit="1" customWidth="1"/>
    <col min="8" max="8" width="10" bestFit="1" customWidth="1"/>
    <col min="9" max="12" width="8.47265625" bestFit="1" customWidth="1"/>
    <col min="13" max="13" width="14.15625" bestFit="1" customWidth="1"/>
    <col min="14" max="14" width="10.578125" bestFit="1" customWidth="1"/>
    <col min="15" max="15" width="8.47265625" bestFit="1" customWidth="1"/>
    <col min="16" max="16" width="10.20703125" bestFit="1" customWidth="1"/>
    <col min="17" max="21" width="11.68359375" bestFit="1" customWidth="1"/>
    <col min="22" max="22" width="7.83984375" bestFit="1" customWidth="1"/>
    <col min="23" max="27" width="11.68359375" bestFit="1" customWidth="1"/>
    <col min="28" max="28" width="14.15625" bestFit="1" customWidth="1"/>
    <col min="29" max="29" width="9.578125" bestFit="1" customWidth="1"/>
    <col min="30" max="35" width="11.68359375" bestFit="1" customWidth="1"/>
    <col min="36" max="36" width="7.83984375" bestFit="1" customWidth="1"/>
    <col min="37" max="41" width="11.68359375" bestFit="1" customWidth="1"/>
    <col min="42" max="42" width="14.15625" bestFit="1" customWidth="1"/>
    <col min="43" max="43" width="8.578125" bestFit="1" customWidth="1"/>
    <col min="44" max="44" width="10.15625" bestFit="1" customWidth="1"/>
    <col min="45" max="49" width="11.68359375" bestFit="1" customWidth="1"/>
    <col min="50" max="50" width="16" bestFit="1" customWidth="1"/>
    <col min="51" max="52" width="11.68359375" bestFit="1" customWidth="1"/>
    <col min="53" max="53" width="18.68359375" bestFit="1" customWidth="1"/>
    <col min="54" max="54" width="10.15625" bestFit="1" customWidth="1"/>
    <col min="55" max="55" width="16.41796875" bestFit="1" customWidth="1"/>
    <col min="56" max="56" width="14.83984375" bestFit="1" customWidth="1"/>
    <col min="57" max="57" width="15.41796875" bestFit="1" customWidth="1"/>
    <col min="58" max="58" width="16.41796875" bestFit="1" customWidth="1"/>
    <col min="59" max="59" width="14.83984375" bestFit="1" customWidth="1"/>
    <col min="60" max="60" width="15.41796875" bestFit="1" customWidth="1"/>
    <col min="61" max="61" width="16.41796875" bestFit="1" customWidth="1"/>
    <col min="62" max="62" width="14.83984375" bestFit="1" customWidth="1"/>
    <col min="63" max="63" width="15.41796875" bestFit="1" customWidth="1"/>
    <col min="64" max="64" width="16.41796875" bestFit="1" customWidth="1"/>
    <col min="65" max="65" width="14.83984375" bestFit="1" customWidth="1"/>
    <col min="66" max="66" width="15.41796875" bestFit="1" customWidth="1"/>
    <col min="67" max="67" width="16.41796875" bestFit="1" customWidth="1"/>
    <col min="68" max="68" width="14.83984375" bestFit="1" customWidth="1"/>
    <col min="69" max="69" width="15.41796875" bestFit="1" customWidth="1"/>
    <col min="70" max="70" width="16.41796875" bestFit="1" customWidth="1"/>
    <col min="71" max="71" width="14.83984375" bestFit="1" customWidth="1"/>
    <col min="72" max="72" width="15.41796875" bestFit="1" customWidth="1"/>
    <col min="73" max="73" width="16.41796875" bestFit="1" customWidth="1"/>
    <col min="74" max="74" width="14.83984375" bestFit="1" customWidth="1"/>
    <col min="75" max="75" width="15.41796875" bestFit="1" customWidth="1"/>
    <col min="76" max="76" width="16.41796875" bestFit="1" customWidth="1"/>
    <col min="77" max="77" width="14.83984375" bestFit="1" customWidth="1"/>
    <col min="78" max="78" width="15.41796875" bestFit="1" customWidth="1"/>
    <col min="79" max="79" width="16.41796875" bestFit="1" customWidth="1"/>
    <col min="80" max="80" width="14.83984375" bestFit="1" customWidth="1"/>
    <col min="81" max="81" width="15.41796875" bestFit="1" customWidth="1"/>
    <col min="82" max="82" width="16.41796875" bestFit="1" customWidth="1"/>
    <col min="83" max="83" width="23.41796875" bestFit="1" customWidth="1"/>
    <col min="84" max="84" width="24" bestFit="1" customWidth="1"/>
    <col min="85" max="85" width="25" bestFit="1" customWidth="1"/>
    <col min="86" max="86" width="19.41796875" bestFit="1" customWidth="1"/>
    <col min="87" max="87" width="20" bestFit="1" customWidth="1"/>
    <col min="88" max="88" width="21.15625" bestFit="1" customWidth="1"/>
  </cols>
  <sheetData>
    <row r="1" spans="1:16" x14ac:dyDescent="0.55000000000000004">
      <c r="A1" s="77" t="s">
        <v>63</v>
      </c>
      <c r="B1" s="168" t="s">
        <v>80</v>
      </c>
    </row>
    <row r="2" spans="1:16" x14ac:dyDescent="0.55000000000000004">
      <c r="A2" s="77" t="s">
        <v>64</v>
      </c>
      <c r="B2" s="168" t="s">
        <v>80</v>
      </c>
    </row>
    <row r="4" spans="1:16" x14ac:dyDescent="0.55000000000000004">
      <c r="A4" s="77" t="s">
        <v>87</v>
      </c>
      <c r="B4" s="77" t="s">
        <v>62</v>
      </c>
    </row>
    <row r="5" spans="1:16" x14ac:dyDescent="0.55000000000000004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55000000000000004">
      <c r="A6" s="78">
        <v>2019</v>
      </c>
      <c r="B6" s="236">
        <v>76936.491003913645</v>
      </c>
      <c r="C6" s="236">
        <v>5112.5796318426765</v>
      </c>
      <c r="D6" s="236">
        <v>288510.97448626079</v>
      </c>
      <c r="E6" s="236">
        <v>12737.861407364735</v>
      </c>
      <c r="F6" s="236">
        <v>18955.494408534123</v>
      </c>
      <c r="G6" s="236">
        <v>55123.467536910946</v>
      </c>
      <c r="H6" s="236">
        <v>1338020.0537015593</v>
      </c>
      <c r="I6" s="236">
        <v>180387.32565123856</v>
      </c>
      <c r="J6" s="236">
        <v>69972.60108508839</v>
      </c>
      <c r="K6" s="236">
        <v>161391.51776080468</v>
      </c>
      <c r="L6" s="236">
        <v>33713.005264576917</v>
      </c>
      <c r="M6" s="236">
        <v>221142.47330260737</v>
      </c>
      <c r="N6" s="236">
        <v>8583.1535453348897</v>
      </c>
      <c r="O6" s="236">
        <v>108083.00121396239</v>
      </c>
      <c r="P6" s="236">
        <v>2578669.9999999995</v>
      </c>
    </row>
    <row r="7" spans="1:16" x14ac:dyDescent="0.55000000000000004">
      <c r="A7" s="78">
        <v>2030</v>
      </c>
      <c r="B7" s="236">
        <v>75999.941100745782</v>
      </c>
      <c r="C7" s="236">
        <v>5057.7123759490005</v>
      </c>
      <c r="D7" s="236">
        <v>282303.19920321304</v>
      </c>
      <c r="E7" s="236">
        <v>12622.363778384954</v>
      </c>
      <c r="F7" s="236">
        <v>18726.185656826969</v>
      </c>
      <c r="G7" s="236">
        <v>54370.001667143173</v>
      </c>
      <c r="H7" s="236">
        <v>1323233.9318603247</v>
      </c>
      <c r="I7" s="236">
        <v>178138.55471061173</v>
      </c>
      <c r="J7" s="236">
        <v>69142.523121272709</v>
      </c>
      <c r="K7" s="236">
        <v>159742.65489319249</v>
      </c>
      <c r="L7" s="236">
        <v>33502.54794358011</v>
      </c>
      <c r="M7" s="236">
        <v>215019.08701274509</v>
      </c>
      <c r="N7" s="236">
        <v>8390.4731787653982</v>
      </c>
      <c r="O7" s="236">
        <v>106520.82349724456</v>
      </c>
      <c r="P7" s="236">
        <v>2542769.9999999995</v>
      </c>
    </row>
    <row r="8" spans="1:16" x14ac:dyDescent="0.55000000000000004">
      <c r="A8" s="78">
        <v>2050</v>
      </c>
      <c r="B8" s="236">
        <v>74747.65047190334</v>
      </c>
      <c r="C8" s="236">
        <v>4986.5199069780456</v>
      </c>
      <c r="D8" s="236">
        <v>278245.65551293752</v>
      </c>
      <c r="E8" s="236">
        <v>12435.670296574637</v>
      </c>
      <c r="F8" s="236">
        <v>18428.760173514249</v>
      </c>
      <c r="G8" s="236">
        <v>53467.321077190099</v>
      </c>
      <c r="H8" s="236">
        <v>1303059.1976291048</v>
      </c>
      <c r="I8" s="236">
        <v>175131.08586607355</v>
      </c>
      <c r="J8" s="236">
        <v>68065.805596326551</v>
      </c>
      <c r="K8" s="236">
        <v>157332.54079645898</v>
      </c>
      <c r="L8" s="236">
        <v>33154.09341997833</v>
      </c>
      <c r="M8" s="236">
        <v>212301.51768454045</v>
      </c>
      <c r="N8" s="236">
        <v>8278.157020658904</v>
      </c>
      <c r="O8" s="236">
        <v>105136.02454776008</v>
      </c>
      <c r="P8" s="236">
        <v>2504769.9999999991</v>
      </c>
    </row>
    <row r="9" spans="1:16" x14ac:dyDescent="0.55000000000000004">
      <c r="A9" s="78" t="s">
        <v>61</v>
      </c>
      <c r="B9" s="236">
        <v>227684.08257656277</v>
      </c>
      <c r="C9" s="236">
        <v>15156.811914769722</v>
      </c>
      <c r="D9" s="236">
        <v>849059.82920241146</v>
      </c>
      <c r="E9" s="236">
        <v>37795.895482324326</v>
      </c>
      <c r="F9" s="236">
        <v>56110.440238875337</v>
      </c>
      <c r="G9" s="236">
        <v>162960.79028124423</v>
      </c>
      <c r="H9" s="236">
        <v>3964313.1831909888</v>
      </c>
      <c r="I9" s="236">
        <v>533656.96622792375</v>
      </c>
      <c r="J9" s="236">
        <v>207180.92980268766</v>
      </c>
      <c r="K9" s="236">
        <v>478466.71345045615</v>
      </c>
      <c r="L9" s="236">
        <v>100369.64662813535</v>
      </c>
      <c r="M9" s="236">
        <v>648463.07799989288</v>
      </c>
      <c r="N9" s="236">
        <v>25251.783744759188</v>
      </c>
      <c r="O9" s="236">
        <v>319739.84925896703</v>
      </c>
      <c r="P9" s="236">
        <v>7626209.9999999981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4.4" x14ac:dyDescent="0.55000000000000004"/>
  <cols>
    <col min="5" max="5" width="10.578125" bestFit="1" customWidth="1"/>
  </cols>
  <sheetData>
    <row r="1" spans="1:5" x14ac:dyDescent="0.55000000000000004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55000000000000004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55000000000000004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55000000000000004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55000000000000004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55000000000000004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55000000000000004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55000000000000004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55000000000000004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55000000000000004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55000000000000004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55000000000000004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55000000000000004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55000000000000004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55000000000000004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55000000000000004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55000000000000004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55000000000000004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55000000000000004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55000000000000004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55000000000000004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55000000000000004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55000000000000004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55000000000000004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55000000000000004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55000000000000004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55000000000000004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55000000000000004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55000000000000004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55000000000000004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55000000000000004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55000000000000004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55000000000000004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55000000000000004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55000000000000004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55000000000000004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55000000000000004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55000000000000004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55000000000000004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55000000000000004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55000000000000004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55000000000000004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55000000000000004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55000000000000004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55000000000000004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55000000000000004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55000000000000004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55000000000000004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55000000000000004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55000000000000004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55000000000000004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55000000000000004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55000000000000004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55000000000000004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55000000000000004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55000000000000004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55000000000000004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55000000000000004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55000000000000004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55000000000000004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55000000000000004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55000000000000004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55000000000000004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55000000000000004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55000000000000004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55000000000000004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55000000000000004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55000000000000004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55000000000000004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55000000000000004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55000000000000004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55000000000000004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55000000000000004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55000000000000004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55000000000000004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55000000000000004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55000000000000004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55000000000000004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55000000000000004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55000000000000004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55000000000000004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55000000000000004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55000000000000004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55000000000000004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55000000000000004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55000000000000004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55000000000000004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55000000000000004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55000000000000004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55000000000000004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55000000000000004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4.4" x14ac:dyDescent="0.55000000000000004"/>
  <sheetData>
    <row r="1" spans="1:16" x14ac:dyDescent="0.55000000000000004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55000000000000004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55000000000000004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55000000000000004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55000000000000004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55000000000000004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55000000000000004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55000000000000004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55000000000000004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55000000000000004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55000000000000004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55000000000000004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55000000000000004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55000000000000004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55000000000000004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55000000000000004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55000000000000004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55000000000000004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55000000000000004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55000000000000004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55000000000000004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55000000000000004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55000000000000004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55000000000000004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55000000000000004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55000000000000004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55000000000000004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55000000000000004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55000000000000004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55000000000000004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55000000000000004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55000000000000004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55000000000000004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55000000000000004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55000000000000004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55000000000000004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55000000000000004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55000000000000004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55000000000000004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55000000000000004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55000000000000004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55000000000000004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55000000000000004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55000000000000004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55000000000000004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55000000000000004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55000000000000004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55000000000000004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55000000000000004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55000000000000004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55000000000000004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55000000000000004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55000000000000004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55000000000000004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55000000000000004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55000000000000004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55000000000000004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55000000000000004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55000000000000004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55000000000000004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55000000000000004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55000000000000004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55000000000000004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55000000000000004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55000000000000004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55000000000000004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55000000000000004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55000000000000004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55000000000000004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55000000000000004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55000000000000004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55000000000000004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55000000000000004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55000000000000004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55000000000000004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55000000000000004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55000000000000004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55000000000000004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55000000000000004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55000000000000004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55000000000000004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55000000000000004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55000000000000004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55000000000000004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55000000000000004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55000000000000004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55000000000000004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55000000000000004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55000000000000004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55000000000000004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55000000000000004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55000000000000004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55000000000000004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55000000000000004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55000000000000004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55000000000000004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55000000000000004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55000000000000004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55000000000000004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55000000000000004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55000000000000004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55000000000000004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55000000000000004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55000000000000004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55000000000000004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55000000000000004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55000000000000004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55000000000000004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55000000000000004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55000000000000004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55000000000000004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55000000000000004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55000000000000004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55000000000000004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55000000000000004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55000000000000004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55000000000000004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55000000000000004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55000000000000004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55000000000000004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55000000000000004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55000000000000004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55000000000000004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55000000000000004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55000000000000004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55000000000000004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55000000000000004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55000000000000004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55000000000000004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55000000000000004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55000000000000004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55000000000000004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55000000000000004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55000000000000004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55000000000000004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55000000000000004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55000000000000004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55000000000000004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55000000000000004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55000000000000004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55000000000000004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55000000000000004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55000000000000004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55000000000000004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55000000000000004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55000000000000004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55000000000000004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55000000000000004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55000000000000004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55000000000000004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55000000000000004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55000000000000004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55000000000000004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55000000000000004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55000000000000004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55000000000000004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55000000000000004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55000000000000004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55000000000000004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55000000000000004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55000000000000004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55000000000000004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55000000000000004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55000000000000004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55000000000000004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55000000000000004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55000000000000004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55000000000000004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55000000000000004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55000000000000004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55000000000000004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55000000000000004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55000000000000004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55000000000000004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55000000000000004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55000000000000004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55000000000000004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55000000000000004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55000000000000004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55000000000000004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55000000000000004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55000000000000004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55000000000000004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55000000000000004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55000000000000004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55000000000000004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55000000000000004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55000000000000004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55000000000000004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55000000000000004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55000000000000004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55000000000000004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55000000000000004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55000000000000004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55000000000000004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55000000000000004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55000000000000004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55000000000000004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55000000000000004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55000000000000004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55000000000000004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55000000000000004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55000000000000004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55000000000000004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55000000000000004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55000000000000004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55000000000000004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55000000000000004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55000000000000004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55000000000000004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55000000000000004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55000000000000004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55000000000000004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55000000000000004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55000000000000004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55000000000000004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55000000000000004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55000000000000004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55000000000000004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55000000000000004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55000000000000004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55000000000000004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55000000000000004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55000000000000004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55000000000000004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55000000000000004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55000000000000004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55000000000000004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55000000000000004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55000000000000004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55000000000000004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55000000000000004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55000000000000004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55000000000000004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55000000000000004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55000000000000004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55000000000000004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55000000000000004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55000000000000004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55000000000000004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55000000000000004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55000000000000004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55000000000000004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55000000000000004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55000000000000004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55000000000000004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55000000000000004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55000000000000004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55000000000000004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55000000000000004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55000000000000004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55000000000000004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55000000000000004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55000000000000004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55000000000000004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55000000000000004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55000000000000004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55000000000000004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55000000000000004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55000000000000004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55000000000000004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55000000000000004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55000000000000004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55000000000000004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55000000000000004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55000000000000004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55000000000000004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55000000000000004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55000000000000004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55000000000000004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55000000000000004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55000000000000004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55000000000000004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55000000000000004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55000000000000004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55000000000000004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55000000000000004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55000000000000004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55000000000000004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55000000000000004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55000000000000004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55000000000000004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55000000000000004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55000000000000004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55000000000000004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55000000000000004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55000000000000004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55000000000000004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55000000000000004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55000000000000004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55000000000000004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55000000000000004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55000000000000004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55000000000000004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55000000000000004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55000000000000004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55000000000000004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55000000000000004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55000000000000004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55000000000000004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55000000000000004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55000000000000004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55000000000000004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55000000000000004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55000000000000004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55000000000000004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55000000000000004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55000000000000004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55000000000000004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55000000000000004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55000000000000004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55000000000000004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55000000000000004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55000000000000004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55000000000000004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55000000000000004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55000000000000004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55000000000000004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55000000000000004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55000000000000004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55000000000000004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55000000000000004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55000000000000004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55000000000000004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55000000000000004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55000000000000004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55000000000000004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55000000000000004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55000000000000004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55000000000000004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55000000000000004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55000000000000004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55000000000000004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55000000000000004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55000000000000004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55000000000000004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55000000000000004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55000000000000004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55000000000000004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55000000000000004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55000000000000004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55000000000000004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55000000000000004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55000000000000004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55000000000000004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55000000000000004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55000000000000004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55000000000000004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55000000000000004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55000000000000004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55000000000000004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55000000000000004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55000000000000004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55000000000000004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55000000000000004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55000000000000004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55000000000000004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55000000000000004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55000000000000004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55000000000000004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55000000000000004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55000000000000004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55000000000000004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55000000000000004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55000000000000004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55000000000000004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55000000000000004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55000000000000004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55000000000000004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55000000000000004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55000000000000004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55000000000000004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55000000000000004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55000000000000004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55000000000000004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55000000000000004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55000000000000004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55000000000000004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55000000000000004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55000000000000004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55000000000000004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55000000000000004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55000000000000004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55000000000000004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55000000000000004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55000000000000004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55000000000000004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55000000000000004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55000000000000004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55000000000000004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55000000000000004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55000000000000004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55000000000000004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55000000000000004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55000000000000004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55000000000000004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55000000000000004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55000000000000004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55000000000000004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55000000000000004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55000000000000004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55000000000000004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55000000000000004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55000000000000004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55000000000000004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55000000000000004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55000000000000004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55000000000000004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55000000000000004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55000000000000004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55000000000000004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55000000000000004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55000000000000004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55000000000000004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55000000000000004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55000000000000004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55000000000000004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55000000000000004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55000000000000004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55000000000000004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55000000000000004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55000000000000004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55000000000000004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55000000000000004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55000000000000004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55000000000000004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55000000000000004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55000000000000004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55000000000000004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55000000000000004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55000000000000004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55000000000000004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55000000000000004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55000000000000004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55000000000000004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55000000000000004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55000000000000004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55000000000000004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55000000000000004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55000000000000004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55000000000000004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55000000000000004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55000000000000004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55000000000000004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55000000000000004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55000000000000004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55000000000000004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55000000000000004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55000000000000004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55000000000000004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55000000000000004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55000000000000004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55000000000000004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55000000000000004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55000000000000004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55000000000000004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55000000000000004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55000000000000004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55000000000000004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55000000000000004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55000000000000004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55000000000000004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55000000000000004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55000000000000004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55000000000000004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55000000000000004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55000000000000004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55000000000000004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55000000000000004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55000000000000004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55000000000000004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55000000000000004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55000000000000004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55000000000000004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55000000000000004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55000000000000004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55000000000000004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55000000000000004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55000000000000004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55000000000000004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55000000000000004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55000000000000004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55000000000000004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55000000000000004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55000000000000004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55000000000000004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55000000000000004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55000000000000004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55000000000000004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55000000000000004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55000000000000004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55000000000000004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55000000000000004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55000000000000004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55000000000000004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55000000000000004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55000000000000004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55000000000000004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55000000000000004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55000000000000004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55000000000000004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55000000000000004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55000000000000004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55000000000000004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55000000000000004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2021-12-15T11:30:19Z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761181056499481</vt:r8>
  </property>
</Properties>
</file>